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F25158CF-3386-479F-AFA0-34B71A650944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主任工资" sheetId="15" r:id="rId1"/>
    <sheet name="店长工资" sheetId="3" r:id="rId2"/>
    <sheet name="总经理新提成" sheetId="11" r:id="rId3"/>
    <sheet name="科技部工资" sheetId="7" r:id="rId4"/>
    <sheet name="大项目部" sheetId="8" r:id="rId5"/>
  </sheets>
  <externalReferences>
    <externalReference r:id="rId6"/>
    <externalReference r:id="rId7"/>
  </externalReferences>
  <definedNames>
    <definedName name="_xlnm._FilterDatabase" localSheetId="3" hidden="1">科技部工资!$B$1:$B$20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" i="7" l="1"/>
  <c r="J6" i="7"/>
  <c r="W4" i="7"/>
  <c r="X4" i="7" s="1"/>
  <c r="W5" i="7"/>
  <c r="X5" i="7" s="1"/>
  <c r="J23" i="11"/>
  <c r="I23" i="11"/>
  <c r="H15" i="11"/>
  <c r="O10" i="11"/>
  <c r="J10" i="11"/>
  <c r="I11" i="11"/>
  <c r="K10" i="11"/>
  <c r="I10" i="11"/>
  <c r="I2" i="11"/>
  <c r="K2" i="11"/>
  <c r="S3" i="11"/>
  <c r="S4" i="11"/>
  <c r="S5" i="11"/>
  <c r="S6" i="11"/>
  <c r="S7" i="11"/>
  <c r="S8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2" i="11"/>
  <c r="Q39" i="11"/>
  <c r="R39" i="11" s="1"/>
  <c r="Q41" i="11"/>
  <c r="R41" i="11" s="1"/>
  <c r="Q42" i="11"/>
  <c r="R42" i="11" s="1"/>
  <c r="Q43" i="11"/>
  <c r="R43" i="11" s="1"/>
  <c r="Q44" i="11"/>
  <c r="R44" i="11" s="1"/>
  <c r="Q46" i="11"/>
  <c r="R46" i="11" s="1"/>
  <c r="Q47" i="11"/>
  <c r="R47" i="11" s="1"/>
  <c r="Q48" i="11"/>
  <c r="R48" i="11" s="1"/>
  <c r="Q50" i="11"/>
  <c r="R50" i="11" s="1"/>
  <c r="Q51" i="11"/>
  <c r="R51" i="11" s="1"/>
  <c r="Q52" i="11"/>
  <c r="R52" i="11" s="1"/>
  <c r="Q53" i="11"/>
  <c r="R53" i="11" s="1"/>
  <c r="Q7" i="11"/>
  <c r="R7" i="11" s="1"/>
  <c r="Q8" i="11"/>
  <c r="R8" i="11" s="1"/>
  <c r="Q9" i="11"/>
  <c r="R9" i="11" s="1"/>
  <c r="Q11" i="11"/>
  <c r="R11" i="11" s="1"/>
  <c r="Q12" i="11"/>
  <c r="R12" i="11" s="1"/>
  <c r="Q13" i="11"/>
  <c r="R13" i="11" s="1"/>
  <c r="Q14" i="11"/>
  <c r="R14" i="11" s="1"/>
  <c r="Q16" i="11"/>
  <c r="R16" i="11" s="1"/>
  <c r="Q17" i="11"/>
  <c r="R17" i="11" s="1"/>
  <c r="Q18" i="11"/>
  <c r="R18" i="11" s="1"/>
  <c r="Q19" i="11"/>
  <c r="R19" i="11" s="1"/>
  <c r="Q20" i="11"/>
  <c r="R20" i="11" s="1"/>
  <c r="Q21" i="11"/>
  <c r="R21" i="11" s="1"/>
  <c r="Q22" i="11"/>
  <c r="R22" i="11" s="1"/>
  <c r="Q24" i="11"/>
  <c r="R24" i="11" s="1"/>
  <c r="Q25" i="11"/>
  <c r="R25" i="11" s="1"/>
  <c r="Q26" i="11"/>
  <c r="R26" i="11" s="1"/>
  <c r="Q27" i="11"/>
  <c r="R27" i="11" s="1"/>
  <c r="Q28" i="11"/>
  <c r="R28" i="11" s="1"/>
  <c r="Q29" i="11"/>
  <c r="R29" i="11" s="1"/>
  <c r="Q31" i="11"/>
  <c r="R31" i="11" s="1"/>
  <c r="Q32" i="11"/>
  <c r="R32" i="11" s="1"/>
  <c r="Q33" i="11"/>
  <c r="R33" i="11" s="1"/>
  <c r="Q34" i="11"/>
  <c r="R34" i="11" s="1"/>
  <c r="Q36" i="11"/>
  <c r="R36" i="11" s="1"/>
  <c r="Q37" i="11"/>
  <c r="R37" i="11" s="1"/>
  <c r="Q38" i="11"/>
  <c r="R38" i="11" s="1"/>
  <c r="Q3" i="11"/>
  <c r="R3" i="11" s="1"/>
  <c r="Q4" i="11"/>
  <c r="R4" i="11" s="1"/>
  <c r="Q5" i="11"/>
  <c r="R5" i="11" s="1"/>
  <c r="Q6" i="11"/>
  <c r="R6" i="11" s="1"/>
  <c r="Q19" i="3"/>
  <c r="W19" i="3"/>
  <c r="N3" i="15"/>
  <c r="U19" i="7"/>
  <c r="N19" i="7"/>
  <c r="K19" i="7"/>
  <c r="J19" i="7"/>
  <c r="U18" i="7"/>
  <c r="N18" i="7"/>
  <c r="K18" i="7"/>
  <c r="J18" i="7"/>
  <c r="U17" i="7"/>
  <c r="N17" i="7"/>
  <c r="K17" i="7"/>
  <c r="J17" i="7"/>
  <c r="U16" i="7"/>
  <c r="N16" i="7"/>
  <c r="K16" i="7"/>
  <c r="J16" i="7"/>
  <c r="U15" i="7"/>
  <c r="N15" i="7"/>
  <c r="K15" i="7"/>
  <c r="J15" i="7"/>
  <c r="U12" i="7"/>
  <c r="N12" i="7"/>
  <c r="K12" i="7"/>
  <c r="J12" i="7"/>
  <c r="U11" i="7"/>
  <c r="N11" i="7"/>
  <c r="J11" i="7"/>
  <c r="U10" i="7"/>
  <c r="N10" i="7"/>
  <c r="M10" i="7"/>
  <c r="K10" i="7"/>
  <c r="J10" i="7"/>
  <c r="U9" i="7"/>
  <c r="N9" i="7"/>
  <c r="K9" i="7"/>
  <c r="J9" i="7"/>
  <c r="U8" i="7"/>
  <c r="N8" i="7"/>
  <c r="K8" i="7"/>
  <c r="J8" i="7"/>
  <c r="N7" i="7"/>
  <c r="U7" i="7" s="1"/>
  <c r="M7" i="7"/>
  <c r="J7" i="7"/>
  <c r="N6" i="7"/>
  <c r="U6" i="7" s="1"/>
  <c r="K6" i="7"/>
  <c r="P3" i="7"/>
  <c r="K3" i="7"/>
  <c r="J3" i="7"/>
  <c r="I3" i="7"/>
  <c r="K2" i="7"/>
  <c r="P2" i="7" s="1"/>
  <c r="I2" i="7"/>
  <c r="I50" i="11"/>
  <c r="O49" i="11"/>
  <c r="I49" i="11"/>
  <c r="I46" i="11"/>
  <c r="O45" i="11"/>
  <c r="I42" i="11"/>
  <c r="I41" i="11"/>
  <c r="K40" i="11"/>
  <c r="O40" i="11" s="1"/>
  <c r="I37" i="11"/>
  <c r="I36" i="11"/>
  <c r="O35" i="11"/>
  <c r="I35" i="11"/>
  <c r="I31" i="11"/>
  <c r="O30" i="11"/>
  <c r="I30" i="11"/>
  <c r="I26" i="11"/>
  <c r="K23" i="11"/>
  <c r="O23" i="11" s="1"/>
  <c r="I20" i="11"/>
  <c r="I19" i="11"/>
  <c r="I18" i="11"/>
  <c r="I17" i="11"/>
  <c r="I15" i="11"/>
  <c r="J15" i="11" s="1"/>
  <c r="K15" i="11" s="1"/>
  <c r="I12" i="11"/>
  <c r="I5" i="11"/>
  <c r="O2" i="11"/>
  <c r="W26" i="3"/>
  <c r="Q26" i="3"/>
  <c r="P26" i="3"/>
  <c r="N26" i="3"/>
  <c r="W25" i="3"/>
  <c r="Q25" i="3"/>
  <c r="P25" i="3"/>
  <c r="N25" i="3"/>
  <c r="P24" i="3"/>
  <c r="Q24" i="3" s="1"/>
  <c r="W24" i="3" s="1"/>
  <c r="N24" i="3"/>
  <c r="W23" i="3"/>
  <c r="Q23" i="3"/>
  <c r="P23" i="3"/>
  <c r="N23" i="3"/>
  <c r="W22" i="3"/>
  <c r="Q22" i="3"/>
  <c r="P22" i="3"/>
  <c r="N22" i="3"/>
  <c r="W21" i="3"/>
  <c r="Q21" i="3"/>
  <c r="P21" i="3"/>
  <c r="N21" i="3"/>
  <c r="W20" i="3"/>
  <c r="Q20" i="3"/>
  <c r="P20" i="3"/>
  <c r="N20" i="3"/>
  <c r="P19" i="3"/>
  <c r="N19" i="3"/>
  <c r="W18" i="3"/>
  <c r="Q18" i="3"/>
  <c r="P18" i="3"/>
  <c r="N18" i="3"/>
  <c r="W17" i="3"/>
  <c r="Q17" i="3"/>
  <c r="P17" i="3"/>
  <c r="N17" i="3"/>
  <c r="W16" i="3"/>
  <c r="Q16" i="3"/>
  <c r="P16" i="3"/>
  <c r="N16" i="3"/>
  <c r="W15" i="3"/>
  <c r="Q15" i="3"/>
  <c r="P15" i="3"/>
  <c r="N15" i="3"/>
  <c r="W14" i="3"/>
  <c r="Q14" i="3"/>
  <c r="P14" i="3"/>
  <c r="N14" i="3"/>
  <c r="W13" i="3"/>
  <c r="Q13" i="3"/>
  <c r="P13" i="3"/>
  <c r="N13" i="3"/>
  <c r="W12" i="3"/>
  <c r="Q12" i="3"/>
  <c r="P12" i="3"/>
  <c r="N12" i="3"/>
  <c r="W11" i="3"/>
  <c r="Q11" i="3"/>
  <c r="P11" i="3"/>
  <c r="N11" i="3"/>
  <c r="W10" i="3"/>
  <c r="Q10" i="3"/>
  <c r="P10" i="3"/>
  <c r="N10" i="3"/>
  <c r="W9" i="3"/>
  <c r="Q9" i="3"/>
  <c r="P9" i="3"/>
  <c r="N9" i="3"/>
  <c r="W8" i="3"/>
  <c r="Q8" i="3"/>
  <c r="P8" i="3"/>
  <c r="N8" i="3"/>
  <c r="W7" i="3"/>
  <c r="Q7" i="3"/>
  <c r="P7" i="3"/>
  <c r="N7" i="3"/>
  <c r="W6" i="3"/>
  <c r="Q6" i="3"/>
  <c r="P6" i="3"/>
  <c r="N6" i="3"/>
  <c r="W5" i="3"/>
  <c r="Q5" i="3"/>
  <c r="P5" i="3"/>
  <c r="N5" i="3"/>
  <c r="W4" i="3"/>
  <c r="Q4" i="3"/>
  <c r="P4" i="3"/>
  <c r="N4" i="3"/>
  <c r="W3" i="3"/>
  <c r="Q3" i="3"/>
  <c r="P3" i="3"/>
  <c r="N3" i="3"/>
  <c r="W2" i="3"/>
  <c r="Q2" i="3"/>
  <c r="P2" i="3"/>
  <c r="N2" i="3"/>
  <c r="U11" i="15"/>
  <c r="U9" i="15"/>
  <c r="N9" i="15"/>
  <c r="U8" i="15"/>
  <c r="O8" i="15"/>
  <c r="N8" i="15"/>
  <c r="U7" i="15"/>
  <c r="O7" i="15"/>
  <c r="N7" i="15"/>
  <c r="U6" i="15"/>
  <c r="O6" i="15"/>
  <c r="N6" i="15"/>
  <c r="U5" i="15"/>
  <c r="O5" i="15"/>
  <c r="N5" i="15"/>
  <c r="M5" i="15"/>
  <c r="U4" i="15"/>
  <c r="O4" i="15"/>
  <c r="N4" i="15"/>
  <c r="M4" i="15"/>
  <c r="O3" i="15"/>
  <c r="U3" i="15" s="1"/>
  <c r="M3" i="15"/>
  <c r="U2" i="15"/>
  <c r="O2" i="15"/>
  <c r="N2" i="15"/>
  <c r="M2" i="15"/>
  <c r="O15" i="11" l="1"/>
  <c r="W20" i="7" l="1"/>
  <c r="X20" i="7" s="1"/>
  <c r="Y12" i="3" l="1"/>
  <c r="Z12" i="3" s="1"/>
  <c r="Q49" i="11"/>
  <c r="R49" i="11" s="1"/>
  <c r="W5" i="15"/>
  <c r="X5" i="15" s="1"/>
  <c r="Y22" i="3"/>
  <c r="Z22" i="3" s="1"/>
  <c r="W6" i="7"/>
  <c r="X6" i="7" s="1"/>
  <c r="W11" i="15" l="1"/>
  <c r="X11" i="15" s="1"/>
  <c r="W13" i="7"/>
  <c r="X13" i="7" s="1"/>
  <c r="Y6" i="3"/>
  <c r="Z6" i="3" s="1"/>
  <c r="Y20" i="3"/>
  <c r="Z20" i="3" s="1"/>
  <c r="W15" i="7"/>
  <c r="X15" i="7" s="1"/>
  <c r="W4" i="15"/>
  <c r="X4" i="15" s="1"/>
  <c r="W6" i="15"/>
  <c r="X6" i="15" s="1"/>
  <c r="W7" i="7"/>
  <c r="X7" i="7" s="1"/>
  <c r="W10" i="15"/>
  <c r="X10" i="15" s="1"/>
  <c r="W18" i="7"/>
  <c r="X18" i="7" s="1"/>
  <c r="Y14" i="3"/>
  <c r="Z14" i="3" s="1"/>
  <c r="Y4" i="3"/>
  <c r="Z4" i="3" s="1"/>
  <c r="W3" i="7"/>
  <c r="X3" i="7" s="1"/>
  <c r="Y13" i="3"/>
  <c r="Z13" i="3" s="1"/>
  <c r="Y26" i="3"/>
  <c r="Z26" i="3" s="1"/>
  <c r="Y15" i="3"/>
  <c r="Z15" i="3" s="1"/>
  <c r="W9" i="15"/>
  <c r="X9" i="15" s="1"/>
  <c r="Q2" i="11"/>
  <c r="R2" i="11" s="1"/>
  <c r="Y11" i="3"/>
  <c r="Z11" i="3" s="1"/>
  <c r="Y16" i="3"/>
  <c r="Z16" i="3" s="1"/>
  <c r="W10" i="7"/>
  <c r="X10" i="7" s="1"/>
  <c r="Q45" i="11"/>
  <c r="R45" i="11" s="1"/>
  <c r="Q15" i="11"/>
  <c r="R15" i="11" s="1"/>
  <c r="W2" i="7"/>
  <c r="X2" i="7" s="1"/>
  <c r="Y24" i="3"/>
  <c r="Z24" i="3" s="1"/>
  <c r="W17" i="7"/>
  <c r="X17" i="7" s="1"/>
  <c r="W3" i="15"/>
  <c r="X3" i="15" s="1"/>
  <c r="Y8" i="3"/>
  <c r="Z8" i="3" s="1"/>
  <c r="W8" i="15"/>
  <c r="X8" i="15" s="1"/>
  <c r="W2" i="15"/>
  <c r="X2" i="15" s="1"/>
  <c r="Q35" i="11"/>
  <c r="R35" i="11" s="1"/>
  <c r="Q40" i="11"/>
  <c r="R40" i="11" s="1"/>
  <c r="Q30" i="11"/>
  <c r="R30" i="11" s="1"/>
  <c r="Q10" i="11"/>
  <c r="R10" i="11" s="1"/>
  <c r="Y25" i="3"/>
  <c r="Z25" i="3" s="1"/>
  <c r="W7" i="15"/>
  <c r="X7" i="15" s="1"/>
  <c r="W9" i="7"/>
  <c r="X9" i="7" s="1"/>
  <c r="Y21" i="3"/>
  <c r="Z21" i="3" s="1"/>
  <c r="W12" i="7"/>
  <c r="X12" i="7" s="1"/>
  <c r="W19" i="7" l="1"/>
  <c r="X19" i="7" s="1"/>
  <c r="Y18" i="3"/>
  <c r="Z18" i="3" s="1"/>
  <c r="Y10" i="3"/>
  <c r="Z10" i="3" s="1"/>
  <c r="Y3" i="3"/>
  <c r="Z3" i="3" s="1"/>
  <c r="Y17" i="3"/>
  <c r="Z17" i="3" s="1"/>
  <c r="Q23" i="11"/>
  <c r="R23" i="11" s="1"/>
  <c r="W16" i="7"/>
  <c r="X16" i="7" s="1"/>
  <c r="Y19" i="3"/>
  <c r="Z19" i="3" s="1"/>
  <c r="Y9" i="3"/>
  <c r="Z9" i="3" s="1"/>
  <c r="W8" i="7"/>
  <c r="X8" i="7" s="1"/>
  <c r="Y23" i="3"/>
  <c r="Z23" i="3" s="1"/>
  <c r="Y7" i="3"/>
  <c r="Z7" i="3" s="1"/>
  <c r="W11" i="7"/>
  <c r="X11" i="7" s="1"/>
  <c r="W14" i="7"/>
  <c r="X14" i="7" s="1"/>
  <c r="Y5" i="3"/>
  <c r="Z5" i="3" s="1"/>
  <c r="Y2" i="3" l="1"/>
  <c r="Z2" i="3" s="1"/>
</calcChain>
</file>

<file path=xl/sharedStrings.xml><?xml version="1.0" encoding="utf-8"?>
<sst xmlns="http://schemas.openxmlformats.org/spreadsheetml/2006/main" count="435" uniqueCount="183">
  <si>
    <t>月份</t>
  </si>
  <si>
    <t>姓名</t>
  </si>
  <si>
    <t>门店</t>
  </si>
  <si>
    <t>底薪</t>
  </si>
  <si>
    <t>出勤</t>
  </si>
  <si>
    <t>业绩</t>
  </si>
  <si>
    <t>物业水电</t>
  </si>
  <si>
    <t>店内支出</t>
  </si>
  <si>
    <t>产品物料</t>
  </si>
  <si>
    <t>微雕成本</t>
  </si>
  <si>
    <t>其它合作成本</t>
  </si>
  <si>
    <t>洗毛巾</t>
  </si>
  <si>
    <t>毛利</t>
  </si>
  <si>
    <t>月提成</t>
  </si>
  <si>
    <t>应发工资</t>
  </si>
  <si>
    <t>扣社保</t>
  </si>
  <si>
    <t>押金</t>
  </si>
  <si>
    <t>扣服装</t>
  </si>
  <si>
    <t>缺卡扣费</t>
  </si>
  <si>
    <t>扣超假</t>
  </si>
  <si>
    <t>实得工资</t>
  </si>
  <si>
    <t>备注</t>
  </si>
  <si>
    <t>李萱君</t>
  </si>
  <si>
    <t>融创</t>
  </si>
  <si>
    <t>罗林芳</t>
  </si>
  <si>
    <t>保利</t>
  </si>
  <si>
    <t>缺卡1次扣除10元</t>
  </si>
  <si>
    <t>竹艳梅</t>
  </si>
  <si>
    <t>龙城</t>
  </si>
  <si>
    <t>任艺</t>
  </si>
  <si>
    <t>川音</t>
  </si>
  <si>
    <t>缺卡3次扣除90元</t>
  </si>
  <si>
    <t>刘金凤</t>
  </si>
  <si>
    <t>光华</t>
  </si>
  <si>
    <t>李春华</t>
  </si>
  <si>
    <t>紫荆</t>
  </si>
  <si>
    <t>高红艳</t>
  </si>
  <si>
    <t>涌泉</t>
  </si>
  <si>
    <t>刘晓林</t>
  </si>
  <si>
    <t>川师</t>
  </si>
  <si>
    <t>工作服一套扣除530，迟到扣除30元</t>
  </si>
  <si>
    <t>康丹</t>
  </si>
  <si>
    <t>骑士郡</t>
  </si>
  <si>
    <t>上班16天工资</t>
  </si>
  <si>
    <t>吴敏</t>
  </si>
  <si>
    <t>保底7000</t>
  </si>
  <si>
    <t>序号</t>
  </si>
  <si>
    <t>店长</t>
  </si>
  <si>
    <t>考勤</t>
  </si>
  <si>
    <t>当月业绩</t>
  </si>
  <si>
    <t>提点</t>
  </si>
  <si>
    <t>应得工资</t>
  </si>
  <si>
    <t>服装</t>
  </si>
  <si>
    <t>缺卡迟到</t>
  </si>
  <si>
    <t>手机押金</t>
  </si>
  <si>
    <t>超假</t>
  </si>
  <si>
    <t>易春梅</t>
  </si>
  <si>
    <t>华润</t>
  </si>
  <si>
    <t>缺卡2次扣除20元</t>
  </si>
  <si>
    <t>张小华</t>
  </si>
  <si>
    <t>陈怡名</t>
  </si>
  <si>
    <t>静居寺</t>
  </si>
  <si>
    <t>迟到1次扣除10元</t>
  </si>
  <si>
    <t>宋林琳</t>
  </si>
  <si>
    <t>红光</t>
  </si>
  <si>
    <t>曾玉莲</t>
  </si>
  <si>
    <t>犀浦</t>
  </si>
  <si>
    <t>张清华</t>
  </si>
  <si>
    <t>优品道</t>
  </si>
  <si>
    <t>张红霞</t>
  </si>
  <si>
    <t>大源</t>
  </si>
  <si>
    <t>缺卡4次扣除120元</t>
  </si>
  <si>
    <t>邓丽莉</t>
  </si>
  <si>
    <t>南路</t>
  </si>
  <si>
    <t>关晓燕</t>
  </si>
  <si>
    <t>中和</t>
  </si>
  <si>
    <t>赵忠芬</t>
  </si>
  <si>
    <t>向郑瑶</t>
  </si>
  <si>
    <t>沙河</t>
  </si>
  <si>
    <t>张勤</t>
  </si>
  <si>
    <t>莫志英</t>
  </si>
  <si>
    <t>彭龙惠</t>
  </si>
  <si>
    <t>龙湖</t>
  </si>
  <si>
    <t>何琼华</t>
  </si>
  <si>
    <t>鹭岛</t>
  </si>
  <si>
    <t>秦娜</t>
  </si>
  <si>
    <t>北路</t>
  </si>
  <si>
    <t>缺卡2次扣除20元，请假1天扣除100元</t>
  </si>
  <si>
    <t>王晓琳</t>
  </si>
  <si>
    <t>双流</t>
  </si>
  <si>
    <t>龚茜</t>
  </si>
  <si>
    <t>南湖</t>
  </si>
  <si>
    <t>刘安琼</t>
  </si>
  <si>
    <t>糜清云</t>
  </si>
  <si>
    <t>明信</t>
  </si>
  <si>
    <t>迟到1次扣除10元，请假1天扣除100元</t>
  </si>
  <si>
    <t>尧丹丹</t>
  </si>
  <si>
    <t>亚洲湾</t>
  </si>
  <si>
    <t>白丽</t>
  </si>
  <si>
    <t>千禧</t>
  </si>
  <si>
    <t>魏柯</t>
  </si>
  <si>
    <t>凤凰山</t>
  </si>
  <si>
    <t>李茂</t>
  </si>
  <si>
    <t>大丰</t>
  </si>
  <si>
    <t>事业部</t>
  </si>
  <si>
    <t>全勤</t>
  </si>
  <si>
    <t>完成业绩</t>
  </si>
  <si>
    <t>提成</t>
  </si>
  <si>
    <t>提成合计</t>
  </si>
  <si>
    <t>缺卡/迟到</t>
  </si>
  <si>
    <t>工作服</t>
  </si>
  <si>
    <t>社保</t>
  </si>
  <si>
    <t>张艳秋</t>
  </si>
  <si>
    <t>迟到3次扣除30元</t>
  </si>
  <si>
    <t>秦亚平</t>
  </si>
  <si>
    <t>缺卡2次扣除20元，罚款扣除1000元</t>
  </si>
  <si>
    <t>饶秋华</t>
  </si>
  <si>
    <t>张小娟</t>
  </si>
  <si>
    <t>蒲草</t>
  </si>
  <si>
    <t>王桂明</t>
  </si>
  <si>
    <t>肖静梅</t>
  </si>
  <si>
    <t>缺卡6次扣除180元，迟到1次扣除10元</t>
  </si>
  <si>
    <t>曾雨晴</t>
  </si>
  <si>
    <t>部门</t>
  </si>
  <si>
    <t>溯源业绩</t>
  </si>
  <si>
    <t>cell业绩</t>
  </si>
  <si>
    <t>溯源提成</t>
  </si>
  <si>
    <t>cell提成</t>
  </si>
  <si>
    <t>请假</t>
  </si>
  <si>
    <t>未打卡迟到</t>
  </si>
  <si>
    <t>T 区</t>
  </si>
  <si>
    <t>实发工资</t>
  </si>
  <si>
    <t>科技一部</t>
  </si>
  <si>
    <t>夏萍</t>
  </si>
  <si>
    <t>缺卡2次扣除220元，迟到2次扣除20元</t>
  </si>
  <si>
    <t>科技二部</t>
  </si>
  <si>
    <t>张雪颖</t>
  </si>
  <si>
    <t>总项目数</t>
  </si>
  <si>
    <t>消耗业绩</t>
  </si>
  <si>
    <t>高端业绩</t>
  </si>
  <si>
    <t>手工</t>
  </si>
  <si>
    <t>高端业绩提成</t>
  </si>
  <si>
    <t>消耗提成</t>
  </si>
  <si>
    <t>专家组业绩</t>
  </si>
  <si>
    <t>专家提点</t>
  </si>
  <si>
    <t>加班补贴</t>
  </si>
  <si>
    <t>消耗负激励</t>
  </si>
  <si>
    <t>拍视频</t>
  </si>
  <si>
    <t>杨琴</t>
  </si>
  <si>
    <t>缺卡3次扣除90元，迟到1次扣除10元，超假1天扣除100元</t>
  </si>
  <si>
    <t>王方贤</t>
  </si>
  <si>
    <t>郭兰</t>
  </si>
  <si>
    <t>戴林</t>
  </si>
  <si>
    <t>缺卡2次扣除20元，迟到2次扣除20元</t>
  </si>
  <si>
    <t>赵美艳</t>
  </si>
  <si>
    <t>周柏燚</t>
  </si>
  <si>
    <t>蒲俊峰</t>
  </si>
  <si>
    <t>张文卓</t>
  </si>
  <si>
    <t>尹佩佩</t>
  </si>
  <si>
    <t>王洪武</t>
  </si>
  <si>
    <t>刘祖红</t>
  </si>
  <si>
    <t>张雨露</t>
  </si>
  <si>
    <t>谢宗富</t>
  </si>
  <si>
    <t>余文</t>
  </si>
  <si>
    <t>缺卡2次扣除20元，迟到3次扣除30元</t>
  </si>
  <si>
    <t>李文龙</t>
  </si>
  <si>
    <t>总业绩</t>
  </si>
  <si>
    <t>业绩提成</t>
  </si>
  <si>
    <t>未打卡</t>
  </si>
  <si>
    <t>詹芳英</t>
  </si>
  <si>
    <t>请假1天扣</t>
  </si>
  <si>
    <t>黄贵琴</t>
  </si>
  <si>
    <t>陈思思</t>
  </si>
  <si>
    <t>李洁</t>
  </si>
  <si>
    <t>全勤</t>
    <phoneticPr fontId="35" type="noConversion"/>
  </si>
  <si>
    <t>300手机+200 8月2天</t>
    <phoneticPr fontId="35" type="noConversion"/>
  </si>
  <si>
    <t>业绩&gt;15万，4%</t>
    <phoneticPr fontId="35" type="noConversion"/>
  </si>
  <si>
    <t>徐睦垚</t>
    <phoneticPr fontId="35" type="noConversion"/>
  </si>
  <si>
    <t>邹福贞</t>
    <phoneticPr fontId="35" type="noConversion"/>
  </si>
  <si>
    <t>32w</t>
    <phoneticPr fontId="35" type="noConversion"/>
  </si>
  <si>
    <t>37w</t>
    <phoneticPr fontId="35" type="noConversion"/>
  </si>
  <si>
    <t>荣华南路</t>
    <phoneticPr fontId="35" type="noConversion"/>
  </si>
  <si>
    <t>荣华北路</t>
    <phoneticPr fontId="3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</si>
</sst>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 "/>
    <numFmt numFmtId="177" formatCode="0.0_ "/>
    <numFmt numFmtId="178" formatCode="0.0%"/>
    <numFmt numFmtId="179" formatCode="0.00_ "/>
  </numFmts>
  <fonts count="36" x14ac:knownFonts="1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0"/>
      <color rgb="FF000000"/>
      <name val="宋体"/>
      <family val="3"/>
      <charset val="134"/>
    </font>
    <font>
      <sz val="10"/>
      <color rgb="FF000000"/>
      <name val="微软雅黑"/>
      <family val="2"/>
      <charset val="134"/>
    </font>
    <font>
      <sz val="24"/>
      <color theme="1"/>
      <name val="宋体"/>
      <family val="3"/>
      <charset val="134"/>
      <scheme val="minor"/>
    </font>
    <font>
      <sz val="22"/>
      <color theme="1"/>
      <name val="宋体"/>
      <family val="3"/>
      <charset val="134"/>
      <scheme val="minor"/>
    </font>
    <font>
      <sz val="26"/>
      <color theme="1"/>
      <name val="宋体"/>
      <family val="3"/>
      <charset val="134"/>
      <scheme val="minor"/>
    </font>
    <font>
      <sz val="24"/>
      <color rgb="FF000000"/>
      <name val="黑体"/>
      <family val="3"/>
      <charset val="134"/>
    </font>
    <font>
      <sz val="26"/>
      <color rgb="FF000000"/>
      <name val="黑体"/>
      <family val="3"/>
      <charset val="134"/>
    </font>
    <font>
      <sz val="24"/>
      <color indexed="8"/>
      <name val="微软雅黑"/>
      <family val="2"/>
      <charset val="134"/>
    </font>
    <font>
      <sz val="22"/>
      <color indexed="8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b/>
      <sz val="10"/>
      <color rgb="FF000000"/>
      <name val="黑体"/>
      <family val="3"/>
      <charset val="134"/>
    </font>
    <font>
      <b/>
      <sz val="9"/>
      <color rgb="FF000000"/>
      <name val="黑体"/>
      <family val="3"/>
      <charset val="134"/>
    </font>
    <font>
      <sz val="10"/>
      <color rgb="FF000000"/>
      <name val="黑体"/>
      <family val="3"/>
      <charset val="134"/>
    </font>
    <font>
      <sz val="9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</font>
    <font>
      <sz val="9"/>
      <color rgb="FF000000"/>
      <name val="黑体"/>
      <family val="3"/>
      <charset val="134"/>
    </font>
    <font>
      <sz val="1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000000"/>
      <name val="黑体"/>
      <family val="3"/>
      <charset val="134"/>
    </font>
    <font>
      <sz val="12"/>
      <color rgb="FF000000"/>
      <name val="黑体"/>
      <family val="3"/>
      <charset val="134"/>
    </font>
    <font>
      <sz val="12"/>
      <name val="黑体"/>
      <family val="3"/>
      <charset val="134"/>
    </font>
    <font>
      <sz val="11"/>
      <name val="微软雅黑"/>
      <family val="2"/>
      <charset val="134"/>
    </font>
    <font>
      <sz val="11"/>
      <color rgb="FF000000"/>
      <name val="等线"/>
      <family val="3"/>
      <charset val="134"/>
    </font>
    <font>
      <sz val="11"/>
      <color theme="1"/>
      <name val="黑体"/>
      <family val="3"/>
      <charset val="134"/>
    </font>
    <font>
      <sz val="10"/>
      <name val="黑体"/>
      <family val="3"/>
      <charset val="134"/>
    </font>
    <font>
      <sz val="9"/>
      <name val="微软雅黑"/>
      <family val="2"/>
      <charset val="134"/>
    </font>
    <font>
      <sz val="9"/>
      <color theme="1"/>
      <name val="微软雅黑"/>
      <family val="2"/>
      <charset val="134"/>
    </font>
    <font>
      <b/>
      <sz val="9"/>
      <name val="微软雅黑"/>
      <family val="2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9" fontId="34" fillId="0" borderId="0" applyFont="0" applyFill="0" applyBorder="0" applyAlignment="0" applyProtection="0">
      <alignment vertical="center"/>
    </xf>
  </cellStyleXfs>
  <cellXfs count="16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3" borderId="0" xfId="0" applyFont="1" applyFill="1">
      <alignment vertical="center"/>
    </xf>
    <xf numFmtId="0" fontId="7" fillId="0" borderId="0" xfId="0" applyFont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76" fontId="9" fillId="0" borderId="0" xfId="0" applyNumberFormat="1" applyFont="1" applyAlignment="1">
      <alignment horizontal="center" vertical="center"/>
    </xf>
    <xf numFmtId="176" fontId="8" fillId="2" borderId="2" xfId="0" applyNumberFormat="1" applyFont="1" applyFill="1" applyBorder="1" applyAlignment="1">
      <alignment horizontal="center" vertical="center"/>
    </xf>
    <xf numFmtId="176" fontId="10" fillId="2" borderId="2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176" fontId="6" fillId="3" borderId="2" xfId="0" applyNumberFormat="1" applyFont="1" applyFill="1" applyBorder="1" applyAlignment="1">
      <alignment horizontal="center" vertical="center"/>
    </xf>
    <xf numFmtId="176" fontId="11" fillId="3" borderId="2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/>
    </xf>
    <xf numFmtId="176" fontId="8" fillId="2" borderId="2" xfId="0" applyNumberFormat="1" applyFont="1" applyFill="1" applyBorder="1" applyAlignment="1">
      <alignment horizontal="center" vertical="center" wrapText="1"/>
    </xf>
    <xf numFmtId="176" fontId="6" fillId="3" borderId="3" xfId="0" applyNumberFormat="1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176" fontId="6" fillId="3" borderId="2" xfId="0" applyNumberFormat="1" applyFont="1" applyFill="1" applyBorder="1" applyAlignment="1">
      <alignment horizontal="left"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3" fillId="0" borderId="0" xfId="0" applyFont="1" applyAlignment="1">
      <alignment horizontal="left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176" fontId="18" fillId="0" borderId="2" xfId="0" applyNumberFormat="1" applyFont="1" applyBorder="1" applyAlignment="1">
      <alignment horizontal="center" vertical="center"/>
    </xf>
    <xf numFmtId="176" fontId="18" fillId="0" borderId="3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176" fontId="17" fillId="0" borderId="0" xfId="0" applyNumberFormat="1" applyFont="1" applyAlignment="1">
      <alignment horizontal="center" vertical="center"/>
    </xf>
    <xf numFmtId="176" fontId="18" fillId="0" borderId="0" xfId="0" applyNumberFormat="1" applyFont="1" applyAlignment="1">
      <alignment horizontal="center" vertical="center"/>
    </xf>
    <xf numFmtId="176" fontId="18" fillId="0" borderId="9" xfId="0" applyNumberFormat="1" applyFont="1" applyBorder="1" applyAlignment="1">
      <alignment horizontal="center" vertical="center"/>
    </xf>
    <xf numFmtId="0" fontId="18" fillId="0" borderId="0" xfId="0" applyFont="1">
      <alignment vertical="center"/>
    </xf>
    <xf numFmtId="176" fontId="19" fillId="0" borderId="2" xfId="0" applyNumberFormat="1" applyFont="1" applyBorder="1" applyAlignment="1">
      <alignment horizontal="center" vertical="center"/>
    </xf>
    <xf numFmtId="176" fontId="19" fillId="0" borderId="0" xfId="0" applyNumberFormat="1" applyFont="1" applyAlignment="1">
      <alignment horizontal="center" vertical="center"/>
    </xf>
    <xf numFmtId="176" fontId="19" fillId="3" borderId="0" xfId="0" applyNumberFormat="1" applyFont="1" applyFill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left" vertical="center"/>
    </xf>
    <xf numFmtId="176" fontId="17" fillId="0" borderId="2" xfId="0" applyNumberFormat="1" applyFont="1" applyBorder="1" applyAlignment="1">
      <alignment horizontal="center" vertical="center"/>
    </xf>
    <xf numFmtId="1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176" fontId="13" fillId="0" borderId="2" xfId="0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6" fontId="1" fillId="0" borderId="0" xfId="0" applyNumberFormat="1" applyFont="1">
      <alignment vertical="center"/>
    </xf>
    <xf numFmtId="176" fontId="19" fillId="0" borderId="0" xfId="0" applyNumberFormat="1" applyFont="1" applyAlignment="1">
      <alignment horizontal="left" vertical="center"/>
    </xf>
    <xf numFmtId="0" fontId="17" fillId="0" borderId="2" xfId="0" applyFont="1" applyBorder="1">
      <alignment vertical="center"/>
    </xf>
    <xf numFmtId="0" fontId="17" fillId="0" borderId="8" xfId="0" applyFont="1" applyBorder="1">
      <alignment vertical="center"/>
    </xf>
    <xf numFmtId="0" fontId="21" fillId="0" borderId="0" xfId="0" applyFont="1">
      <alignment vertical="center"/>
    </xf>
    <xf numFmtId="0" fontId="0" fillId="3" borderId="0" xfId="0" applyFill="1">
      <alignment vertical="center"/>
    </xf>
    <xf numFmtId="0" fontId="22" fillId="0" borderId="0" xfId="0" applyFo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7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23" fillId="2" borderId="2" xfId="0" applyFont="1" applyFill="1" applyBorder="1" applyAlignment="1">
      <alignment horizontal="center" vertical="center"/>
    </xf>
    <xf numFmtId="0" fontId="24" fillId="2" borderId="2" xfId="0" applyFont="1" applyFill="1" applyBorder="1" applyAlignment="1">
      <alignment horizontal="center" vertical="center"/>
    </xf>
    <xf numFmtId="176" fontId="24" fillId="2" borderId="2" xfId="0" applyNumberFormat="1" applyFont="1" applyFill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3" borderId="2" xfId="0" applyFont="1" applyFill="1" applyBorder="1" applyAlignment="1">
      <alignment horizontal="center" vertical="center"/>
    </xf>
    <xf numFmtId="176" fontId="24" fillId="3" borderId="2" xfId="0" applyNumberFormat="1" applyFont="1" applyFill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6" fillId="3" borderId="2" xfId="0" applyFont="1" applyFill="1" applyBorder="1" applyAlignment="1">
      <alignment horizontal="center" vertical="center"/>
    </xf>
    <xf numFmtId="0" fontId="25" fillId="3" borderId="2" xfId="0" applyFont="1" applyFill="1" applyBorder="1" applyAlignment="1">
      <alignment horizontal="center" vertical="center"/>
    </xf>
    <xf numFmtId="177" fontId="24" fillId="2" borderId="2" xfId="0" applyNumberFormat="1" applyFont="1" applyFill="1" applyBorder="1" applyAlignment="1">
      <alignment horizontal="center" vertical="center"/>
    </xf>
    <xf numFmtId="176" fontId="27" fillId="0" borderId="2" xfId="0" applyNumberFormat="1" applyFont="1" applyBorder="1" applyAlignment="1">
      <alignment horizontal="center" vertical="center"/>
    </xf>
    <xf numFmtId="176" fontId="28" fillId="0" borderId="2" xfId="0" applyNumberFormat="1" applyFont="1" applyBorder="1" applyAlignment="1">
      <alignment horizontal="center" vertical="center"/>
    </xf>
    <xf numFmtId="178" fontId="28" fillId="0" borderId="2" xfId="1" applyNumberFormat="1" applyFont="1" applyBorder="1" applyAlignment="1">
      <alignment horizontal="center" vertical="center"/>
    </xf>
    <xf numFmtId="176" fontId="28" fillId="0" borderId="2" xfId="1" applyNumberFormat="1" applyFont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176" fontId="27" fillId="3" borderId="2" xfId="0" applyNumberFormat="1" applyFont="1" applyFill="1" applyBorder="1" applyAlignment="1">
      <alignment horizontal="center" vertical="center"/>
    </xf>
    <xf numFmtId="178" fontId="28" fillId="3" borderId="2" xfId="1" applyNumberFormat="1" applyFont="1" applyFill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9" fillId="2" borderId="2" xfId="0" applyFont="1" applyFill="1" applyBorder="1" applyAlignment="1">
      <alignment horizontal="center" vertical="center"/>
    </xf>
    <xf numFmtId="176" fontId="17" fillId="2" borderId="2" xfId="0" applyNumberFormat="1" applyFont="1" applyFill="1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176" fontId="30" fillId="0" borderId="2" xfId="0" applyNumberFormat="1" applyFont="1" applyBorder="1" applyAlignment="1">
      <alignment horizontal="center" vertical="center"/>
    </xf>
    <xf numFmtId="0" fontId="31" fillId="3" borderId="2" xfId="0" applyFont="1" applyFill="1" applyBorder="1" applyAlignment="1">
      <alignment horizontal="center" vertical="center"/>
    </xf>
    <xf numFmtId="176" fontId="31" fillId="3" borderId="2" xfId="0" applyNumberFormat="1" applyFont="1" applyFill="1" applyBorder="1" applyAlignment="1">
      <alignment horizontal="center" vertical="center"/>
    </xf>
    <xf numFmtId="177" fontId="17" fillId="2" borderId="2" xfId="0" applyNumberFormat="1" applyFont="1" applyFill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58" fontId="31" fillId="0" borderId="2" xfId="0" applyNumberFormat="1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/>
    </xf>
    <xf numFmtId="176" fontId="2" fillId="0" borderId="0" xfId="0" applyNumberFormat="1" applyFont="1">
      <alignment vertical="center"/>
    </xf>
    <xf numFmtId="179" fontId="0" fillId="0" borderId="0" xfId="0" applyNumberFormat="1">
      <alignment vertical="center"/>
    </xf>
    <xf numFmtId="179" fontId="2" fillId="0" borderId="0" xfId="0" applyNumberFormat="1" applyFont="1">
      <alignment vertical="center"/>
    </xf>
    <xf numFmtId="0" fontId="30" fillId="4" borderId="2" xfId="0" applyFont="1" applyFill="1" applyBorder="1" applyAlignment="1">
      <alignment horizontal="center" vertical="center"/>
    </xf>
    <xf numFmtId="0" fontId="33" fillId="0" borderId="0" xfId="0" applyFont="1">
      <alignment vertical="center"/>
    </xf>
    <xf numFmtId="178" fontId="28" fillId="4" borderId="2" xfId="1" applyNumberFormat="1" applyFont="1" applyFill="1" applyBorder="1" applyAlignment="1">
      <alignment horizontal="center" vertical="center"/>
    </xf>
    <xf numFmtId="0" fontId="17" fillId="3" borderId="6" xfId="0" applyFont="1" applyFill="1" applyBorder="1">
      <alignment vertical="center"/>
    </xf>
    <xf numFmtId="0" fontId="17" fillId="3" borderId="7" xfId="0" applyFont="1" applyFill="1" applyBorder="1">
      <alignment vertical="center"/>
    </xf>
    <xf numFmtId="0" fontId="17" fillId="3" borderId="8" xfId="0" applyFont="1" applyFill="1" applyBorder="1">
      <alignment vertical="center"/>
    </xf>
    <xf numFmtId="0" fontId="17" fillId="0" borderId="4" xfId="0" applyFont="1" applyBorder="1">
      <alignment vertical="center"/>
    </xf>
    <xf numFmtId="176" fontId="17" fillId="3" borderId="2" xfId="0" applyNumberFormat="1" applyFont="1" applyFill="1" applyBorder="1">
      <alignment vertical="center"/>
    </xf>
    <xf numFmtId="176" fontId="19" fillId="3" borderId="2" xfId="0" applyNumberFormat="1" applyFont="1" applyFill="1" applyBorder="1">
      <alignment vertical="center"/>
    </xf>
    <xf numFmtId="0" fontId="17" fillId="3" borderId="4" xfId="0" applyFont="1" applyFill="1" applyBorder="1">
      <alignment vertical="center"/>
    </xf>
    <xf numFmtId="0" fontId="17" fillId="3" borderId="11" xfId="0" applyFont="1" applyFill="1" applyBorder="1">
      <alignment vertical="center"/>
    </xf>
    <xf numFmtId="176" fontId="13" fillId="0" borderId="0" xfId="0" applyNumberFormat="1" applyFont="1">
      <alignment vertical="center"/>
    </xf>
    <xf numFmtId="176" fontId="13" fillId="4" borderId="0" xfId="0" applyNumberFormat="1" applyFont="1" applyFill="1">
      <alignment vertical="center"/>
    </xf>
    <xf numFmtId="10" fontId="13" fillId="0" borderId="0" xfId="0" applyNumberFormat="1" applyFont="1">
      <alignment vertical="center"/>
    </xf>
    <xf numFmtId="176" fontId="18" fillId="4" borderId="3" xfId="0" applyNumberFormat="1" applyFont="1" applyFill="1" applyBorder="1" applyAlignment="1">
      <alignment horizontal="center" vertical="center"/>
    </xf>
    <xf numFmtId="176" fontId="6" fillId="0" borderId="0" xfId="0" applyNumberFormat="1" applyFont="1">
      <alignment vertical="center"/>
    </xf>
    <xf numFmtId="0" fontId="6" fillId="4" borderId="2" xfId="0" applyFont="1" applyFill="1" applyBorder="1" applyAlignment="1">
      <alignment horizontal="center" vertical="center"/>
    </xf>
    <xf numFmtId="176" fontId="6" fillId="4" borderId="2" xfId="0" applyNumberFormat="1" applyFont="1" applyFill="1" applyBorder="1" applyAlignment="1">
      <alignment horizontal="center" vertical="center"/>
    </xf>
    <xf numFmtId="0" fontId="17" fillId="0" borderId="6" xfId="0" applyFont="1" applyBorder="1" applyAlignment="1">
      <alignment horizontal="left" vertical="center"/>
    </xf>
    <xf numFmtId="0" fontId="17" fillId="0" borderId="7" xfId="0" applyFont="1" applyBorder="1" applyAlignment="1">
      <alignment horizontal="left" vertical="center"/>
    </xf>
    <xf numFmtId="0" fontId="17" fillId="0" borderId="8" xfId="0" applyFont="1" applyBorder="1" applyAlignment="1">
      <alignment horizontal="left" vertical="center"/>
    </xf>
    <xf numFmtId="176" fontId="17" fillId="0" borderId="2" xfId="0" applyNumberFormat="1" applyFont="1" applyBorder="1" applyAlignment="1">
      <alignment horizontal="left" vertical="center" wrapText="1"/>
    </xf>
    <xf numFmtId="176" fontId="19" fillId="0" borderId="2" xfId="0" applyNumberFormat="1" applyFont="1" applyBorder="1" applyAlignment="1">
      <alignment horizontal="left" vertical="center"/>
    </xf>
    <xf numFmtId="0" fontId="17" fillId="0" borderId="2" xfId="0" applyFont="1" applyBorder="1" applyAlignment="1">
      <alignment vertical="center" wrapText="1"/>
    </xf>
    <xf numFmtId="0" fontId="17" fillId="0" borderId="2" xfId="0" applyFont="1" applyBorder="1">
      <alignment vertical="center"/>
    </xf>
    <xf numFmtId="176" fontId="17" fillId="0" borderId="6" xfId="0" applyNumberFormat="1" applyFont="1" applyBorder="1" applyAlignment="1">
      <alignment horizontal="center" vertical="center"/>
    </xf>
    <xf numFmtId="176" fontId="17" fillId="0" borderId="7" xfId="0" applyNumberFormat="1" applyFont="1" applyBorder="1" applyAlignment="1">
      <alignment horizontal="center" vertical="center"/>
    </xf>
    <xf numFmtId="176" fontId="17" fillId="0" borderId="8" xfId="0" applyNumberFormat="1" applyFont="1" applyBorder="1" applyAlignment="1">
      <alignment horizontal="center" vertical="center"/>
    </xf>
    <xf numFmtId="176" fontId="17" fillId="0" borderId="2" xfId="0" applyNumberFormat="1" applyFont="1" applyBorder="1" applyAlignment="1">
      <alignment horizontal="center" vertical="center" wrapText="1"/>
    </xf>
    <xf numFmtId="176" fontId="17" fillId="0" borderId="2" xfId="0" applyNumberFormat="1" applyFont="1" applyBorder="1" applyAlignment="1">
      <alignment horizontal="center" vertical="center"/>
    </xf>
    <xf numFmtId="176" fontId="17" fillId="0" borderId="10" xfId="0" applyNumberFormat="1" applyFont="1" applyBorder="1" applyAlignment="1">
      <alignment horizontal="center" vertical="center"/>
    </xf>
    <xf numFmtId="1" fontId="17" fillId="0" borderId="6" xfId="0" applyNumberFormat="1" applyFont="1" applyBorder="1" applyAlignment="1">
      <alignment horizontal="center" vertical="center"/>
    </xf>
    <xf numFmtId="1" fontId="17" fillId="0" borderId="7" xfId="0" applyNumberFormat="1" applyFont="1" applyBorder="1" applyAlignment="1">
      <alignment horizontal="center" vertical="center"/>
    </xf>
    <xf numFmtId="1" fontId="17" fillId="0" borderId="8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176" fontId="19" fillId="0" borderId="2" xfId="0" applyNumberFormat="1" applyFont="1" applyBorder="1" applyAlignment="1">
      <alignment horizontal="center" vertical="center"/>
    </xf>
    <xf numFmtId="1" fontId="17" fillId="0" borderId="2" xfId="0" applyNumberFormat="1" applyFont="1" applyBorder="1" applyAlignment="1">
      <alignment horizontal="center" vertical="center"/>
    </xf>
    <xf numFmtId="176" fontId="17" fillId="0" borderId="6" xfId="0" applyNumberFormat="1" applyFont="1" applyBorder="1" applyAlignment="1">
      <alignment horizontal="center" vertical="center" wrapText="1"/>
    </xf>
    <xf numFmtId="176" fontId="17" fillId="0" borderId="7" xfId="0" applyNumberFormat="1" applyFont="1" applyBorder="1" applyAlignment="1">
      <alignment horizontal="center" vertical="center" wrapText="1"/>
    </xf>
    <xf numFmtId="176" fontId="17" fillId="0" borderId="8" xfId="0" applyNumberFormat="1" applyFont="1" applyBorder="1" applyAlignment="1">
      <alignment horizontal="center" vertical="center" wrapText="1"/>
    </xf>
    <xf numFmtId="176" fontId="17" fillId="4" borderId="2" xfId="0" applyNumberFormat="1" applyFont="1" applyFill="1" applyBorder="1" applyAlignment="1">
      <alignment horizontal="center" vertical="center" wrapText="1"/>
    </xf>
    <xf numFmtId="176" fontId="13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left" vertical="center"/>
    </xf>
    <xf numFmtId="176" fontId="6" fillId="0" borderId="5" xfId="0" applyNumberFormat="1" applyFont="1" applyBorder="1" applyAlignment="1">
      <alignment horizontal="left" vertical="center"/>
    </xf>
  </cellXfs>
  <cellStyles count="2">
    <cellStyle name="百分比" xfId="1" builtinId="5"/>
    <cellStyle name="常规" xfId="0" builtinId="0"/>
  </cellStyles>
  <dxfs count="60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dministrator\Desktop\&#24037;&#36164;&#26680;&#31639;%20-7&#26376;%20-%20&#21103;&#26412;\&#24037;&#36164;(&#20840;&#23383;&#27573;).xlsx" TargetMode="External"/><Relationship Id="rId1" Type="http://schemas.openxmlformats.org/officeDocument/2006/relationships/externalLinkPath" Target="&#24037;&#36164;&#26680;&#31639;%20-7&#26376;%20-%20&#21103;&#26412;/&#24037;&#36164;(&#20840;&#23383;&#27573;)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dministrator\Desktop\&#24037;&#36164;&#26680;&#31639;%20-7&#26376;%20-%20&#21103;&#26412;\&#9316;2025&#24180;6&#26376;&#24037;&#36164;&#65288;&#26680;&#31639;&#36807;&#31243;&#65289;.xlsx" TargetMode="External"/><Relationship Id="rId1" Type="http://schemas.openxmlformats.org/officeDocument/2006/relationships/externalLinkPath" Target="&#24037;&#36164;&#26680;&#31639;%20-7&#26376;%20-%20&#21103;&#26412;/&#9316;2025&#24180;6&#26376;&#24037;&#36164;&#65288;&#26680;&#31639;&#36807;&#31243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工资核对的全字段"/>
      <sheetName val="呈现的样式"/>
      <sheetName val="呈现字段"/>
      <sheetName val="Sheet1"/>
    </sheetNames>
    <sheetDataSet>
      <sheetData sheetId="0">
        <row r="2">
          <cell r="C2" t="str">
            <v>花名册</v>
          </cell>
        </row>
        <row r="3">
          <cell r="C3" t="str">
            <v>A-a-②</v>
          </cell>
        </row>
        <row r="6">
          <cell r="CV6" t="e">
            <v>#VALUE!</v>
          </cell>
        </row>
        <row r="7">
          <cell r="C7" t="str">
            <v>姓名</v>
          </cell>
          <cell r="CV7" t="str">
            <v>当月支付总额</v>
          </cell>
        </row>
        <row r="8">
          <cell r="C8" t="str">
            <v>易春梅</v>
          </cell>
          <cell r="CV8" t="e">
            <v>#VALUE!</v>
          </cell>
        </row>
        <row r="9">
          <cell r="C9" t="str">
            <v>江玲</v>
          </cell>
          <cell r="CV9" t="e">
            <v>#VALUE!</v>
          </cell>
        </row>
        <row r="10">
          <cell r="C10" t="str">
            <v>王瑞琳</v>
          </cell>
          <cell r="CV10" t="e">
            <v>#VALUE!</v>
          </cell>
        </row>
        <row r="11">
          <cell r="C11" t="str">
            <v>黄小燕</v>
          </cell>
          <cell r="CV11" t="e">
            <v>#VALUE!</v>
          </cell>
        </row>
        <row r="12">
          <cell r="C12" t="str">
            <v>赵玉晓</v>
          </cell>
          <cell r="CV12" t="e">
            <v>#VALUE!</v>
          </cell>
        </row>
        <row r="13">
          <cell r="C13" t="str">
            <v>雷朝霞</v>
          </cell>
          <cell r="CV13" t="e">
            <v>#VALUE!</v>
          </cell>
        </row>
        <row r="14">
          <cell r="C14" t="str">
            <v>陈雪莲</v>
          </cell>
          <cell r="CV14" t="e">
            <v>#VALUE!</v>
          </cell>
        </row>
        <row r="15">
          <cell r="C15" t="str">
            <v>饶秋华</v>
          </cell>
          <cell r="CV15" t="e">
            <v>#VALUE!</v>
          </cell>
        </row>
        <row r="16">
          <cell r="C16" t="str">
            <v>莫志英</v>
          </cell>
          <cell r="CV16" t="e">
            <v>#VALUE!</v>
          </cell>
        </row>
        <row r="17">
          <cell r="C17" t="str">
            <v>刘巧艳</v>
          </cell>
          <cell r="CV17" t="e">
            <v>#VALUE!</v>
          </cell>
        </row>
        <row r="18">
          <cell r="C18" t="str">
            <v>康红梅</v>
          </cell>
          <cell r="CV18" t="e">
            <v>#VALUE!</v>
          </cell>
        </row>
        <row r="19">
          <cell r="C19" t="str">
            <v>唐银春</v>
          </cell>
          <cell r="CV19" t="e">
            <v>#VALUE!</v>
          </cell>
        </row>
        <row r="20">
          <cell r="C20" t="str">
            <v>刘晓丽</v>
          </cell>
          <cell r="CV20" t="e">
            <v>#VALUE!</v>
          </cell>
        </row>
        <row r="21">
          <cell r="C21" t="str">
            <v>熊艳</v>
          </cell>
          <cell r="CV21" t="e">
            <v>#VALUE!</v>
          </cell>
        </row>
        <row r="22">
          <cell r="C22" t="str">
            <v>任静</v>
          </cell>
          <cell r="CV22" t="e">
            <v>#VALUE!</v>
          </cell>
        </row>
        <row r="23">
          <cell r="C23" t="str">
            <v>吴琴</v>
          </cell>
          <cell r="CV23" t="e">
            <v>#VALUE!</v>
          </cell>
        </row>
        <row r="24">
          <cell r="C24" t="str">
            <v>陈红霞</v>
          </cell>
          <cell r="CV24" t="e">
            <v>#VALUE!</v>
          </cell>
        </row>
        <row r="25">
          <cell r="C25" t="str">
            <v>廖增珍</v>
          </cell>
          <cell r="CV25" t="e">
            <v>#VALUE!</v>
          </cell>
        </row>
        <row r="26">
          <cell r="C26" t="str">
            <v>李春华</v>
          </cell>
          <cell r="CV26" t="e">
            <v>#VALUE!</v>
          </cell>
        </row>
        <row r="27">
          <cell r="C27" t="str">
            <v>张候敏</v>
          </cell>
          <cell r="CV27" t="e">
            <v>#VALUE!</v>
          </cell>
        </row>
        <row r="28">
          <cell r="C28" t="str">
            <v>赵小红</v>
          </cell>
          <cell r="CV28" t="e">
            <v>#VALUE!</v>
          </cell>
        </row>
        <row r="29">
          <cell r="C29" t="str">
            <v>彭龙惠</v>
          </cell>
          <cell r="CV29" t="e">
            <v>#VALUE!</v>
          </cell>
        </row>
        <row r="30">
          <cell r="C30" t="str">
            <v>邓雪梅</v>
          </cell>
          <cell r="CV30" t="e">
            <v>#VALUE!</v>
          </cell>
        </row>
        <row r="31">
          <cell r="C31" t="str">
            <v>高雪</v>
          </cell>
          <cell r="CV31" t="e">
            <v>#VALUE!</v>
          </cell>
        </row>
        <row r="32">
          <cell r="C32" t="str">
            <v>何婷</v>
          </cell>
          <cell r="CV32" t="e">
            <v>#VALUE!</v>
          </cell>
        </row>
        <row r="33">
          <cell r="C33" t="str">
            <v>刘慧</v>
          </cell>
          <cell r="CV33" t="e">
            <v>#VALUE!</v>
          </cell>
        </row>
        <row r="34">
          <cell r="C34" t="str">
            <v>秦亚平</v>
          </cell>
          <cell r="CV34" t="e">
            <v>#VALUE!</v>
          </cell>
        </row>
        <row r="35">
          <cell r="C35" t="str">
            <v>谭莹</v>
          </cell>
          <cell r="CV35" t="e">
            <v>#VALUE!</v>
          </cell>
        </row>
        <row r="36">
          <cell r="C36" t="str">
            <v>张芮</v>
          </cell>
          <cell r="CV36" t="e">
            <v>#VALUE!</v>
          </cell>
        </row>
        <row r="37">
          <cell r="C37" t="str">
            <v>张元琼</v>
          </cell>
          <cell r="CV37" t="e">
            <v>#VALUE!</v>
          </cell>
        </row>
        <row r="38">
          <cell r="C38" t="str">
            <v>王依蕊</v>
          </cell>
          <cell r="CV38" t="e">
            <v>#VALUE!</v>
          </cell>
        </row>
        <row r="39">
          <cell r="C39" t="str">
            <v>向郑瑶</v>
          </cell>
          <cell r="CV39" t="e">
            <v>#VALUE!</v>
          </cell>
        </row>
        <row r="40">
          <cell r="C40" t="str">
            <v>唐容</v>
          </cell>
          <cell r="CV40" t="e">
            <v>#VALUE!</v>
          </cell>
        </row>
        <row r="41">
          <cell r="C41" t="str">
            <v>叶文娟</v>
          </cell>
          <cell r="CV41" t="e">
            <v>#VALUE!</v>
          </cell>
        </row>
        <row r="42">
          <cell r="C42" t="str">
            <v>邹福贞</v>
          </cell>
          <cell r="CV42" t="e">
            <v>#VALUE!</v>
          </cell>
        </row>
        <row r="43">
          <cell r="C43" t="str">
            <v>陈怡名</v>
          </cell>
          <cell r="CV43" t="e">
            <v>#VALUE!</v>
          </cell>
        </row>
        <row r="44">
          <cell r="C44" t="str">
            <v>张丽</v>
          </cell>
          <cell r="CV44" t="e">
            <v>#VALUE!</v>
          </cell>
        </row>
        <row r="45">
          <cell r="C45" t="str">
            <v>杨金花</v>
          </cell>
          <cell r="CV45" t="e">
            <v>#VALUE!</v>
          </cell>
        </row>
        <row r="46">
          <cell r="C46" t="str">
            <v>樊琳</v>
          </cell>
          <cell r="CV46" t="e">
            <v>#VALUE!</v>
          </cell>
        </row>
        <row r="47">
          <cell r="C47" t="str">
            <v>董顺秀</v>
          </cell>
          <cell r="CV47" t="e">
            <v>#VALUE!</v>
          </cell>
        </row>
        <row r="48">
          <cell r="C48" t="str">
            <v>陈建蓉</v>
          </cell>
          <cell r="CV48" t="e">
            <v>#VALUE!</v>
          </cell>
        </row>
        <row r="49">
          <cell r="C49" t="str">
            <v>王娇</v>
          </cell>
          <cell r="CV49" t="e">
            <v>#VALUE!</v>
          </cell>
        </row>
        <row r="50">
          <cell r="C50" t="str">
            <v>黎茂婷</v>
          </cell>
          <cell r="CV50" t="e">
            <v>#VALUE!</v>
          </cell>
        </row>
        <row r="51">
          <cell r="C51" t="str">
            <v>张艳秋</v>
          </cell>
          <cell r="CV51" t="e">
            <v>#VALUE!</v>
          </cell>
        </row>
        <row r="52">
          <cell r="C52" t="str">
            <v>陈小琴</v>
          </cell>
          <cell r="CV52" t="e">
            <v>#VALUE!</v>
          </cell>
        </row>
        <row r="53">
          <cell r="C53" t="str">
            <v>刘恬恬</v>
          </cell>
          <cell r="CV53" t="e">
            <v>#VALUE!</v>
          </cell>
        </row>
        <row r="54">
          <cell r="C54" t="str">
            <v>苟小春</v>
          </cell>
          <cell r="CV54" t="e">
            <v>#VALUE!</v>
          </cell>
        </row>
        <row r="55">
          <cell r="C55" t="str">
            <v>李燕</v>
          </cell>
          <cell r="CV55" t="e">
            <v>#VALUE!</v>
          </cell>
        </row>
        <row r="56">
          <cell r="C56" t="str">
            <v>张小华</v>
          </cell>
          <cell r="CV56" t="e">
            <v>#VALUE!</v>
          </cell>
        </row>
        <row r="57">
          <cell r="C57" t="str">
            <v>王任燕</v>
          </cell>
          <cell r="CV57" t="e">
            <v>#VALUE!</v>
          </cell>
        </row>
        <row r="58">
          <cell r="C58" t="str">
            <v>陈萍</v>
          </cell>
          <cell r="CV58" t="e">
            <v>#VALUE!</v>
          </cell>
        </row>
        <row r="59">
          <cell r="C59" t="str">
            <v>吴敏</v>
          </cell>
          <cell r="CV59" t="e">
            <v>#VALUE!</v>
          </cell>
        </row>
        <row r="60">
          <cell r="C60" t="str">
            <v>陈佳丽</v>
          </cell>
          <cell r="CV60" t="e">
            <v>#VALUE!</v>
          </cell>
        </row>
        <row r="61">
          <cell r="C61" t="str">
            <v>康钦</v>
          </cell>
          <cell r="CV61" t="e">
            <v>#VALUE!</v>
          </cell>
        </row>
        <row r="62">
          <cell r="C62" t="str">
            <v>聂娟</v>
          </cell>
          <cell r="CV62" t="e">
            <v>#VALUE!</v>
          </cell>
        </row>
        <row r="63">
          <cell r="C63" t="str">
            <v>马菁</v>
          </cell>
          <cell r="CV63" t="e">
            <v>#VALUE!</v>
          </cell>
        </row>
        <row r="64">
          <cell r="C64" t="str">
            <v>徐睦垚</v>
          </cell>
          <cell r="CV64" t="e">
            <v>#VALUE!</v>
          </cell>
        </row>
        <row r="65">
          <cell r="C65" t="str">
            <v>达哇卓玛</v>
          </cell>
          <cell r="CV65" t="e">
            <v>#VALUE!</v>
          </cell>
        </row>
        <row r="66">
          <cell r="C66" t="str">
            <v>曾雨晴</v>
          </cell>
          <cell r="CV66" t="e">
            <v>#VALUE!</v>
          </cell>
        </row>
        <row r="67">
          <cell r="C67" t="str">
            <v>但红玉</v>
          </cell>
          <cell r="CV67" t="e">
            <v>#VALUE!</v>
          </cell>
        </row>
        <row r="68">
          <cell r="C68" t="str">
            <v>梁缘缘</v>
          </cell>
          <cell r="CV68" t="e">
            <v>#VALUE!</v>
          </cell>
        </row>
        <row r="69">
          <cell r="C69" t="str">
            <v>李萱君</v>
          </cell>
          <cell r="CV69" t="e">
            <v>#VALUE!</v>
          </cell>
        </row>
        <row r="70">
          <cell r="C70" t="str">
            <v>李思忆</v>
          </cell>
          <cell r="CV70" t="e">
            <v>#VALUE!</v>
          </cell>
        </row>
        <row r="71">
          <cell r="C71" t="str">
            <v>赵情情</v>
          </cell>
          <cell r="CV71" t="e">
            <v>#VALUE!</v>
          </cell>
        </row>
        <row r="72">
          <cell r="C72" t="str">
            <v>曹悦</v>
          </cell>
          <cell r="CV72" t="e">
            <v>#VALUE!</v>
          </cell>
        </row>
        <row r="73">
          <cell r="C73" t="str">
            <v>吴飞雁</v>
          </cell>
          <cell r="CV73" t="e">
            <v>#VALUE!</v>
          </cell>
        </row>
        <row r="74">
          <cell r="C74" t="str">
            <v>尹桂香</v>
          </cell>
          <cell r="CV74" t="e">
            <v>#VALUE!</v>
          </cell>
        </row>
        <row r="75">
          <cell r="C75" t="str">
            <v>张小娟</v>
          </cell>
          <cell r="CV75" t="e">
            <v>#VALUE!</v>
          </cell>
        </row>
        <row r="76">
          <cell r="C76" t="str">
            <v>刘安琼</v>
          </cell>
          <cell r="CV76" t="e">
            <v>#VALUE!</v>
          </cell>
        </row>
        <row r="77">
          <cell r="C77" t="str">
            <v>刘晓林</v>
          </cell>
          <cell r="CV77" t="e">
            <v>#VALUE!</v>
          </cell>
        </row>
        <row r="78">
          <cell r="C78" t="str">
            <v>李巧娇</v>
          </cell>
          <cell r="CV78" t="e">
            <v>#VALUE!</v>
          </cell>
        </row>
        <row r="79">
          <cell r="C79" t="str">
            <v>林萍</v>
          </cell>
          <cell r="CV79" t="e">
            <v>#VALUE!</v>
          </cell>
        </row>
        <row r="80">
          <cell r="C80" t="str">
            <v>罗雪</v>
          </cell>
          <cell r="CV80" t="e">
            <v>#VALUE!</v>
          </cell>
        </row>
        <row r="81">
          <cell r="C81" t="str">
            <v>唐宇欣</v>
          </cell>
          <cell r="CV81" t="e">
            <v>#VALUE!</v>
          </cell>
        </row>
        <row r="82">
          <cell r="C82" t="str">
            <v>李萌</v>
          </cell>
          <cell r="CV82" t="e">
            <v>#VALUE!</v>
          </cell>
        </row>
        <row r="83">
          <cell r="C83" t="str">
            <v>王如意</v>
          </cell>
          <cell r="CV83" t="e">
            <v>#VALUE!</v>
          </cell>
        </row>
        <row r="84">
          <cell r="C84" t="str">
            <v>柳全菊</v>
          </cell>
          <cell r="CV84" t="e">
            <v>#VALUE!</v>
          </cell>
        </row>
        <row r="85">
          <cell r="C85" t="str">
            <v>何琼华</v>
          </cell>
          <cell r="CV85" t="e">
            <v>#VALUE!</v>
          </cell>
        </row>
        <row r="86">
          <cell r="C86" t="str">
            <v>蒋圆圆</v>
          </cell>
          <cell r="CV86" t="e">
            <v>#VALUE!</v>
          </cell>
        </row>
        <row r="87">
          <cell r="C87" t="str">
            <v>顾红艳</v>
          </cell>
          <cell r="CV87" t="e">
            <v>#VALUE!</v>
          </cell>
        </row>
        <row r="88">
          <cell r="C88" t="str">
            <v>郭小丽</v>
          </cell>
          <cell r="CV88" t="e">
            <v>#VALUE!</v>
          </cell>
        </row>
        <row r="89">
          <cell r="C89" t="str">
            <v>梁婷</v>
          </cell>
          <cell r="CV89" t="e">
            <v>#VALUE!</v>
          </cell>
        </row>
        <row r="90">
          <cell r="C90" t="str">
            <v>雷娜婷</v>
          </cell>
          <cell r="CV90" t="e">
            <v>#VALUE!</v>
          </cell>
        </row>
        <row r="91">
          <cell r="C91" t="str">
            <v>叶美霞</v>
          </cell>
          <cell r="CV91" t="e">
            <v>#VALUE!</v>
          </cell>
        </row>
        <row r="92">
          <cell r="C92" t="str">
            <v>秦娜</v>
          </cell>
          <cell r="CV92" t="e">
            <v>#VALUE!</v>
          </cell>
        </row>
        <row r="93">
          <cell r="C93" t="str">
            <v>牟光燕</v>
          </cell>
          <cell r="CV93" t="e">
            <v>#VALUE!</v>
          </cell>
        </row>
        <row r="94">
          <cell r="C94" t="str">
            <v>王萍</v>
          </cell>
          <cell r="CV94" t="e">
            <v>#VALUE!</v>
          </cell>
        </row>
        <row r="95">
          <cell r="C95" t="str">
            <v>胡红琳</v>
          </cell>
          <cell r="CV95" t="e">
            <v>#VALUE!</v>
          </cell>
        </row>
        <row r="96">
          <cell r="C96" t="str">
            <v>谢娟</v>
          </cell>
          <cell r="CV96" t="e">
            <v>#VALUE!</v>
          </cell>
        </row>
        <row r="97">
          <cell r="C97" t="str">
            <v>陈美合</v>
          </cell>
          <cell r="CV97" t="e">
            <v>#VALUE!</v>
          </cell>
        </row>
        <row r="98">
          <cell r="C98" t="str">
            <v>郝莉娜</v>
          </cell>
          <cell r="CV98" t="e">
            <v>#VALUE!</v>
          </cell>
        </row>
        <row r="99">
          <cell r="C99" t="str">
            <v>邓丽莉</v>
          </cell>
          <cell r="CV99" t="e">
            <v>#VALUE!</v>
          </cell>
        </row>
        <row r="100">
          <cell r="C100" t="str">
            <v>张明艳</v>
          </cell>
          <cell r="CV100" t="e">
            <v>#VALUE!</v>
          </cell>
        </row>
        <row r="101">
          <cell r="C101" t="str">
            <v>马宏梅</v>
          </cell>
          <cell r="CV101" t="e">
            <v>#VALUE!</v>
          </cell>
        </row>
        <row r="102">
          <cell r="C102" t="str">
            <v>陈洁</v>
          </cell>
          <cell r="CV102" t="e">
            <v>#VALUE!</v>
          </cell>
        </row>
        <row r="103">
          <cell r="C103" t="str">
            <v>郑加焕</v>
          </cell>
          <cell r="CV103" t="e">
            <v>#VALUE!</v>
          </cell>
        </row>
        <row r="104">
          <cell r="C104" t="str">
            <v>侯英</v>
          </cell>
          <cell r="CV104" t="e">
            <v>#VALUE!</v>
          </cell>
        </row>
        <row r="105">
          <cell r="C105" t="str">
            <v>谢德芳</v>
          </cell>
          <cell r="CV105" t="e">
            <v>#VALUE!</v>
          </cell>
        </row>
        <row r="106">
          <cell r="C106" t="str">
            <v>蒲草</v>
          </cell>
          <cell r="CV106" t="e">
            <v>#VALUE!</v>
          </cell>
        </row>
        <row r="107">
          <cell r="C107" t="str">
            <v>郑华跃</v>
          </cell>
          <cell r="CV107" t="e">
            <v>#VALUE!</v>
          </cell>
        </row>
        <row r="108">
          <cell r="C108" t="str">
            <v>李茂</v>
          </cell>
          <cell r="CV108" t="e">
            <v>#VALUE!</v>
          </cell>
        </row>
        <row r="109">
          <cell r="C109" t="str">
            <v>孙红梅</v>
          </cell>
          <cell r="CV109" t="e">
            <v>#VALUE!</v>
          </cell>
        </row>
        <row r="110">
          <cell r="C110" t="str">
            <v>黎红花</v>
          </cell>
          <cell r="CV110" t="e">
            <v>#VALUE!</v>
          </cell>
        </row>
        <row r="111">
          <cell r="C111" t="str">
            <v>蒲艳婷</v>
          </cell>
          <cell r="CV111" t="e">
            <v>#VALUE!</v>
          </cell>
        </row>
        <row r="112">
          <cell r="C112" t="str">
            <v>刘帆</v>
          </cell>
          <cell r="CV112" t="e">
            <v>#VALUE!</v>
          </cell>
        </row>
        <row r="113">
          <cell r="C113" t="str">
            <v>杨艳</v>
          </cell>
          <cell r="CV113" t="e">
            <v>#VALUE!</v>
          </cell>
        </row>
        <row r="114">
          <cell r="C114" t="str">
            <v>肖静梅</v>
          </cell>
          <cell r="CV114" t="e">
            <v>#VALUE!</v>
          </cell>
        </row>
        <row r="115">
          <cell r="C115" t="str">
            <v>王晓琳</v>
          </cell>
          <cell r="CV115" t="e">
            <v>#VALUE!</v>
          </cell>
        </row>
        <row r="116">
          <cell r="C116" t="str">
            <v>彭措志玛</v>
          </cell>
          <cell r="CV116" t="e">
            <v>#VALUE!</v>
          </cell>
        </row>
        <row r="117">
          <cell r="C117" t="str">
            <v>郝中南</v>
          </cell>
          <cell r="CV117" t="e">
            <v>#VALUE!</v>
          </cell>
        </row>
        <row r="118">
          <cell r="C118" t="str">
            <v>冉芳霞</v>
          </cell>
          <cell r="CV118" t="e">
            <v>#VALUE!</v>
          </cell>
        </row>
        <row r="119">
          <cell r="C119" t="str">
            <v>谭萍</v>
          </cell>
          <cell r="CV119" t="e">
            <v>#VALUE!</v>
          </cell>
        </row>
        <row r="120">
          <cell r="C120" t="str">
            <v>陈琳</v>
          </cell>
          <cell r="CV120" t="e">
            <v>#VALUE!</v>
          </cell>
        </row>
        <row r="121">
          <cell r="C121" t="str">
            <v>罗湘湘</v>
          </cell>
          <cell r="CV121" t="e">
            <v>#VALUE!</v>
          </cell>
        </row>
        <row r="122">
          <cell r="C122" t="str">
            <v>唐玉芳</v>
          </cell>
          <cell r="CV122" t="e">
            <v>#VALUE!</v>
          </cell>
        </row>
        <row r="123">
          <cell r="C123" t="str">
            <v>雷怡</v>
          </cell>
          <cell r="CV123" t="e">
            <v>#VALUE!</v>
          </cell>
        </row>
        <row r="124">
          <cell r="C124" t="str">
            <v>龙巧云</v>
          </cell>
          <cell r="CV124" t="e">
            <v>#VALUE!</v>
          </cell>
        </row>
        <row r="125">
          <cell r="C125" t="str">
            <v>张勤</v>
          </cell>
          <cell r="CV125" t="e">
            <v>#VALUE!</v>
          </cell>
        </row>
        <row r="126">
          <cell r="C126" t="str">
            <v>刘裕琼</v>
          </cell>
          <cell r="CV126" t="e">
            <v>#VALUE!</v>
          </cell>
        </row>
        <row r="127">
          <cell r="C127" t="str">
            <v>唐施语</v>
          </cell>
          <cell r="CV127" t="e">
            <v>#VALUE!</v>
          </cell>
        </row>
        <row r="128">
          <cell r="C128" t="str">
            <v>谭福英</v>
          </cell>
          <cell r="CV128" t="e">
            <v>#VALUE!</v>
          </cell>
        </row>
        <row r="129">
          <cell r="C129" t="str">
            <v>李凤</v>
          </cell>
          <cell r="CV129" t="e">
            <v>#VALUE!</v>
          </cell>
        </row>
        <row r="130">
          <cell r="C130" t="str">
            <v>陈嘉仪</v>
          </cell>
          <cell r="CV130" t="e">
            <v>#VALUE!</v>
          </cell>
        </row>
        <row r="131">
          <cell r="C131" t="str">
            <v>王红</v>
          </cell>
          <cell r="CV131" t="e">
            <v>#VALUE!</v>
          </cell>
        </row>
        <row r="132">
          <cell r="C132" t="str">
            <v>冷忠翠</v>
          </cell>
          <cell r="CV132" t="e">
            <v>#VALUE!</v>
          </cell>
        </row>
        <row r="133">
          <cell r="C133" t="str">
            <v>糜清云</v>
          </cell>
          <cell r="CV133" t="e">
            <v>#VALUE!</v>
          </cell>
        </row>
        <row r="134">
          <cell r="C134" t="str">
            <v>贺金云</v>
          </cell>
          <cell r="CV134" t="e">
            <v>#VALUE!</v>
          </cell>
        </row>
        <row r="135">
          <cell r="C135" t="str">
            <v>舒许芳</v>
          </cell>
          <cell r="CV135" t="e">
            <v>#VALUE!</v>
          </cell>
        </row>
        <row r="136">
          <cell r="C136" t="str">
            <v>包竹梅</v>
          </cell>
          <cell r="CV136" t="e">
            <v>#VALUE!</v>
          </cell>
        </row>
        <row r="137">
          <cell r="C137" t="str">
            <v>欧迎春</v>
          </cell>
          <cell r="CV137" t="e">
            <v>#VALUE!</v>
          </cell>
        </row>
        <row r="138">
          <cell r="C138" t="str">
            <v>谭芙蓉</v>
          </cell>
          <cell r="CV138" t="e">
            <v>#VALUE!</v>
          </cell>
        </row>
        <row r="139">
          <cell r="C139" t="str">
            <v>曾玉莲</v>
          </cell>
          <cell r="CV139" t="e">
            <v>#VALUE!</v>
          </cell>
        </row>
        <row r="140">
          <cell r="C140" t="str">
            <v>彭兰钦</v>
          </cell>
          <cell r="CV140" t="e">
            <v>#VALUE!</v>
          </cell>
        </row>
        <row r="141">
          <cell r="C141" t="str">
            <v>刘婵琴</v>
          </cell>
          <cell r="CV141" t="e">
            <v>#VALUE!</v>
          </cell>
        </row>
        <row r="142">
          <cell r="C142" t="str">
            <v>泽仁拉姆</v>
          </cell>
          <cell r="CV142" t="e">
            <v>#VALUE!</v>
          </cell>
        </row>
        <row r="143">
          <cell r="C143" t="str">
            <v>舒阳</v>
          </cell>
          <cell r="CV143" t="e">
            <v>#VALUE!</v>
          </cell>
        </row>
        <row r="144">
          <cell r="C144" t="str">
            <v>白丽</v>
          </cell>
          <cell r="CV144" t="e">
            <v>#VALUE!</v>
          </cell>
        </row>
        <row r="145">
          <cell r="C145" t="str">
            <v>郑巧玲</v>
          </cell>
          <cell r="CV145" t="e">
            <v>#VALUE!</v>
          </cell>
        </row>
        <row r="146">
          <cell r="C146" t="str">
            <v>张廷妍</v>
          </cell>
          <cell r="CV146" t="e">
            <v>#VALUE!</v>
          </cell>
        </row>
        <row r="147">
          <cell r="C147" t="str">
            <v>杜兰兰</v>
          </cell>
          <cell r="CV147" t="e">
            <v>#VALUE!</v>
          </cell>
        </row>
        <row r="148">
          <cell r="C148" t="str">
            <v>王显珍</v>
          </cell>
          <cell r="CV148" t="e">
            <v>#VALUE!</v>
          </cell>
        </row>
        <row r="149">
          <cell r="C149" t="str">
            <v>马冬梅</v>
          </cell>
          <cell r="CV149" t="e">
            <v>#VALUE!</v>
          </cell>
        </row>
        <row r="150">
          <cell r="C150" t="str">
            <v>彭莉群</v>
          </cell>
          <cell r="CV150" t="e">
            <v>#VALUE!</v>
          </cell>
        </row>
        <row r="151">
          <cell r="C151" t="str">
            <v>刘金凤</v>
          </cell>
          <cell r="CV151" t="e">
            <v>#VALUE!</v>
          </cell>
        </row>
        <row r="152">
          <cell r="C152" t="str">
            <v>谢珂欣</v>
          </cell>
          <cell r="CV152" t="e">
            <v>#VALUE!</v>
          </cell>
        </row>
        <row r="153">
          <cell r="C153" t="str">
            <v>刘霞</v>
          </cell>
          <cell r="CV153" t="e">
            <v>#VALUE!</v>
          </cell>
        </row>
        <row r="154">
          <cell r="C154" t="str">
            <v>尧丹丹</v>
          </cell>
          <cell r="CV154" t="e">
            <v>#VALUE!</v>
          </cell>
        </row>
        <row r="155">
          <cell r="C155" t="str">
            <v>李科</v>
          </cell>
          <cell r="CV155" t="e">
            <v>#VALUE!</v>
          </cell>
        </row>
        <row r="156">
          <cell r="C156" t="str">
            <v>石海力</v>
          </cell>
          <cell r="CV156" t="e">
            <v>#VALUE!</v>
          </cell>
        </row>
        <row r="157">
          <cell r="C157" t="str">
            <v>付薪燕</v>
          </cell>
          <cell r="CV157" t="e">
            <v>#VALUE!</v>
          </cell>
        </row>
        <row r="158">
          <cell r="C158" t="str">
            <v>陈定坤</v>
          </cell>
          <cell r="CV158" t="e">
            <v>#VALUE!</v>
          </cell>
        </row>
        <row r="159">
          <cell r="C159" t="str">
            <v>王桂明</v>
          </cell>
          <cell r="CV159" t="e">
            <v>#VALUE!</v>
          </cell>
        </row>
        <row r="160">
          <cell r="C160" t="str">
            <v>关晓燕</v>
          </cell>
          <cell r="CV160" t="e">
            <v>#VALUE!</v>
          </cell>
        </row>
        <row r="161">
          <cell r="C161" t="str">
            <v>唐尹</v>
          </cell>
          <cell r="CV161" t="e">
            <v>#VALUE!</v>
          </cell>
        </row>
        <row r="162">
          <cell r="C162" t="str">
            <v>贺慧</v>
          </cell>
          <cell r="CV162" t="e">
            <v>#VALUE!</v>
          </cell>
        </row>
        <row r="163">
          <cell r="C163" t="str">
            <v>李红梅</v>
          </cell>
          <cell r="CV163" t="e">
            <v>#VALUE!</v>
          </cell>
        </row>
        <row r="164">
          <cell r="C164" t="str">
            <v>龚艳</v>
          </cell>
          <cell r="CV164" t="e">
            <v>#VALUE!</v>
          </cell>
        </row>
        <row r="165">
          <cell r="C165" t="str">
            <v>余姣姣</v>
          </cell>
          <cell r="CV165" t="e">
            <v>#VALUE!</v>
          </cell>
        </row>
        <row r="166">
          <cell r="C166" t="str">
            <v>竹艳梅</v>
          </cell>
          <cell r="CV166" t="e">
            <v>#VALUE!</v>
          </cell>
        </row>
        <row r="167">
          <cell r="C167" t="str">
            <v>叶朝春</v>
          </cell>
          <cell r="CV167" t="e">
            <v>#VALUE!</v>
          </cell>
        </row>
        <row r="168">
          <cell r="C168" t="str">
            <v>喻容</v>
          </cell>
          <cell r="CV168" t="e">
            <v>#VALUE!</v>
          </cell>
        </row>
        <row r="169">
          <cell r="C169" t="str">
            <v>魏柯</v>
          </cell>
          <cell r="CV169" t="e">
            <v>#VALUE!</v>
          </cell>
        </row>
        <row r="170">
          <cell r="C170" t="str">
            <v>徐文平</v>
          </cell>
          <cell r="CV170" t="e">
            <v>#VALUE!</v>
          </cell>
        </row>
        <row r="171">
          <cell r="C171" t="str">
            <v>张欣</v>
          </cell>
          <cell r="CV171" t="e">
            <v>#VALUE!</v>
          </cell>
        </row>
        <row r="172">
          <cell r="C172" t="str">
            <v>叶璐璐</v>
          </cell>
          <cell r="CV172" t="e">
            <v>#VALUE!</v>
          </cell>
        </row>
        <row r="173">
          <cell r="C173" t="str">
            <v>周文慧</v>
          </cell>
          <cell r="CV173" t="e">
            <v>#VALUE!</v>
          </cell>
        </row>
        <row r="174">
          <cell r="C174" t="str">
            <v>张白金</v>
          </cell>
          <cell r="CV174" t="e">
            <v>#VALUE!</v>
          </cell>
        </row>
        <row r="175">
          <cell r="C175" t="str">
            <v>郑美函</v>
          </cell>
          <cell r="CV175" t="e">
            <v>#VALUE!</v>
          </cell>
        </row>
        <row r="176">
          <cell r="C176" t="str">
            <v>龚茜</v>
          </cell>
          <cell r="CV176" t="e">
            <v>#VALUE!</v>
          </cell>
        </row>
        <row r="177">
          <cell r="C177" t="str">
            <v>廖妍</v>
          </cell>
          <cell r="CV177" t="e">
            <v>#VALUE!</v>
          </cell>
        </row>
        <row r="178">
          <cell r="C178" t="str">
            <v>李彩华</v>
          </cell>
          <cell r="CV178" t="e">
            <v>#VALUE!</v>
          </cell>
        </row>
        <row r="179">
          <cell r="C179" t="str">
            <v>刘九招</v>
          </cell>
          <cell r="CV179" t="e">
            <v>#VALUE!</v>
          </cell>
        </row>
        <row r="180">
          <cell r="C180" t="str">
            <v>朱羽</v>
          </cell>
          <cell r="CV180" t="e">
            <v>#VALUE!</v>
          </cell>
        </row>
        <row r="181">
          <cell r="C181" t="str">
            <v>施凤皎</v>
          </cell>
          <cell r="CV181" t="e">
            <v>#VALUE!</v>
          </cell>
        </row>
        <row r="182">
          <cell r="C182" t="str">
            <v>高琴</v>
          </cell>
          <cell r="CV182" t="e">
            <v>#VALUE!</v>
          </cell>
        </row>
        <row r="183">
          <cell r="C183" t="str">
            <v>达卓措</v>
          </cell>
          <cell r="CV183" t="e">
            <v>#VALUE!</v>
          </cell>
        </row>
        <row r="184">
          <cell r="C184" t="str">
            <v>袁玉</v>
          </cell>
          <cell r="CV184" t="e">
            <v>#VALUE!</v>
          </cell>
        </row>
        <row r="185">
          <cell r="C185" t="str">
            <v>赵晴亮</v>
          </cell>
          <cell r="CV185" t="e">
            <v>#VALUE!</v>
          </cell>
        </row>
        <row r="186">
          <cell r="C186" t="str">
            <v>赵忠芬</v>
          </cell>
          <cell r="CV186" t="e">
            <v>#VALUE!</v>
          </cell>
        </row>
        <row r="187">
          <cell r="C187" t="str">
            <v>郑丹</v>
          </cell>
          <cell r="CV187" t="e">
            <v>#VALUE!</v>
          </cell>
        </row>
        <row r="188">
          <cell r="C188" t="str">
            <v>林锶莹</v>
          </cell>
          <cell r="CV188" t="e">
            <v>#VALUE!</v>
          </cell>
        </row>
        <row r="189">
          <cell r="C189" t="str">
            <v>胡钦秀</v>
          </cell>
          <cell r="CV189" t="e">
            <v>#VALUE!</v>
          </cell>
        </row>
        <row r="190">
          <cell r="C190" t="str">
            <v>高红艳</v>
          </cell>
          <cell r="CV190" t="e">
            <v>#VALUE!</v>
          </cell>
        </row>
        <row r="191">
          <cell r="C191" t="str">
            <v>曾怡</v>
          </cell>
          <cell r="CV191" t="e">
            <v>#VALUE!</v>
          </cell>
        </row>
        <row r="192">
          <cell r="C192" t="str">
            <v>张清华</v>
          </cell>
          <cell r="CV192" t="e">
            <v>#VALUE!</v>
          </cell>
        </row>
        <row r="193">
          <cell r="C193" t="str">
            <v>彭鑫</v>
          </cell>
          <cell r="CV193" t="e">
            <v>#VALUE!</v>
          </cell>
        </row>
        <row r="194">
          <cell r="C194" t="str">
            <v>李维</v>
          </cell>
          <cell r="CV194" t="e">
            <v>#VALUE!</v>
          </cell>
        </row>
        <row r="195">
          <cell r="C195" t="str">
            <v>贾琳</v>
          </cell>
          <cell r="CV195" t="e">
            <v>#VALUE!</v>
          </cell>
        </row>
        <row r="196">
          <cell r="C196" t="str">
            <v>王智慧</v>
          </cell>
          <cell r="CV196" t="e">
            <v>#VALUE!</v>
          </cell>
        </row>
        <row r="197">
          <cell r="C197" t="str">
            <v>邓笑</v>
          </cell>
          <cell r="CV197" t="e">
            <v>#VALUE!</v>
          </cell>
        </row>
        <row r="198">
          <cell r="C198" t="str">
            <v>刘香</v>
          </cell>
          <cell r="CV198" t="e">
            <v>#VALUE!</v>
          </cell>
        </row>
        <row r="199">
          <cell r="C199" t="str">
            <v>刘丽华</v>
          </cell>
          <cell r="CV199" t="e">
            <v>#VALUE!</v>
          </cell>
        </row>
        <row r="200">
          <cell r="C200" t="str">
            <v>周林</v>
          </cell>
          <cell r="CV200" t="e">
            <v>#VALUE!</v>
          </cell>
        </row>
        <row r="201">
          <cell r="C201" t="str">
            <v>钟秦</v>
          </cell>
          <cell r="CV201" t="e">
            <v>#VALUE!</v>
          </cell>
        </row>
        <row r="202">
          <cell r="C202" t="str">
            <v>张红霞</v>
          </cell>
          <cell r="CV202" t="e">
            <v>#VALUE!</v>
          </cell>
        </row>
        <row r="203">
          <cell r="C203" t="str">
            <v>李燕1</v>
          </cell>
          <cell r="CV203" t="e">
            <v>#VALUE!</v>
          </cell>
        </row>
        <row r="204">
          <cell r="C204" t="str">
            <v>陈世琳</v>
          </cell>
          <cell r="CV204" t="e">
            <v>#VALUE!</v>
          </cell>
        </row>
        <row r="205">
          <cell r="C205" t="str">
            <v>张林英</v>
          </cell>
          <cell r="CV205" t="e">
            <v>#VALUE!</v>
          </cell>
        </row>
        <row r="206">
          <cell r="C206" t="str">
            <v>陈燕辉</v>
          </cell>
          <cell r="CV206" t="e">
            <v>#VALUE!</v>
          </cell>
        </row>
        <row r="207">
          <cell r="C207" t="str">
            <v>宋林琳</v>
          </cell>
          <cell r="CV207" t="e">
            <v>#VALUE!</v>
          </cell>
        </row>
        <row r="208">
          <cell r="C208" t="str">
            <v>马丽亚</v>
          </cell>
          <cell r="CV208" t="e">
            <v>#VALUE!</v>
          </cell>
        </row>
        <row r="209">
          <cell r="C209" t="str">
            <v>阿衣尔扎</v>
          </cell>
          <cell r="CV209" t="e">
            <v>#VALUE!</v>
          </cell>
        </row>
        <row r="210">
          <cell r="C210" t="str">
            <v>张霞</v>
          </cell>
          <cell r="CV210" t="e">
            <v>#VALUE!</v>
          </cell>
        </row>
        <row r="211">
          <cell r="C211" t="str">
            <v>谢双叶</v>
          </cell>
          <cell r="CV211" t="e">
            <v>#VALUE!</v>
          </cell>
        </row>
        <row r="212">
          <cell r="C212" t="str">
            <v>蒙亦锌</v>
          </cell>
          <cell r="CV212" t="e">
            <v>#VALUE!</v>
          </cell>
        </row>
        <row r="213">
          <cell r="C213" t="str">
            <v>刘梦蓝</v>
          </cell>
          <cell r="CV213" t="e">
            <v>#VALUE!</v>
          </cell>
        </row>
        <row r="214">
          <cell r="C214" t="str">
            <v>罗林芳</v>
          </cell>
          <cell r="CV214" t="e">
            <v>#VALUE!</v>
          </cell>
        </row>
        <row r="215">
          <cell r="C215" t="str">
            <v>汪丽娟</v>
          </cell>
          <cell r="CV215" t="e">
            <v>#VALUE!</v>
          </cell>
        </row>
        <row r="216">
          <cell r="C216" t="str">
            <v>谭言希</v>
          </cell>
          <cell r="CV216" t="e">
            <v>#VALUE!</v>
          </cell>
        </row>
        <row r="217">
          <cell r="C217" t="str">
            <v>黄江</v>
          </cell>
          <cell r="CV217" t="e">
            <v>#VALUE!</v>
          </cell>
        </row>
        <row r="218">
          <cell r="C218" t="str">
            <v>陈琼</v>
          </cell>
          <cell r="CV218" t="e">
            <v>#VALUE!</v>
          </cell>
        </row>
        <row r="219">
          <cell r="C219" t="str">
            <v>米琪</v>
          </cell>
          <cell r="CV219" t="e">
            <v>#VALUE!</v>
          </cell>
        </row>
        <row r="220">
          <cell r="C220" t="str">
            <v>尚杨</v>
          </cell>
          <cell r="CV220" t="e">
            <v>#VALUE!</v>
          </cell>
        </row>
        <row r="221">
          <cell r="C221" t="str">
            <v>钟心悦</v>
          </cell>
          <cell r="CV221" t="e">
            <v>#VALUE!</v>
          </cell>
        </row>
        <row r="222">
          <cell r="C222" t="str">
            <v>胡祝曲</v>
          </cell>
          <cell r="CV222" t="e">
            <v>#VALUE!</v>
          </cell>
        </row>
        <row r="223">
          <cell r="C223" t="str">
            <v>谢金梅</v>
          </cell>
          <cell r="CV223" t="e">
            <v>#VALUE!</v>
          </cell>
        </row>
        <row r="224">
          <cell r="C224" t="str">
            <v>李洪芳</v>
          </cell>
          <cell r="CV224" t="e">
            <v>#VALUE!</v>
          </cell>
        </row>
        <row r="225">
          <cell r="C225" t="str">
            <v>王维</v>
          </cell>
          <cell r="CV225" t="e">
            <v>#VALUE!</v>
          </cell>
        </row>
        <row r="226">
          <cell r="C226" t="str">
            <v>罗文文</v>
          </cell>
          <cell r="CV226" t="e">
            <v>#VALUE!</v>
          </cell>
        </row>
        <row r="227">
          <cell r="C227" t="str">
            <v>任艺</v>
          </cell>
          <cell r="CV227" t="e">
            <v>#VALUE!</v>
          </cell>
        </row>
        <row r="228">
          <cell r="C228" t="str">
            <v>贺丽</v>
          </cell>
          <cell r="CV228" t="e">
            <v>#VALUE!</v>
          </cell>
        </row>
        <row r="229">
          <cell r="C229" t="str">
            <v>殷小燕</v>
          </cell>
          <cell r="CV229" t="e">
            <v>#VALUE!</v>
          </cell>
        </row>
        <row r="230">
          <cell r="C230" t="str">
            <v>李海瑛</v>
          </cell>
          <cell r="CV230" t="e">
            <v>#VALUE!</v>
          </cell>
        </row>
        <row r="231">
          <cell r="C231" t="str">
            <v>邹孟君</v>
          </cell>
          <cell r="CV231" t="e">
            <v>#VALUE!</v>
          </cell>
        </row>
        <row r="232">
          <cell r="C232" t="str">
            <v>彭羽佳</v>
          </cell>
          <cell r="CV232" t="e">
            <v>#VALUE!</v>
          </cell>
        </row>
        <row r="233">
          <cell r="C233" t="str">
            <v>朱成芳</v>
          </cell>
          <cell r="CV233" t="e">
            <v>#VALUE!</v>
          </cell>
        </row>
        <row r="234">
          <cell r="C234" t="str">
            <v>翁玲</v>
          </cell>
          <cell r="CV234" t="e">
            <v>#VALUE!</v>
          </cell>
        </row>
        <row r="235">
          <cell r="C235" t="str">
            <v>王能琴</v>
          </cell>
          <cell r="CV235" t="e">
            <v>#VALUE!</v>
          </cell>
        </row>
        <row r="236">
          <cell r="C236" t="str">
            <v>涂莹丹</v>
          </cell>
          <cell r="CV236" t="e">
            <v>#VALUE!</v>
          </cell>
        </row>
        <row r="237">
          <cell r="C237" t="str">
            <v>葛敏</v>
          </cell>
          <cell r="CV237" t="e">
            <v>#VALUE!</v>
          </cell>
        </row>
        <row r="238">
          <cell r="C238" t="str">
            <v>袁小兵</v>
          </cell>
          <cell r="CV238" t="e">
            <v>#VALUE!</v>
          </cell>
        </row>
        <row r="239">
          <cell r="C239" t="str">
            <v>徐登毅</v>
          </cell>
          <cell r="CV239" t="e">
            <v>#VALUE!</v>
          </cell>
        </row>
        <row r="240">
          <cell r="C240" t="str">
            <v>范时依</v>
          </cell>
          <cell r="CV240" t="e">
            <v>#VALUE!</v>
          </cell>
        </row>
        <row r="241">
          <cell r="C241" t="str">
            <v>吴小强</v>
          </cell>
          <cell r="CV241" t="e">
            <v>#VALUE!</v>
          </cell>
        </row>
        <row r="242">
          <cell r="C242" t="str">
            <v>宁燕</v>
          </cell>
          <cell r="CV242" t="e">
            <v>#VALUE!</v>
          </cell>
        </row>
        <row r="243">
          <cell r="C243" t="str">
            <v>杨苹</v>
          </cell>
          <cell r="CV243" t="e">
            <v>#VALUE!</v>
          </cell>
        </row>
        <row r="244">
          <cell r="C244" t="str">
            <v>赵倩</v>
          </cell>
          <cell r="CV244" t="e">
            <v>#VALUE!</v>
          </cell>
        </row>
        <row r="245">
          <cell r="C245" t="str">
            <v>梁诗雨</v>
          </cell>
          <cell r="CV245" t="e">
            <v>#VALUE!</v>
          </cell>
        </row>
        <row r="246">
          <cell r="C246" t="str">
            <v>郭思瑞</v>
          </cell>
          <cell r="CV246" t="e">
            <v>#VALUE!</v>
          </cell>
        </row>
        <row r="247">
          <cell r="C247" t="str">
            <v>文倩</v>
          </cell>
          <cell r="CV247" t="e">
            <v>#VALUE!</v>
          </cell>
        </row>
        <row r="248">
          <cell r="C248" t="str">
            <v>刘佳</v>
          </cell>
          <cell r="CV248" t="e">
            <v>#VALUE!</v>
          </cell>
        </row>
        <row r="249">
          <cell r="C249" t="str">
            <v>杨磊</v>
          </cell>
          <cell r="CV249" t="e">
            <v>#VALUE!</v>
          </cell>
        </row>
        <row r="250">
          <cell r="C250" t="str">
            <v>李吉原</v>
          </cell>
          <cell r="CV250" t="e">
            <v>#VALUE!</v>
          </cell>
        </row>
        <row r="251">
          <cell r="C251" t="str">
            <v>黄桂琴</v>
          </cell>
          <cell r="CV251" t="e">
            <v>#VALUE!</v>
          </cell>
        </row>
        <row r="252">
          <cell r="C252" t="str">
            <v>詹芳英</v>
          </cell>
          <cell r="CV252" t="e">
            <v>#VALUE!</v>
          </cell>
        </row>
        <row r="253">
          <cell r="C253" t="str">
            <v>陈思思</v>
          </cell>
          <cell r="CV253" t="e">
            <v>#VALUE!</v>
          </cell>
        </row>
        <row r="254">
          <cell r="C254" t="str">
            <v>李洁</v>
          </cell>
          <cell r="CV254" t="e">
            <v>#VALUE!</v>
          </cell>
        </row>
        <row r="255">
          <cell r="C255" t="str">
            <v>马小英</v>
          </cell>
          <cell r="CV255" t="e">
            <v>#VALUE!</v>
          </cell>
        </row>
        <row r="256">
          <cell r="C256" t="str">
            <v>欧阳敏</v>
          </cell>
          <cell r="CV256" t="e">
            <v>#VALUE!</v>
          </cell>
        </row>
        <row r="257">
          <cell r="C257" t="str">
            <v>程燕</v>
          </cell>
          <cell r="CV257" t="e">
            <v>#VALUE!</v>
          </cell>
        </row>
        <row r="258">
          <cell r="C258" t="str">
            <v>肖倩</v>
          </cell>
          <cell r="CV258" t="e">
            <v>#VALUE!</v>
          </cell>
        </row>
        <row r="259">
          <cell r="C259" t="str">
            <v>王丽娟</v>
          </cell>
          <cell r="CV259" t="e">
            <v>#VALUE!</v>
          </cell>
        </row>
        <row r="260">
          <cell r="C260" t="str">
            <v>蓝海英</v>
          </cell>
          <cell r="CV260" t="e">
            <v>#VALUE!</v>
          </cell>
        </row>
        <row r="261">
          <cell r="C261" t="str">
            <v>夏萍</v>
          </cell>
          <cell r="CV261" t="e">
            <v>#VALUE!</v>
          </cell>
        </row>
        <row r="262">
          <cell r="C262" t="str">
            <v>王方贤</v>
          </cell>
          <cell r="CV262" t="e">
            <v>#VALUE!</v>
          </cell>
        </row>
        <row r="263">
          <cell r="C263" t="str">
            <v>杨琴</v>
          </cell>
          <cell r="CV263" t="e">
            <v>#VALUE!</v>
          </cell>
        </row>
        <row r="264">
          <cell r="C264" t="str">
            <v>赵美艳</v>
          </cell>
          <cell r="CV264" t="e">
            <v>#VALUE!</v>
          </cell>
        </row>
        <row r="265">
          <cell r="C265" t="str">
            <v>郭兰</v>
          </cell>
          <cell r="CV265" t="e">
            <v>#VALUE!</v>
          </cell>
        </row>
        <row r="266">
          <cell r="C266" t="str">
            <v>戴林</v>
          </cell>
          <cell r="CV266" t="e">
            <v>#VALUE!</v>
          </cell>
        </row>
        <row r="267">
          <cell r="C267" t="str">
            <v>蒲俊峰</v>
          </cell>
          <cell r="CV267" t="e">
            <v>#VALUE!</v>
          </cell>
        </row>
        <row r="268">
          <cell r="C268" t="str">
            <v>张雪颖</v>
          </cell>
          <cell r="CV268" t="e">
            <v>#VALUE!</v>
          </cell>
        </row>
        <row r="269">
          <cell r="C269" t="str">
            <v>张雨露</v>
          </cell>
          <cell r="CV269" t="e">
            <v>#VALUE!</v>
          </cell>
        </row>
        <row r="270">
          <cell r="C270" t="str">
            <v>刘祖红</v>
          </cell>
          <cell r="CV270" t="e">
            <v>#VALUE!</v>
          </cell>
        </row>
        <row r="271">
          <cell r="C271" t="str">
            <v>谢宗富</v>
          </cell>
          <cell r="CV271" t="e">
            <v>#VALUE!</v>
          </cell>
        </row>
        <row r="272">
          <cell r="C272" t="str">
            <v>余文</v>
          </cell>
          <cell r="CV272" t="e">
            <v>#VALUE!</v>
          </cell>
        </row>
        <row r="273">
          <cell r="C273" t="str">
            <v>王洪武</v>
          </cell>
          <cell r="CV273" t="e">
            <v>#VALUE!</v>
          </cell>
        </row>
        <row r="274">
          <cell r="C274" t="str">
            <v>王国英</v>
          </cell>
          <cell r="CV274" t="e">
            <v>#VALUE!</v>
          </cell>
        </row>
        <row r="275">
          <cell r="C275" t="str">
            <v>周莉</v>
          </cell>
          <cell r="CV275" t="e">
            <v>#VALUE!</v>
          </cell>
        </row>
        <row r="276">
          <cell r="C276" t="str">
            <v>吴斌1</v>
          </cell>
          <cell r="CV276" t="e">
            <v>#VALUE!</v>
          </cell>
        </row>
        <row r="277">
          <cell r="C277" t="str">
            <v>吴斌2</v>
          </cell>
          <cell r="CV277" t="e">
            <v>#VALUE!</v>
          </cell>
        </row>
        <row r="278">
          <cell r="C278" t="str">
            <v>杨汉玉</v>
          </cell>
          <cell r="CV278" t="e">
            <v>#VALUE!</v>
          </cell>
        </row>
        <row r="279">
          <cell r="C279" t="str">
            <v>杨润琼</v>
          </cell>
          <cell r="CV279" t="e">
            <v>#VALUE!</v>
          </cell>
        </row>
        <row r="280">
          <cell r="C280" t="str">
            <v>林玉琼</v>
          </cell>
          <cell r="CV280" t="e">
            <v>#VALUE!</v>
          </cell>
        </row>
        <row r="281">
          <cell r="C281" t="str">
            <v>王秀华</v>
          </cell>
          <cell r="CV281" t="e">
            <v>#VALUE!</v>
          </cell>
        </row>
        <row r="282">
          <cell r="C282" t="str">
            <v>刘陈秀</v>
          </cell>
          <cell r="CV282" t="e">
            <v>#VALUE!</v>
          </cell>
        </row>
        <row r="283">
          <cell r="C283" t="str">
            <v>钟术群</v>
          </cell>
          <cell r="CV283" t="e">
            <v>#VALUE!</v>
          </cell>
        </row>
        <row r="284">
          <cell r="C284" t="str">
            <v>郑竹兰</v>
          </cell>
          <cell r="CV284" t="e">
            <v>#VALUE!</v>
          </cell>
        </row>
        <row r="285">
          <cell r="C285" t="str">
            <v>陈春蓉</v>
          </cell>
          <cell r="CV285" t="e">
            <v>#VALUE!</v>
          </cell>
        </row>
        <row r="286">
          <cell r="C286" t="str">
            <v>陈明秀</v>
          </cell>
          <cell r="CV286" t="e">
            <v>#VALUE!</v>
          </cell>
        </row>
        <row r="287">
          <cell r="C287" t="str">
            <v>许开会</v>
          </cell>
          <cell r="CV287" t="e">
            <v>#VALUE!</v>
          </cell>
        </row>
        <row r="288">
          <cell r="C288" t="str">
            <v>蒋治琼</v>
          </cell>
          <cell r="CV288" t="e">
            <v>#VALUE!</v>
          </cell>
        </row>
        <row r="289">
          <cell r="C289" t="str">
            <v>曾志芬</v>
          </cell>
          <cell r="CV289" t="e">
            <v>#VALUE!</v>
          </cell>
        </row>
        <row r="290">
          <cell r="C290" t="str">
            <v>罗广秀</v>
          </cell>
          <cell r="CV290" t="e">
            <v>#VALUE!</v>
          </cell>
        </row>
        <row r="291">
          <cell r="C291" t="str">
            <v>何先会</v>
          </cell>
          <cell r="CV291" t="e">
            <v>#VALUE!</v>
          </cell>
        </row>
        <row r="292">
          <cell r="C292" t="str">
            <v>陈德芳</v>
          </cell>
          <cell r="CV292" t="e">
            <v>#VALUE!</v>
          </cell>
        </row>
        <row r="293">
          <cell r="C293" t="str">
            <v>邓成分</v>
          </cell>
          <cell r="CV293" t="e">
            <v>#VALUE!</v>
          </cell>
        </row>
        <row r="294">
          <cell r="C294" t="str">
            <v>刘胜琼</v>
          </cell>
          <cell r="CV294" t="e">
            <v>#VALUE!</v>
          </cell>
        </row>
        <row r="295">
          <cell r="C295" t="str">
            <v>陈文先</v>
          </cell>
          <cell r="CV295" t="e">
            <v>#VALUE!</v>
          </cell>
        </row>
        <row r="296">
          <cell r="C296" t="str">
            <v>杨则琼</v>
          </cell>
          <cell r="CV296" t="e">
            <v>#VALUE!</v>
          </cell>
        </row>
        <row r="297">
          <cell r="C297" t="str">
            <v>李培英</v>
          </cell>
          <cell r="CV297" t="e">
            <v>#VALUE!</v>
          </cell>
        </row>
        <row r="298">
          <cell r="C298" t="str">
            <v>陈永秀</v>
          </cell>
          <cell r="CV298" t="e">
            <v>#VALUE!</v>
          </cell>
        </row>
        <row r="299">
          <cell r="C299" t="str">
            <v>李大英</v>
          </cell>
          <cell r="CV299" t="e">
            <v>#VALUE!</v>
          </cell>
        </row>
        <row r="300">
          <cell r="C300" t="str">
            <v>范世琼</v>
          </cell>
          <cell r="CV300" t="e">
            <v>#VALUE!</v>
          </cell>
        </row>
        <row r="301">
          <cell r="C301" t="str">
            <v>倪巧琼</v>
          </cell>
          <cell r="CV301" t="e">
            <v>#VALUE!</v>
          </cell>
        </row>
        <row r="302">
          <cell r="C302" t="str">
            <v>颜香兰</v>
          </cell>
          <cell r="CV302" t="e">
            <v>#VALUE!</v>
          </cell>
        </row>
        <row r="303">
          <cell r="C303" t="str">
            <v>刘治菊</v>
          </cell>
          <cell r="CV303" t="e">
            <v>#VALUE!</v>
          </cell>
        </row>
        <row r="304">
          <cell r="C304" t="str">
            <v>陈珊珊</v>
          </cell>
          <cell r="CV304" t="e">
            <v>#VALUE!</v>
          </cell>
        </row>
        <row r="305">
          <cell r="C305" t="str">
            <v>安家晴</v>
          </cell>
          <cell r="CV305" t="e">
            <v>#VALUE!</v>
          </cell>
        </row>
        <row r="306">
          <cell r="C306" t="str">
            <v>刘雨佳</v>
          </cell>
          <cell r="CV306" t="e">
            <v>#VALUE!</v>
          </cell>
        </row>
        <row r="307">
          <cell r="C307" t="str">
            <v>谢翠华</v>
          </cell>
          <cell r="CV307" t="e">
            <v>#VALUE!</v>
          </cell>
        </row>
        <row r="308">
          <cell r="C308" t="str">
            <v>袁晓梅</v>
          </cell>
          <cell r="CV308" t="e">
            <v>#VALUE!</v>
          </cell>
        </row>
        <row r="309">
          <cell r="C309" t="str">
            <v>孙鲜</v>
          </cell>
          <cell r="CV309" t="e">
            <v>#VALUE!</v>
          </cell>
        </row>
        <row r="310">
          <cell r="C310" t="str">
            <v>陈春秀</v>
          </cell>
          <cell r="CV310" t="e">
            <v>#VALUE!</v>
          </cell>
        </row>
        <row r="311">
          <cell r="C311" t="str">
            <v>郑晓芳</v>
          </cell>
          <cell r="CV311" t="e">
            <v>#VALUE!</v>
          </cell>
        </row>
        <row r="312">
          <cell r="C312" t="str">
            <v>曾小凤</v>
          </cell>
          <cell r="CV312" t="e">
            <v>#VALUE!</v>
          </cell>
        </row>
        <row r="313">
          <cell r="C313" t="str">
            <v>邹奇圻</v>
          </cell>
          <cell r="CV313" t="e">
            <v>#VALUE!</v>
          </cell>
        </row>
        <row r="314">
          <cell r="C314" t="str">
            <v>路平</v>
          </cell>
          <cell r="CV314" t="e">
            <v>#VALUE!</v>
          </cell>
        </row>
        <row r="315">
          <cell r="C315" t="str">
            <v>康丹</v>
          </cell>
          <cell r="CV315" t="e">
            <v>#VALUE!</v>
          </cell>
        </row>
        <row r="316">
          <cell r="C316" t="str">
            <v>尹佩佩</v>
          </cell>
          <cell r="CV316" t="e">
            <v>#VALUE!</v>
          </cell>
        </row>
        <row r="317">
          <cell r="C317" t="str">
            <v>周柏燚</v>
          </cell>
          <cell r="CV317" t="e">
            <v>#VALUE!</v>
          </cell>
        </row>
        <row r="318">
          <cell r="C318" t="str">
            <v>李文龙</v>
          </cell>
          <cell r="CV318" t="e">
            <v>#VALUE!</v>
          </cell>
        </row>
        <row r="319">
          <cell r="C319" t="str">
            <v>张文卓</v>
          </cell>
          <cell r="CV319" t="e">
            <v>#VALUE!</v>
          </cell>
        </row>
        <row r="320">
          <cell r="C320" t="str">
            <v>曹煦菡</v>
          </cell>
          <cell r="CV320" t="e">
            <v>#VALUE!</v>
          </cell>
        </row>
        <row r="321">
          <cell r="C321" t="str">
            <v>蹇雨珊</v>
          </cell>
          <cell r="CV321" t="e">
            <v>#VALUE!</v>
          </cell>
        </row>
        <row r="322">
          <cell r="C322" t="str">
            <v>赵圆缘</v>
          </cell>
          <cell r="CV322" t="e">
            <v>#VALUE!</v>
          </cell>
        </row>
        <row r="323">
          <cell r="C323" t="str">
            <v>李从丽</v>
          </cell>
          <cell r="CV323" t="e">
            <v>#VALUE!</v>
          </cell>
        </row>
        <row r="324">
          <cell r="C324" t="str">
            <v>杨慧琳</v>
          </cell>
          <cell r="CV324" t="e">
            <v>#VALUE!</v>
          </cell>
        </row>
        <row r="325">
          <cell r="C325" t="str">
            <v>袁琳育</v>
          </cell>
          <cell r="CV325" t="e">
            <v>#VALUE!</v>
          </cell>
        </row>
        <row r="326">
          <cell r="C326" t="str">
            <v>蒲敏</v>
          </cell>
          <cell r="CV326" t="e">
            <v>#VALUE!</v>
          </cell>
        </row>
        <row r="327">
          <cell r="C327" t="str">
            <v>黄芬</v>
          </cell>
          <cell r="CV327" t="e">
            <v>#VALUE!</v>
          </cell>
        </row>
        <row r="328">
          <cell r="C328" t="str">
            <v>杨娇</v>
          </cell>
          <cell r="CV328" t="e">
            <v>#VALUE!</v>
          </cell>
        </row>
        <row r="329">
          <cell r="C329" t="str">
            <v>郭芬</v>
          </cell>
          <cell r="CV329" t="e">
            <v>#VALUE!</v>
          </cell>
        </row>
        <row r="330">
          <cell r="C330" t="str">
            <v>陈丽</v>
          </cell>
          <cell r="CV330" t="e">
            <v>#VALUE!</v>
          </cell>
        </row>
        <row r="331">
          <cell r="C331" t="str">
            <v>沙河+门店T区</v>
          </cell>
          <cell r="CV331" t="e">
            <v>#VALUE!</v>
          </cell>
        </row>
        <row r="332">
          <cell r="C332" t="str">
            <v>涌泉+门店T区</v>
          </cell>
          <cell r="CV332" t="e">
            <v>#VALUE!</v>
          </cell>
        </row>
        <row r="333">
          <cell r="C333" t="str">
            <v>中和+门店T区</v>
          </cell>
          <cell r="CV333" t="e">
            <v>#VALUE!</v>
          </cell>
        </row>
        <row r="334">
          <cell r="C334" t="str">
            <v>川音+门店T区</v>
          </cell>
          <cell r="CV334" t="e">
            <v>#VALUE!</v>
          </cell>
        </row>
        <row r="335">
          <cell r="C335" t="str">
            <v>光华+门店T区</v>
          </cell>
          <cell r="CV335" t="e">
            <v>#VALUE!</v>
          </cell>
        </row>
        <row r="336">
          <cell r="C336" t="str">
            <v>龙湖+门店T区</v>
          </cell>
          <cell r="CV336" t="e">
            <v>#VALUE!</v>
          </cell>
        </row>
        <row r="337">
          <cell r="C337" t="str">
            <v>鹭岛+门店T区</v>
          </cell>
          <cell r="CV337" t="e">
            <v>#VALUE!</v>
          </cell>
        </row>
        <row r="338">
          <cell r="C338" t="str">
            <v>南湖+门店T区</v>
          </cell>
          <cell r="CV338" t="e">
            <v>#VALUE!</v>
          </cell>
        </row>
        <row r="339">
          <cell r="C339" t="str">
            <v>荣华北路+门店T区</v>
          </cell>
          <cell r="CV339" t="e">
            <v>#VALUE!</v>
          </cell>
        </row>
        <row r="340">
          <cell r="C340" t="str">
            <v>紫荆+门店T区</v>
          </cell>
          <cell r="CV340" t="e">
            <v>#VALUE!</v>
          </cell>
        </row>
        <row r="341">
          <cell r="C341" t="str">
            <v>双流+门店T区</v>
          </cell>
          <cell r="CV341" t="e">
            <v>#VALUE!</v>
          </cell>
        </row>
        <row r="342">
          <cell r="C342" t="str">
            <v>亚洲湾+门店T区</v>
          </cell>
          <cell r="CV342" t="e">
            <v>#VALUE!</v>
          </cell>
        </row>
        <row r="343">
          <cell r="C343" t="str">
            <v>川师+门店T区</v>
          </cell>
          <cell r="CV343" t="e">
            <v>#VALUE!</v>
          </cell>
        </row>
        <row r="344">
          <cell r="C344" t="str">
            <v>明信+门店T区</v>
          </cell>
          <cell r="CV344" t="e">
            <v>#VALUE!</v>
          </cell>
        </row>
        <row r="345">
          <cell r="C345" t="str">
            <v>千禧+门店T区</v>
          </cell>
          <cell r="CV345" t="e">
            <v>#VALUE!</v>
          </cell>
        </row>
        <row r="346">
          <cell r="C346" t="str">
            <v>大丰+门店T区</v>
          </cell>
          <cell r="CV346" t="e">
            <v>#VALUE!</v>
          </cell>
        </row>
        <row r="347">
          <cell r="C347" t="str">
            <v>凤凰山+门店T区</v>
          </cell>
          <cell r="CV347" t="e">
            <v>#VALUE!</v>
          </cell>
        </row>
        <row r="348">
          <cell r="C348" t="str">
            <v>科技一部+门店T区</v>
          </cell>
          <cell r="CV348" t="e">
            <v>#VALUE!</v>
          </cell>
        </row>
        <row r="349">
          <cell r="C349" t="str">
            <v>科技二部+门店T区</v>
          </cell>
          <cell r="CV349" t="e">
            <v>#VALUE!</v>
          </cell>
        </row>
        <row r="350">
          <cell r="C350" t="str">
            <v>468+门店T区</v>
          </cell>
          <cell r="CV350" t="e">
            <v>#VALUE!</v>
          </cell>
        </row>
        <row r="351">
          <cell r="C351" t="str">
            <v>华润+门店T区</v>
          </cell>
          <cell r="CV351" t="e">
            <v>#VALUE!</v>
          </cell>
        </row>
        <row r="352">
          <cell r="C352" t="str">
            <v>静居寺+门店T区</v>
          </cell>
          <cell r="CV352" t="e">
            <v>#VALUE!</v>
          </cell>
        </row>
        <row r="353">
          <cell r="C353" t="str">
            <v>红光+门店T区</v>
          </cell>
          <cell r="CV353" t="e">
            <v>#VALUE!</v>
          </cell>
        </row>
        <row r="354">
          <cell r="C354" t="str">
            <v>犀浦+门店T区</v>
          </cell>
          <cell r="CV354" t="e">
            <v>#VALUE!</v>
          </cell>
        </row>
        <row r="355">
          <cell r="C355" t="str">
            <v>龙城国际+门店T区</v>
          </cell>
          <cell r="CV355" t="e">
            <v>#VALUE!</v>
          </cell>
        </row>
        <row r="356">
          <cell r="C356" t="str">
            <v>优品道+门店T区</v>
          </cell>
          <cell r="CV356" t="e">
            <v>#VALUE!</v>
          </cell>
        </row>
        <row r="357">
          <cell r="C357" t="str">
            <v>大源+门店T区</v>
          </cell>
          <cell r="CV357" t="e">
            <v>#VALUE!</v>
          </cell>
        </row>
        <row r="358">
          <cell r="C358" t="str">
            <v>保利+门店T区</v>
          </cell>
          <cell r="CV358" t="e">
            <v>#VALUE!</v>
          </cell>
        </row>
        <row r="359">
          <cell r="C359" t="str">
            <v>骑士郡+门店T区</v>
          </cell>
          <cell r="CV359" t="e">
            <v>#VALUE!</v>
          </cell>
        </row>
        <row r="360">
          <cell r="C360" t="str">
            <v>荣华南路+门店T区</v>
          </cell>
          <cell r="CV360" t="e">
            <v>#VALUE!</v>
          </cell>
        </row>
        <row r="361">
          <cell r="C361" t="str">
            <v>融创+门店T区</v>
          </cell>
          <cell r="CV361" t="e">
            <v>#VALUE!</v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目录"/>
      <sheetName val="①考勤-B-a-26考勤汇总表"/>
      <sheetName val="①-①人事取数"/>
      <sheetName val="②当月数据及门店毛利"/>
      <sheetName val="③工资核算浮动条件设置①"/>
      <sheetName val="③-①特殊情况"/>
      <sheetName val="④前置信息-大固定-包含了工资和总经理"/>
      <sheetName val="④-①前置信息-增加版本"/>
      <sheetName val="店长核算"/>
      <sheetName val="店长-汇总表"/>
      <sheetName val="主任核算"/>
      <sheetName val="主任-汇总表"/>
      <sheetName val="店助主任核算"/>
      <sheetName val="店助主任-汇总表"/>
      <sheetName val="店助核算"/>
      <sheetName val="店助-汇总表"/>
      <sheetName val="总经理核算-门店口径核算"/>
      <sheetName val="总经理-汇总表"/>
      <sheetName val="经理核算-门店口径核算"/>
      <sheetName val="经理-汇总表"/>
      <sheetName val="总经理及经理-个人口径"/>
      <sheetName val="科技部核算"/>
      <sheetName val="科技部-汇总表"/>
      <sheetName val="手动调整"/>
      <sheetName val="大项目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">
          <cell r="C1" t="str">
            <v>姓名</v>
          </cell>
        </row>
      </sheetData>
      <sheetData sheetId="10" refreshError="1"/>
      <sheetData sheetId="11">
        <row r="1">
          <cell r="B1" t="str">
            <v>姓名</v>
          </cell>
        </row>
      </sheetData>
      <sheetData sheetId="12" refreshError="1"/>
      <sheetData sheetId="13">
        <row r="1">
          <cell r="C1" t="str">
            <v>姓名</v>
          </cell>
        </row>
      </sheetData>
      <sheetData sheetId="14" refreshError="1"/>
      <sheetData sheetId="15">
        <row r="1">
          <cell r="C1" t="str">
            <v>姓名</v>
          </cell>
        </row>
      </sheetData>
      <sheetData sheetId="16" refreshError="1"/>
      <sheetData sheetId="17">
        <row r="1">
          <cell r="B1" t="str">
            <v>门店</v>
          </cell>
          <cell r="Q1" t="str">
            <v>月提成</v>
          </cell>
        </row>
        <row r="2">
          <cell r="B2" t="str">
            <v>紫荆</v>
          </cell>
          <cell r="Q2">
            <v>6063.1913999999997</v>
          </cell>
        </row>
        <row r="3">
          <cell r="B3" t="str">
            <v>龙湖</v>
          </cell>
          <cell r="Q3">
            <v>0</v>
          </cell>
        </row>
        <row r="4">
          <cell r="B4" t="str">
            <v>沙河</v>
          </cell>
          <cell r="Q4">
            <v>1312.7423000000001</v>
          </cell>
        </row>
        <row r="5">
          <cell r="B5" t="str">
            <v>华润</v>
          </cell>
          <cell r="Q5">
            <v>0</v>
          </cell>
        </row>
        <row r="6">
          <cell r="B6" t="str">
            <v>静居寺</v>
          </cell>
          <cell r="Q6">
            <v>3859.5668000000001</v>
          </cell>
        </row>
        <row r="7">
          <cell r="B7" t="str">
            <v>优品道</v>
          </cell>
          <cell r="Q7">
            <v>2190.0513000000001</v>
          </cell>
        </row>
        <row r="8">
          <cell r="B8">
            <v>468</v>
          </cell>
          <cell r="Q8">
            <v>0</v>
          </cell>
        </row>
        <row r="9">
          <cell r="B9" t="str">
            <v>光华</v>
          </cell>
          <cell r="Q9">
            <v>0</v>
          </cell>
        </row>
        <row r="10">
          <cell r="B10" t="str">
            <v>融创</v>
          </cell>
          <cell r="Q10">
            <v>1459.1405</v>
          </cell>
        </row>
        <row r="11">
          <cell r="B11" t="str">
            <v>川师</v>
          </cell>
          <cell r="Q11">
            <v>2186.7788</v>
          </cell>
        </row>
        <row r="12">
          <cell r="B12" t="str">
            <v>鹭岛</v>
          </cell>
          <cell r="Q12">
            <v>0</v>
          </cell>
        </row>
        <row r="13">
          <cell r="B13" t="str">
            <v>荣华南路</v>
          </cell>
          <cell r="Q13">
            <v>1820.4066</v>
          </cell>
        </row>
        <row r="14">
          <cell r="B14" t="str">
            <v>荣华北路</v>
          </cell>
          <cell r="Q14">
            <v>1425.8457000000001</v>
          </cell>
        </row>
        <row r="15">
          <cell r="B15" t="str">
            <v>涌泉</v>
          </cell>
          <cell r="Q15">
            <v>1412.9779999999998</v>
          </cell>
        </row>
        <row r="16">
          <cell r="B16" t="str">
            <v>大丰</v>
          </cell>
          <cell r="Q16">
            <v>1818.5824000000002</v>
          </cell>
        </row>
        <row r="17">
          <cell r="B17" t="str">
            <v>双流</v>
          </cell>
          <cell r="Q17">
            <v>0</v>
          </cell>
        </row>
        <row r="18">
          <cell r="B18" t="str">
            <v>骑士郡</v>
          </cell>
          <cell r="Q18">
            <v>0</v>
          </cell>
        </row>
        <row r="19">
          <cell r="B19" t="str">
            <v>明信</v>
          </cell>
          <cell r="Q19">
            <v>0</v>
          </cell>
        </row>
        <row r="20">
          <cell r="B20" t="str">
            <v>犀浦</v>
          </cell>
          <cell r="Q20">
            <v>0</v>
          </cell>
        </row>
        <row r="21">
          <cell r="B21" t="str">
            <v>千禧</v>
          </cell>
          <cell r="Q21">
            <v>1449.5869</v>
          </cell>
        </row>
        <row r="22">
          <cell r="B22" t="str">
            <v>亚洲湾</v>
          </cell>
          <cell r="Q22">
            <v>1523.4422</v>
          </cell>
        </row>
        <row r="23">
          <cell r="B23" t="str">
            <v>中和</v>
          </cell>
          <cell r="Q23">
            <v>1375.854</v>
          </cell>
        </row>
        <row r="24">
          <cell r="B24" t="str">
            <v>凤凰山</v>
          </cell>
          <cell r="Q24">
            <v>1847.9412</v>
          </cell>
        </row>
        <row r="25">
          <cell r="B25" t="str">
            <v>南湖</v>
          </cell>
          <cell r="Q25">
            <v>0</v>
          </cell>
        </row>
        <row r="26">
          <cell r="B26" t="str">
            <v>大源</v>
          </cell>
          <cell r="Q26">
            <v>1540.4292</v>
          </cell>
        </row>
        <row r="27">
          <cell r="B27" t="str">
            <v>红光</v>
          </cell>
          <cell r="Q27">
            <v>2535.3704000000002</v>
          </cell>
        </row>
        <row r="28">
          <cell r="B28" t="str">
            <v>保利</v>
          </cell>
          <cell r="Q28">
            <v>1335.2791999999999</v>
          </cell>
        </row>
        <row r="29">
          <cell r="B29" t="str">
            <v>龙城国际</v>
          </cell>
          <cell r="Q29">
            <v>0</v>
          </cell>
        </row>
        <row r="30">
          <cell r="B30" t="str">
            <v>川音</v>
          </cell>
          <cell r="Q30">
            <v>0</v>
          </cell>
        </row>
        <row r="31">
          <cell r="B31">
            <v>0</v>
          </cell>
          <cell r="Q31">
            <v>0</v>
          </cell>
        </row>
        <row r="32">
          <cell r="B32">
            <v>0</v>
          </cell>
          <cell r="Q32">
            <v>0</v>
          </cell>
        </row>
        <row r="33">
          <cell r="B33">
            <v>0</v>
          </cell>
          <cell r="Q33">
            <v>0</v>
          </cell>
        </row>
        <row r="34">
          <cell r="B34">
            <v>0</v>
          </cell>
          <cell r="Q34">
            <v>0</v>
          </cell>
        </row>
      </sheetData>
      <sheetData sheetId="18" refreshError="1"/>
      <sheetData sheetId="19">
        <row r="1">
          <cell r="B1" t="str">
            <v>门店</v>
          </cell>
        </row>
      </sheetData>
      <sheetData sheetId="20">
        <row r="1">
          <cell r="B1" t="str">
            <v>总经理姓名</v>
          </cell>
        </row>
      </sheetData>
      <sheetData sheetId="21">
        <row r="1">
          <cell r="Y1" t="str">
            <v>cell</v>
          </cell>
        </row>
      </sheetData>
      <sheetData sheetId="22">
        <row r="1">
          <cell r="B1" t="str">
            <v>姓名</v>
          </cell>
        </row>
      </sheetData>
      <sheetData sheetId="23">
        <row r="2">
          <cell r="B2" t="str">
            <v>周柏燚</v>
          </cell>
        </row>
      </sheetData>
      <sheetData sheetId="24">
        <row r="1">
          <cell r="G1" t="str">
            <v>提成业绩</v>
          </cell>
        </row>
      </sheetData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1"/>
  <sheetViews>
    <sheetView workbookViewId="0">
      <selection activeCell="R14" sqref="R14"/>
    </sheetView>
  </sheetViews>
  <sheetFormatPr defaultColWidth="9" defaultRowHeight="13.5" x14ac:dyDescent="0.15"/>
  <cols>
    <col min="1" max="1" width="4.25" style="92" customWidth="1"/>
    <col min="2" max="2" width="6.375" customWidth="1"/>
    <col min="3" max="3" width="6" customWidth="1"/>
    <col min="4" max="4" width="5.75" customWidth="1"/>
    <col min="5" max="5" width="4.625" customWidth="1"/>
    <col min="6" max="6" width="7.625" style="68" customWidth="1"/>
    <col min="7" max="7" width="7.75" style="68" customWidth="1"/>
    <col min="8" max="8" width="8" style="68" customWidth="1"/>
    <col min="9" max="9" width="7.75" style="68" customWidth="1"/>
    <col min="10" max="10" width="8.25" style="68" customWidth="1"/>
    <col min="11" max="11" width="11.375" style="68" customWidth="1"/>
    <col min="12" max="12" width="6" style="68" customWidth="1"/>
    <col min="13" max="13" width="7.375" style="68" customWidth="1"/>
    <col min="14" max="14" width="6.5" style="68" customWidth="1"/>
    <col min="15" max="15" width="9.75" style="68" customWidth="1"/>
    <col min="16" max="16" width="6.375" style="68" customWidth="1"/>
    <col min="17" max="17" width="5.125" style="68" customWidth="1"/>
    <col min="18" max="18" width="6.75" style="68" customWidth="1"/>
    <col min="19" max="19" width="7.75" style="68" customWidth="1"/>
    <col min="20" max="20" width="7.125" style="68" customWidth="1"/>
    <col min="21" max="21" width="8.25" style="68" customWidth="1"/>
    <col min="22" max="22" width="24.5" style="68" customWidth="1"/>
    <col min="23" max="23" width="11" style="104" customWidth="1"/>
  </cols>
  <sheetData>
    <row r="1" spans="1:25" ht="36" customHeight="1" x14ac:dyDescent="0.15">
      <c r="A1" s="93" t="s">
        <v>0</v>
      </c>
      <c r="B1" s="93" t="s">
        <v>1</v>
      </c>
      <c r="C1" s="93" t="s">
        <v>2</v>
      </c>
      <c r="D1" s="93" t="s">
        <v>3</v>
      </c>
      <c r="E1" s="93" t="s">
        <v>4</v>
      </c>
      <c r="F1" s="93" t="s">
        <v>5</v>
      </c>
      <c r="G1" s="40" t="s">
        <v>6</v>
      </c>
      <c r="H1" s="94" t="s">
        <v>7</v>
      </c>
      <c r="I1" s="94" t="s">
        <v>8</v>
      </c>
      <c r="J1" s="99" t="s">
        <v>9</v>
      </c>
      <c r="K1" s="99" t="s">
        <v>10</v>
      </c>
      <c r="L1" s="40" t="s">
        <v>11</v>
      </c>
      <c r="M1" s="99" t="s">
        <v>12</v>
      </c>
      <c r="N1" s="40" t="s">
        <v>13</v>
      </c>
      <c r="O1" s="93" t="s">
        <v>14</v>
      </c>
      <c r="P1" s="93" t="s">
        <v>15</v>
      </c>
      <c r="Q1" s="93" t="s">
        <v>16</v>
      </c>
      <c r="R1" s="93" t="s">
        <v>17</v>
      </c>
      <c r="S1" s="93" t="s">
        <v>18</v>
      </c>
      <c r="T1" s="93" t="s">
        <v>19</v>
      </c>
      <c r="U1" s="93" t="s">
        <v>20</v>
      </c>
      <c r="V1" s="93" t="s">
        <v>21</v>
      </c>
    </row>
    <row r="2" spans="1:25" s="2" customFormat="1" ht="24" customHeight="1" x14ac:dyDescent="0.15">
      <c r="A2" s="95">
        <v>7</v>
      </c>
      <c r="B2" s="95" t="s">
        <v>22</v>
      </c>
      <c r="C2" s="95" t="s">
        <v>23</v>
      </c>
      <c r="D2" s="96">
        <v>2500</v>
      </c>
      <c r="E2" s="96"/>
      <c r="F2" s="96">
        <v>152421</v>
      </c>
      <c r="G2" s="96">
        <v>2889.06</v>
      </c>
      <c r="H2" s="96">
        <v>981.27</v>
      </c>
      <c r="I2" s="96">
        <v>2847.42</v>
      </c>
      <c r="J2" s="96">
        <v>-800</v>
      </c>
      <c r="K2" s="96">
        <v>0</v>
      </c>
      <c r="L2" s="96">
        <v>589.20000000000005</v>
      </c>
      <c r="M2" s="96">
        <f>F2-G2-H2-I2-J2-K2-L2</f>
        <v>145914.04999999999</v>
      </c>
      <c r="N2" s="96">
        <f>M2*0.025</f>
        <v>3647.8512500000002</v>
      </c>
      <c r="O2" s="96">
        <f>D2+N2</f>
        <v>6147.8512499999997</v>
      </c>
      <c r="P2" s="96">
        <v>641</v>
      </c>
      <c r="Q2" s="100"/>
      <c r="R2" s="95"/>
      <c r="S2" s="95">
        <v>0</v>
      </c>
      <c r="T2" s="95"/>
      <c r="U2" s="96">
        <f>O2-P2-Q2-R2-S2-T2</f>
        <v>5506.8512499999997</v>
      </c>
      <c r="V2" s="95"/>
      <c r="W2" s="105" t="e">
        <f>_xlfn.XLOOKUP(B2,[1]工资核对的全字段!$C:$C,[1]工资核对的全字段!$CV:$CV,0)</f>
        <v>#VALUE!</v>
      </c>
      <c r="X2" s="103" t="e">
        <f>W2-U2</f>
        <v>#VALUE!</v>
      </c>
    </row>
    <row r="3" spans="1:25" s="66" customFormat="1" ht="24" customHeight="1" x14ac:dyDescent="0.15">
      <c r="A3" s="95">
        <v>7</v>
      </c>
      <c r="B3" s="97" t="s">
        <v>24</v>
      </c>
      <c r="C3" s="97" t="s">
        <v>25</v>
      </c>
      <c r="D3" s="97">
        <v>3500</v>
      </c>
      <c r="E3" s="96"/>
      <c r="F3" s="98">
        <v>150031.32999999999</v>
      </c>
      <c r="G3" s="98">
        <v>4509.84</v>
      </c>
      <c r="H3" s="98">
        <v>1001.07</v>
      </c>
      <c r="I3" s="98">
        <v>4515.3</v>
      </c>
      <c r="J3" s="98">
        <v>5940</v>
      </c>
      <c r="K3" s="98">
        <v>0</v>
      </c>
      <c r="L3" s="98">
        <v>537.20000000000005</v>
      </c>
      <c r="M3" s="96">
        <f>F3-G3-H3-I3-J3-K3-L3</f>
        <v>133527.92000000001</v>
      </c>
      <c r="N3" s="96">
        <f>M3*0.02</f>
        <v>2670.5584000000003</v>
      </c>
      <c r="O3" s="96">
        <f t="shared" ref="O3:O8" si="0">D3+N3</f>
        <v>6170.5583999999999</v>
      </c>
      <c r="P3" s="98">
        <v>644</v>
      </c>
      <c r="Q3" s="91"/>
      <c r="R3" s="97"/>
      <c r="S3" s="97">
        <v>10</v>
      </c>
      <c r="T3" s="97"/>
      <c r="U3" s="96">
        <f t="shared" ref="U3:U9" si="1">O3-P3-Q3-R3-S3-T3</f>
        <v>5516.5583999999999</v>
      </c>
      <c r="V3" s="95" t="s">
        <v>26</v>
      </c>
      <c r="W3" s="105" t="e">
        <f>_xlfn.XLOOKUP(B3,[1]工资核对的全字段!$C:$C,[1]工资核对的全字段!$CV:$CV,0)</f>
        <v>#VALUE!</v>
      </c>
      <c r="X3" s="103" t="e">
        <f t="shared" ref="X3:X11" si="2">W3-U3</f>
        <v>#VALUE!</v>
      </c>
    </row>
    <row r="4" spans="1:25" ht="24" customHeight="1" x14ac:dyDescent="0.15">
      <c r="A4" s="95">
        <v>7</v>
      </c>
      <c r="B4" s="95" t="s">
        <v>27</v>
      </c>
      <c r="C4" s="95" t="s">
        <v>28</v>
      </c>
      <c r="D4" s="96">
        <v>3000</v>
      </c>
      <c r="E4" s="96"/>
      <c r="F4" s="96">
        <v>133334.88</v>
      </c>
      <c r="G4" s="96">
        <v>1000</v>
      </c>
      <c r="H4" s="96">
        <v>1563.73</v>
      </c>
      <c r="I4" s="96">
        <v>7388.46</v>
      </c>
      <c r="J4" s="96">
        <v>8495</v>
      </c>
      <c r="K4" s="96">
        <v>0</v>
      </c>
      <c r="L4" s="96">
        <v>482.4</v>
      </c>
      <c r="M4" s="96">
        <f>F4-G4-H4-I4-J4-K4-L4</f>
        <v>114405.29</v>
      </c>
      <c r="N4" s="96">
        <f>M4*0.02</f>
        <v>2288.1057999999998</v>
      </c>
      <c r="O4" s="96">
        <f t="shared" si="0"/>
        <v>5288.1058000000003</v>
      </c>
      <c r="P4" s="96">
        <v>644</v>
      </c>
      <c r="Q4" s="6"/>
      <c r="R4" s="95"/>
      <c r="S4" s="106">
        <v>190</v>
      </c>
      <c r="T4" s="95"/>
      <c r="U4" s="96">
        <f t="shared" si="1"/>
        <v>4454.1058000000003</v>
      </c>
      <c r="V4" s="95"/>
      <c r="W4" s="105" t="e">
        <f>_xlfn.XLOOKUP(B4,[1]工资核对的全字段!$C:$C,[1]工资核对的全字段!$CV:$CV,0)</f>
        <v>#VALUE!</v>
      </c>
      <c r="X4" s="103" t="e">
        <f t="shared" si="2"/>
        <v>#VALUE!</v>
      </c>
      <c r="Y4">
        <v>-110</v>
      </c>
    </row>
    <row r="5" spans="1:25" ht="24" customHeight="1" x14ac:dyDescent="0.15">
      <c r="A5" s="95">
        <v>7</v>
      </c>
      <c r="B5" s="95" t="s">
        <v>29</v>
      </c>
      <c r="C5" s="95" t="s">
        <v>30</v>
      </c>
      <c r="D5" s="96">
        <v>3000</v>
      </c>
      <c r="E5" s="96"/>
      <c r="F5" s="96">
        <v>173290.6</v>
      </c>
      <c r="G5" s="96">
        <v>4000</v>
      </c>
      <c r="H5" s="96">
        <v>2060.02</v>
      </c>
      <c r="I5" s="96">
        <v>10183.44</v>
      </c>
      <c r="J5" s="96">
        <v>23992.5</v>
      </c>
      <c r="K5" s="96">
        <v>0</v>
      </c>
      <c r="L5" s="96">
        <v>863.9</v>
      </c>
      <c r="M5" s="96">
        <f>F5-G5-H5-I5-J5-K5-L5</f>
        <v>132190.74</v>
      </c>
      <c r="N5" s="96">
        <f>M5*0.02</f>
        <v>2643.8148000000001</v>
      </c>
      <c r="O5" s="96">
        <f t="shared" si="0"/>
        <v>5643.8148000000001</v>
      </c>
      <c r="P5" s="96">
        <v>644</v>
      </c>
      <c r="Q5" s="6"/>
      <c r="R5" s="6"/>
      <c r="S5" s="95">
        <v>90</v>
      </c>
      <c r="T5" s="6"/>
      <c r="U5" s="96">
        <f t="shared" si="1"/>
        <v>4909.8148000000001</v>
      </c>
      <c r="V5" s="95" t="s">
        <v>31</v>
      </c>
      <c r="W5" s="105" t="e">
        <f>_xlfn.XLOOKUP(B5,[1]工资核对的全字段!$C:$C,[1]工资核对的全字段!$CV:$CV,0)</f>
        <v>#VALUE!</v>
      </c>
      <c r="X5" s="103" t="e">
        <f t="shared" si="2"/>
        <v>#VALUE!</v>
      </c>
    </row>
    <row r="6" spans="1:25" ht="24" customHeight="1" x14ac:dyDescent="0.15">
      <c r="A6" s="95">
        <v>7</v>
      </c>
      <c r="B6" s="95" t="s">
        <v>32</v>
      </c>
      <c r="C6" s="95" t="s">
        <v>33</v>
      </c>
      <c r="D6" s="96">
        <v>2500</v>
      </c>
      <c r="E6" s="96"/>
      <c r="F6" s="96">
        <v>135590</v>
      </c>
      <c r="G6" s="96">
        <v>1259.28</v>
      </c>
      <c r="H6" s="96">
        <v>1380.21</v>
      </c>
      <c r="I6" s="96">
        <v>3929.7</v>
      </c>
      <c r="J6" s="96">
        <v>3240</v>
      </c>
      <c r="K6" s="96">
        <v>0</v>
      </c>
      <c r="L6" s="96">
        <v>428.8</v>
      </c>
      <c r="M6" s="96">
        <v>125352.01</v>
      </c>
      <c r="N6" s="96">
        <f>M6*0.025</f>
        <v>3133.8002499999998</v>
      </c>
      <c r="O6" s="96">
        <f t="shared" si="0"/>
        <v>5633.8002500000002</v>
      </c>
      <c r="P6" s="96">
        <v>644</v>
      </c>
      <c r="Q6" s="6"/>
      <c r="R6" s="95"/>
      <c r="S6" s="95">
        <v>10</v>
      </c>
      <c r="T6" s="95"/>
      <c r="U6" s="96">
        <f t="shared" si="1"/>
        <v>4979.8002500000002</v>
      </c>
      <c r="V6" s="101" t="s">
        <v>26</v>
      </c>
      <c r="W6" s="105" t="e">
        <f>_xlfn.XLOOKUP(B6,[1]工资核对的全字段!$C:$C,[1]工资核对的全字段!$CV:$CV,0)</f>
        <v>#VALUE!</v>
      </c>
      <c r="X6" s="103" t="e">
        <f t="shared" si="2"/>
        <v>#VALUE!</v>
      </c>
    </row>
    <row r="7" spans="1:25" ht="24" customHeight="1" x14ac:dyDescent="0.15">
      <c r="A7" s="95">
        <v>7</v>
      </c>
      <c r="B7" s="95" t="s">
        <v>34</v>
      </c>
      <c r="C7" s="95" t="s">
        <v>35</v>
      </c>
      <c r="D7" s="97">
        <v>3000</v>
      </c>
      <c r="E7" s="96">
        <v>50</v>
      </c>
      <c r="F7" s="95">
        <v>522756</v>
      </c>
      <c r="G7" s="96">
        <v>2025</v>
      </c>
      <c r="H7" s="96">
        <v>1715.29</v>
      </c>
      <c r="I7" s="96">
        <v>3589.34</v>
      </c>
      <c r="J7" s="96">
        <v>23805</v>
      </c>
      <c r="K7" s="96">
        <v>0</v>
      </c>
      <c r="L7" s="96">
        <v>961.8</v>
      </c>
      <c r="M7" s="96">
        <v>490659.57</v>
      </c>
      <c r="N7" s="96">
        <f>350000*0.02+140660*0.025</f>
        <v>10516.5</v>
      </c>
      <c r="O7" s="96">
        <f>D7+N7+E7</f>
        <v>13566.5</v>
      </c>
      <c r="P7" s="96">
        <v>0</v>
      </c>
      <c r="Q7" s="6"/>
      <c r="R7" s="95"/>
      <c r="S7" s="95"/>
      <c r="T7" s="95"/>
      <c r="U7" s="96">
        <f t="shared" si="1"/>
        <v>13566.5</v>
      </c>
      <c r="V7" s="102"/>
      <c r="W7" s="105" t="e">
        <f>_xlfn.XLOOKUP(B7,[1]工资核对的全字段!$C:$C,[1]工资核对的全字段!$CV:$CV,0)</f>
        <v>#VALUE!</v>
      </c>
      <c r="X7" s="103" t="e">
        <f t="shared" si="2"/>
        <v>#VALUE!</v>
      </c>
    </row>
    <row r="8" spans="1:25" ht="24" customHeight="1" x14ac:dyDescent="0.15">
      <c r="A8" s="95">
        <v>7</v>
      </c>
      <c r="B8" s="95" t="s">
        <v>36</v>
      </c>
      <c r="C8" s="95" t="s">
        <v>37</v>
      </c>
      <c r="D8" s="97">
        <v>3000</v>
      </c>
      <c r="E8" s="96"/>
      <c r="F8" s="96">
        <v>169632</v>
      </c>
      <c r="G8" s="96">
        <v>4000</v>
      </c>
      <c r="H8" s="96">
        <v>869.26</v>
      </c>
      <c r="I8" s="96">
        <v>4870.34</v>
      </c>
      <c r="J8" s="96">
        <v>17777.5</v>
      </c>
      <c r="K8" s="96">
        <v>0</v>
      </c>
      <c r="L8" s="96">
        <v>817.1</v>
      </c>
      <c r="M8" s="96">
        <v>141297.79999999999</v>
      </c>
      <c r="N8" s="96">
        <f>M8*0.025</f>
        <v>3532.4450000000002</v>
      </c>
      <c r="O8" s="96">
        <f t="shared" si="0"/>
        <v>6532.4449999999997</v>
      </c>
      <c r="P8" s="96">
        <v>0</v>
      </c>
      <c r="Q8" s="96"/>
      <c r="R8" s="96"/>
      <c r="S8" s="96"/>
      <c r="T8" s="96"/>
      <c r="U8" s="96">
        <f t="shared" si="1"/>
        <v>6532.4449999999997</v>
      </c>
      <c r="V8" s="95"/>
      <c r="W8" s="105" t="e">
        <f>_xlfn.XLOOKUP(B8,[1]工资核对的全字段!$C:$C,[1]工资核对的全字段!$CV:$CV,0)</f>
        <v>#VALUE!</v>
      </c>
      <c r="X8" s="103" t="e">
        <f t="shared" si="2"/>
        <v>#VALUE!</v>
      </c>
    </row>
    <row r="9" spans="1:25" ht="24" customHeight="1" x14ac:dyDescent="0.15">
      <c r="A9" s="95">
        <v>7</v>
      </c>
      <c r="B9" s="95" t="s">
        <v>38</v>
      </c>
      <c r="C9" s="95" t="s">
        <v>39</v>
      </c>
      <c r="D9" s="97">
        <v>2500</v>
      </c>
      <c r="E9" s="8"/>
      <c r="F9" s="96">
        <v>205041</v>
      </c>
      <c r="G9" s="96">
        <v>2000</v>
      </c>
      <c r="H9" s="96">
        <v>902.66</v>
      </c>
      <c r="I9" s="96">
        <v>1049.7</v>
      </c>
      <c r="J9" s="96">
        <v>12845</v>
      </c>
      <c r="K9" s="96">
        <v>3203</v>
      </c>
      <c r="L9" s="96">
        <v>701.7</v>
      </c>
      <c r="M9" s="96">
        <v>184338.94</v>
      </c>
      <c r="N9" s="96">
        <f>M9*0.02</f>
        <v>3686.7788</v>
      </c>
      <c r="O9" s="96">
        <v>5000</v>
      </c>
      <c r="P9" s="96">
        <v>0</v>
      </c>
      <c r="Q9" s="96"/>
      <c r="R9" s="96">
        <v>530</v>
      </c>
      <c r="S9" s="96">
        <v>30</v>
      </c>
      <c r="T9" s="6"/>
      <c r="U9" s="96">
        <f t="shared" si="1"/>
        <v>4440</v>
      </c>
      <c r="V9" s="95" t="s">
        <v>40</v>
      </c>
      <c r="W9" s="105" t="e">
        <f>_xlfn.XLOOKUP(B9,[1]工资核对的全字段!$C:$C,[1]工资核对的全字段!$CV:$CV,0)</f>
        <v>#VALUE!</v>
      </c>
      <c r="X9" s="103" t="e">
        <f t="shared" si="2"/>
        <v>#VALUE!</v>
      </c>
    </row>
    <row r="10" spans="1:25" ht="24" customHeight="1" x14ac:dyDescent="0.15">
      <c r="A10" s="95">
        <v>7</v>
      </c>
      <c r="B10" s="95" t="s">
        <v>41</v>
      </c>
      <c r="C10" s="95" t="s">
        <v>42</v>
      </c>
      <c r="D10" s="97"/>
      <c r="E10" s="8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6"/>
      <c r="U10" s="96"/>
      <c r="V10" s="95" t="s">
        <v>43</v>
      </c>
      <c r="W10" s="105" t="e">
        <f>_xlfn.XLOOKUP(B10,[1]工资核对的全字段!$C:$C,[1]工资核对的全字段!$CV:$CV,0)</f>
        <v>#VALUE!</v>
      </c>
      <c r="X10" s="103" t="e">
        <f t="shared" si="2"/>
        <v>#VALUE!</v>
      </c>
    </row>
    <row r="11" spans="1:25" ht="21" customHeight="1" x14ac:dyDescent="0.15">
      <c r="A11" s="95">
        <v>7</v>
      </c>
      <c r="B11" s="95" t="s">
        <v>44</v>
      </c>
      <c r="C11" s="95">
        <v>468</v>
      </c>
      <c r="D11" s="96">
        <v>0</v>
      </c>
      <c r="E11" s="8"/>
      <c r="F11" s="6"/>
      <c r="G11" s="6"/>
      <c r="H11" s="6"/>
      <c r="I11" s="6"/>
      <c r="J11" s="6"/>
      <c r="K11" s="6"/>
      <c r="L11" s="6"/>
      <c r="M11" s="96">
        <v>0</v>
      </c>
      <c r="N11" s="96"/>
      <c r="O11" s="96">
        <v>7000</v>
      </c>
      <c r="P11" s="96">
        <v>0</v>
      </c>
      <c r="Q11" s="96"/>
      <c r="R11" s="96">
        <v>1060</v>
      </c>
      <c r="S11" s="6"/>
      <c r="T11" s="6"/>
      <c r="U11" s="96">
        <f>O11-P11-Q11-R11-S11-T11</f>
        <v>5940</v>
      </c>
      <c r="V11" s="95" t="s">
        <v>45</v>
      </c>
      <c r="W11" s="105" t="e">
        <f>_xlfn.XLOOKUP(B11,[1]工资核对的全字段!$C:$C,[1]工资核对的全字段!$CV:$CV,0)</f>
        <v>#VALUE!</v>
      </c>
      <c r="X11" s="103" t="e">
        <f t="shared" si="2"/>
        <v>#VALUE!</v>
      </c>
    </row>
  </sheetData>
  <phoneticPr fontId="35" type="noConversion"/>
  <conditionalFormatting sqref="C1">
    <cfRule type="duplicateValues" dxfId="59" priority="2"/>
  </conditionalFormatting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26"/>
  <sheetViews>
    <sheetView zoomScale="80" zoomScaleNormal="80" workbookViewId="0">
      <selection activeCell="T24" sqref="T24"/>
    </sheetView>
  </sheetViews>
  <sheetFormatPr defaultColWidth="9" defaultRowHeight="13.5" x14ac:dyDescent="0.15"/>
  <cols>
    <col min="1" max="1" width="4.5" style="68" customWidth="1"/>
    <col min="2" max="2" width="5.125" style="68" customWidth="1"/>
    <col min="3" max="3" width="9" customWidth="1"/>
    <col min="4" max="4" width="7.375" customWidth="1"/>
    <col min="5" max="5" width="7.625" style="66" customWidth="1"/>
    <col min="6" max="6" width="8.625" style="68" customWidth="1"/>
    <col min="7" max="7" width="9.875" style="69" customWidth="1"/>
    <col min="8" max="8" width="9.5" customWidth="1"/>
    <col min="9" max="9" width="8.875" style="68" customWidth="1"/>
    <col min="10" max="10" width="10.625" style="69" customWidth="1"/>
    <col min="11" max="11" width="8.875" style="70" customWidth="1"/>
    <col min="12" max="12" width="13.75" style="70" customWidth="1"/>
    <col min="13" max="13" width="8.125" customWidth="1"/>
    <col min="14" max="14" width="8" style="70" customWidth="1"/>
    <col min="15" max="15" width="7" style="71" customWidth="1"/>
    <col min="16" max="16" width="7.5" customWidth="1"/>
    <col min="17" max="17" width="9.25" customWidth="1"/>
    <col min="18" max="18" width="7.625" style="68" customWidth="1"/>
    <col min="19" max="19" width="8" style="68" customWidth="1"/>
    <col min="20" max="20" width="10" style="68" customWidth="1"/>
    <col min="21" max="21" width="9.5" style="68" customWidth="1"/>
    <col min="22" max="22" width="6.875" customWidth="1"/>
    <col min="23" max="23" width="9.625" customWidth="1"/>
    <col min="24" max="24" width="33.125" customWidth="1"/>
    <col min="26" max="26" width="12.75" customWidth="1"/>
    <col min="27" max="27" width="20" bestFit="1" customWidth="1"/>
  </cols>
  <sheetData>
    <row r="1" spans="1:26" ht="39" customHeight="1" x14ac:dyDescent="0.15">
      <c r="A1" s="72" t="s">
        <v>46</v>
      </c>
      <c r="B1" s="72" t="s">
        <v>0</v>
      </c>
      <c r="C1" s="73" t="s">
        <v>47</v>
      </c>
      <c r="D1" s="73" t="s">
        <v>2</v>
      </c>
      <c r="E1" s="73" t="s">
        <v>3</v>
      </c>
      <c r="F1" s="73" t="s">
        <v>48</v>
      </c>
      <c r="G1" s="74" t="s">
        <v>49</v>
      </c>
      <c r="H1" s="73" t="s">
        <v>6</v>
      </c>
      <c r="I1" s="74" t="s">
        <v>7</v>
      </c>
      <c r="J1" s="74" t="s">
        <v>8</v>
      </c>
      <c r="K1" s="73" t="s">
        <v>9</v>
      </c>
      <c r="L1" s="73" t="s">
        <v>10</v>
      </c>
      <c r="M1" s="73" t="s">
        <v>11</v>
      </c>
      <c r="N1" s="82" t="s">
        <v>12</v>
      </c>
      <c r="O1" s="74" t="s">
        <v>50</v>
      </c>
      <c r="P1" s="73" t="s">
        <v>13</v>
      </c>
      <c r="Q1" s="73" t="s">
        <v>51</v>
      </c>
      <c r="R1" s="73" t="s">
        <v>15</v>
      </c>
      <c r="S1" s="73" t="s">
        <v>52</v>
      </c>
      <c r="T1" s="73" t="s">
        <v>53</v>
      </c>
      <c r="U1" s="73" t="s">
        <v>54</v>
      </c>
      <c r="V1" s="73" t="s">
        <v>55</v>
      </c>
      <c r="W1" s="73" t="s">
        <v>20</v>
      </c>
      <c r="X1" s="73" t="s">
        <v>21</v>
      </c>
    </row>
    <row r="2" spans="1:26" ht="24.95" customHeight="1" x14ac:dyDescent="0.15">
      <c r="A2" s="6">
        <v>1</v>
      </c>
      <c r="B2" s="75">
        <v>7</v>
      </c>
      <c r="C2" s="76" t="s">
        <v>56</v>
      </c>
      <c r="D2" s="76" t="s">
        <v>57</v>
      </c>
      <c r="E2" s="77">
        <v>3000</v>
      </c>
      <c r="F2" s="76"/>
      <c r="G2" s="78">
        <v>201952.3</v>
      </c>
      <c r="H2" s="78">
        <v>2114.34</v>
      </c>
      <c r="I2" s="83">
        <v>701.6</v>
      </c>
      <c r="J2" s="83">
        <v>2895.52</v>
      </c>
      <c r="K2" s="83">
        <v>4750</v>
      </c>
      <c r="L2" s="83">
        <v>0</v>
      </c>
      <c r="M2" s="83">
        <v>1005.1</v>
      </c>
      <c r="N2" s="84">
        <f>G2-H2-I2-J2-K2-L2-M2</f>
        <v>190485.74</v>
      </c>
      <c r="O2" s="85">
        <v>0.03</v>
      </c>
      <c r="P2" s="86">
        <f>N2*O2</f>
        <v>5714.5721999999996</v>
      </c>
      <c r="Q2" s="84">
        <f>E2+P2</f>
        <v>8714.5722000000005</v>
      </c>
      <c r="R2" s="83">
        <v>641</v>
      </c>
      <c r="S2" s="83"/>
      <c r="T2" s="90">
        <v>20</v>
      </c>
      <c r="U2" s="90"/>
      <c r="V2" s="83"/>
      <c r="W2" s="83">
        <f>Q2-R2-S2-T2+U2-V2</f>
        <v>8053.5721999999996</v>
      </c>
      <c r="X2" s="90" t="s">
        <v>58</v>
      </c>
      <c r="Y2" t="e">
        <f>_xlfn.XLOOKUP(C2,[1]工资核对的全字段!$C:$C,[1]工资核对的全字段!$CV:$CV,0)</f>
        <v>#VALUE!</v>
      </c>
      <c r="Z2" s="71" t="e">
        <f>Y2-W2</f>
        <v>#VALUE!</v>
      </c>
    </row>
    <row r="3" spans="1:26" s="65" customFormat="1" ht="24.95" customHeight="1" x14ac:dyDescent="0.15">
      <c r="A3" s="6">
        <v>2</v>
      </c>
      <c r="B3" s="75">
        <v>7</v>
      </c>
      <c r="C3" s="79" t="s">
        <v>59</v>
      </c>
      <c r="D3" s="79">
        <v>468</v>
      </c>
      <c r="E3" s="77">
        <v>3500</v>
      </c>
      <c r="F3" s="79"/>
      <c r="G3" s="78">
        <v>140295</v>
      </c>
      <c r="H3" s="78">
        <v>3754.95</v>
      </c>
      <c r="I3" s="78">
        <v>1491.04</v>
      </c>
      <c r="J3" s="78">
        <v>3218.6</v>
      </c>
      <c r="K3" s="78">
        <v>3600</v>
      </c>
      <c r="L3" s="78">
        <v>90</v>
      </c>
      <c r="M3" s="78">
        <v>947.3</v>
      </c>
      <c r="N3" s="84">
        <f t="shared" ref="N3:N26" si="0">G3-H3-I3-J3-K3-L3-M3</f>
        <v>127193.11</v>
      </c>
      <c r="O3" s="85">
        <v>0.03</v>
      </c>
      <c r="P3" s="86">
        <f t="shared" ref="P3:P26" si="1">N3*O3</f>
        <v>3815.7932999999998</v>
      </c>
      <c r="Q3" s="84">
        <f t="shared" ref="Q3:Q26" si="2">E3+P3</f>
        <v>7315.7933000000003</v>
      </c>
      <c r="R3" s="83">
        <v>641</v>
      </c>
      <c r="S3" s="83"/>
      <c r="T3" s="90">
        <v>10</v>
      </c>
      <c r="U3" s="90"/>
      <c r="V3" s="90"/>
      <c r="W3" s="83">
        <f t="shared" ref="W3:W26" si="3">Q3-R3-S3-T3+U3-V3</f>
        <v>6664.7933000000003</v>
      </c>
      <c r="X3" s="90" t="s">
        <v>26</v>
      </c>
      <c r="Y3" t="e">
        <f>_xlfn.XLOOKUP(C3,[1]工资核对的全字段!$C:$C,[1]工资核对的全字段!$CV:$CV,0)</f>
        <v>#VALUE!</v>
      </c>
      <c r="Z3" s="71" t="e">
        <f t="shared" ref="Z3:Z26" si="4">Y3-W3</f>
        <v>#VALUE!</v>
      </c>
    </row>
    <row r="4" spans="1:26" s="65" customFormat="1" ht="24.95" customHeight="1" x14ac:dyDescent="0.15">
      <c r="A4" s="6">
        <v>3</v>
      </c>
      <c r="B4" s="75">
        <v>7</v>
      </c>
      <c r="C4" s="79" t="s">
        <v>60</v>
      </c>
      <c r="D4" s="79" t="s">
        <v>61</v>
      </c>
      <c r="E4" s="77">
        <v>4000</v>
      </c>
      <c r="F4" s="79"/>
      <c r="G4" s="78">
        <v>407490.19</v>
      </c>
      <c r="H4" s="78">
        <v>4907.0600000000004</v>
      </c>
      <c r="I4" s="78">
        <v>689.11</v>
      </c>
      <c r="J4" s="83">
        <v>3515.1</v>
      </c>
      <c r="K4" s="83">
        <v>25892.5</v>
      </c>
      <c r="L4" s="83">
        <v>7360</v>
      </c>
      <c r="M4" s="83">
        <v>1155.3</v>
      </c>
      <c r="N4" s="84">
        <f t="shared" si="0"/>
        <v>363971.12</v>
      </c>
      <c r="O4" s="85">
        <v>3.5000000000000003E-2</v>
      </c>
      <c r="P4" s="86">
        <f t="shared" si="1"/>
        <v>12738.9892</v>
      </c>
      <c r="Q4" s="84">
        <f t="shared" si="2"/>
        <v>16738.9892</v>
      </c>
      <c r="R4" s="83">
        <v>641</v>
      </c>
      <c r="S4" s="83"/>
      <c r="T4" s="90">
        <v>10</v>
      </c>
      <c r="U4" s="90"/>
      <c r="V4" s="90"/>
      <c r="W4" s="83">
        <f t="shared" si="3"/>
        <v>16087.9892</v>
      </c>
      <c r="X4" s="90" t="s">
        <v>62</v>
      </c>
      <c r="Y4" t="e">
        <f>_xlfn.XLOOKUP(C4,[1]工资核对的全字段!$C:$C,[1]工资核对的全字段!$CV:$CV,0)</f>
        <v>#VALUE!</v>
      </c>
      <c r="Z4" s="71" t="e">
        <f t="shared" si="4"/>
        <v>#VALUE!</v>
      </c>
    </row>
    <row r="5" spans="1:26" ht="24" customHeight="1" x14ac:dyDescent="0.15">
      <c r="A5" s="6">
        <v>4</v>
      </c>
      <c r="B5" s="75">
        <v>7</v>
      </c>
      <c r="C5" s="79" t="s">
        <v>63</v>
      </c>
      <c r="D5" s="79" t="s">
        <v>64</v>
      </c>
      <c r="E5" s="77">
        <v>4000</v>
      </c>
      <c r="F5" s="76"/>
      <c r="G5" s="78">
        <v>259744.88</v>
      </c>
      <c r="H5" s="78">
        <v>2250</v>
      </c>
      <c r="I5" s="78">
        <v>892.58</v>
      </c>
      <c r="J5" s="87">
        <v>2190.88</v>
      </c>
      <c r="K5" s="87">
        <v>39560</v>
      </c>
      <c r="L5" s="83">
        <v>0</v>
      </c>
      <c r="M5" s="87">
        <v>582.9</v>
      </c>
      <c r="N5" s="84">
        <f t="shared" si="0"/>
        <v>214268.52</v>
      </c>
      <c r="O5" s="85">
        <v>4.4999999999999998E-2</v>
      </c>
      <c r="P5" s="86">
        <f t="shared" si="1"/>
        <v>9642.0833999999995</v>
      </c>
      <c r="Q5" s="84">
        <f t="shared" si="2"/>
        <v>13642.0834</v>
      </c>
      <c r="R5" s="83">
        <v>641</v>
      </c>
      <c r="S5" s="83"/>
      <c r="T5" s="6">
        <v>20</v>
      </c>
      <c r="U5" s="6"/>
      <c r="V5" s="8"/>
      <c r="W5" s="83">
        <f t="shared" si="3"/>
        <v>12981.0834</v>
      </c>
      <c r="X5" s="90" t="s">
        <v>58</v>
      </c>
      <c r="Y5" t="e">
        <f>_xlfn.XLOOKUP(C5,[1]工资核对的全字段!$C:$C,[1]工资核对的全字段!$CV:$CV,0)</f>
        <v>#VALUE!</v>
      </c>
      <c r="Z5" s="71" t="e">
        <f t="shared" si="4"/>
        <v>#VALUE!</v>
      </c>
    </row>
    <row r="6" spans="1:26" s="66" customFormat="1" ht="27.95" customHeight="1" x14ac:dyDescent="0.15">
      <c r="A6" s="6">
        <v>5</v>
      </c>
      <c r="B6" s="75">
        <v>7</v>
      </c>
      <c r="C6" s="80" t="s">
        <v>65</v>
      </c>
      <c r="D6" s="81" t="s">
        <v>66</v>
      </c>
      <c r="E6" s="77">
        <v>3000</v>
      </c>
      <c r="F6" s="76"/>
      <c r="G6" s="78">
        <v>100934</v>
      </c>
      <c r="H6" s="78">
        <v>5076.66</v>
      </c>
      <c r="I6" s="78">
        <v>1209.6500000000001</v>
      </c>
      <c r="J6" s="88">
        <v>4620.6000000000004</v>
      </c>
      <c r="K6" s="88">
        <v>0</v>
      </c>
      <c r="L6" s="83">
        <v>0</v>
      </c>
      <c r="M6" s="88">
        <v>930.3</v>
      </c>
      <c r="N6" s="84">
        <f t="shared" si="0"/>
        <v>89096.79</v>
      </c>
      <c r="O6" s="89">
        <v>3.5000000000000003E-2</v>
      </c>
      <c r="P6" s="86">
        <f t="shared" si="1"/>
        <v>3118.3876500000001</v>
      </c>
      <c r="Q6" s="84">
        <f t="shared" si="2"/>
        <v>6118.3876499999997</v>
      </c>
      <c r="R6" s="83">
        <v>644</v>
      </c>
      <c r="S6" s="83"/>
      <c r="T6" s="91">
        <v>10</v>
      </c>
      <c r="U6" s="91"/>
      <c r="V6" s="91"/>
      <c r="W6" s="83">
        <f t="shared" si="3"/>
        <v>5464.3876499999997</v>
      </c>
      <c r="X6" s="90" t="s">
        <v>26</v>
      </c>
      <c r="Y6" t="e">
        <f>_xlfn.XLOOKUP(C6,[1]工资核对的全字段!$C:$C,[1]工资核对的全字段!$CV:$CV,0)</f>
        <v>#VALUE!</v>
      </c>
      <c r="Z6" s="71" t="e">
        <f t="shared" si="4"/>
        <v>#VALUE!</v>
      </c>
    </row>
    <row r="7" spans="1:26" s="65" customFormat="1" ht="24.95" customHeight="1" x14ac:dyDescent="0.15">
      <c r="A7" s="6">
        <v>6</v>
      </c>
      <c r="B7" s="75">
        <v>7</v>
      </c>
      <c r="C7" s="79" t="s">
        <v>67</v>
      </c>
      <c r="D7" s="79" t="s">
        <v>68</v>
      </c>
      <c r="E7" s="77">
        <v>3500</v>
      </c>
      <c r="F7" s="76"/>
      <c r="G7" s="78">
        <v>160812</v>
      </c>
      <c r="H7" s="78">
        <v>3500</v>
      </c>
      <c r="I7" s="78">
        <v>1215.3800000000001</v>
      </c>
      <c r="J7" s="83">
        <v>3582.9</v>
      </c>
      <c r="K7" s="83">
        <v>5590</v>
      </c>
      <c r="L7" s="83">
        <v>0</v>
      </c>
      <c r="M7" s="83">
        <v>920.3</v>
      </c>
      <c r="N7" s="84">
        <f t="shared" si="0"/>
        <v>146003.42000000001</v>
      </c>
      <c r="O7" s="85">
        <v>0.04</v>
      </c>
      <c r="P7" s="86">
        <f t="shared" si="1"/>
        <v>5840.1368000000002</v>
      </c>
      <c r="Q7" s="84">
        <f t="shared" si="2"/>
        <v>9340.1368000000002</v>
      </c>
      <c r="R7" s="83">
        <v>641</v>
      </c>
      <c r="S7" s="83"/>
      <c r="T7" s="90">
        <v>90</v>
      </c>
      <c r="U7" s="90"/>
      <c r="V7" s="90"/>
      <c r="W7" s="83">
        <f t="shared" si="3"/>
        <v>8609.1368000000002</v>
      </c>
      <c r="X7" s="90" t="s">
        <v>31</v>
      </c>
      <c r="Y7" t="e">
        <f>_xlfn.XLOOKUP(C7,[1]工资核对的全字段!$C:$C,[1]工资核对的全字段!$CV:$CV,0)</f>
        <v>#VALUE!</v>
      </c>
      <c r="Z7" s="71" t="e">
        <f t="shared" si="4"/>
        <v>#VALUE!</v>
      </c>
    </row>
    <row r="8" spans="1:26" ht="26.1" customHeight="1" x14ac:dyDescent="0.15">
      <c r="A8" s="6">
        <v>7</v>
      </c>
      <c r="B8" s="75">
        <v>7</v>
      </c>
      <c r="C8" s="79" t="s">
        <v>69</v>
      </c>
      <c r="D8" s="79" t="s">
        <v>70</v>
      </c>
      <c r="E8" s="77">
        <v>3500</v>
      </c>
      <c r="F8" s="76"/>
      <c r="G8" s="78">
        <v>120949.6</v>
      </c>
      <c r="H8" s="78">
        <v>3699.8</v>
      </c>
      <c r="I8" s="78">
        <v>646.76</v>
      </c>
      <c r="J8" s="87">
        <v>6831.08</v>
      </c>
      <c r="K8" s="87">
        <v>7225</v>
      </c>
      <c r="L8" s="83">
        <v>0</v>
      </c>
      <c r="M8" s="87">
        <v>525.5</v>
      </c>
      <c r="N8" s="84">
        <f t="shared" si="0"/>
        <v>102021.46</v>
      </c>
      <c r="O8" s="85">
        <v>4.4999999999999998E-2</v>
      </c>
      <c r="P8" s="86">
        <f t="shared" si="1"/>
        <v>4590.9656999999997</v>
      </c>
      <c r="Q8" s="84">
        <f t="shared" si="2"/>
        <v>8090.9656999999997</v>
      </c>
      <c r="R8" s="83">
        <v>644</v>
      </c>
      <c r="S8" s="83"/>
      <c r="T8" s="6">
        <v>120</v>
      </c>
      <c r="U8" s="6"/>
      <c r="V8" s="8"/>
      <c r="W8" s="83">
        <f t="shared" si="3"/>
        <v>7326.9656999999997</v>
      </c>
      <c r="X8" s="90" t="s">
        <v>71</v>
      </c>
      <c r="Y8" t="e">
        <f>_xlfn.XLOOKUP(C8,[1]工资核对的全字段!$C:$C,[1]工资核对的全字段!$CV:$CV,0)</f>
        <v>#VALUE!</v>
      </c>
      <c r="Z8" s="71" t="e">
        <f t="shared" si="4"/>
        <v>#VALUE!</v>
      </c>
    </row>
    <row r="9" spans="1:26" s="65" customFormat="1" ht="24.95" customHeight="1" x14ac:dyDescent="0.15">
      <c r="A9" s="6">
        <v>8</v>
      </c>
      <c r="B9" s="75">
        <v>7</v>
      </c>
      <c r="C9" s="79" t="s">
        <v>72</v>
      </c>
      <c r="D9" s="79" t="s">
        <v>73</v>
      </c>
      <c r="E9" s="77">
        <v>3500</v>
      </c>
      <c r="F9" s="76"/>
      <c r="G9" s="78">
        <v>180024</v>
      </c>
      <c r="H9" s="78">
        <v>2665.77</v>
      </c>
      <c r="I9" s="78">
        <v>2365.85</v>
      </c>
      <c r="J9" s="83">
        <v>2773.14</v>
      </c>
      <c r="K9" s="83">
        <v>0</v>
      </c>
      <c r="L9" s="83">
        <v>0</v>
      </c>
      <c r="M9" s="83">
        <v>858.8</v>
      </c>
      <c r="N9" s="84">
        <f t="shared" si="0"/>
        <v>171360.44</v>
      </c>
      <c r="O9" s="85">
        <v>0.04</v>
      </c>
      <c r="P9" s="86">
        <f t="shared" si="1"/>
        <v>6854.4175999999998</v>
      </c>
      <c r="Q9" s="84">
        <f t="shared" si="2"/>
        <v>10354.417600000001</v>
      </c>
      <c r="R9" s="83">
        <v>639</v>
      </c>
      <c r="S9" s="83"/>
      <c r="T9" s="90">
        <v>90</v>
      </c>
      <c r="U9" s="90"/>
      <c r="V9" s="90"/>
      <c r="W9" s="83">
        <f t="shared" si="3"/>
        <v>9625.4176000000007</v>
      </c>
      <c r="X9" s="90" t="s">
        <v>31</v>
      </c>
      <c r="Y9" t="e">
        <f>_xlfn.XLOOKUP(C9,[1]工资核对的全字段!$C:$C,[1]工资核对的全字段!$CV:$CV,0)</f>
        <v>#VALUE!</v>
      </c>
      <c r="Z9" s="71" t="e">
        <f t="shared" si="4"/>
        <v>#VALUE!</v>
      </c>
    </row>
    <row r="10" spans="1:26" s="65" customFormat="1" ht="24.95" customHeight="1" x14ac:dyDescent="0.15">
      <c r="A10" s="6">
        <v>9</v>
      </c>
      <c r="B10" s="75">
        <v>7</v>
      </c>
      <c r="C10" s="79" t="s">
        <v>74</v>
      </c>
      <c r="D10" s="79" t="s">
        <v>75</v>
      </c>
      <c r="E10" s="77">
        <v>3000</v>
      </c>
      <c r="F10" s="79"/>
      <c r="G10" s="78">
        <v>150422</v>
      </c>
      <c r="H10" s="78">
        <v>2371.5</v>
      </c>
      <c r="I10" s="78">
        <v>1827.5</v>
      </c>
      <c r="J10" s="83">
        <v>3256.3</v>
      </c>
      <c r="K10" s="83">
        <v>4590</v>
      </c>
      <c r="L10" s="83">
        <v>0</v>
      </c>
      <c r="M10" s="83">
        <v>791.3</v>
      </c>
      <c r="N10" s="84">
        <f t="shared" si="0"/>
        <v>137585.4</v>
      </c>
      <c r="O10" s="85">
        <v>0.04</v>
      </c>
      <c r="P10" s="86">
        <f t="shared" si="1"/>
        <v>5503.4160000000002</v>
      </c>
      <c r="Q10" s="84">
        <f t="shared" si="2"/>
        <v>8503.4159999999993</v>
      </c>
      <c r="R10" s="83">
        <v>641</v>
      </c>
      <c r="S10" s="83"/>
      <c r="T10" s="90">
        <v>10</v>
      </c>
      <c r="U10" s="90"/>
      <c r="V10" s="90"/>
      <c r="W10" s="83">
        <f t="shared" si="3"/>
        <v>7852.4160000000002</v>
      </c>
      <c r="X10" s="90" t="s">
        <v>26</v>
      </c>
      <c r="Y10" t="e">
        <f>_xlfn.XLOOKUP(C10,[1]工资核对的全字段!$C:$C,[1]工资核对的全字段!$CV:$CV,0)</f>
        <v>#VALUE!</v>
      </c>
      <c r="Z10" s="71" t="e">
        <f t="shared" si="4"/>
        <v>#VALUE!</v>
      </c>
    </row>
    <row r="11" spans="1:26" s="65" customFormat="1" ht="24.95" customHeight="1" x14ac:dyDescent="0.15">
      <c r="A11" s="6">
        <v>10</v>
      </c>
      <c r="B11" s="75">
        <v>7</v>
      </c>
      <c r="C11" s="79" t="s">
        <v>76</v>
      </c>
      <c r="D11" s="79" t="s">
        <v>37</v>
      </c>
      <c r="E11" s="77">
        <v>3500</v>
      </c>
      <c r="F11" s="79"/>
      <c r="G11" s="78">
        <v>169632</v>
      </c>
      <c r="H11" s="78">
        <v>4000</v>
      </c>
      <c r="I11" s="78">
        <v>869.26</v>
      </c>
      <c r="J11" s="83">
        <v>4870.34</v>
      </c>
      <c r="K11" s="83">
        <v>17777.5</v>
      </c>
      <c r="L11" s="83">
        <v>0</v>
      </c>
      <c r="M11" s="83">
        <v>817.1</v>
      </c>
      <c r="N11" s="84">
        <f t="shared" si="0"/>
        <v>141297.79999999999</v>
      </c>
      <c r="O11" s="85">
        <v>0.04</v>
      </c>
      <c r="P11" s="86">
        <f t="shared" si="1"/>
        <v>5651.9120000000003</v>
      </c>
      <c r="Q11" s="84">
        <f t="shared" si="2"/>
        <v>9151.9120000000003</v>
      </c>
      <c r="R11" s="83">
        <v>644</v>
      </c>
      <c r="S11" s="83"/>
      <c r="T11" s="90">
        <v>10</v>
      </c>
      <c r="U11" s="90"/>
      <c r="V11" s="90"/>
      <c r="W11" s="83">
        <f t="shared" si="3"/>
        <v>8497.9120000000003</v>
      </c>
      <c r="X11" s="90" t="s">
        <v>26</v>
      </c>
      <c r="Y11" t="e">
        <f>_xlfn.XLOOKUP(C11,[1]工资核对的全字段!$C:$C,[1]工资核对的全字段!$CV:$CV,0)</f>
        <v>#VALUE!</v>
      </c>
      <c r="Z11" s="71" t="e">
        <f t="shared" si="4"/>
        <v>#VALUE!</v>
      </c>
    </row>
    <row r="12" spans="1:26" ht="24" customHeight="1" x14ac:dyDescent="0.15">
      <c r="A12" s="6">
        <v>11</v>
      </c>
      <c r="B12" s="75">
        <v>7</v>
      </c>
      <c r="C12" s="79" t="s">
        <v>77</v>
      </c>
      <c r="D12" s="79" t="s">
        <v>78</v>
      </c>
      <c r="E12" s="77">
        <v>3500</v>
      </c>
      <c r="F12" s="6"/>
      <c r="G12" s="78">
        <v>155694</v>
      </c>
      <c r="H12" s="78">
        <v>2001</v>
      </c>
      <c r="I12" s="78">
        <v>2190.15</v>
      </c>
      <c r="J12" s="87">
        <v>11665.32</v>
      </c>
      <c r="K12" s="87">
        <v>2450</v>
      </c>
      <c r="L12" s="83">
        <v>0</v>
      </c>
      <c r="M12" s="87">
        <v>1113.3</v>
      </c>
      <c r="N12" s="84">
        <f t="shared" si="0"/>
        <v>136274.23000000001</v>
      </c>
      <c r="O12" s="85">
        <v>0.04</v>
      </c>
      <c r="P12" s="86">
        <f t="shared" si="1"/>
        <v>5450.9691999999995</v>
      </c>
      <c r="Q12" s="84">
        <f t="shared" si="2"/>
        <v>8950.9691999999995</v>
      </c>
      <c r="R12" s="83">
        <v>641</v>
      </c>
      <c r="S12" s="83"/>
      <c r="T12" s="6">
        <v>120</v>
      </c>
      <c r="U12" s="6"/>
      <c r="V12" s="8"/>
      <c r="W12" s="83">
        <f t="shared" si="3"/>
        <v>8189.9691999999995</v>
      </c>
      <c r="X12" s="90" t="s">
        <v>71</v>
      </c>
      <c r="Y12" t="e">
        <f>_xlfn.XLOOKUP(C12,[1]工资核对的全字段!$C:$C,[1]工资核对的全字段!$CV:$CV,0)</f>
        <v>#VALUE!</v>
      </c>
      <c r="Z12" s="71" t="e">
        <f t="shared" si="4"/>
        <v>#VALUE!</v>
      </c>
    </row>
    <row r="13" spans="1:26" ht="24" customHeight="1" x14ac:dyDescent="0.15">
      <c r="A13" s="6">
        <v>12</v>
      </c>
      <c r="B13" s="75">
        <v>7</v>
      </c>
      <c r="C13" s="79" t="s">
        <v>79</v>
      </c>
      <c r="D13" s="79" t="s">
        <v>42</v>
      </c>
      <c r="E13" s="77">
        <v>3000</v>
      </c>
      <c r="F13" s="6"/>
      <c r="G13" s="78">
        <v>158633</v>
      </c>
      <c r="H13" s="78">
        <v>4219.55</v>
      </c>
      <c r="I13" s="78">
        <v>955.53</v>
      </c>
      <c r="J13" s="87">
        <v>3464.34</v>
      </c>
      <c r="K13" s="87">
        <v>-3750</v>
      </c>
      <c r="L13" s="83">
        <v>300</v>
      </c>
      <c r="M13" s="87">
        <v>1373.4</v>
      </c>
      <c r="N13" s="84">
        <f t="shared" si="0"/>
        <v>152070.18</v>
      </c>
      <c r="O13" s="85">
        <v>0.03</v>
      </c>
      <c r="P13" s="86">
        <f t="shared" si="1"/>
        <v>4562.1054000000004</v>
      </c>
      <c r="Q13" s="84">
        <f t="shared" si="2"/>
        <v>7562.1054000000004</v>
      </c>
      <c r="R13" s="83">
        <v>0</v>
      </c>
      <c r="S13" s="83"/>
      <c r="T13" s="6">
        <v>10</v>
      </c>
      <c r="U13" s="6"/>
      <c r="V13" s="8"/>
      <c r="W13" s="83">
        <f t="shared" si="3"/>
        <v>7552.1054000000004</v>
      </c>
      <c r="X13" s="90" t="s">
        <v>26</v>
      </c>
      <c r="Y13" t="e">
        <f>_xlfn.XLOOKUP(C13,[1]工资核对的全字段!$C:$C,[1]工资核对的全字段!$CV:$CV,0)</f>
        <v>#VALUE!</v>
      </c>
      <c r="Z13" s="71" t="e">
        <f t="shared" si="4"/>
        <v>#VALUE!</v>
      </c>
    </row>
    <row r="14" spans="1:26" ht="24.95" customHeight="1" x14ac:dyDescent="0.15">
      <c r="A14" s="6">
        <v>13</v>
      </c>
      <c r="B14" s="75">
        <v>7</v>
      </c>
      <c r="C14" s="76" t="s">
        <v>80</v>
      </c>
      <c r="D14" s="76" t="s">
        <v>35</v>
      </c>
      <c r="E14" s="77">
        <v>3500</v>
      </c>
      <c r="F14" s="79"/>
      <c r="G14" s="78">
        <v>522756</v>
      </c>
      <c r="H14" s="78">
        <v>2025</v>
      </c>
      <c r="I14" s="78">
        <v>1715.29</v>
      </c>
      <c r="J14" s="83">
        <v>3589.34</v>
      </c>
      <c r="K14" s="83">
        <v>23805</v>
      </c>
      <c r="L14" s="83">
        <v>0</v>
      </c>
      <c r="M14" s="83">
        <v>961.8</v>
      </c>
      <c r="N14" s="84">
        <f t="shared" si="0"/>
        <v>490659.57</v>
      </c>
      <c r="O14" s="85">
        <v>3.5000000000000003E-2</v>
      </c>
      <c r="P14" s="86">
        <f t="shared" si="1"/>
        <v>17173.08495</v>
      </c>
      <c r="Q14" s="84">
        <f t="shared" si="2"/>
        <v>20673.08495</v>
      </c>
      <c r="R14" s="83">
        <v>644</v>
      </c>
      <c r="S14" s="83"/>
      <c r="T14" s="90">
        <v>0</v>
      </c>
      <c r="U14" s="90"/>
      <c r="V14" s="83"/>
      <c r="W14" s="83">
        <f t="shared" si="3"/>
        <v>20029.08495</v>
      </c>
      <c r="X14" s="90"/>
      <c r="Y14" t="e">
        <f>_xlfn.XLOOKUP(C14,[1]工资核对的全字段!$C:$C,[1]工资核对的全字段!$CV:$CV,0)</f>
        <v>#VALUE!</v>
      </c>
      <c r="Z14" s="71" t="e">
        <f t="shared" si="4"/>
        <v>#VALUE!</v>
      </c>
    </row>
    <row r="15" spans="1:26" ht="24.95" customHeight="1" x14ac:dyDescent="0.15">
      <c r="A15" s="6">
        <v>14</v>
      </c>
      <c r="B15" s="75">
        <v>7</v>
      </c>
      <c r="C15" s="76" t="s">
        <v>81</v>
      </c>
      <c r="D15" s="76" t="s">
        <v>82</v>
      </c>
      <c r="E15" s="77">
        <v>3000</v>
      </c>
      <c r="F15" s="79"/>
      <c r="G15" s="78">
        <v>220223</v>
      </c>
      <c r="H15" s="78">
        <v>2426.79</v>
      </c>
      <c r="I15" s="78">
        <v>997.28</v>
      </c>
      <c r="J15" s="83">
        <v>3222.84</v>
      </c>
      <c r="K15" s="83">
        <v>8600</v>
      </c>
      <c r="L15" s="83">
        <v>0</v>
      </c>
      <c r="M15" s="83">
        <v>775.2</v>
      </c>
      <c r="N15" s="84">
        <f t="shared" si="0"/>
        <v>204200.89</v>
      </c>
      <c r="O15" s="85">
        <v>0.03</v>
      </c>
      <c r="P15" s="86">
        <f t="shared" si="1"/>
        <v>6126.0267000000003</v>
      </c>
      <c r="Q15" s="84">
        <f t="shared" si="2"/>
        <v>9126.0267000000003</v>
      </c>
      <c r="R15" s="83">
        <v>644</v>
      </c>
      <c r="S15" s="83"/>
      <c r="T15" s="90">
        <v>0</v>
      </c>
      <c r="U15" s="90"/>
      <c r="V15" s="83"/>
      <c r="W15" s="83">
        <f t="shared" si="3"/>
        <v>8482.0267000000003</v>
      </c>
      <c r="X15" s="90"/>
      <c r="Y15" t="e">
        <f>_xlfn.XLOOKUP(C15,[1]工资核对的全字段!$C:$C,[1]工资核对的全字段!$CV:$CV,0)</f>
        <v>#VALUE!</v>
      </c>
      <c r="Z15" s="71" t="e">
        <f t="shared" si="4"/>
        <v>#VALUE!</v>
      </c>
    </row>
    <row r="16" spans="1:26" s="65" customFormat="1" ht="24.95" customHeight="1" x14ac:dyDescent="0.15">
      <c r="A16" s="6">
        <v>15</v>
      </c>
      <c r="B16" s="75">
        <v>7</v>
      </c>
      <c r="C16" s="79" t="s">
        <v>83</v>
      </c>
      <c r="D16" s="79" t="s">
        <v>84</v>
      </c>
      <c r="E16" s="77">
        <v>3000</v>
      </c>
      <c r="F16" s="79"/>
      <c r="G16" s="78">
        <v>111267</v>
      </c>
      <c r="H16" s="78">
        <v>7901.28</v>
      </c>
      <c r="I16" s="78">
        <v>896.98</v>
      </c>
      <c r="J16" s="83">
        <v>3666.72</v>
      </c>
      <c r="K16" s="83">
        <v>2550</v>
      </c>
      <c r="L16" s="83">
        <v>0</v>
      </c>
      <c r="M16" s="83">
        <v>717.2</v>
      </c>
      <c r="N16" s="84">
        <f t="shared" si="0"/>
        <v>95534.82</v>
      </c>
      <c r="O16" s="85">
        <v>0.04</v>
      </c>
      <c r="P16" s="86">
        <f t="shared" si="1"/>
        <v>3821.3928000000001</v>
      </c>
      <c r="Q16" s="84">
        <f t="shared" si="2"/>
        <v>6821.3927999999996</v>
      </c>
      <c r="R16" s="83">
        <v>641</v>
      </c>
      <c r="S16" s="83"/>
      <c r="T16" s="90">
        <v>10</v>
      </c>
      <c r="U16" s="90"/>
      <c r="V16" s="90"/>
      <c r="W16" s="83">
        <f t="shared" si="3"/>
        <v>6170.3927999999996</v>
      </c>
      <c r="X16" s="90" t="s">
        <v>26</v>
      </c>
      <c r="Y16" t="e">
        <f>_xlfn.XLOOKUP(C16,[1]工资核对的全字段!$C:$C,[1]工资核对的全字段!$CV:$CV,0)</f>
        <v>#VALUE!</v>
      </c>
      <c r="Z16" s="71" t="e">
        <f t="shared" si="4"/>
        <v>#VALUE!</v>
      </c>
    </row>
    <row r="17" spans="1:27" s="65" customFormat="1" ht="24.95" customHeight="1" x14ac:dyDescent="0.15">
      <c r="A17" s="6">
        <v>16</v>
      </c>
      <c r="B17" s="75">
        <v>7</v>
      </c>
      <c r="C17" s="79" t="s">
        <v>85</v>
      </c>
      <c r="D17" s="79" t="s">
        <v>86</v>
      </c>
      <c r="E17" s="77">
        <v>3000</v>
      </c>
      <c r="F17" s="79"/>
      <c r="G17" s="78">
        <v>153950.6</v>
      </c>
      <c r="H17" s="78">
        <v>3263.25</v>
      </c>
      <c r="I17" s="78">
        <v>1044.5</v>
      </c>
      <c r="J17" s="83">
        <v>4129.88</v>
      </c>
      <c r="K17" s="83">
        <v>2040</v>
      </c>
      <c r="L17" s="83">
        <v>0</v>
      </c>
      <c r="M17" s="83">
        <v>888.4</v>
      </c>
      <c r="N17" s="84">
        <f t="shared" si="0"/>
        <v>142584.57</v>
      </c>
      <c r="O17" s="85">
        <v>0.04</v>
      </c>
      <c r="P17" s="86">
        <f t="shared" si="1"/>
        <v>5703.3828000000003</v>
      </c>
      <c r="Q17" s="84">
        <f t="shared" si="2"/>
        <v>8703.3827999999994</v>
      </c>
      <c r="R17" s="83">
        <v>641</v>
      </c>
      <c r="S17" s="83"/>
      <c r="T17" s="90">
        <v>20</v>
      </c>
      <c r="U17" s="90"/>
      <c r="V17" s="90">
        <v>100</v>
      </c>
      <c r="W17" s="83">
        <f t="shared" si="3"/>
        <v>7942.3828000000003</v>
      </c>
      <c r="X17" s="90" t="s">
        <v>87</v>
      </c>
      <c r="Y17" t="e">
        <f>_xlfn.XLOOKUP(C17,[1]工资核对的全字段!$C:$C,[1]工资核对的全字段!$CV:$CV,0)</f>
        <v>#VALUE!</v>
      </c>
      <c r="Z17" s="71" t="e">
        <f t="shared" si="4"/>
        <v>#VALUE!</v>
      </c>
    </row>
    <row r="18" spans="1:27" s="65" customFormat="1" ht="24.95" customHeight="1" x14ac:dyDescent="0.15">
      <c r="A18" s="6">
        <v>17</v>
      </c>
      <c r="B18" s="75">
        <v>7</v>
      </c>
      <c r="C18" s="79" t="s">
        <v>88</v>
      </c>
      <c r="D18" s="79" t="s">
        <v>89</v>
      </c>
      <c r="E18" s="77">
        <v>4000</v>
      </c>
      <c r="F18" s="79"/>
      <c r="G18" s="78">
        <v>311108</v>
      </c>
      <c r="H18" s="78">
        <v>2500</v>
      </c>
      <c r="I18" s="78">
        <v>571.79</v>
      </c>
      <c r="J18" s="83">
        <v>3078.24</v>
      </c>
      <c r="K18" s="83">
        <v>62020</v>
      </c>
      <c r="L18" s="83">
        <v>5200</v>
      </c>
      <c r="M18" s="83">
        <v>722.2</v>
      </c>
      <c r="N18" s="84">
        <f t="shared" si="0"/>
        <v>237015.77</v>
      </c>
      <c r="O18" s="85">
        <v>0.04</v>
      </c>
      <c r="P18" s="86">
        <f t="shared" si="1"/>
        <v>9480.6308000000008</v>
      </c>
      <c r="Q18" s="84">
        <f t="shared" si="2"/>
        <v>13480.630800000001</v>
      </c>
      <c r="R18" s="83">
        <v>641</v>
      </c>
      <c r="S18" s="83"/>
      <c r="T18" s="90">
        <v>0</v>
      </c>
      <c r="U18" s="90"/>
      <c r="V18" s="90"/>
      <c r="W18" s="83">
        <f t="shared" si="3"/>
        <v>12839.630800000001</v>
      </c>
      <c r="X18" s="90"/>
      <c r="Y18" t="e">
        <f>_xlfn.XLOOKUP(C18,[1]工资核对的全字段!$C:$C,[1]工资核对的全字段!$CV:$CV,0)</f>
        <v>#VALUE!</v>
      </c>
      <c r="Z18" s="71" t="e">
        <f t="shared" si="4"/>
        <v>#VALUE!</v>
      </c>
    </row>
    <row r="19" spans="1:27" s="65" customFormat="1" ht="24.95" customHeight="1" x14ac:dyDescent="0.15">
      <c r="A19" s="6">
        <v>18</v>
      </c>
      <c r="B19" s="75">
        <v>7</v>
      </c>
      <c r="C19" s="79" t="s">
        <v>90</v>
      </c>
      <c r="D19" s="79" t="s">
        <v>91</v>
      </c>
      <c r="E19" s="77">
        <v>3000</v>
      </c>
      <c r="F19" s="79">
        <v>50</v>
      </c>
      <c r="G19" s="78">
        <v>139022</v>
      </c>
      <c r="H19" s="78">
        <v>4456.45</v>
      </c>
      <c r="I19" s="78">
        <v>1510.72</v>
      </c>
      <c r="J19" s="83">
        <v>3717.66</v>
      </c>
      <c r="K19" s="83">
        <v>8980</v>
      </c>
      <c r="L19" s="83">
        <v>0</v>
      </c>
      <c r="M19" s="83">
        <v>881.5</v>
      </c>
      <c r="N19" s="84">
        <f t="shared" si="0"/>
        <v>119475.67</v>
      </c>
      <c r="O19" s="85">
        <v>0.03</v>
      </c>
      <c r="P19" s="86">
        <f t="shared" si="1"/>
        <v>3584.2701000000002</v>
      </c>
      <c r="Q19" s="84">
        <f>E19+P19</f>
        <v>6584.2700999999997</v>
      </c>
      <c r="R19" s="83">
        <v>641</v>
      </c>
      <c r="S19" s="83"/>
      <c r="T19" s="90"/>
      <c r="U19" s="90"/>
      <c r="V19" s="90"/>
      <c r="W19" s="83">
        <f>Q19-R19-S19-T19+U19-V19</f>
        <v>5943.2700999999997</v>
      </c>
      <c r="X19" s="90"/>
      <c r="Y19" t="e">
        <f>_xlfn.XLOOKUP(C19,[1]工资核对的全字段!$C:$C,[1]工资核对的全字段!$CV:$CV,0)</f>
        <v>#VALUE!</v>
      </c>
      <c r="Z19" s="71" t="e">
        <f t="shared" si="4"/>
        <v>#VALUE!</v>
      </c>
      <c r="AA19" s="65" t="s">
        <v>174</v>
      </c>
    </row>
    <row r="20" spans="1:27" ht="26.1" customHeight="1" x14ac:dyDescent="0.15">
      <c r="A20" s="6">
        <v>19</v>
      </c>
      <c r="B20" s="75">
        <v>7</v>
      </c>
      <c r="C20" s="79" t="s">
        <v>177</v>
      </c>
      <c r="D20" s="79" t="s">
        <v>33</v>
      </c>
      <c r="E20" s="77">
        <v>3000</v>
      </c>
      <c r="F20" s="6"/>
      <c r="G20" s="78">
        <v>135590</v>
      </c>
      <c r="H20" s="78">
        <v>1259.28</v>
      </c>
      <c r="I20" s="78">
        <v>1380.21</v>
      </c>
      <c r="J20" s="87">
        <v>3929.7</v>
      </c>
      <c r="K20" s="87">
        <v>3240</v>
      </c>
      <c r="L20" s="83">
        <v>0</v>
      </c>
      <c r="M20" s="87">
        <v>428.8</v>
      </c>
      <c r="N20" s="84">
        <f t="shared" si="0"/>
        <v>125352.01</v>
      </c>
      <c r="O20" s="85">
        <v>3.5000000000000003E-2</v>
      </c>
      <c r="P20" s="86">
        <f t="shared" si="1"/>
        <v>4387.32035</v>
      </c>
      <c r="Q20" s="84">
        <f t="shared" si="2"/>
        <v>7387.32035</v>
      </c>
      <c r="R20" s="83">
        <v>639</v>
      </c>
      <c r="S20" s="83"/>
      <c r="T20" s="6"/>
      <c r="U20" s="6"/>
      <c r="V20" s="8"/>
      <c r="W20" s="83">
        <f t="shared" si="3"/>
        <v>6748.32035</v>
      </c>
      <c r="X20" s="90"/>
      <c r="Y20" t="e">
        <f>_xlfn.XLOOKUP(C20,[1]工资核对的全字段!$C:$C,[1]工资核对的全字段!$CV:$CV,0)</f>
        <v>#VALUE!</v>
      </c>
      <c r="Z20" s="71" t="e">
        <f t="shared" si="4"/>
        <v>#VALUE!</v>
      </c>
      <c r="AA20" s="107" t="s">
        <v>175</v>
      </c>
    </row>
    <row r="21" spans="1:27" s="65" customFormat="1" ht="24.95" customHeight="1" x14ac:dyDescent="0.15">
      <c r="A21" s="6">
        <v>20</v>
      </c>
      <c r="B21" s="75">
        <v>7</v>
      </c>
      <c r="C21" s="79" t="s">
        <v>92</v>
      </c>
      <c r="D21" s="79" t="s">
        <v>39</v>
      </c>
      <c r="E21" s="77">
        <v>3000</v>
      </c>
      <c r="F21" s="79"/>
      <c r="G21" s="78">
        <v>205041</v>
      </c>
      <c r="H21" s="78">
        <v>2000</v>
      </c>
      <c r="I21" s="78">
        <v>902.66</v>
      </c>
      <c r="J21" s="83">
        <v>1049.7</v>
      </c>
      <c r="K21" s="83">
        <v>12845</v>
      </c>
      <c r="L21" s="83">
        <v>3203</v>
      </c>
      <c r="M21" s="83">
        <v>701.7</v>
      </c>
      <c r="N21" s="84">
        <f t="shared" si="0"/>
        <v>184338.94</v>
      </c>
      <c r="O21" s="85">
        <v>3.5000000000000003E-2</v>
      </c>
      <c r="P21" s="86">
        <f t="shared" si="1"/>
        <v>6451.8629000000001</v>
      </c>
      <c r="Q21" s="84">
        <f t="shared" si="2"/>
        <v>9451.8629000000001</v>
      </c>
      <c r="R21" s="83">
        <v>641</v>
      </c>
      <c r="S21" s="83"/>
      <c r="T21" s="90">
        <v>20</v>
      </c>
      <c r="U21" s="90"/>
      <c r="V21" s="90"/>
      <c r="W21" s="83">
        <f t="shared" si="3"/>
        <v>8790.8629000000001</v>
      </c>
      <c r="X21" s="90" t="s">
        <v>58</v>
      </c>
      <c r="Y21" t="e">
        <f>_xlfn.XLOOKUP(C21,[1]工资核对的全字段!$C:$C,[1]工资核对的全字段!$CV:$CV,0)</f>
        <v>#VALUE!</v>
      </c>
      <c r="Z21" s="71" t="e">
        <f t="shared" si="4"/>
        <v>#VALUE!</v>
      </c>
    </row>
    <row r="22" spans="1:27" s="65" customFormat="1" ht="24.95" customHeight="1" x14ac:dyDescent="0.15">
      <c r="A22" s="6">
        <v>21</v>
      </c>
      <c r="B22" s="75">
        <v>7</v>
      </c>
      <c r="C22" s="79" t="s">
        <v>93</v>
      </c>
      <c r="D22" s="79" t="s">
        <v>94</v>
      </c>
      <c r="E22" s="77">
        <v>3000</v>
      </c>
      <c r="F22" s="79"/>
      <c r="G22" s="78">
        <v>92371</v>
      </c>
      <c r="H22" s="78">
        <v>156</v>
      </c>
      <c r="I22" s="78">
        <v>375.92</v>
      </c>
      <c r="J22" s="83">
        <v>3175.2</v>
      </c>
      <c r="K22" s="83">
        <v>0</v>
      </c>
      <c r="L22" s="83">
        <v>0</v>
      </c>
      <c r="M22" s="83">
        <v>723.3</v>
      </c>
      <c r="N22" s="84">
        <f t="shared" si="0"/>
        <v>87940.58</v>
      </c>
      <c r="O22" s="85">
        <v>0.04</v>
      </c>
      <c r="P22" s="86">
        <f t="shared" si="1"/>
        <v>3517.6232</v>
      </c>
      <c r="Q22" s="84">
        <f t="shared" si="2"/>
        <v>6517.6232</v>
      </c>
      <c r="R22" s="83">
        <v>644</v>
      </c>
      <c r="S22" s="83"/>
      <c r="T22" s="90">
        <v>10</v>
      </c>
      <c r="U22" s="90"/>
      <c r="V22" s="90">
        <v>100</v>
      </c>
      <c r="W22" s="83">
        <f t="shared" si="3"/>
        <v>5763.6232</v>
      </c>
      <c r="X22" s="90" t="s">
        <v>95</v>
      </c>
      <c r="Y22" t="e">
        <f>_xlfn.XLOOKUP(C22,[1]工资核对的全字段!$C:$C,[1]工资核对的全字段!$CV:$CV,0)</f>
        <v>#VALUE!</v>
      </c>
      <c r="Z22" s="71" t="e">
        <f t="shared" si="4"/>
        <v>#VALUE!</v>
      </c>
    </row>
    <row r="23" spans="1:27" s="67" customFormat="1" ht="24.95" customHeight="1" x14ac:dyDescent="0.15">
      <c r="A23" s="6">
        <v>22</v>
      </c>
      <c r="B23" s="75">
        <v>7</v>
      </c>
      <c r="C23" s="79" t="s">
        <v>96</v>
      </c>
      <c r="D23" s="79" t="s">
        <v>97</v>
      </c>
      <c r="E23" s="77">
        <v>3000</v>
      </c>
      <c r="F23" s="79"/>
      <c r="G23" s="78">
        <v>143757</v>
      </c>
      <c r="H23" s="78">
        <v>3000</v>
      </c>
      <c r="I23" s="78">
        <v>681.77</v>
      </c>
      <c r="J23" s="83">
        <v>2764.42</v>
      </c>
      <c r="K23" s="83">
        <v>10520</v>
      </c>
      <c r="L23" s="83">
        <v>0</v>
      </c>
      <c r="M23" s="83">
        <v>618.70000000000005</v>
      </c>
      <c r="N23" s="84">
        <f t="shared" si="0"/>
        <v>126172.11</v>
      </c>
      <c r="O23" s="85">
        <v>4.4999999999999998E-2</v>
      </c>
      <c r="P23" s="86">
        <f t="shared" si="1"/>
        <v>5677.7449500000002</v>
      </c>
      <c r="Q23" s="84">
        <f t="shared" si="2"/>
        <v>8677.7449500000002</v>
      </c>
      <c r="R23" s="83">
        <v>644</v>
      </c>
      <c r="S23" s="83"/>
      <c r="T23" s="90">
        <v>0</v>
      </c>
      <c r="U23" s="90"/>
      <c r="V23" s="90"/>
      <c r="W23" s="83">
        <f t="shared" si="3"/>
        <v>8033.7449500000002</v>
      </c>
      <c r="X23" s="90"/>
      <c r="Y23" t="e">
        <f>_xlfn.XLOOKUP(C23,[1]工资核对的全字段!$C:$C,[1]工资核对的全字段!$CV:$CV,0)</f>
        <v>#VALUE!</v>
      </c>
      <c r="Z23" s="71" t="e">
        <f t="shared" si="4"/>
        <v>#VALUE!</v>
      </c>
    </row>
    <row r="24" spans="1:27" s="65" customFormat="1" ht="24.95" customHeight="1" x14ac:dyDescent="0.15">
      <c r="A24" s="6">
        <v>23</v>
      </c>
      <c r="B24" s="75">
        <v>7</v>
      </c>
      <c r="C24" s="79" t="s">
        <v>98</v>
      </c>
      <c r="D24" s="79" t="s">
        <v>99</v>
      </c>
      <c r="E24" s="77">
        <v>3500</v>
      </c>
      <c r="F24" s="79"/>
      <c r="G24" s="78">
        <v>151129</v>
      </c>
      <c r="H24" s="78">
        <v>6040.43</v>
      </c>
      <c r="I24" s="78">
        <v>477.24</v>
      </c>
      <c r="J24" s="83">
        <v>3086.14</v>
      </c>
      <c r="K24" s="83">
        <v>-4305</v>
      </c>
      <c r="L24" s="83">
        <v>0</v>
      </c>
      <c r="M24" s="83">
        <v>871.5</v>
      </c>
      <c r="N24" s="84">
        <f t="shared" si="0"/>
        <v>144958.69</v>
      </c>
      <c r="O24" s="108">
        <v>3.5000000000000003E-2</v>
      </c>
      <c r="P24" s="86">
        <f t="shared" si="1"/>
        <v>5073.5541500000008</v>
      </c>
      <c r="Q24" s="84">
        <f t="shared" si="2"/>
        <v>8573.5541499999999</v>
      </c>
      <c r="R24" s="83">
        <v>644</v>
      </c>
      <c r="S24" s="83"/>
      <c r="T24" s="90">
        <v>0</v>
      </c>
      <c r="U24" s="90"/>
      <c r="V24" s="90"/>
      <c r="W24" s="83">
        <f t="shared" si="3"/>
        <v>7929.5541499999999</v>
      </c>
      <c r="X24" s="90"/>
      <c r="Y24" t="e">
        <f>_xlfn.XLOOKUP(C24,[1]工资核对的全字段!$C:$C,[1]工资核对的全字段!$CV:$CV,0)</f>
        <v>#VALUE!</v>
      </c>
      <c r="Z24" s="71" t="e">
        <f t="shared" si="4"/>
        <v>#VALUE!</v>
      </c>
      <c r="AA24" s="65" t="s">
        <v>176</v>
      </c>
    </row>
    <row r="25" spans="1:27" s="65" customFormat="1" ht="24.95" customHeight="1" x14ac:dyDescent="0.15">
      <c r="A25" s="6">
        <v>24</v>
      </c>
      <c r="B25" s="75">
        <v>7</v>
      </c>
      <c r="C25" s="79" t="s">
        <v>100</v>
      </c>
      <c r="D25" s="79" t="s">
        <v>101</v>
      </c>
      <c r="E25" s="77">
        <v>3000</v>
      </c>
      <c r="F25" s="79"/>
      <c r="G25" s="78">
        <v>180307.8</v>
      </c>
      <c r="H25" s="78">
        <v>4438.3599999999997</v>
      </c>
      <c r="I25" s="78">
        <v>1593.28</v>
      </c>
      <c r="J25" s="83">
        <v>4101.6000000000004</v>
      </c>
      <c r="K25" s="83">
        <v>1655</v>
      </c>
      <c r="L25" s="83">
        <v>0</v>
      </c>
      <c r="M25" s="83">
        <v>1122.5</v>
      </c>
      <c r="N25" s="84">
        <f t="shared" si="0"/>
        <v>167397.06</v>
      </c>
      <c r="O25" s="85">
        <v>3.5000000000000003E-2</v>
      </c>
      <c r="P25" s="86">
        <f t="shared" si="1"/>
        <v>5858.8971000000001</v>
      </c>
      <c r="Q25" s="84">
        <f t="shared" si="2"/>
        <v>8858.8971000000001</v>
      </c>
      <c r="R25" s="83">
        <v>641</v>
      </c>
      <c r="S25" s="83"/>
      <c r="T25" s="90">
        <v>90</v>
      </c>
      <c r="U25" s="90"/>
      <c r="V25" s="90"/>
      <c r="W25" s="83">
        <f t="shared" si="3"/>
        <v>8127.8971000000001</v>
      </c>
      <c r="X25" s="90" t="s">
        <v>31</v>
      </c>
      <c r="Y25" t="e">
        <f>_xlfn.XLOOKUP(C25,[1]工资核对的全字段!$C:$C,[1]工资核对的全字段!$CV:$CV,0)</f>
        <v>#VALUE!</v>
      </c>
      <c r="Z25" s="71" t="e">
        <f t="shared" si="4"/>
        <v>#VALUE!</v>
      </c>
    </row>
    <row r="26" spans="1:27" s="65" customFormat="1" ht="24.95" customHeight="1" x14ac:dyDescent="0.15">
      <c r="A26" s="6">
        <v>25</v>
      </c>
      <c r="B26" s="75">
        <v>7</v>
      </c>
      <c r="C26" s="79" t="s">
        <v>102</v>
      </c>
      <c r="D26" s="79" t="s">
        <v>103</v>
      </c>
      <c r="E26" s="77">
        <v>3500</v>
      </c>
      <c r="F26" s="79"/>
      <c r="G26" s="78">
        <v>200049.7</v>
      </c>
      <c r="H26" s="78">
        <v>2686.64</v>
      </c>
      <c r="I26" s="78">
        <v>1269.98</v>
      </c>
      <c r="J26" s="83">
        <v>2572.54</v>
      </c>
      <c r="K26" s="83">
        <v>10560</v>
      </c>
      <c r="L26" s="83">
        <v>281.39999999999998</v>
      </c>
      <c r="M26" s="83">
        <v>820.9</v>
      </c>
      <c r="N26" s="84">
        <f t="shared" si="0"/>
        <v>181858.24</v>
      </c>
      <c r="O26" s="85">
        <v>3.5000000000000003E-2</v>
      </c>
      <c r="P26" s="86">
        <f t="shared" si="1"/>
        <v>6365.0384000000004</v>
      </c>
      <c r="Q26" s="84">
        <f t="shared" si="2"/>
        <v>9865.0383999999995</v>
      </c>
      <c r="R26" s="83">
        <v>639</v>
      </c>
      <c r="S26" s="83"/>
      <c r="T26" s="90">
        <v>20</v>
      </c>
      <c r="U26" s="90"/>
      <c r="V26" s="90"/>
      <c r="W26" s="83">
        <f t="shared" si="3"/>
        <v>9206.0383999999995</v>
      </c>
      <c r="X26" s="90" t="s">
        <v>58</v>
      </c>
      <c r="Y26" t="e">
        <f>_xlfn.XLOOKUP(C26,[1]工资核对的全字段!$C:$C,[1]工资核对的全字段!$CV:$CV,0)</f>
        <v>#VALUE!</v>
      </c>
      <c r="Z26" s="71" t="e">
        <f t="shared" si="4"/>
        <v>#VALUE!</v>
      </c>
    </row>
  </sheetData>
  <phoneticPr fontId="35" type="noConversion"/>
  <conditionalFormatting sqref="C1">
    <cfRule type="duplicateValues" dxfId="58" priority="88"/>
  </conditionalFormatting>
  <conditionalFormatting sqref="C2 C24">
    <cfRule type="duplicateValues" dxfId="57" priority="89"/>
  </conditionalFormatting>
  <conditionalFormatting sqref="C3">
    <cfRule type="duplicateValues" dxfId="56" priority="35"/>
  </conditionalFormatting>
  <conditionalFormatting sqref="C4">
    <cfRule type="duplicateValues" dxfId="55" priority="33"/>
  </conditionalFormatting>
  <conditionalFormatting sqref="C7">
    <cfRule type="duplicateValues" dxfId="54" priority="29"/>
  </conditionalFormatting>
  <conditionalFormatting sqref="C8">
    <cfRule type="duplicateValues" dxfId="53" priority="27"/>
  </conditionalFormatting>
  <conditionalFormatting sqref="C9">
    <cfRule type="duplicateValues" dxfId="52" priority="23"/>
  </conditionalFormatting>
  <conditionalFormatting sqref="C10">
    <cfRule type="duplicateValues" dxfId="51" priority="21"/>
  </conditionalFormatting>
  <conditionalFormatting sqref="C11">
    <cfRule type="duplicateValues" dxfId="50" priority="19"/>
  </conditionalFormatting>
  <conditionalFormatting sqref="C12:C13">
    <cfRule type="duplicateValues" dxfId="49" priority="17"/>
  </conditionalFormatting>
  <conditionalFormatting sqref="C15">
    <cfRule type="duplicateValues" dxfId="48" priority="15"/>
  </conditionalFormatting>
  <conditionalFormatting sqref="C16:C17">
    <cfRule type="duplicateValues" dxfId="47" priority="10"/>
  </conditionalFormatting>
  <conditionalFormatting sqref="C18">
    <cfRule type="duplicateValues" dxfId="46" priority="8"/>
  </conditionalFormatting>
  <conditionalFormatting sqref="C19">
    <cfRule type="duplicateValues" dxfId="45" priority="6"/>
  </conditionalFormatting>
  <conditionalFormatting sqref="C22">
    <cfRule type="duplicateValues" dxfId="44" priority="3"/>
  </conditionalFormatting>
  <conditionalFormatting sqref="C25">
    <cfRule type="duplicateValues" dxfId="43" priority="62"/>
  </conditionalFormatting>
  <conditionalFormatting sqref="C26">
    <cfRule type="duplicateValues" dxfId="42" priority="59"/>
  </conditionalFormatting>
  <conditionalFormatting sqref="C5:D5">
    <cfRule type="duplicateValues" dxfId="41" priority="32"/>
  </conditionalFormatting>
  <conditionalFormatting sqref="C14:D14">
    <cfRule type="duplicateValues" dxfId="40" priority="14"/>
  </conditionalFormatting>
  <conditionalFormatting sqref="C20:D20">
    <cfRule type="duplicateValues" dxfId="39" priority="1"/>
  </conditionalFormatting>
  <conditionalFormatting sqref="C21:D21">
    <cfRule type="duplicateValues" dxfId="38" priority="4"/>
  </conditionalFormatting>
  <conditionalFormatting sqref="C23:D23">
    <cfRule type="duplicateValues" dxfId="37" priority="2"/>
  </conditionalFormatting>
  <conditionalFormatting sqref="D1:D2 D24">
    <cfRule type="duplicateValues" dxfId="36" priority="90"/>
  </conditionalFormatting>
  <conditionalFormatting sqref="D3">
    <cfRule type="duplicateValues" dxfId="35" priority="36"/>
  </conditionalFormatting>
  <conditionalFormatting sqref="D4">
    <cfRule type="duplicateValues" dxfId="34" priority="34"/>
  </conditionalFormatting>
  <conditionalFormatting sqref="D6">
    <cfRule type="duplicateValues" dxfId="33" priority="31"/>
  </conditionalFormatting>
  <conditionalFormatting sqref="D7">
    <cfRule type="duplicateValues" dxfId="32" priority="30"/>
  </conditionalFormatting>
  <conditionalFormatting sqref="D8">
    <cfRule type="duplicateValues" dxfId="31" priority="28"/>
  </conditionalFormatting>
  <conditionalFormatting sqref="D9">
    <cfRule type="duplicateValues" dxfId="30" priority="24"/>
  </conditionalFormatting>
  <conditionalFormatting sqref="D10">
    <cfRule type="duplicateValues" dxfId="29" priority="22"/>
  </conditionalFormatting>
  <conditionalFormatting sqref="D11">
    <cfRule type="duplicateValues" dxfId="28" priority="20"/>
  </conditionalFormatting>
  <conditionalFormatting sqref="D12:D13">
    <cfRule type="duplicateValues" dxfId="27" priority="18"/>
  </conditionalFormatting>
  <conditionalFormatting sqref="D15">
    <cfRule type="duplicateValues" dxfId="26" priority="16"/>
  </conditionalFormatting>
  <conditionalFormatting sqref="D16:D17">
    <cfRule type="duplicateValues" dxfId="25" priority="11"/>
  </conditionalFormatting>
  <conditionalFormatting sqref="D18">
    <cfRule type="duplicateValues" dxfId="24" priority="9"/>
  </conditionalFormatting>
  <conditionalFormatting sqref="D19">
    <cfRule type="duplicateValues" dxfId="23" priority="7"/>
  </conditionalFormatting>
  <conditionalFormatting sqref="D22">
    <cfRule type="duplicateValues" dxfId="22" priority="5"/>
  </conditionalFormatting>
  <conditionalFormatting sqref="D25">
    <cfRule type="duplicateValues" dxfId="21" priority="67"/>
  </conditionalFormatting>
  <conditionalFormatting sqref="D26">
    <cfRule type="duplicateValues" dxfId="20" priority="64"/>
  </conditionalFormatting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53"/>
  <sheetViews>
    <sheetView tabSelected="1" workbookViewId="0">
      <selection activeCell="O22" sqref="O22"/>
    </sheetView>
  </sheetViews>
  <sheetFormatPr defaultColWidth="9" defaultRowHeight="12" x14ac:dyDescent="0.15"/>
  <cols>
    <col min="1" max="1" width="4.125" style="33" customWidth="1"/>
    <col min="2" max="2" width="6" style="33" customWidth="1"/>
    <col min="3" max="3" width="7" style="33" customWidth="1"/>
    <col min="4" max="4" width="6.25" style="33" customWidth="1"/>
    <col min="5" max="5" width="6.375" style="33" customWidth="1"/>
    <col min="6" max="6" width="7.375" style="33" customWidth="1"/>
    <col min="7" max="7" width="7.5" style="34" customWidth="1"/>
    <col min="8" max="8" width="7.75" style="34" customWidth="1"/>
    <col min="9" max="9" width="12.125" style="33" customWidth="1"/>
    <col min="10" max="10" width="9.375" style="33" customWidth="1"/>
    <col min="11" max="11" width="9.125" style="33" customWidth="1"/>
    <col min="12" max="12" width="9.375" style="33" customWidth="1"/>
    <col min="13" max="13" width="8" style="33" customWidth="1"/>
    <col min="14" max="14" width="7.375" style="33" customWidth="1"/>
    <col min="15" max="15" width="16.75" style="33" customWidth="1"/>
    <col min="16" max="16" width="45.875" style="35" customWidth="1"/>
    <col min="17" max="17" width="13.75" style="33" customWidth="1"/>
    <col min="18" max="18" width="12.625" style="33"/>
    <col min="19" max="16384" width="9" style="33"/>
  </cols>
  <sheetData>
    <row r="1" spans="1:21" s="32" customFormat="1" ht="21" customHeight="1" x14ac:dyDescent="0.15">
      <c r="A1" s="36" t="s">
        <v>0</v>
      </c>
      <c r="B1" s="36" t="s">
        <v>104</v>
      </c>
      <c r="C1" s="37" t="s">
        <v>1</v>
      </c>
      <c r="D1" s="36" t="s">
        <v>3</v>
      </c>
      <c r="E1" s="36" t="s">
        <v>105</v>
      </c>
      <c r="F1" s="36" t="s">
        <v>2</v>
      </c>
      <c r="G1" s="38" t="s">
        <v>106</v>
      </c>
      <c r="H1" s="38" t="s">
        <v>12</v>
      </c>
      <c r="I1" s="36" t="s">
        <v>107</v>
      </c>
      <c r="J1" s="36" t="s">
        <v>108</v>
      </c>
      <c r="K1" s="36" t="s">
        <v>51</v>
      </c>
      <c r="L1" s="38" t="s">
        <v>109</v>
      </c>
      <c r="M1" s="36" t="s">
        <v>110</v>
      </c>
      <c r="N1" s="36" t="s">
        <v>111</v>
      </c>
      <c r="O1" s="36" t="s">
        <v>20</v>
      </c>
      <c r="P1" s="55" t="s">
        <v>21</v>
      </c>
    </row>
    <row r="2" spans="1:21" ht="12" customHeight="1" x14ac:dyDescent="0.15">
      <c r="A2" s="140">
        <v>7</v>
      </c>
      <c r="B2" s="149">
        <v>1</v>
      </c>
      <c r="C2" s="109" t="s">
        <v>178</v>
      </c>
      <c r="D2" s="149">
        <v>4000</v>
      </c>
      <c r="E2" s="149">
        <v>0</v>
      </c>
      <c r="F2" s="40" t="s">
        <v>61</v>
      </c>
      <c r="G2" s="41">
        <v>407490.19</v>
      </c>
      <c r="H2" s="41">
        <v>363971.12</v>
      </c>
      <c r="I2" s="56">
        <f>200000*0.01+50000*0.015+113971*0.02</f>
        <v>5029.42</v>
      </c>
      <c r="J2" s="131">
        <v>7565</v>
      </c>
      <c r="K2" s="131">
        <f>4000+7565</f>
        <v>11565</v>
      </c>
      <c r="L2" s="137">
        <v>10</v>
      </c>
      <c r="M2" s="137"/>
      <c r="N2" s="137"/>
      <c r="O2" s="131">
        <f>K2-L2-M2</f>
        <v>11555</v>
      </c>
      <c r="P2" s="124" t="s">
        <v>26</v>
      </c>
      <c r="Q2" s="33" t="e">
        <f>_xlfn.XLOOKUP(C2,[1]工资核对的全字段!$C:$C,[1]工资核对的全字段!$CV:$CV,0)</f>
        <v>#VALUE!</v>
      </c>
      <c r="R2" s="118" t="e">
        <f>Q2-O2</f>
        <v>#VALUE!</v>
      </c>
      <c r="S2" s="33">
        <f>_xlfn.XLOOKUP(F2,'[2]总经理-汇总表'!$B:$B,'[2]总经理-汇总表'!$Q:$Q,0)</f>
        <v>3859.5668000000001</v>
      </c>
      <c r="T2" s="33" t="s">
        <v>179</v>
      </c>
      <c r="U2" s="33" t="s">
        <v>180</v>
      </c>
    </row>
    <row r="3" spans="1:21" ht="14.1" customHeight="1" x14ac:dyDescent="0.15">
      <c r="A3" s="140"/>
      <c r="B3" s="150"/>
      <c r="C3" s="110"/>
      <c r="D3" s="150"/>
      <c r="E3" s="150"/>
      <c r="F3" s="40" t="s">
        <v>57</v>
      </c>
      <c r="G3" s="41">
        <v>201952.3</v>
      </c>
      <c r="H3" s="41">
        <v>190485.74</v>
      </c>
      <c r="I3" s="56">
        <v>0</v>
      </c>
      <c r="J3" s="132"/>
      <c r="K3" s="132"/>
      <c r="L3" s="138"/>
      <c r="M3" s="138"/>
      <c r="N3" s="138"/>
      <c r="O3" s="132"/>
      <c r="P3" s="125"/>
      <c r="Q3" s="33">
        <f>_xlfn.XLOOKUP(C3,[1]工资核对的全字段!$C:$C,[1]工资核对的全字段!$CV:$CV,0)</f>
        <v>0</v>
      </c>
      <c r="R3" s="117">
        <f t="shared" ref="R3:R53" si="0">Q3-O3</f>
        <v>0</v>
      </c>
      <c r="S3" s="33">
        <f>_xlfn.XLOOKUP(F3,'[2]总经理-汇总表'!$B:$B,'[2]总经理-汇总表'!$Q:$Q,0)</f>
        <v>0</v>
      </c>
    </row>
    <row r="4" spans="1:21" ht="14.1" customHeight="1" x14ac:dyDescent="0.15">
      <c r="A4" s="140"/>
      <c r="B4" s="150"/>
      <c r="C4" s="110"/>
      <c r="D4" s="150"/>
      <c r="E4" s="150"/>
      <c r="F4" s="40">
        <v>468</v>
      </c>
      <c r="G4" s="41">
        <v>140295</v>
      </c>
      <c r="H4" s="41">
        <v>127193.11</v>
      </c>
      <c r="I4" s="56">
        <v>0</v>
      </c>
      <c r="J4" s="132"/>
      <c r="K4" s="132"/>
      <c r="L4" s="138"/>
      <c r="M4" s="138"/>
      <c r="N4" s="138"/>
      <c r="O4" s="132"/>
      <c r="P4" s="125"/>
      <c r="Q4" s="33">
        <f>_xlfn.XLOOKUP(C4,[1]工资核对的全字段!$C:$C,[1]工资核对的全字段!$CV:$CV,0)</f>
        <v>0</v>
      </c>
      <c r="R4" s="117">
        <f t="shared" si="0"/>
        <v>0</v>
      </c>
      <c r="S4" s="33">
        <f>_xlfn.XLOOKUP(F4,'[2]总经理-汇总表'!$B:$B,'[2]总经理-汇总表'!$Q:$Q,0)</f>
        <v>0</v>
      </c>
    </row>
    <row r="5" spans="1:21" ht="14.1" customHeight="1" x14ac:dyDescent="0.15">
      <c r="A5" s="140"/>
      <c r="B5" s="150"/>
      <c r="C5" s="110"/>
      <c r="D5" s="150"/>
      <c r="E5" s="150"/>
      <c r="F5" s="40" t="s">
        <v>64</v>
      </c>
      <c r="G5" s="41">
        <v>259744.88</v>
      </c>
      <c r="H5" s="41">
        <v>214268.52</v>
      </c>
      <c r="I5" s="56">
        <f>150000*0.01+50000*0.015+14269*0.02</f>
        <v>2535.38</v>
      </c>
      <c r="J5" s="132"/>
      <c r="K5" s="132"/>
      <c r="L5" s="138"/>
      <c r="M5" s="138"/>
      <c r="N5" s="138"/>
      <c r="O5" s="132"/>
      <c r="P5" s="125"/>
      <c r="Q5" s="33">
        <f>_xlfn.XLOOKUP(C5,[1]工资核对的全字段!$C:$C,[1]工资核对的全字段!$CV:$CV,0)</f>
        <v>0</v>
      </c>
      <c r="R5" s="117">
        <f t="shared" si="0"/>
        <v>0</v>
      </c>
      <c r="S5" s="33">
        <f>_xlfn.XLOOKUP(F5,'[2]总经理-汇总表'!$B:$B,'[2]总经理-汇总表'!$Q:$Q,0)</f>
        <v>2535.3704000000002</v>
      </c>
    </row>
    <row r="6" spans="1:21" ht="14.1" customHeight="1" x14ac:dyDescent="0.15">
      <c r="A6" s="140"/>
      <c r="B6" s="150"/>
      <c r="C6" s="110"/>
      <c r="D6" s="150"/>
      <c r="E6" s="150"/>
      <c r="F6" s="40" t="s">
        <v>66</v>
      </c>
      <c r="G6" s="41">
        <v>100934</v>
      </c>
      <c r="H6" s="41">
        <v>89096.79</v>
      </c>
      <c r="I6" s="56">
        <v>0</v>
      </c>
      <c r="J6" s="132"/>
      <c r="K6" s="132"/>
      <c r="L6" s="138"/>
      <c r="M6" s="138"/>
      <c r="N6" s="138"/>
      <c r="O6" s="132"/>
      <c r="P6" s="125"/>
      <c r="Q6" s="33">
        <f>_xlfn.XLOOKUP(C6,[1]工资核对的全字段!$C:$C,[1]工资核对的全字段!$CV:$CV,0)</f>
        <v>0</v>
      </c>
      <c r="R6" s="117">
        <f t="shared" si="0"/>
        <v>0</v>
      </c>
      <c r="S6" s="33">
        <f>_xlfn.XLOOKUP(F6,'[2]总经理-汇总表'!$B:$B,'[2]总经理-汇总表'!$Q:$Q,0)</f>
        <v>0</v>
      </c>
    </row>
    <row r="7" spans="1:21" ht="14.1" hidden="1" customHeight="1" x14ac:dyDescent="0.15">
      <c r="A7" s="140"/>
      <c r="B7" s="151"/>
      <c r="C7" s="111"/>
      <c r="D7" s="151"/>
      <c r="E7" s="151"/>
      <c r="F7" s="40" t="s">
        <v>28</v>
      </c>
      <c r="G7" s="42">
        <v>210062</v>
      </c>
      <c r="H7" s="41">
        <v>180248.95999999999</v>
      </c>
      <c r="I7" s="56">
        <v>0</v>
      </c>
      <c r="J7" s="133"/>
      <c r="K7" s="133"/>
      <c r="L7" s="139"/>
      <c r="M7" s="139"/>
      <c r="N7" s="139"/>
      <c r="O7" s="133"/>
      <c r="P7" s="126"/>
      <c r="Q7" s="33">
        <f>_xlfn.XLOOKUP(C7,[1]工资核对的全字段!$C:$C,[1]工资核对的全字段!$CV:$CV,0)</f>
        <v>0</v>
      </c>
      <c r="R7" s="117">
        <f t="shared" si="0"/>
        <v>0</v>
      </c>
      <c r="S7" s="33">
        <f>_xlfn.XLOOKUP(F7,'[2]总经理-汇总表'!$B:$B,'[2]总经理-汇总表'!$Q:$Q,0)</f>
        <v>0</v>
      </c>
    </row>
    <row r="8" spans="1:21" ht="14.1" customHeight="1" x14ac:dyDescent="0.15">
      <c r="A8" s="43"/>
      <c r="B8" s="43"/>
      <c r="C8" s="44"/>
      <c r="D8" s="43"/>
      <c r="E8" s="43"/>
      <c r="F8" s="45"/>
      <c r="G8" s="46"/>
      <c r="H8" s="46"/>
      <c r="I8" s="45"/>
      <c r="J8" s="45"/>
      <c r="K8" s="45"/>
      <c r="L8" s="57"/>
      <c r="M8" s="57"/>
      <c r="N8" s="57"/>
      <c r="O8" s="45"/>
      <c r="P8" s="58"/>
      <c r="Q8" s="33">
        <f>_xlfn.XLOOKUP(C8,[1]工资核对的全字段!$C:$C,[1]工资核对的全字段!$CV:$CV,0)</f>
        <v>0</v>
      </c>
      <c r="R8" s="117">
        <f t="shared" si="0"/>
        <v>0</v>
      </c>
      <c r="S8" s="33">
        <f>_xlfn.XLOOKUP(F8,'[2]总经理-汇总表'!$B:$B,'[2]总经理-汇总表'!$Q:$Q,0)</f>
        <v>0</v>
      </c>
    </row>
    <row r="9" spans="1:21" s="32" customFormat="1" ht="21" customHeight="1" x14ac:dyDescent="0.15">
      <c r="A9" s="36" t="s">
        <v>0</v>
      </c>
      <c r="B9" s="36" t="s">
        <v>104</v>
      </c>
      <c r="C9" s="37" t="s">
        <v>1</v>
      </c>
      <c r="D9" s="36" t="s">
        <v>3</v>
      </c>
      <c r="E9" s="36" t="s">
        <v>105</v>
      </c>
      <c r="F9" s="36" t="s">
        <v>2</v>
      </c>
      <c r="G9" s="38" t="s">
        <v>106</v>
      </c>
      <c r="H9" s="38" t="s">
        <v>12</v>
      </c>
      <c r="I9" s="36" t="s">
        <v>107</v>
      </c>
      <c r="J9" s="36" t="s">
        <v>108</v>
      </c>
      <c r="K9" s="36" t="s">
        <v>51</v>
      </c>
      <c r="L9" s="38" t="s">
        <v>109</v>
      </c>
      <c r="M9" s="36" t="s">
        <v>110</v>
      </c>
      <c r="N9" s="36" t="s">
        <v>111</v>
      </c>
      <c r="O9" s="36" t="s">
        <v>20</v>
      </c>
      <c r="P9" s="55" t="s">
        <v>21</v>
      </c>
      <c r="Q9" s="33" t="str">
        <f>_xlfn.XLOOKUP(C9,[1]工资核对的全字段!$C:$C,[1]工资核对的全字段!$CV:$CV,0)</f>
        <v>当月支付总额</v>
      </c>
      <c r="R9" s="117" t="e">
        <f t="shared" si="0"/>
        <v>#VALUE!</v>
      </c>
      <c r="S9" s="33" t="str">
        <f>_xlfn.XLOOKUP(F9,'[2]总经理-汇总表'!$B:$B,'[2]总经理-汇总表'!$Q:$Q,0)</f>
        <v>月提成</v>
      </c>
    </row>
    <row r="10" spans="1:21" ht="17.100000000000001" customHeight="1" x14ac:dyDescent="0.15">
      <c r="A10" s="140">
        <v>7</v>
      </c>
      <c r="B10" s="140">
        <v>2</v>
      </c>
      <c r="C10" s="112" t="s">
        <v>112</v>
      </c>
      <c r="D10" s="140">
        <v>4000</v>
      </c>
      <c r="E10" s="140">
        <v>0</v>
      </c>
      <c r="F10" s="40" t="s">
        <v>68</v>
      </c>
      <c r="G10" s="47">
        <v>160812</v>
      </c>
      <c r="H10" s="42">
        <v>146003.42000000001</v>
      </c>
      <c r="I10" s="56">
        <f>H10*0.015</f>
        <v>2190.0513000000001</v>
      </c>
      <c r="J10" s="134">
        <f>SUM(I10:I12)</f>
        <v>5065.7505000000001</v>
      </c>
      <c r="K10" s="134">
        <f>4000+J10</f>
        <v>9065.7505000000001</v>
      </c>
      <c r="L10" s="146">
        <v>30</v>
      </c>
      <c r="M10" s="142"/>
      <c r="N10" s="140">
        <v>641</v>
      </c>
      <c r="O10" s="134">
        <f>K10-L10-N10</f>
        <v>8394.7505000000001</v>
      </c>
      <c r="P10" s="127" t="s">
        <v>113</v>
      </c>
      <c r="Q10" s="33" t="e">
        <f>_xlfn.XLOOKUP(C10,[1]工资核对的全字段!$C:$C,[1]工资核对的全字段!$CV:$CV,0)</f>
        <v>#VALUE!</v>
      </c>
      <c r="R10" s="118" t="e">
        <f t="shared" si="0"/>
        <v>#VALUE!</v>
      </c>
      <c r="S10" s="33">
        <f>_xlfn.XLOOKUP(F10,'[2]总经理-汇总表'!$B:$B,'[2]总经理-汇总表'!$Q:$Q,0)</f>
        <v>2190.0513000000001</v>
      </c>
      <c r="T10" s="119">
        <v>1.4999999999999999E-2</v>
      </c>
    </row>
    <row r="11" spans="1:21" ht="17.100000000000001" customHeight="1" x14ac:dyDescent="0.15">
      <c r="A11" s="140"/>
      <c r="B11" s="140"/>
      <c r="C11" s="112"/>
      <c r="D11" s="140"/>
      <c r="E11" s="140"/>
      <c r="F11" s="40" t="s">
        <v>70</v>
      </c>
      <c r="G11" s="47">
        <v>120949.6</v>
      </c>
      <c r="H11" s="42">
        <v>102021.46</v>
      </c>
      <c r="I11" s="56">
        <f>100000*0.015+2021*0.02</f>
        <v>1540.42</v>
      </c>
      <c r="J11" s="134"/>
      <c r="K11" s="134"/>
      <c r="L11" s="146"/>
      <c r="M11" s="142"/>
      <c r="N11" s="140"/>
      <c r="O11" s="134"/>
      <c r="P11" s="127"/>
      <c r="Q11" s="33">
        <f>_xlfn.XLOOKUP(C11,[1]工资核对的全字段!$C:$C,[1]工资核对的全字段!$CV:$CV,0)</f>
        <v>0</v>
      </c>
      <c r="R11" s="117">
        <f t="shared" si="0"/>
        <v>0</v>
      </c>
      <c r="S11" s="33">
        <f>_xlfn.XLOOKUP(F11,'[2]总经理-汇总表'!$B:$B,'[2]总经理-汇总表'!$Q:$Q,0)</f>
        <v>1540.4292</v>
      </c>
    </row>
    <row r="12" spans="1:21" ht="15.95" customHeight="1" x14ac:dyDescent="0.15">
      <c r="A12" s="140"/>
      <c r="B12" s="140"/>
      <c r="C12" s="112"/>
      <c r="D12" s="140"/>
      <c r="E12" s="140"/>
      <c r="F12" s="40" t="s">
        <v>25</v>
      </c>
      <c r="G12" s="47">
        <v>150031.32999999999</v>
      </c>
      <c r="H12" s="42">
        <v>133527.92000000001</v>
      </c>
      <c r="I12" s="56">
        <f>H12*0.01</f>
        <v>1335.2792000000002</v>
      </c>
      <c r="J12" s="134"/>
      <c r="K12" s="134"/>
      <c r="L12" s="146"/>
      <c r="M12" s="142"/>
      <c r="N12" s="140"/>
      <c r="O12" s="134"/>
      <c r="P12" s="127"/>
      <c r="Q12" s="33">
        <f>_xlfn.XLOOKUP(C12,[1]工资核对的全字段!$C:$C,[1]工资核对的全字段!$CV:$CV,0)</f>
        <v>0</v>
      </c>
      <c r="R12" s="117">
        <f t="shared" si="0"/>
        <v>0</v>
      </c>
      <c r="S12" s="33">
        <f>_xlfn.XLOOKUP(F12,'[2]总经理-汇总表'!$B:$B,'[2]总经理-汇总表'!$Q:$Q,0)</f>
        <v>1335.2791999999999</v>
      </c>
    </row>
    <row r="13" spans="1:21" ht="14.1" customHeight="1" x14ac:dyDescent="0.15">
      <c r="A13" s="43"/>
      <c r="B13" s="43"/>
      <c r="C13" s="44"/>
      <c r="D13" s="43"/>
      <c r="E13" s="43"/>
      <c r="F13" s="34"/>
      <c r="G13" s="46"/>
      <c r="H13" s="46"/>
      <c r="I13" s="45"/>
      <c r="J13" s="45"/>
      <c r="K13" s="45"/>
      <c r="L13" s="57"/>
      <c r="M13" s="57"/>
      <c r="N13" s="57"/>
      <c r="O13" s="45"/>
      <c r="P13" s="58"/>
      <c r="Q13" s="33">
        <f>_xlfn.XLOOKUP(C13,[1]工资核对的全字段!$C:$C,[1]工资核对的全字段!$CV:$CV,0)</f>
        <v>0</v>
      </c>
      <c r="R13" s="117">
        <f t="shared" si="0"/>
        <v>0</v>
      </c>
      <c r="S13" s="33">
        <f>_xlfn.XLOOKUP(F13,'[2]总经理-汇总表'!$B:$B,'[2]总经理-汇总表'!$Q:$Q,0)</f>
        <v>0</v>
      </c>
    </row>
    <row r="14" spans="1:21" s="32" customFormat="1" ht="27.95" customHeight="1" x14ac:dyDescent="0.15">
      <c r="A14" s="36" t="s">
        <v>0</v>
      </c>
      <c r="B14" s="36" t="s">
        <v>104</v>
      </c>
      <c r="C14" s="37" t="s">
        <v>1</v>
      </c>
      <c r="D14" s="36" t="s">
        <v>3</v>
      </c>
      <c r="E14" s="36" t="s">
        <v>105</v>
      </c>
      <c r="F14" s="36" t="s">
        <v>2</v>
      </c>
      <c r="G14" s="38" t="s">
        <v>106</v>
      </c>
      <c r="H14" s="38" t="s">
        <v>12</v>
      </c>
      <c r="I14" s="36" t="s">
        <v>107</v>
      </c>
      <c r="J14" s="36" t="s">
        <v>108</v>
      </c>
      <c r="K14" s="36" t="s">
        <v>51</v>
      </c>
      <c r="L14" s="38" t="s">
        <v>109</v>
      </c>
      <c r="M14" s="36" t="s">
        <v>110</v>
      </c>
      <c r="N14" s="36" t="s">
        <v>111</v>
      </c>
      <c r="O14" s="36" t="s">
        <v>20</v>
      </c>
      <c r="P14" s="55" t="s">
        <v>21</v>
      </c>
      <c r="Q14" s="33" t="str">
        <f>_xlfn.XLOOKUP(C14,[1]工资核对的全字段!$C:$C,[1]工资核对的全字段!$CV:$CV,0)</f>
        <v>当月支付总额</v>
      </c>
      <c r="R14" s="117" t="e">
        <f t="shared" si="0"/>
        <v>#VALUE!</v>
      </c>
      <c r="S14" s="33" t="str">
        <f>_xlfn.XLOOKUP(F14,'[2]总经理-汇总表'!$B:$B,'[2]总经理-汇总表'!$Q:$Q,0)</f>
        <v>月提成</v>
      </c>
    </row>
    <row r="15" spans="1:21" ht="12.95" customHeight="1" x14ac:dyDescent="0.15">
      <c r="A15" s="140">
        <v>7</v>
      </c>
      <c r="B15" s="140">
        <v>3</v>
      </c>
      <c r="C15" s="112" t="s">
        <v>114</v>
      </c>
      <c r="D15" s="140">
        <v>4000</v>
      </c>
      <c r="E15" s="140">
        <v>0</v>
      </c>
      <c r="F15" s="40" t="s">
        <v>78</v>
      </c>
      <c r="G15" s="42">
        <v>155694</v>
      </c>
      <c r="H15" s="120">
        <f>136274.23-5000</f>
        <v>131274.23000000001</v>
      </c>
      <c r="I15" s="59">
        <f>H15*0.01</f>
        <v>1312.7423000000001</v>
      </c>
      <c r="J15" s="147">
        <f>SUM(I15:I20)</f>
        <v>7381.1148000000012</v>
      </c>
      <c r="K15" s="135">
        <f>D15+J15</f>
        <v>11381.114800000001</v>
      </c>
      <c r="L15" s="140">
        <v>20</v>
      </c>
      <c r="M15" s="140"/>
      <c r="N15" s="140">
        <v>641</v>
      </c>
      <c r="O15" s="135">
        <f>K15-L15-N15-1000</f>
        <v>9720.1148000000012</v>
      </c>
      <c r="P15" s="128" t="s">
        <v>115</v>
      </c>
      <c r="Q15" s="33" t="e">
        <f>_xlfn.XLOOKUP(C15,[1]工资核对的全字段!$C:$C,[1]工资核对的全字段!$CV:$CV,0)</f>
        <v>#VALUE!</v>
      </c>
      <c r="R15" s="118" t="e">
        <f t="shared" si="0"/>
        <v>#VALUE!</v>
      </c>
      <c r="S15" s="33">
        <f>_xlfn.XLOOKUP(F15,'[2]总经理-汇总表'!$B:$B,'[2]总经理-汇总表'!$Q:$Q,0)</f>
        <v>1312.7423000000001</v>
      </c>
      <c r="T15" s="33">
        <v>-1000</v>
      </c>
    </row>
    <row r="16" spans="1:21" ht="12.95" customHeight="1" x14ac:dyDescent="0.15">
      <c r="A16" s="140"/>
      <c r="B16" s="140"/>
      <c r="C16" s="112"/>
      <c r="D16" s="140"/>
      <c r="E16" s="140"/>
      <c r="F16" s="40" t="s">
        <v>42</v>
      </c>
      <c r="G16" s="42">
        <v>158633</v>
      </c>
      <c r="H16" s="42">
        <v>152070.18</v>
      </c>
      <c r="I16" s="59">
        <v>0</v>
      </c>
      <c r="J16" s="148"/>
      <c r="K16" s="135"/>
      <c r="L16" s="140"/>
      <c r="M16" s="140"/>
      <c r="N16" s="140"/>
      <c r="O16" s="135"/>
      <c r="P16" s="128"/>
      <c r="Q16" s="33">
        <f>_xlfn.XLOOKUP(C16,[1]工资核对的全字段!$C:$C,[1]工资核对的全字段!$CV:$CV,0)</f>
        <v>0</v>
      </c>
      <c r="R16" s="117">
        <f t="shared" si="0"/>
        <v>0</v>
      </c>
      <c r="S16" s="33">
        <f>_xlfn.XLOOKUP(F16,'[2]总经理-汇总表'!$B:$B,'[2]总经理-汇总表'!$Q:$Q,0)</f>
        <v>0</v>
      </c>
    </row>
    <row r="17" spans="1:19" ht="12.95" customHeight="1" x14ac:dyDescent="0.15">
      <c r="A17" s="140"/>
      <c r="B17" s="140"/>
      <c r="C17" s="112"/>
      <c r="D17" s="140"/>
      <c r="E17" s="140"/>
      <c r="F17" s="40" t="s">
        <v>181</v>
      </c>
      <c r="G17" s="47">
        <v>180024</v>
      </c>
      <c r="H17" s="42">
        <v>171360.44</v>
      </c>
      <c r="I17" s="59">
        <f>150000*0.01+21360*0.015</f>
        <v>1820.4</v>
      </c>
      <c r="J17" s="148"/>
      <c r="K17" s="135"/>
      <c r="L17" s="140"/>
      <c r="M17" s="140"/>
      <c r="N17" s="140"/>
      <c r="O17" s="135"/>
      <c r="P17" s="128"/>
      <c r="Q17" s="33">
        <f>_xlfn.XLOOKUP(C17,[1]工资核对的全字段!$C:$C,[1]工资核对的全字段!$CV:$CV,0)</f>
        <v>0</v>
      </c>
      <c r="R17" s="117">
        <f t="shared" si="0"/>
        <v>0</v>
      </c>
      <c r="S17" s="33">
        <f>_xlfn.XLOOKUP(F17,'[2]总经理-汇总表'!$B:$B,'[2]总经理-汇总表'!$Q:$Q,0)</f>
        <v>1820.4066</v>
      </c>
    </row>
    <row r="18" spans="1:19" ht="12.95" customHeight="1" x14ac:dyDescent="0.15">
      <c r="A18" s="140"/>
      <c r="B18" s="140"/>
      <c r="C18" s="112"/>
      <c r="D18" s="140"/>
      <c r="E18" s="140"/>
      <c r="F18" s="40" t="s">
        <v>23</v>
      </c>
      <c r="G18" s="42">
        <v>152421</v>
      </c>
      <c r="H18" s="42">
        <v>145914.04999999999</v>
      </c>
      <c r="I18" s="59">
        <f>H18*0.01</f>
        <v>1459.1405</v>
      </c>
      <c r="J18" s="148"/>
      <c r="K18" s="135"/>
      <c r="L18" s="140"/>
      <c r="M18" s="140"/>
      <c r="N18" s="140"/>
      <c r="O18" s="135"/>
      <c r="P18" s="128"/>
      <c r="Q18" s="33">
        <f>_xlfn.XLOOKUP(C18,[1]工资核对的全字段!$C:$C,[1]工资核对的全字段!$CV:$CV,0)</f>
        <v>0</v>
      </c>
      <c r="R18" s="117">
        <f t="shared" si="0"/>
        <v>0</v>
      </c>
      <c r="S18" s="33">
        <f>_xlfn.XLOOKUP(F18,'[2]总经理-汇总表'!$B:$B,'[2]总经理-汇总表'!$Q:$Q,0)</f>
        <v>1459.1405</v>
      </c>
    </row>
    <row r="19" spans="1:19" ht="12.95" customHeight="1" x14ac:dyDescent="0.15">
      <c r="A19" s="140"/>
      <c r="B19" s="140"/>
      <c r="C19" s="112"/>
      <c r="D19" s="140"/>
      <c r="E19" s="140"/>
      <c r="F19" s="40" t="s">
        <v>75</v>
      </c>
      <c r="G19" s="42">
        <v>150422</v>
      </c>
      <c r="H19" s="42">
        <v>137585.4</v>
      </c>
      <c r="I19" s="59">
        <f>H19*0.01</f>
        <v>1375.854</v>
      </c>
      <c r="J19" s="148"/>
      <c r="K19" s="135"/>
      <c r="L19" s="140"/>
      <c r="M19" s="140"/>
      <c r="N19" s="140"/>
      <c r="O19" s="135"/>
      <c r="P19" s="128"/>
      <c r="Q19" s="33">
        <f>_xlfn.XLOOKUP(C19,[1]工资核对的全字段!$C:$C,[1]工资核对的全字段!$CV:$CV,0)</f>
        <v>0</v>
      </c>
      <c r="R19" s="117">
        <f t="shared" si="0"/>
        <v>0</v>
      </c>
      <c r="S19" s="33">
        <f>_xlfn.XLOOKUP(F19,'[2]总经理-汇总表'!$B:$B,'[2]总经理-汇总表'!$Q:$Q,0)</f>
        <v>1375.854</v>
      </c>
    </row>
    <row r="20" spans="1:19" ht="12.95" customHeight="1" x14ac:dyDescent="0.15">
      <c r="A20" s="140"/>
      <c r="B20" s="140"/>
      <c r="C20" s="112"/>
      <c r="D20" s="140"/>
      <c r="E20" s="140"/>
      <c r="F20" s="40" t="s">
        <v>37</v>
      </c>
      <c r="G20" s="42">
        <v>169632</v>
      </c>
      <c r="H20" s="42">
        <v>141297.79999999999</v>
      </c>
      <c r="I20" s="59">
        <f>H20*0.01</f>
        <v>1412.9779999999998</v>
      </c>
      <c r="J20" s="148"/>
      <c r="K20" s="135"/>
      <c r="L20" s="140"/>
      <c r="M20" s="140"/>
      <c r="N20" s="140"/>
      <c r="O20" s="135"/>
      <c r="P20" s="128"/>
      <c r="Q20" s="33">
        <f>_xlfn.XLOOKUP(C20,[1]工资核对的全字段!$C:$C,[1]工资核对的全字段!$CV:$CV,0)</f>
        <v>0</v>
      </c>
      <c r="R20" s="117">
        <f t="shared" si="0"/>
        <v>0</v>
      </c>
      <c r="S20" s="33">
        <f>_xlfn.XLOOKUP(F20,'[2]总经理-汇总表'!$B:$B,'[2]总经理-汇总表'!$Q:$Q,0)</f>
        <v>1412.9779999999998</v>
      </c>
    </row>
    <row r="21" spans="1:19" ht="17.100000000000001" customHeight="1" x14ac:dyDescent="0.15">
      <c r="A21" s="43"/>
      <c r="B21" s="43"/>
      <c r="C21" s="43"/>
      <c r="D21" s="43"/>
      <c r="E21" s="43"/>
      <c r="F21" s="1"/>
      <c r="G21" s="48"/>
      <c r="H21" s="42"/>
      <c r="I21" s="60"/>
      <c r="J21" s="61"/>
      <c r="K21" s="45"/>
      <c r="L21" s="43"/>
      <c r="M21" s="43"/>
      <c r="N21" s="43"/>
      <c r="O21" s="43"/>
      <c r="P21" s="58"/>
      <c r="Q21" s="33">
        <f>_xlfn.XLOOKUP(C21,[1]工资核对的全字段!$C:$C,[1]工资核对的全字段!$CV:$CV,0)</f>
        <v>0</v>
      </c>
      <c r="R21" s="117">
        <f t="shared" si="0"/>
        <v>0</v>
      </c>
      <c r="S21" s="33">
        <f>_xlfn.XLOOKUP(F21,'[2]总经理-汇总表'!$B:$B,'[2]总经理-汇总表'!$Q:$Q,0)</f>
        <v>0</v>
      </c>
    </row>
    <row r="22" spans="1:19" s="32" customFormat="1" ht="21" customHeight="1" x14ac:dyDescent="0.15">
      <c r="A22" s="36" t="s">
        <v>0</v>
      </c>
      <c r="B22" s="36" t="s">
        <v>104</v>
      </c>
      <c r="C22" s="37" t="s">
        <v>1</v>
      </c>
      <c r="D22" s="36" t="s">
        <v>3</v>
      </c>
      <c r="E22" s="36" t="s">
        <v>105</v>
      </c>
      <c r="F22" s="36" t="s">
        <v>2</v>
      </c>
      <c r="G22" s="38" t="s">
        <v>106</v>
      </c>
      <c r="H22" s="38" t="s">
        <v>12</v>
      </c>
      <c r="I22" s="36" t="s">
        <v>107</v>
      </c>
      <c r="J22" s="36" t="s">
        <v>108</v>
      </c>
      <c r="K22" s="36" t="s">
        <v>51</v>
      </c>
      <c r="L22" s="38" t="s">
        <v>109</v>
      </c>
      <c r="M22" s="36" t="s">
        <v>110</v>
      </c>
      <c r="N22" s="36" t="s">
        <v>111</v>
      </c>
      <c r="O22" s="36" t="s">
        <v>20</v>
      </c>
      <c r="P22" s="55" t="s">
        <v>21</v>
      </c>
      <c r="Q22" s="33" t="str">
        <f>_xlfn.XLOOKUP(C22,[1]工资核对的全字段!$C:$C,[1]工资核对的全字段!$CV:$CV,0)</f>
        <v>当月支付总额</v>
      </c>
      <c r="R22" s="117" t="e">
        <f t="shared" si="0"/>
        <v>#VALUE!</v>
      </c>
      <c r="S22" s="33" t="str">
        <f>_xlfn.XLOOKUP(F22,'[2]总经理-汇总表'!$B:$B,'[2]总经理-汇总表'!$Q:$Q,0)</f>
        <v>月提成</v>
      </c>
    </row>
    <row r="23" spans="1:19" ht="12" customHeight="1" x14ac:dyDescent="0.15">
      <c r="A23" s="141">
        <v>7</v>
      </c>
      <c r="B23" s="141">
        <v>4</v>
      </c>
      <c r="C23" s="113" t="s">
        <v>116</v>
      </c>
      <c r="D23" s="140">
        <v>4000</v>
      </c>
      <c r="E23" s="141">
        <v>0</v>
      </c>
      <c r="F23" s="40" t="s">
        <v>35</v>
      </c>
      <c r="G23" s="41">
        <v>522756</v>
      </c>
      <c r="H23" s="41">
        <v>490659.57</v>
      </c>
      <c r="I23" s="56">
        <f>350000*0.01+50000*0.015+90660*0.02</f>
        <v>6063.2</v>
      </c>
      <c r="J23" s="135">
        <f>SUM(I23:I27)</f>
        <v>7489.0456999999997</v>
      </c>
      <c r="K23" s="135">
        <f>D23+J23</f>
        <v>11489.045699999999</v>
      </c>
      <c r="L23" s="141">
        <v>10</v>
      </c>
      <c r="M23" s="141"/>
      <c r="N23" s="140">
        <v>641</v>
      </c>
      <c r="O23" s="135">
        <f>K23-L23-N23</f>
        <v>10838.045699999999</v>
      </c>
      <c r="P23" s="128" t="s">
        <v>26</v>
      </c>
      <c r="Q23" s="33" t="e">
        <f>_xlfn.XLOOKUP(C23,[1]工资核对的全字段!$C:$C,[1]工资核对的全字段!$CV:$CV,0)</f>
        <v>#VALUE!</v>
      </c>
      <c r="R23" s="118" t="e">
        <f t="shared" si="0"/>
        <v>#VALUE!</v>
      </c>
      <c r="S23" s="33">
        <f>_xlfn.XLOOKUP(F23,'[2]总经理-汇总表'!$B:$B,'[2]总经理-汇总表'!$Q:$Q,0)</f>
        <v>6063.1913999999997</v>
      </c>
    </row>
    <row r="24" spans="1:19" ht="12" customHeight="1" x14ac:dyDescent="0.15">
      <c r="A24" s="141"/>
      <c r="B24" s="141"/>
      <c r="C24" s="114"/>
      <c r="D24" s="140"/>
      <c r="E24" s="141"/>
      <c r="F24" s="40" t="s">
        <v>82</v>
      </c>
      <c r="G24" s="41">
        <v>220223</v>
      </c>
      <c r="H24" s="41">
        <v>204200.89</v>
      </c>
      <c r="I24" s="56">
        <v>0</v>
      </c>
      <c r="J24" s="140"/>
      <c r="K24" s="135"/>
      <c r="L24" s="141"/>
      <c r="M24" s="141"/>
      <c r="N24" s="140"/>
      <c r="O24" s="135"/>
      <c r="P24" s="128"/>
      <c r="Q24" s="33">
        <f>_xlfn.XLOOKUP(C24,[1]工资核对的全字段!$C:$C,[1]工资核对的全字段!$CV:$CV,0)</f>
        <v>0</v>
      </c>
      <c r="R24" s="117">
        <f t="shared" si="0"/>
        <v>0</v>
      </c>
      <c r="S24" s="33">
        <f>_xlfn.XLOOKUP(F24,'[2]总经理-汇总表'!$B:$B,'[2]总经理-汇总表'!$Q:$Q,0)</f>
        <v>0</v>
      </c>
    </row>
    <row r="25" spans="1:19" ht="12" customHeight="1" x14ac:dyDescent="0.15">
      <c r="A25" s="141"/>
      <c r="B25" s="141"/>
      <c r="C25" s="114"/>
      <c r="D25" s="140"/>
      <c r="E25" s="141"/>
      <c r="F25" s="40" t="s">
        <v>84</v>
      </c>
      <c r="G25" s="41">
        <v>111267</v>
      </c>
      <c r="H25" s="41">
        <v>95534.82</v>
      </c>
      <c r="I25" s="56">
        <v>0</v>
      </c>
      <c r="J25" s="140"/>
      <c r="K25" s="135"/>
      <c r="L25" s="141"/>
      <c r="M25" s="141"/>
      <c r="N25" s="140"/>
      <c r="O25" s="135"/>
      <c r="P25" s="128"/>
      <c r="Q25" s="33">
        <f>_xlfn.XLOOKUP(C25,[1]工资核对的全字段!$C:$C,[1]工资核对的全字段!$CV:$CV,0)</f>
        <v>0</v>
      </c>
      <c r="R25" s="117">
        <f t="shared" si="0"/>
        <v>0</v>
      </c>
      <c r="S25" s="33">
        <f>_xlfn.XLOOKUP(F25,'[2]总经理-汇总表'!$B:$B,'[2]总经理-汇总表'!$Q:$Q,0)</f>
        <v>0</v>
      </c>
    </row>
    <row r="26" spans="1:19" ht="12" customHeight="1" x14ac:dyDescent="0.15">
      <c r="A26" s="141"/>
      <c r="B26" s="141"/>
      <c r="C26" s="114"/>
      <c r="D26" s="140"/>
      <c r="E26" s="141"/>
      <c r="F26" s="40" t="s">
        <v>182</v>
      </c>
      <c r="G26" s="41">
        <v>153950.6</v>
      </c>
      <c r="H26" s="41">
        <v>142584.57</v>
      </c>
      <c r="I26" s="56">
        <f>H26*0.01</f>
        <v>1425.8457000000001</v>
      </c>
      <c r="J26" s="140"/>
      <c r="K26" s="135"/>
      <c r="L26" s="141"/>
      <c r="M26" s="141"/>
      <c r="N26" s="140"/>
      <c r="O26" s="135"/>
      <c r="P26" s="128"/>
      <c r="Q26" s="33">
        <f>_xlfn.XLOOKUP(C26,[1]工资核对的全字段!$C:$C,[1]工资核对的全字段!$CV:$CV,0)</f>
        <v>0</v>
      </c>
      <c r="R26" s="117">
        <f t="shared" si="0"/>
        <v>0</v>
      </c>
      <c r="S26" s="33">
        <f>_xlfn.XLOOKUP(F26,'[2]总经理-汇总表'!$B:$B,'[2]总经理-汇总表'!$Q:$Q,0)</f>
        <v>1425.8457000000001</v>
      </c>
    </row>
    <row r="27" spans="1:19" ht="12" customHeight="1" x14ac:dyDescent="0.15">
      <c r="A27" s="141"/>
      <c r="B27" s="141"/>
      <c r="C27" s="114"/>
      <c r="D27" s="140"/>
      <c r="E27" s="141"/>
      <c r="F27" s="40" t="s">
        <v>33</v>
      </c>
      <c r="G27" s="41">
        <v>135590</v>
      </c>
      <c r="H27" s="41">
        <v>125352.01</v>
      </c>
      <c r="I27" s="56">
        <v>0</v>
      </c>
      <c r="J27" s="140"/>
      <c r="K27" s="135"/>
      <c r="L27" s="141"/>
      <c r="M27" s="141"/>
      <c r="N27" s="140"/>
      <c r="O27" s="135"/>
      <c r="P27" s="128"/>
      <c r="Q27" s="33">
        <f>_xlfn.XLOOKUP(C27,[1]工资核对的全字段!$C:$C,[1]工资核对的全字段!$CV:$CV,0)</f>
        <v>0</v>
      </c>
      <c r="R27" s="117">
        <f t="shared" si="0"/>
        <v>0</v>
      </c>
      <c r="S27" s="33">
        <f>_xlfn.XLOOKUP(F27,'[2]总经理-汇总表'!$B:$B,'[2]总经理-汇总表'!$Q:$Q,0)</f>
        <v>0</v>
      </c>
    </row>
    <row r="28" spans="1:19" ht="18.95" customHeight="1" x14ac:dyDescent="0.15">
      <c r="A28" s="50"/>
      <c r="B28" s="50"/>
      <c r="C28" s="51"/>
      <c r="D28" s="43"/>
      <c r="E28" s="50"/>
      <c r="F28" s="45"/>
      <c r="G28" s="52"/>
      <c r="H28" s="42"/>
      <c r="I28" s="45"/>
      <c r="J28" s="43"/>
      <c r="K28" s="43"/>
      <c r="L28" s="50"/>
      <c r="M28" s="50"/>
      <c r="N28" s="50"/>
      <c r="O28" s="50"/>
      <c r="P28" s="62"/>
      <c r="Q28" s="33">
        <f>_xlfn.XLOOKUP(C28,[1]工资核对的全字段!$C:$C,[1]工资核对的全字段!$CV:$CV,0)</f>
        <v>0</v>
      </c>
      <c r="R28" s="117">
        <f t="shared" si="0"/>
        <v>0</v>
      </c>
      <c r="S28" s="33">
        <f>_xlfn.XLOOKUP(F28,'[2]总经理-汇总表'!$B:$B,'[2]总经理-汇总表'!$Q:$Q,0)</f>
        <v>0</v>
      </c>
    </row>
    <row r="29" spans="1:19" s="32" customFormat="1" ht="21" customHeight="1" x14ac:dyDescent="0.15">
      <c r="A29" s="36" t="s">
        <v>0</v>
      </c>
      <c r="B29" s="36" t="s">
        <v>104</v>
      </c>
      <c r="C29" s="37" t="s">
        <v>1</v>
      </c>
      <c r="D29" s="36" t="s">
        <v>3</v>
      </c>
      <c r="E29" s="36" t="s">
        <v>105</v>
      </c>
      <c r="F29" s="36" t="s">
        <v>2</v>
      </c>
      <c r="G29" s="38" t="s">
        <v>106</v>
      </c>
      <c r="H29" s="38" t="s">
        <v>12</v>
      </c>
      <c r="I29" s="36" t="s">
        <v>107</v>
      </c>
      <c r="J29" s="36" t="s">
        <v>108</v>
      </c>
      <c r="K29" s="36" t="s">
        <v>51</v>
      </c>
      <c r="L29" s="38" t="s">
        <v>109</v>
      </c>
      <c r="M29" s="36" t="s">
        <v>110</v>
      </c>
      <c r="N29" s="36" t="s">
        <v>111</v>
      </c>
      <c r="O29" s="36" t="s">
        <v>20</v>
      </c>
      <c r="P29" s="55" t="s">
        <v>21</v>
      </c>
      <c r="Q29" s="33" t="str">
        <f>_xlfn.XLOOKUP(C29,[1]工资核对的全字段!$C:$C,[1]工资核对的全字段!$CV:$CV,0)</f>
        <v>当月支付总额</v>
      </c>
      <c r="R29" s="117" t="e">
        <f t="shared" si="0"/>
        <v>#VALUE!</v>
      </c>
      <c r="S29" s="33" t="str">
        <f>_xlfn.XLOOKUP(F29,'[2]总经理-汇总表'!$B:$B,'[2]总经理-汇总表'!$Q:$Q,0)</f>
        <v>月提成</v>
      </c>
    </row>
    <row r="30" spans="1:19" ht="14.1" customHeight="1" x14ac:dyDescent="0.15">
      <c r="A30" s="140">
        <v>7</v>
      </c>
      <c r="B30" s="140">
        <v>5</v>
      </c>
      <c r="C30" s="115" t="s">
        <v>117</v>
      </c>
      <c r="D30" s="140">
        <v>4000</v>
      </c>
      <c r="E30" s="140">
        <v>0</v>
      </c>
      <c r="F30" s="40" t="s">
        <v>39</v>
      </c>
      <c r="G30" s="47">
        <v>205041</v>
      </c>
      <c r="H30" s="42">
        <v>184338.94</v>
      </c>
      <c r="I30" s="56">
        <f>150000*0.01+34339*0.02</f>
        <v>2186.7799999999997</v>
      </c>
      <c r="J30" s="141">
        <v>3710</v>
      </c>
      <c r="K30" s="135">
        <v>7710</v>
      </c>
      <c r="L30" s="140">
        <v>10</v>
      </c>
      <c r="M30" s="140"/>
      <c r="N30" s="141">
        <v>641</v>
      </c>
      <c r="O30" s="135">
        <f>K30-L30-N30</f>
        <v>7059</v>
      </c>
      <c r="P30" s="129" t="s">
        <v>26</v>
      </c>
      <c r="Q30" s="33" t="e">
        <f>_xlfn.XLOOKUP(C30,[1]工资核对的全字段!$C:$C,[1]工资核对的全字段!$CV:$CV,0)</f>
        <v>#VALUE!</v>
      </c>
      <c r="R30" s="117" t="e">
        <f t="shared" si="0"/>
        <v>#VALUE!</v>
      </c>
      <c r="S30" s="33">
        <f>_xlfn.XLOOKUP(F30,'[2]总经理-汇总表'!$B:$B,'[2]总经理-汇总表'!$Q:$Q,0)</f>
        <v>2186.7788</v>
      </c>
    </row>
    <row r="31" spans="1:19" ht="14.1" customHeight="1" x14ac:dyDescent="0.15">
      <c r="A31" s="140"/>
      <c r="B31" s="140"/>
      <c r="C31" s="115"/>
      <c r="D31" s="140"/>
      <c r="E31" s="140"/>
      <c r="F31" s="40" t="s">
        <v>97</v>
      </c>
      <c r="G31" s="47">
        <v>143757</v>
      </c>
      <c r="H31" s="42">
        <v>126172.11</v>
      </c>
      <c r="I31" s="56">
        <f>100000*0.01+26172*0.02</f>
        <v>1523.44</v>
      </c>
      <c r="J31" s="141"/>
      <c r="K31" s="135"/>
      <c r="L31" s="140"/>
      <c r="M31" s="140"/>
      <c r="N31" s="141"/>
      <c r="O31" s="135"/>
      <c r="P31" s="129"/>
      <c r="Q31" s="33">
        <f>_xlfn.XLOOKUP(C31,[1]工资核对的全字段!$C:$C,[1]工资核对的全字段!$CV:$CV,0)</f>
        <v>0</v>
      </c>
      <c r="R31" s="117">
        <f t="shared" si="0"/>
        <v>0</v>
      </c>
      <c r="S31" s="33">
        <f>_xlfn.XLOOKUP(F31,'[2]总经理-汇总表'!$B:$B,'[2]总经理-汇总表'!$Q:$Q,0)</f>
        <v>1523.4422</v>
      </c>
    </row>
    <row r="32" spans="1:19" ht="14.1" customHeight="1" x14ac:dyDescent="0.15">
      <c r="A32" s="140"/>
      <c r="B32" s="140"/>
      <c r="C32" s="115"/>
      <c r="D32" s="140"/>
      <c r="E32" s="140"/>
      <c r="F32" s="40" t="s">
        <v>94</v>
      </c>
      <c r="G32" s="47">
        <v>92371</v>
      </c>
      <c r="H32" s="42">
        <v>87940.58</v>
      </c>
      <c r="I32" s="56">
        <v>0</v>
      </c>
      <c r="J32" s="141"/>
      <c r="K32" s="135"/>
      <c r="L32" s="140"/>
      <c r="M32" s="140"/>
      <c r="N32" s="141"/>
      <c r="O32" s="135"/>
      <c r="P32" s="130"/>
      <c r="Q32" s="33">
        <f>_xlfn.XLOOKUP(C32,[1]工资核对的全字段!$C:$C,[1]工资核对的全字段!$CV:$CV,0)</f>
        <v>0</v>
      </c>
      <c r="R32" s="117">
        <f t="shared" si="0"/>
        <v>0</v>
      </c>
      <c r="S32" s="33">
        <f>_xlfn.XLOOKUP(F32,'[2]总经理-汇总表'!$B:$B,'[2]总经理-汇总表'!$Q:$Q,0)</f>
        <v>0</v>
      </c>
    </row>
    <row r="33" spans="1:19" ht="17.100000000000001" customHeight="1" x14ac:dyDescent="0.15">
      <c r="A33" s="39"/>
      <c r="B33" s="39"/>
      <c r="C33" s="53"/>
      <c r="D33" s="39"/>
      <c r="E33" s="39"/>
      <c r="F33" s="42"/>
      <c r="G33" s="41"/>
      <c r="H33" s="42"/>
      <c r="I33" s="56"/>
      <c r="J33" s="49"/>
      <c r="K33" s="56"/>
      <c r="L33" s="39"/>
      <c r="M33" s="64"/>
      <c r="N33" s="49"/>
      <c r="O33" s="56"/>
      <c r="P33" s="63"/>
      <c r="Q33" s="33">
        <f>_xlfn.XLOOKUP(C33,[1]工资核对的全字段!$C:$C,[1]工资核对的全字段!$CV:$CV,0)</f>
        <v>0</v>
      </c>
      <c r="R33" s="117">
        <f t="shared" si="0"/>
        <v>0</v>
      </c>
      <c r="S33" s="33">
        <f>_xlfn.XLOOKUP(F33,'[2]总经理-汇总表'!$B:$B,'[2]总经理-汇总表'!$Q:$Q,0)</f>
        <v>0</v>
      </c>
    </row>
    <row r="34" spans="1:19" s="32" customFormat="1" ht="21" customHeight="1" x14ac:dyDescent="0.15">
      <c r="A34" s="36" t="s">
        <v>0</v>
      </c>
      <c r="B34" s="36" t="s">
        <v>104</v>
      </c>
      <c r="C34" s="37" t="s">
        <v>1</v>
      </c>
      <c r="D34" s="36" t="s">
        <v>3</v>
      </c>
      <c r="E34" s="36" t="s">
        <v>105</v>
      </c>
      <c r="F34" s="36" t="s">
        <v>2</v>
      </c>
      <c r="G34" s="38" t="s">
        <v>106</v>
      </c>
      <c r="H34" s="38" t="s">
        <v>12</v>
      </c>
      <c r="I34" s="36" t="s">
        <v>107</v>
      </c>
      <c r="J34" s="36" t="s">
        <v>108</v>
      </c>
      <c r="K34" s="36" t="s">
        <v>51</v>
      </c>
      <c r="L34" s="38" t="s">
        <v>109</v>
      </c>
      <c r="M34" s="36" t="s">
        <v>110</v>
      </c>
      <c r="N34" s="36" t="s">
        <v>111</v>
      </c>
      <c r="O34" s="36" t="s">
        <v>20</v>
      </c>
      <c r="P34" s="55" t="s">
        <v>21</v>
      </c>
      <c r="Q34" s="33" t="str">
        <f>_xlfn.XLOOKUP(C34,[1]工资核对的全字段!$C:$C,[1]工资核对的全字段!$CV:$CV,0)</f>
        <v>当月支付总额</v>
      </c>
      <c r="R34" s="117" t="e">
        <f t="shared" si="0"/>
        <v>#VALUE!</v>
      </c>
      <c r="S34" s="33" t="str">
        <f>_xlfn.XLOOKUP(F34,'[2]总经理-汇总表'!$B:$B,'[2]总经理-汇总表'!$Q:$Q,0)</f>
        <v>月提成</v>
      </c>
    </row>
    <row r="35" spans="1:19" ht="14.1" customHeight="1" x14ac:dyDescent="0.15">
      <c r="A35" s="140">
        <v>7</v>
      </c>
      <c r="B35" s="140">
        <v>6</v>
      </c>
      <c r="C35" s="115" t="s">
        <v>118</v>
      </c>
      <c r="D35" s="140">
        <v>4000</v>
      </c>
      <c r="E35" s="140">
        <v>0</v>
      </c>
      <c r="F35" s="40" t="s">
        <v>101</v>
      </c>
      <c r="G35" s="47">
        <v>180307.8</v>
      </c>
      <c r="H35" s="42">
        <v>167397.06</v>
      </c>
      <c r="I35" s="56">
        <f>150000*0.01+17397*0.02</f>
        <v>1847.94</v>
      </c>
      <c r="J35" s="135">
        <v>5116</v>
      </c>
      <c r="K35" s="135">
        <v>9116</v>
      </c>
      <c r="L35" s="135">
        <v>90</v>
      </c>
      <c r="M35" s="131"/>
      <c r="N35" s="141">
        <v>641</v>
      </c>
      <c r="O35" s="135">
        <f>K35-L35-N35</f>
        <v>8385</v>
      </c>
      <c r="P35" s="129" t="s">
        <v>31</v>
      </c>
      <c r="Q35" s="33" t="e">
        <f>_xlfn.XLOOKUP(C35,[1]工资核对的全字段!$C:$C,[1]工资核对的全字段!$CV:$CV,0)</f>
        <v>#VALUE!</v>
      </c>
      <c r="R35" s="117" t="e">
        <f t="shared" si="0"/>
        <v>#VALUE!</v>
      </c>
      <c r="S35" s="33">
        <f>_xlfn.XLOOKUP(F35,'[2]总经理-汇总表'!$B:$B,'[2]总经理-汇总表'!$Q:$Q,0)</f>
        <v>1847.9412</v>
      </c>
    </row>
    <row r="36" spans="1:19" ht="14.1" customHeight="1" x14ac:dyDescent="0.15">
      <c r="A36" s="140"/>
      <c r="B36" s="140"/>
      <c r="C36" s="115"/>
      <c r="D36" s="140"/>
      <c r="E36" s="140"/>
      <c r="F36" s="40" t="s">
        <v>103</v>
      </c>
      <c r="G36" s="47">
        <v>200049.7</v>
      </c>
      <c r="H36" s="42">
        <v>181858.24</v>
      </c>
      <c r="I36" s="56">
        <f>H36*0.01</f>
        <v>1818.5824</v>
      </c>
      <c r="J36" s="135"/>
      <c r="K36" s="135"/>
      <c r="L36" s="135"/>
      <c r="M36" s="132"/>
      <c r="N36" s="141"/>
      <c r="O36" s="135"/>
      <c r="P36" s="129"/>
      <c r="Q36" s="33">
        <f>_xlfn.XLOOKUP(C36,[1]工资核对的全字段!$C:$C,[1]工资核对的全字段!$CV:$CV,0)</f>
        <v>0</v>
      </c>
      <c r="R36" s="117">
        <f t="shared" si="0"/>
        <v>0</v>
      </c>
      <c r="S36" s="33">
        <f>_xlfn.XLOOKUP(F36,'[2]总经理-汇总表'!$B:$B,'[2]总经理-汇总表'!$Q:$Q,0)</f>
        <v>1818.5824000000002</v>
      </c>
    </row>
    <row r="37" spans="1:19" ht="14.1" customHeight="1" x14ac:dyDescent="0.15">
      <c r="A37" s="152"/>
      <c r="B37" s="152"/>
      <c r="C37" s="116"/>
      <c r="D37" s="152"/>
      <c r="E37" s="152"/>
      <c r="F37" s="54" t="s">
        <v>99</v>
      </c>
      <c r="G37" s="47">
        <v>151129</v>
      </c>
      <c r="H37" s="42">
        <v>144958.69</v>
      </c>
      <c r="I37" s="56">
        <f>H37*0.01</f>
        <v>1449.5869</v>
      </c>
      <c r="J37" s="136"/>
      <c r="K37" s="136"/>
      <c r="L37" s="136"/>
      <c r="M37" s="133"/>
      <c r="N37" s="141"/>
      <c r="O37" s="136"/>
      <c r="P37" s="130"/>
      <c r="Q37" s="33">
        <f>_xlfn.XLOOKUP(C37,[1]工资核对的全字段!$C:$C,[1]工资核对的全字段!$CV:$CV,0)</f>
        <v>0</v>
      </c>
      <c r="R37" s="117">
        <f t="shared" si="0"/>
        <v>0</v>
      </c>
      <c r="S37" s="33">
        <f>_xlfn.XLOOKUP(F37,'[2]总经理-汇总表'!$B:$B,'[2]总经理-汇总表'!$Q:$Q,0)</f>
        <v>1449.5869</v>
      </c>
    </row>
    <row r="38" spans="1:19" ht="15.95" customHeight="1" x14ac:dyDescent="0.15">
      <c r="Q38" s="33">
        <f>_xlfn.XLOOKUP(C38,[1]工资核对的全字段!$C:$C,[1]工资核对的全字段!$CV:$CV,0)</f>
        <v>0</v>
      </c>
      <c r="R38" s="117">
        <f t="shared" si="0"/>
        <v>0</v>
      </c>
      <c r="S38" s="33">
        <f>_xlfn.XLOOKUP(F38,'[2]总经理-汇总表'!$B:$B,'[2]总经理-汇总表'!$Q:$Q,0)</f>
        <v>0</v>
      </c>
    </row>
    <row r="39" spans="1:19" ht="27" customHeight="1" x14ac:dyDescent="0.15">
      <c r="A39" s="36" t="s">
        <v>0</v>
      </c>
      <c r="B39" s="36" t="s">
        <v>104</v>
      </c>
      <c r="C39" s="37" t="s">
        <v>1</v>
      </c>
      <c r="D39" s="36" t="s">
        <v>3</v>
      </c>
      <c r="E39" s="36" t="s">
        <v>105</v>
      </c>
      <c r="F39" s="36" t="s">
        <v>2</v>
      </c>
      <c r="G39" s="38" t="s">
        <v>106</v>
      </c>
      <c r="H39" s="38" t="s">
        <v>12</v>
      </c>
      <c r="I39" s="36" t="s">
        <v>107</v>
      </c>
      <c r="J39" s="36" t="s">
        <v>108</v>
      </c>
      <c r="K39" s="36" t="s">
        <v>51</v>
      </c>
      <c r="L39" s="38" t="s">
        <v>109</v>
      </c>
      <c r="M39" s="36" t="s">
        <v>110</v>
      </c>
      <c r="N39" s="36" t="s">
        <v>111</v>
      </c>
      <c r="O39" s="36" t="s">
        <v>20</v>
      </c>
      <c r="P39" s="55" t="s">
        <v>21</v>
      </c>
      <c r="Q39" s="33" t="str">
        <f>_xlfn.XLOOKUP(C39,[1]工资核对的全字段!$C:$C,[1]工资核对的全字段!$CV:$CV,0)</f>
        <v>当月支付总额</v>
      </c>
      <c r="R39" s="117" t="e">
        <f t="shared" si="0"/>
        <v>#VALUE!</v>
      </c>
      <c r="S39" s="33" t="str">
        <f>_xlfn.XLOOKUP(F39,'[2]总经理-汇总表'!$B:$B,'[2]总经理-汇总表'!$Q:$Q,0)</f>
        <v>月提成</v>
      </c>
    </row>
    <row r="40" spans="1:19" ht="18" customHeight="1" x14ac:dyDescent="0.15">
      <c r="A40" s="140">
        <v>7</v>
      </c>
      <c r="B40" s="140">
        <v>1</v>
      </c>
      <c r="C40" s="112" t="s">
        <v>119</v>
      </c>
      <c r="D40" s="140">
        <v>4000</v>
      </c>
      <c r="E40" s="140">
        <v>0</v>
      </c>
      <c r="F40" s="40" t="s">
        <v>66</v>
      </c>
      <c r="G40" s="41">
        <v>100934</v>
      </c>
      <c r="H40" s="41">
        <v>89096.79</v>
      </c>
      <c r="I40" s="56">
        <v>0</v>
      </c>
      <c r="J40" s="134">
        <v>5622</v>
      </c>
      <c r="K40" s="134">
        <f>D40+J40</f>
        <v>9622</v>
      </c>
      <c r="L40" s="134">
        <v>10</v>
      </c>
      <c r="M40" s="143"/>
      <c r="N40" s="134">
        <v>644</v>
      </c>
      <c r="O40" s="134">
        <f>K40-L40-N40</f>
        <v>8968</v>
      </c>
      <c r="P40" s="129" t="s">
        <v>26</v>
      </c>
      <c r="Q40" s="33" t="e">
        <f>_xlfn.XLOOKUP(C40,[1]工资核对的全字段!$C:$C,[1]工资核对的全字段!$CV:$CV,0)</f>
        <v>#VALUE!</v>
      </c>
      <c r="R40" s="117" t="e">
        <f t="shared" si="0"/>
        <v>#VALUE!</v>
      </c>
      <c r="S40" s="33">
        <f>_xlfn.XLOOKUP(F40,'[2]总经理-汇总表'!$B:$B,'[2]总经理-汇总表'!$Q:$Q,0)</f>
        <v>0</v>
      </c>
    </row>
    <row r="41" spans="1:19" ht="18" customHeight="1" x14ac:dyDescent="0.15">
      <c r="A41" s="140"/>
      <c r="B41" s="140"/>
      <c r="C41" s="112"/>
      <c r="D41" s="140"/>
      <c r="E41" s="140"/>
      <c r="F41" s="40" t="s">
        <v>64</v>
      </c>
      <c r="G41" s="41">
        <v>259744.88</v>
      </c>
      <c r="H41" s="41">
        <v>214268.52</v>
      </c>
      <c r="I41" s="56">
        <f>120000*0.015+50000*0.02+44269*0.025</f>
        <v>3906.7250000000004</v>
      </c>
      <c r="J41" s="134"/>
      <c r="K41" s="134"/>
      <c r="L41" s="134"/>
      <c r="M41" s="144"/>
      <c r="N41" s="134"/>
      <c r="O41" s="134"/>
      <c r="P41" s="129"/>
      <c r="Q41" s="33">
        <f>_xlfn.XLOOKUP(C41,[1]工资核对的全字段!$C:$C,[1]工资核对的全字段!$CV:$CV,0)</f>
        <v>0</v>
      </c>
      <c r="R41" s="117">
        <f t="shared" si="0"/>
        <v>0</v>
      </c>
      <c r="S41" s="33">
        <f>_xlfn.XLOOKUP(F41,'[2]总经理-汇总表'!$B:$B,'[2]总经理-汇总表'!$Q:$Q,0)</f>
        <v>2535.3704000000002</v>
      </c>
    </row>
    <row r="42" spans="1:19" ht="18" customHeight="1" x14ac:dyDescent="0.15">
      <c r="A42" s="152"/>
      <c r="B42" s="140"/>
      <c r="C42" s="112"/>
      <c r="D42" s="140"/>
      <c r="E42" s="140"/>
      <c r="F42" s="40" t="s">
        <v>28</v>
      </c>
      <c r="G42" s="42">
        <v>133334.88</v>
      </c>
      <c r="H42" s="41">
        <v>114405.29</v>
      </c>
      <c r="I42" s="56">
        <f>H42*0.015</f>
        <v>1716.0793499999997</v>
      </c>
      <c r="J42" s="134"/>
      <c r="K42" s="134"/>
      <c r="L42" s="134"/>
      <c r="M42" s="145"/>
      <c r="N42" s="134"/>
      <c r="O42" s="134"/>
      <c r="P42" s="130"/>
      <c r="Q42" s="33">
        <f>_xlfn.XLOOKUP(C42,[1]工资核对的全字段!$C:$C,[1]工资核对的全字段!$CV:$CV,0)</f>
        <v>0</v>
      </c>
      <c r="R42" s="117">
        <f t="shared" si="0"/>
        <v>0</v>
      </c>
      <c r="S42" s="33">
        <f>_xlfn.XLOOKUP(F42,'[2]总经理-汇总表'!$B:$B,'[2]总经理-汇总表'!$Q:$Q,0)</f>
        <v>0</v>
      </c>
    </row>
    <row r="43" spans="1:19" ht="18" customHeight="1" x14ac:dyDescent="0.15">
      <c r="Q43" s="33">
        <f>_xlfn.XLOOKUP(C43,[1]工资核对的全字段!$C:$C,[1]工资核对的全字段!$CV:$CV,0)</f>
        <v>0</v>
      </c>
      <c r="R43" s="117">
        <f t="shared" si="0"/>
        <v>0</v>
      </c>
      <c r="S43" s="33">
        <f>_xlfn.XLOOKUP(F43,'[2]总经理-汇总表'!$B:$B,'[2]总经理-汇总表'!$Q:$Q,0)</f>
        <v>0</v>
      </c>
    </row>
    <row r="44" spans="1:19" s="32" customFormat="1" ht="21" customHeight="1" x14ac:dyDescent="0.15">
      <c r="A44" s="36" t="s">
        <v>0</v>
      </c>
      <c r="B44" s="36" t="s">
        <v>104</v>
      </c>
      <c r="C44" s="37" t="s">
        <v>1</v>
      </c>
      <c r="D44" s="36" t="s">
        <v>3</v>
      </c>
      <c r="E44" s="36" t="s">
        <v>105</v>
      </c>
      <c r="F44" s="36" t="s">
        <v>2</v>
      </c>
      <c r="G44" s="38" t="s">
        <v>106</v>
      </c>
      <c r="H44" s="38" t="s">
        <v>12</v>
      </c>
      <c r="I44" s="36" t="s">
        <v>107</v>
      </c>
      <c r="J44" s="36" t="s">
        <v>108</v>
      </c>
      <c r="K44" s="36" t="s">
        <v>51</v>
      </c>
      <c r="L44" s="38" t="s">
        <v>109</v>
      </c>
      <c r="M44" s="36" t="s">
        <v>110</v>
      </c>
      <c r="N44" s="36" t="s">
        <v>111</v>
      </c>
      <c r="O44" s="36" t="s">
        <v>20</v>
      </c>
      <c r="P44" s="55" t="s">
        <v>21</v>
      </c>
      <c r="Q44" s="33" t="str">
        <f>_xlfn.XLOOKUP(C44,[1]工资核对的全字段!$C:$C,[1]工资核对的全字段!$CV:$CV,0)</f>
        <v>当月支付总额</v>
      </c>
      <c r="R44" s="117" t="e">
        <f t="shared" si="0"/>
        <v>#VALUE!</v>
      </c>
      <c r="S44" s="33" t="str">
        <f>_xlfn.XLOOKUP(F44,'[2]总经理-汇总表'!$B:$B,'[2]总经理-汇总表'!$Q:$Q,0)</f>
        <v>月提成</v>
      </c>
    </row>
    <row r="45" spans="1:19" ht="18" customHeight="1" x14ac:dyDescent="0.15">
      <c r="A45" s="140">
        <v>7</v>
      </c>
      <c r="B45" s="140">
        <v>4</v>
      </c>
      <c r="C45" s="112" t="s">
        <v>120</v>
      </c>
      <c r="D45" s="140">
        <v>4000</v>
      </c>
      <c r="E45" s="140">
        <v>0</v>
      </c>
      <c r="F45" s="40" t="s">
        <v>91</v>
      </c>
      <c r="G45" s="47">
        <v>139022</v>
      </c>
      <c r="H45" s="42">
        <v>119475.67</v>
      </c>
      <c r="I45" s="56">
        <v>0</v>
      </c>
      <c r="J45" s="134">
        <v>4175</v>
      </c>
      <c r="K45" s="134">
        <v>8175</v>
      </c>
      <c r="L45" s="134">
        <v>190</v>
      </c>
      <c r="M45" s="143"/>
      <c r="N45" s="134">
        <v>644</v>
      </c>
      <c r="O45" s="134">
        <f>K45-L45-N45</f>
        <v>7341</v>
      </c>
      <c r="P45" s="127" t="s">
        <v>121</v>
      </c>
      <c r="Q45" s="33" t="e">
        <f>_xlfn.XLOOKUP(C45,[1]工资核对的全字段!$C:$C,[1]工资核对的全字段!$CV:$CV,0)</f>
        <v>#VALUE!</v>
      </c>
      <c r="R45" s="117" t="e">
        <f t="shared" si="0"/>
        <v>#VALUE!</v>
      </c>
      <c r="S45" s="33">
        <f>_xlfn.XLOOKUP(F45,'[2]总经理-汇总表'!$B:$B,'[2]总经理-汇总表'!$Q:$Q,0)</f>
        <v>0</v>
      </c>
    </row>
    <row r="46" spans="1:19" ht="15.95" customHeight="1" x14ac:dyDescent="0.15">
      <c r="A46" s="140"/>
      <c r="B46" s="140"/>
      <c r="C46" s="112"/>
      <c r="D46" s="140"/>
      <c r="E46" s="140"/>
      <c r="F46" s="40" t="s">
        <v>89</v>
      </c>
      <c r="G46" s="47">
        <v>311108</v>
      </c>
      <c r="H46" s="42">
        <v>237015.77</v>
      </c>
      <c r="I46" s="56">
        <f>150000*0.015+50000*0.02+37016*0.025</f>
        <v>4175.3999999999996</v>
      </c>
      <c r="J46" s="134"/>
      <c r="K46" s="134"/>
      <c r="L46" s="134"/>
      <c r="M46" s="145"/>
      <c r="N46" s="134"/>
      <c r="O46" s="134"/>
      <c r="P46" s="127"/>
      <c r="Q46" s="33">
        <f>_xlfn.XLOOKUP(C46,[1]工资核对的全字段!$C:$C,[1]工资核对的全字段!$CV:$CV,0)</f>
        <v>0</v>
      </c>
      <c r="R46" s="117">
        <f t="shared" si="0"/>
        <v>0</v>
      </c>
      <c r="S46" s="33">
        <f>_xlfn.XLOOKUP(F46,'[2]总经理-汇总表'!$B:$B,'[2]总经理-汇总表'!$Q:$Q,0)</f>
        <v>0</v>
      </c>
    </row>
    <row r="47" spans="1:19" x14ac:dyDescent="0.15">
      <c r="Q47" s="33">
        <f>_xlfn.XLOOKUP(C47,[1]工资核对的全字段!$C:$C,[1]工资核对的全字段!$CV:$CV,0)</f>
        <v>0</v>
      </c>
      <c r="R47" s="117">
        <f t="shared" si="0"/>
        <v>0</v>
      </c>
      <c r="S47" s="33">
        <f>_xlfn.XLOOKUP(F47,'[2]总经理-汇总表'!$B:$B,'[2]总经理-汇总表'!$Q:$Q,0)</f>
        <v>0</v>
      </c>
    </row>
    <row r="48" spans="1:19" ht="15" customHeight="1" x14ac:dyDescent="0.15">
      <c r="A48" s="36" t="s">
        <v>0</v>
      </c>
      <c r="B48" s="36" t="s">
        <v>104</v>
      </c>
      <c r="C48" s="37" t="s">
        <v>1</v>
      </c>
      <c r="D48" s="36" t="s">
        <v>3</v>
      </c>
      <c r="E48" s="36" t="s">
        <v>105</v>
      </c>
      <c r="F48" s="36" t="s">
        <v>2</v>
      </c>
      <c r="G48" s="38" t="s">
        <v>106</v>
      </c>
      <c r="H48" s="38" t="s">
        <v>12</v>
      </c>
      <c r="I48" s="36" t="s">
        <v>107</v>
      </c>
      <c r="J48" s="36" t="s">
        <v>108</v>
      </c>
      <c r="K48" s="36" t="s">
        <v>51</v>
      </c>
      <c r="L48" s="38" t="s">
        <v>109</v>
      </c>
      <c r="M48" s="36" t="s">
        <v>110</v>
      </c>
      <c r="N48" s="36" t="s">
        <v>111</v>
      </c>
      <c r="O48" s="36" t="s">
        <v>20</v>
      </c>
      <c r="P48" s="55" t="s">
        <v>21</v>
      </c>
      <c r="Q48" s="33" t="str">
        <f>_xlfn.XLOOKUP(C48,[1]工资核对的全字段!$C:$C,[1]工资核对的全字段!$CV:$CV,0)</f>
        <v>当月支付总额</v>
      </c>
      <c r="R48" s="117" t="e">
        <f t="shared" si="0"/>
        <v>#VALUE!</v>
      </c>
      <c r="S48" s="33" t="str">
        <f>_xlfn.XLOOKUP(F48,'[2]总经理-汇总表'!$B:$B,'[2]总经理-汇总表'!$Q:$Q,0)</f>
        <v>月提成</v>
      </c>
    </row>
    <row r="49" spans="1:19" ht="15" customHeight="1" x14ac:dyDescent="0.15">
      <c r="A49" s="140">
        <v>7</v>
      </c>
      <c r="B49" s="140">
        <v>3</v>
      </c>
      <c r="C49" s="112" t="s">
        <v>122</v>
      </c>
      <c r="D49" s="140">
        <v>4000</v>
      </c>
      <c r="E49" s="140">
        <v>0</v>
      </c>
      <c r="F49" s="40" t="s">
        <v>23</v>
      </c>
      <c r="G49" s="42">
        <v>152421</v>
      </c>
      <c r="H49" s="42">
        <v>145914.04999999999</v>
      </c>
      <c r="I49" s="56">
        <f>H49*0.015</f>
        <v>2188.7107499999997</v>
      </c>
      <c r="J49" s="134">
        <v>4171</v>
      </c>
      <c r="K49" s="134">
        <v>8171</v>
      </c>
      <c r="L49" s="134">
        <v>10</v>
      </c>
      <c r="M49" s="143"/>
      <c r="N49" s="134">
        <v>641</v>
      </c>
      <c r="O49" s="134">
        <f>K49-L49-N49</f>
        <v>7520</v>
      </c>
      <c r="P49" s="127" t="s">
        <v>62</v>
      </c>
      <c r="Q49" s="33" t="e">
        <f>_xlfn.XLOOKUP(C49,[1]工资核对的全字段!$C:$C,[1]工资核对的全字段!$CV:$CV,0)</f>
        <v>#VALUE!</v>
      </c>
      <c r="R49" s="117" t="e">
        <f t="shared" si="0"/>
        <v>#VALUE!</v>
      </c>
      <c r="S49" s="33">
        <f>_xlfn.XLOOKUP(F49,'[2]总经理-汇总表'!$B:$B,'[2]总经理-汇总表'!$Q:$Q,0)</f>
        <v>1459.1405</v>
      </c>
    </row>
    <row r="50" spans="1:19" ht="18" customHeight="1" x14ac:dyDescent="0.15">
      <c r="A50" s="140"/>
      <c r="B50" s="140"/>
      <c r="C50" s="112"/>
      <c r="D50" s="140"/>
      <c r="E50" s="140"/>
      <c r="F50" s="40" t="s">
        <v>30</v>
      </c>
      <c r="G50" s="42">
        <v>173290.6</v>
      </c>
      <c r="H50" s="42">
        <v>132190.74</v>
      </c>
      <c r="I50" s="56">
        <f>H50*0.015</f>
        <v>1982.8610999999999</v>
      </c>
      <c r="J50" s="134"/>
      <c r="K50" s="134"/>
      <c r="L50" s="134"/>
      <c r="M50" s="145"/>
      <c r="N50" s="134"/>
      <c r="O50" s="134"/>
      <c r="P50" s="127"/>
      <c r="Q50" s="33">
        <f>_xlfn.XLOOKUP(C50,[1]工资核对的全字段!$C:$C,[1]工资核对的全字段!$CV:$CV,0)</f>
        <v>0</v>
      </c>
      <c r="R50" s="117">
        <f t="shared" si="0"/>
        <v>0</v>
      </c>
      <c r="S50" s="33">
        <f>_xlfn.XLOOKUP(F50,'[2]总经理-汇总表'!$B:$B,'[2]总经理-汇总表'!$Q:$Q,0)</f>
        <v>0</v>
      </c>
    </row>
    <row r="51" spans="1:19" x14ac:dyDescent="0.15">
      <c r="Q51" s="33">
        <f>_xlfn.XLOOKUP(C51,[1]工资核对的全字段!$C:$C,[1]工资核对的全字段!$CV:$CV,0)</f>
        <v>0</v>
      </c>
      <c r="R51" s="117">
        <f t="shared" si="0"/>
        <v>0</v>
      </c>
      <c r="S51" s="33">
        <f>_xlfn.XLOOKUP(F51,'[2]总经理-汇总表'!$B:$B,'[2]总经理-汇总表'!$Q:$Q,0)</f>
        <v>0</v>
      </c>
    </row>
    <row r="52" spans="1:19" x14ac:dyDescent="0.15">
      <c r="Q52" s="33">
        <f>_xlfn.XLOOKUP(C52,[1]工资核对的全字段!$C:$C,[1]工资核对的全字段!$CV:$CV,0)</f>
        <v>0</v>
      </c>
      <c r="R52" s="117">
        <f t="shared" si="0"/>
        <v>0</v>
      </c>
      <c r="S52" s="33">
        <f>_xlfn.XLOOKUP(F52,'[2]总经理-汇总表'!$B:$B,'[2]总经理-汇总表'!$Q:$Q,0)</f>
        <v>0</v>
      </c>
    </row>
    <row r="53" spans="1:19" x14ac:dyDescent="0.15">
      <c r="Q53" s="33">
        <f>_xlfn.XLOOKUP(C53,[1]工资核对的全字段!$C:$C,[1]工资核对的全字段!$CV:$CV,0)</f>
        <v>0</v>
      </c>
      <c r="R53" s="117">
        <f t="shared" si="0"/>
        <v>0</v>
      </c>
      <c r="S53" s="33">
        <f>_xlfn.XLOOKUP(F53,'[2]总经理-汇总表'!$B:$B,'[2]总经理-汇总表'!$Q:$Q,0)</f>
        <v>0</v>
      </c>
    </row>
  </sheetData>
  <mergeCells count="99">
    <mergeCell ref="A35:A37"/>
    <mergeCell ref="A40:A42"/>
    <mergeCell ref="A45:A46"/>
    <mergeCell ref="A49:A50"/>
    <mergeCell ref="A2:A7"/>
    <mergeCell ref="A10:A12"/>
    <mergeCell ref="A15:A20"/>
    <mergeCell ref="A23:A27"/>
    <mergeCell ref="A30:A32"/>
    <mergeCell ref="D35:D37"/>
    <mergeCell ref="D40:D42"/>
    <mergeCell ref="D45:D46"/>
    <mergeCell ref="D49:D50"/>
    <mergeCell ref="B2:B7"/>
    <mergeCell ref="B10:B12"/>
    <mergeCell ref="B15:B20"/>
    <mergeCell ref="B23:B27"/>
    <mergeCell ref="B30:B32"/>
    <mergeCell ref="B35:B37"/>
    <mergeCell ref="B40:B42"/>
    <mergeCell ref="B45:B46"/>
    <mergeCell ref="B49:B50"/>
    <mergeCell ref="D2:D7"/>
    <mergeCell ref="D10:D12"/>
    <mergeCell ref="D15:D20"/>
    <mergeCell ref="D23:D27"/>
    <mergeCell ref="D30:D32"/>
    <mergeCell ref="J35:J37"/>
    <mergeCell ref="J40:J42"/>
    <mergeCell ref="J45:J46"/>
    <mergeCell ref="J49:J50"/>
    <mergeCell ref="E2:E7"/>
    <mergeCell ref="E10:E12"/>
    <mergeCell ref="E15:E20"/>
    <mergeCell ref="E23:E27"/>
    <mergeCell ref="E30:E32"/>
    <mergeCell ref="E35:E37"/>
    <mergeCell ref="E40:E42"/>
    <mergeCell ref="E45:E46"/>
    <mergeCell ref="E49:E50"/>
    <mergeCell ref="J2:J7"/>
    <mergeCell ref="J10:J12"/>
    <mergeCell ref="J15:J20"/>
    <mergeCell ref="J23:J27"/>
    <mergeCell ref="J30:J32"/>
    <mergeCell ref="L35:L37"/>
    <mergeCell ref="L40:L42"/>
    <mergeCell ref="L45:L46"/>
    <mergeCell ref="L49:L50"/>
    <mergeCell ref="K2:K7"/>
    <mergeCell ref="K10:K12"/>
    <mergeCell ref="K15:K20"/>
    <mergeCell ref="K23:K27"/>
    <mergeCell ref="K30:K32"/>
    <mergeCell ref="K35:K37"/>
    <mergeCell ref="K40:K42"/>
    <mergeCell ref="K45:K46"/>
    <mergeCell ref="K49:K50"/>
    <mergeCell ref="L2:L7"/>
    <mergeCell ref="L10:L12"/>
    <mergeCell ref="L15:L20"/>
    <mergeCell ref="L23:L27"/>
    <mergeCell ref="L30:L32"/>
    <mergeCell ref="N35:N37"/>
    <mergeCell ref="N40:N42"/>
    <mergeCell ref="N45:N46"/>
    <mergeCell ref="N49:N50"/>
    <mergeCell ref="M2:M7"/>
    <mergeCell ref="M10:M12"/>
    <mergeCell ref="M15:M20"/>
    <mergeCell ref="M23:M27"/>
    <mergeCell ref="M30:M32"/>
    <mergeCell ref="M35:M37"/>
    <mergeCell ref="M40:M42"/>
    <mergeCell ref="M45:M46"/>
    <mergeCell ref="M49:M50"/>
    <mergeCell ref="N2:N7"/>
    <mergeCell ref="N10:N12"/>
    <mergeCell ref="N15:N20"/>
    <mergeCell ref="N23:N27"/>
    <mergeCell ref="N30:N32"/>
    <mergeCell ref="P35:P37"/>
    <mergeCell ref="P40:P42"/>
    <mergeCell ref="P45:P46"/>
    <mergeCell ref="P49:P50"/>
    <mergeCell ref="O2:O7"/>
    <mergeCell ref="O10:O12"/>
    <mergeCell ref="O15:O20"/>
    <mergeCell ref="O23:O27"/>
    <mergeCell ref="O30:O32"/>
    <mergeCell ref="O35:O37"/>
    <mergeCell ref="O40:O42"/>
    <mergeCell ref="O45:O46"/>
    <mergeCell ref="O49:O50"/>
    <mergeCell ref="P2:P7"/>
    <mergeCell ref="P10:P12"/>
    <mergeCell ref="P15:P20"/>
    <mergeCell ref="P23:P27"/>
    <mergeCell ref="P30:P32"/>
  </mergeCells>
  <phoneticPr fontId="35" type="noConversion"/>
  <conditionalFormatting sqref="A1">
    <cfRule type="duplicateValues" dxfId="19" priority="19"/>
  </conditionalFormatting>
  <conditionalFormatting sqref="A9">
    <cfRule type="duplicateValues" dxfId="18" priority="18"/>
  </conditionalFormatting>
  <conditionalFormatting sqref="A14:A20">
    <cfRule type="duplicateValues" dxfId="17" priority="28"/>
  </conditionalFormatting>
  <conditionalFormatting sqref="A22">
    <cfRule type="duplicateValues" dxfId="16" priority="27"/>
  </conditionalFormatting>
  <conditionalFormatting sqref="A29">
    <cfRule type="duplicateValues" dxfId="15" priority="25"/>
  </conditionalFormatting>
  <conditionalFormatting sqref="A34">
    <cfRule type="duplicateValues" dxfId="14" priority="24"/>
  </conditionalFormatting>
  <conditionalFormatting sqref="A39">
    <cfRule type="duplicateValues" dxfId="13" priority="21"/>
  </conditionalFormatting>
  <conditionalFormatting sqref="A44">
    <cfRule type="duplicateValues" dxfId="12" priority="20"/>
  </conditionalFormatting>
  <conditionalFormatting sqref="A48">
    <cfRule type="duplicateValues" dxfId="11" priority="2"/>
  </conditionalFormatting>
  <conditionalFormatting sqref="B1">
    <cfRule type="duplicateValues" dxfId="10" priority="11"/>
  </conditionalFormatting>
  <conditionalFormatting sqref="B9">
    <cfRule type="duplicateValues" dxfId="9" priority="9"/>
  </conditionalFormatting>
  <conditionalFormatting sqref="B14">
    <cfRule type="duplicateValues" dxfId="8" priority="8"/>
  </conditionalFormatting>
  <conditionalFormatting sqref="B15:B20">
    <cfRule type="duplicateValues" dxfId="7" priority="17"/>
  </conditionalFormatting>
  <conditionalFormatting sqref="B22">
    <cfRule type="duplicateValues" dxfId="6" priority="7"/>
  </conditionalFormatting>
  <conditionalFormatting sqref="B29">
    <cfRule type="duplicateValues" dxfId="5" priority="6"/>
  </conditionalFormatting>
  <conditionalFormatting sqref="B34">
    <cfRule type="duplicateValues" dxfId="4" priority="5"/>
  </conditionalFormatting>
  <conditionalFormatting sqref="B39">
    <cfRule type="duplicateValues" dxfId="3" priority="4"/>
  </conditionalFormatting>
  <conditionalFormatting sqref="B44">
    <cfRule type="duplicateValues" dxfId="2" priority="3"/>
  </conditionalFormatting>
  <conditionalFormatting sqref="B48">
    <cfRule type="duplicateValues" dxfId="1" priority="1"/>
  </conditionalFormatting>
  <pageMargins left="0.75" right="0.75" top="1" bottom="1" header="0.5" footer="0.5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20"/>
  <sheetViews>
    <sheetView topLeftCell="A4" zoomScale="40" zoomScaleNormal="40" workbookViewId="0">
      <selection activeCell="J33" sqref="J33"/>
    </sheetView>
  </sheetViews>
  <sheetFormatPr defaultColWidth="9" defaultRowHeight="33.75" x14ac:dyDescent="0.15"/>
  <cols>
    <col min="1" max="1" width="10.125" style="11" customWidth="1"/>
    <col min="2" max="2" width="20.875" style="11" customWidth="1"/>
    <col min="3" max="3" width="16.625" style="13" customWidth="1"/>
    <col min="4" max="4" width="13.75" style="13" customWidth="1"/>
    <col min="5" max="5" width="14" style="13" customWidth="1"/>
    <col min="6" max="6" width="16.625" style="13" customWidth="1"/>
    <col min="7" max="7" width="19" style="13" customWidth="1"/>
    <col min="8" max="8" width="19.375" style="13" customWidth="1"/>
    <col min="9" max="9" width="17" style="13" customWidth="1"/>
    <col min="10" max="10" width="35.125" style="13" bestFit="1" customWidth="1"/>
    <col min="11" max="11" width="19.625" style="11" customWidth="1"/>
    <col min="12" max="12" width="18.125" style="13" customWidth="1"/>
    <col min="13" max="13" width="17.5" style="13" customWidth="1"/>
    <col min="14" max="14" width="19.375" style="13" customWidth="1"/>
    <col min="15" max="15" width="14.875" style="11" customWidth="1"/>
    <col min="16" max="16" width="23.875" style="11" bestFit="1" customWidth="1"/>
    <col min="17" max="17" width="23.75" style="11" customWidth="1"/>
    <col min="18" max="18" width="13.625" style="11" customWidth="1"/>
    <col min="19" max="19" width="14" style="11" customWidth="1"/>
    <col min="20" max="20" width="15.75" style="11" customWidth="1"/>
    <col min="21" max="21" width="36" style="13" customWidth="1"/>
    <col min="22" max="22" width="100.625" style="13" customWidth="1"/>
    <col min="23" max="23" width="29" style="11" bestFit="1" customWidth="1"/>
    <col min="24" max="24" width="17.375" style="11" bestFit="1" customWidth="1"/>
    <col min="25" max="16384" width="9" style="11"/>
  </cols>
  <sheetData>
    <row r="1" spans="1:24" s="9" customFormat="1" ht="78" customHeight="1" x14ac:dyDescent="0.15">
      <c r="A1" s="14" t="s">
        <v>0</v>
      </c>
      <c r="B1" s="14" t="s">
        <v>123</v>
      </c>
      <c r="C1" s="14" t="s">
        <v>1</v>
      </c>
      <c r="D1" s="14" t="s">
        <v>3</v>
      </c>
      <c r="E1" s="14" t="s">
        <v>105</v>
      </c>
      <c r="F1" s="153" t="s">
        <v>124</v>
      </c>
      <c r="G1" s="154"/>
      <c r="H1" s="15" t="s">
        <v>125</v>
      </c>
      <c r="I1" s="14" t="s">
        <v>126</v>
      </c>
      <c r="J1" s="14" t="s">
        <v>127</v>
      </c>
      <c r="K1" s="25" t="s">
        <v>14</v>
      </c>
      <c r="L1" s="15" t="s">
        <v>15</v>
      </c>
      <c r="M1" s="15" t="s">
        <v>128</v>
      </c>
      <c r="N1" s="15" t="s">
        <v>129</v>
      </c>
      <c r="O1" s="14" t="s">
        <v>130</v>
      </c>
      <c r="P1" s="14" t="s">
        <v>131</v>
      </c>
      <c r="Q1" s="155" t="s">
        <v>21</v>
      </c>
      <c r="R1" s="156"/>
      <c r="S1" s="156"/>
      <c r="T1" s="156"/>
      <c r="U1" s="156"/>
      <c r="V1" s="156"/>
    </row>
    <row r="2" spans="1:24" s="10" customFormat="1" ht="54.95" customHeight="1" x14ac:dyDescent="0.15">
      <c r="A2" s="16">
        <v>7</v>
      </c>
      <c r="B2" s="16" t="s">
        <v>132</v>
      </c>
      <c r="C2" s="16" t="s">
        <v>133</v>
      </c>
      <c r="D2" s="16">
        <v>4000</v>
      </c>
      <c r="E2" s="16"/>
      <c r="F2" s="157">
        <v>609704</v>
      </c>
      <c r="G2" s="158"/>
      <c r="H2" s="17">
        <v>42623</v>
      </c>
      <c r="I2" s="17">
        <f>200000*0.01+100000*0.015+200000*0.02+109704*0.025</f>
        <v>10242.6</v>
      </c>
      <c r="J2" s="17">
        <v>0</v>
      </c>
      <c r="K2" s="26">
        <f>D2+I2+J2</f>
        <v>14242.6</v>
      </c>
      <c r="L2" s="17">
        <v>644</v>
      </c>
      <c r="M2" s="17"/>
      <c r="N2" s="17">
        <v>40</v>
      </c>
      <c r="O2" s="16"/>
      <c r="P2" s="17">
        <f>K2-L2-N2</f>
        <v>13558.6</v>
      </c>
      <c r="Q2" s="159" t="s">
        <v>134</v>
      </c>
      <c r="R2" s="160"/>
      <c r="S2" s="160"/>
      <c r="T2" s="160"/>
      <c r="U2" s="160"/>
      <c r="V2" s="160"/>
      <c r="W2" s="10" t="e">
        <f>_xlfn.XLOOKUP(C2,[1]工资核对的全字段!$C:$C,[1]工资核对的全字段!$CV:$CV,0)</f>
        <v>#VALUE!</v>
      </c>
      <c r="X2" s="121" t="e">
        <f>W2-P2</f>
        <v>#VALUE!</v>
      </c>
    </row>
    <row r="3" spans="1:24" s="10" customFormat="1" ht="54.95" customHeight="1" x14ac:dyDescent="0.15">
      <c r="A3" s="16">
        <v>7</v>
      </c>
      <c r="B3" s="16" t="s">
        <v>135</v>
      </c>
      <c r="C3" s="16" t="s">
        <v>136</v>
      </c>
      <c r="D3" s="16">
        <v>4000</v>
      </c>
      <c r="E3" s="16"/>
      <c r="F3" s="157">
        <v>360084</v>
      </c>
      <c r="G3" s="158"/>
      <c r="H3" s="16">
        <v>66061</v>
      </c>
      <c r="I3" s="17">
        <f>200000*0.01+100000*0.015+60084*0.02</f>
        <v>4701.68</v>
      </c>
      <c r="J3" s="17">
        <f>H3*0.01</f>
        <v>660.61</v>
      </c>
      <c r="K3" s="26">
        <f>D3+I3+J3</f>
        <v>9362.2900000000009</v>
      </c>
      <c r="L3" s="17">
        <v>641</v>
      </c>
      <c r="M3" s="17"/>
      <c r="N3" s="17">
        <v>20</v>
      </c>
      <c r="O3" s="16"/>
      <c r="P3" s="17">
        <f>K3-L3-N3</f>
        <v>8701.2900000000009</v>
      </c>
      <c r="Q3" s="159" t="s">
        <v>58</v>
      </c>
      <c r="R3" s="160"/>
      <c r="S3" s="160"/>
      <c r="T3" s="160"/>
      <c r="U3" s="160"/>
      <c r="V3" s="160"/>
      <c r="W3" s="10" t="e">
        <f>_xlfn.XLOOKUP(C3,[1]工资核对的全字段!$C:$C,[1]工资核对的全字段!$CV:$CV,0)</f>
        <v>#VALUE!</v>
      </c>
      <c r="X3" s="121" t="e">
        <f t="shared" ref="X3:X5" si="0">W3-P3</f>
        <v>#VALUE!</v>
      </c>
    </row>
    <row r="4" spans="1:24" ht="54.95" customHeight="1" x14ac:dyDescent="0.15">
      <c r="A4" s="18"/>
      <c r="B4" s="18"/>
      <c r="C4" s="18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27"/>
      <c r="Q4" s="19"/>
      <c r="R4" s="19"/>
      <c r="S4" s="19"/>
      <c r="T4" s="19"/>
      <c r="U4" s="19"/>
      <c r="V4" s="18"/>
      <c r="W4" s="10">
        <f>_xlfn.XLOOKUP(C4,[1]工资核对的全字段!$C:$C,[1]工资核对的全字段!$CV:$CV,0)</f>
        <v>0</v>
      </c>
      <c r="X4" s="121">
        <f t="shared" si="0"/>
        <v>0</v>
      </c>
    </row>
    <row r="5" spans="1:24" s="9" customFormat="1" ht="66.95" customHeight="1" x14ac:dyDescent="0.15">
      <c r="A5" s="14" t="s">
        <v>0</v>
      </c>
      <c r="B5" s="14" t="s">
        <v>123</v>
      </c>
      <c r="C5" s="14" t="s">
        <v>1</v>
      </c>
      <c r="D5" s="20" t="s">
        <v>3</v>
      </c>
      <c r="E5" s="20" t="s">
        <v>105</v>
      </c>
      <c r="F5" s="21" t="s">
        <v>137</v>
      </c>
      <c r="G5" s="21" t="s">
        <v>138</v>
      </c>
      <c r="H5" s="20" t="s">
        <v>139</v>
      </c>
      <c r="I5" s="20" t="s">
        <v>140</v>
      </c>
      <c r="J5" s="14" t="s">
        <v>141</v>
      </c>
      <c r="K5" s="28" t="s">
        <v>142</v>
      </c>
      <c r="L5" s="28" t="s">
        <v>143</v>
      </c>
      <c r="M5" s="14" t="s">
        <v>144</v>
      </c>
      <c r="N5" s="28" t="s">
        <v>14</v>
      </c>
      <c r="O5" s="28" t="s">
        <v>15</v>
      </c>
      <c r="P5" s="28" t="s">
        <v>145</v>
      </c>
      <c r="Q5" s="28" t="s">
        <v>146</v>
      </c>
      <c r="R5" s="28" t="s">
        <v>55</v>
      </c>
      <c r="S5" s="28" t="s">
        <v>147</v>
      </c>
      <c r="T5" s="15" t="s">
        <v>129</v>
      </c>
      <c r="U5" s="14" t="s">
        <v>131</v>
      </c>
      <c r="V5" s="14" t="s">
        <v>21</v>
      </c>
      <c r="W5" s="10" t="str">
        <f>_xlfn.XLOOKUP(C5,[1]工资核对的全字段!$C:$C,[1]工资核对的全字段!$CV:$CV,0)</f>
        <v>当月支付总额</v>
      </c>
      <c r="X5" s="121" t="e">
        <f t="shared" si="0"/>
        <v>#VALUE!</v>
      </c>
    </row>
    <row r="6" spans="1:24" s="12" customFormat="1" ht="54.95" customHeight="1" x14ac:dyDescent="0.15">
      <c r="A6" s="22">
        <v>7</v>
      </c>
      <c r="B6" s="22" t="s">
        <v>132</v>
      </c>
      <c r="C6" s="22" t="s">
        <v>148</v>
      </c>
      <c r="D6" s="22">
        <v>2500</v>
      </c>
      <c r="E6" s="22"/>
      <c r="F6" s="22">
        <v>138</v>
      </c>
      <c r="G6" s="23">
        <v>143186.04</v>
      </c>
      <c r="H6" s="22">
        <v>70622</v>
      </c>
      <c r="I6" s="122">
        <v>3290</v>
      </c>
      <c r="J6" s="23">
        <f>70000*0.02+622*0.025</f>
        <v>1415.55</v>
      </c>
      <c r="K6" s="123">
        <f>G6*0.005</f>
        <v>715.93020000000001</v>
      </c>
      <c r="L6" s="23"/>
      <c r="M6" s="23"/>
      <c r="N6" s="23">
        <f>D6+E6+I6+J6+K6+M6</f>
        <v>7921.4802</v>
      </c>
      <c r="O6" s="23">
        <v>641</v>
      </c>
      <c r="P6" s="22">
        <v>90</v>
      </c>
      <c r="Q6" s="22"/>
      <c r="R6" s="22">
        <v>100</v>
      </c>
      <c r="S6" s="22"/>
      <c r="T6" s="22">
        <v>100</v>
      </c>
      <c r="U6" s="23">
        <f>N6-O6-R6-T6+P6</f>
        <v>7170.4802</v>
      </c>
      <c r="V6" s="31" t="s">
        <v>149</v>
      </c>
      <c r="W6" s="10" t="e">
        <f>_xlfn.XLOOKUP(C6,[1]工资核对的全字段!$C:$C,[1]工资核对的全字段!$CV:$CV,0)</f>
        <v>#VALUE!</v>
      </c>
      <c r="X6" s="121" t="e">
        <f>W6-U6</f>
        <v>#VALUE!</v>
      </c>
    </row>
    <row r="7" spans="1:24" s="12" customFormat="1" ht="54.95" customHeight="1" x14ac:dyDescent="0.15">
      <c r="A7" s="22">
        <v>7</v>
      </c>
      <c r="B7" s="22" t="s">
        <v>132</v>
      </c>
      <c r="C7" s="22" t="s">
        <v>150</v>
      </c>
      <c r="D7" s="22">
        <v>3000</v>
      </c>
      <c r="E7" s="22"/>
      <c r="F7" s="22">
        <v>116</v>
      </c>
      <c r="G7" s="23">
        <v>253652.65</v>
      </c>
      <c r="H7" s="24">
        <v>205363</v>
      </c>
      <c r="I7" s="22">
        <v>4150</v>
      </c>
      <c r="J7" s="23">
        <f>70000*0.02+80000*0.025+55363*0.03</f>
        <v>5060.8900000000003</v>
      </c>
      <c r="K7" s="23">
        <f>150000*0.005+103363*0.01</f>
        <v>1783.63</v>
      </c>
      <c r="L7" s="23">
        <v>156226</v>
      </c>
      <c r="M7" s="23">
        <f>L7*0.005</f>
        <v>781.13</v>
      </c>
      <c r="N7" s="23">
        <f t="shared" ref="N7:N12" si="1">D7+E7+I7+J7+K7+M7</f>
        <v>14775.65</v>
      </c>
      <c r="O7" s="23">
        <v>0</v>
      </c>
      <c r="P7" s="22">
        <v>60</v>
      </c>
      <c r="Q7" s="22"/>
      <c r="R7" s="22"/>
      <c r="S7" s="22"/>
      <c r="T7" s="22"/>
      <c r="U7" s="23">
        <f t="shared" ref="U7:U12" si="2">N7-O7+P7-T7</f>
        <v>14835.65</v>
      </c>
      <c r="V7" s="31"/>
      <c r="W7" s="10" t="e">
        <f>_xlfn.XLOOKUP(C7,[1]工资核对的全字段!$C:$C,[1]工资核对的全字段!$CV:$CV,0)</f>
        <v>#VALUE!</v>
      </c>
      <c r="X7" s="121" t="e">
        <f t="shared" ref="X7:X20" si="3">W7-U7</f>
        <v>#VALUE!</v>
      </c>
    </row>
    <row r="8" spans="1:24" s="12" customFormat="1" ht="54.95" customHeight="1" x14ac:dyDescent="0.15">
      <c r="A8" s="22">
        <v>7</v>
      </c>
      <c r="B8" s="22" t="s">
        <v>132</v>
      </c>
      <c r="C8" s="22" t="s">
        <v>151</v>
      </c>
      <c r="D8" s="22">
        <v>2500</v>
      </c>
      <c r="E8" s="22"/>
      <c r="F8" s="22">
        <v>162</v>
      </c>
      <c r="G8" s="23">
        <v>194602.29</v>
      </c>
      <c r="H8" s="24">
        <v>53964</v>
      </c>
      <c r="I8" s="22">
        <v>3570</v>
      </c>
      <c r="J8" s="23">
        <f>H8*0.02</f>
        <v>1079.28</v>
      </c>
      <c r="K8" s="23">
        <f>G8*0.005</f>
        <v>973.01144999999997</v>
      </c>
      <c r="L8" s="23"/>
      <c r="M8" s="23"/>
      <c r="N8" s="23">
        <f t="shared" si="1"/>
        <v>8122.2914499999997</v>
      </c>
      <c r="O8" s="23">
        <v>644</v>
      </c>
      <c r="P8" s="22">
        <v>120</v>
      </c>
      <c r="Q8" s="22"/>
      <c r="R8" s="22"/>
      <c r="S8" s="22"/>
      <c r="T8" s="22"/>
      <c r="U8" s="23">
        <f t="shared" si="2"/>
        <v>7598.2914499999997</v>
      </c>
      <c r="V8" s="31"/>
      <c r="W8" s="10" t="e">
        <f>_xlfn.XLOOKUP(C8,[1]工资核对的全字段!$C:$C,[1]工资核对的全字段!$CV:$CV,0)</f>
        <v>#VALUE!</v>
      </c>
      <c r="X8" s="121" t="e">
        <f t="shared" si="3"/>
        <v>#VALUE!</v>
      </c>
    </row>
    <row r="9" spans="1:24" s="12" customFormat="1" ht="54.95" customHeight="1" x14ac:dyDescent="0.15">
      <c r="A9" s="22">
        <v>7</v>
      </c>
      <c r="B9" s="22" t="s">
        <v>132</v>
      </c>
      <c r="C9" s="22" t="s">
        <v>152</v>
      </c>
      <c r="D9" s="22">
        <v>3000</v>
      </c>
      <c r="E9" s="22"/>
      <c r="F9" s="22">
        <v>98</v>
      </c>
      <c r="G9" s="23">
        <v>121186.53</v>
      </c>
      <c r="H9" s="23">
        <v>85604</v>
      </c>
      <c r="I9" s="22">
        <v>2940</v>
      </c>
      <c r="J9" s="23">
        <f>70000*0.02+15604*0.025</f>
        <v>1790.1</v>
      </c>
      <c r="K9" s="23">
        <f>G9*0.005</f>
        <v>605.93264999999997</v>
      </c>
      <c r="L9" s="23"/>
      <c r="M9" s="23"/>
      <c r="N9" s="23">
        <f t="shared" si="1"/>
        <v>8336.0326499999992</v>
      </c>
      <c r="O9" s="23">
        <v>0</v>
      </c>
      <c r="P9" s="22">
        <v>30</v>
      </c>
      <c r="Q9" s="22"/>
      <c r="R9" s="22"/>
      <c r="S9" s="22"/>
      <c r="T9" s="22">
        <v>40</v>
      </c>
      <c r="U9" s="23">
        <f t="shared" si="2"/>
        <v>8326.0326499999992</v>
      </c>
      <c r="V9" s="31" t="s">
        <v>153</v>
      </c>
      <c r="W9" s="10" t="e">
        <f>_xlfn.XLOOKUP(C9,[1]工资核对的全字段!$C:$C,[1]工资核对的全字段!$CV:$CV,0)</f>
        <v>#VALUE!</v>
      </c>
      <c r="X9" s="121" t="e">
        <f t="shared" si="3"/>
        <v>#VALUE!</v>
      </c>
    </row>
    <row r="10" spans="1:24" s="12" customFormat="1" ht="54.95" customHeight="1" x14ac:dyDescent="0.15">
      <c r="A10" s="22">
        <v>7</v>
      </c>
      <c r="B10" s="22" t="s">
        <v>132</v>
      </c>
      <c r="C10" s="22" t="s">
        <v>154</v>
      </c>
      <c r="D10" s="122">
        <v>3000</v>
      </c>
      <c r="E10" s="22"/>
      <c r="F10" s="22">
        <v>115</v>
      </c>
      <c r="G10" s="23">
        <v>138410.29</v>
      </c>
      <c r="H10" s="24">
        <v>74428</v>
      </c>
      <c r="I10" s="122">
        <v>2100</v>
      </c>
      <c r="J10" s="123">
        <f>70000*0.02+4428*0.025</f>
        <v>1510.7</v>
      </c>
      <c r="K10" s="123">
        <f>G10*0.005</f>
        <v>692.05145000000005</v>
      </c>
      <c r="L10" s="23">
        <v>210295</v>
      </c>
      <c r="M10" s="123">
        <f>L10*0.005</f>
        <v>1051.4749999999999</v>
      </c>
      <c r="N10" s="23">
        <f t="shared" si="1"/>
        <v>8354.2264500000001</v>
      </c>
      <c r="O10" s="23">
        <v>641</v>
      </c>
      <c r="P10" s="22">
        <v>120</v>
      </c>
      <c r="Q10" s="22"/>
      <c r="R10" s="22"/>
      <c r="S10" s="22"/>
      <c r="T10" s="22"/>
      <c r="U10" s="23">
        <f t="shared" si="2"/>
        <v>7833.2264500000001</v>
      </c>
      <c r="V10" s="31"/>
      <c r="W10" s="10" t="e">
        <f>_xlfn.XLOOKUP(C10,[1]工资核对的全字段!$C:$C,[1]工资核对的全字段!$CV:$CV,0)</f>
        <v>#VALUE!</v>
      </c>
      <c r="X10" s="121" t="e">
        <f t="shared" si="3"/>
        <v>#VALUE!</v>
      </c>
    </row>
    <row r="11" spans="1:24" s="12" customFormat="1" ht="54.95" customHeight="1" x14ac:dyDescent="0.15">
      <c r="A11" s="22">
        <v>7</v>
      </c>
      <c r="B11" s="22" t="s">
        <v>132</v>
      </c>
      <c r="C11" s="22" t="s">
        <v>155</v>
      </c>
      <c r="D11" s="22">
        <v>2500</v>
      </c>
      <c r="E11" s="22">
        <v>60</v>
      </c>
      <c r="F11" s="22">
        <v>75</v>
      </c>
      <c r="G11" s="23">
        <v>87302.64</v>
      </c>
      <c r="H11" s="24">
        <v>43814</v>
      </c>
      <c r="I11" s="22">
        <v>1850</v>
      </c>
      <c r="J11" s="23">
        <f>H11*0.02</f>
        <v>876.28</v>
      </c>
      <c r="K11" s="23">
        <v>0</v>
      </c>
      <c r="L11" s="23"/>
      <c r="M11" s="29"/>
      <c r="N11" s="23">
        <f t="shared" si="1"/>
        <v>5286.28</v>
      </c>
      <c r="O11" s="23">
        <v>0</v>
      </c>
      <c r="P11" s="22">
        <v>30</v>
      </c>
      <c r="Q11" s="22"/>
      <c r="R11" s="22"/>
      <c r="S11" s="22"/>
      <c r="T11" s="22"/>
      <c r="U11" s="23">
        <f t="shared" si="2"/>
        <v>5316.28</v>
      </c>
      <c r="V11" s="31"/>
      <c r="W11" s="10" t="e">
        <f>_xlfn.XLOOKUP(C11,[1]工资核对的全字段!$C:$C,[1]工资核对的全字段!$CV:$CV,0)</f>
        <v>#VALUE!</v>
      </c>
      <c r="X11" s="121" t="e">
        <f t="shared" si="3"/>
        <v>#VALUE!</v>
      </c>
    </row>
    <row r="12" spans="1:24" s="12" customFormat="1" ht="54.95" customHeight="1" x14ac:dyDescent="0.15">
      <c r="A12" s="22">
        <v>7</v>
      </c>
      <c r="B12" s="22" t="s">
        <v>132</v>
      </c>
      <c r="C12" s="22" t="s">
        <v>156</v>
      </c>
      <c r="D12" s="22">
        <v>3500</v>
      </c>
      <c r="E12" s="22"/>
      <c r="F12" s="22">
        <v>124</v>
      </c>
      <c r="G12" s="23">
        <v>170456.18</v>
      </c>
      <c r="H12" s="23">
        <v>112517</v>
      </c>
      <c r="I12" s="22">
        <v>3795</v>
      </c>
      <c r="J12" s="23">
        <f>70000*0.02+42517*0.025</f>
        <v>2462.9250000000002</v>
      </c>
      <c r="K12" s="23">
        <f>G12*0.005</f>
        <v>852.28089999999997</v>
      </c>
      <c r="L12" s="23"/>
      <c r="M12" s="29"/>
      <c r="N12" s="23">
        <f t="shared" si="1"/>
        <v>10610.205900000001</v>
      </c>
      <c r="O12" s="23">
        <v>0</v>
      </c>
      <c r="P12" s="22">
        <v>60</v>
      </c>
      <c r="Q12" s="22"/>
      <c r="R12" s="22"/>
      <c r="S12" s="22"/>
      <c r="T12" s="22"/>
      <c r="U12" s="23">
        <f t="shared" si="2"/>
        <v>10670.205900000001</v>
      </c>
      <c r="V12" s="31"/>
      <c r="W12" s="10" t="e">
        <f>_xlfn.XLOOKUP(C12,[1]工资核对的全字段!$C:$C,[1]工资核对的全字段!$CV:$CV,0)</f>
        <v>#VALUE!</v>
      </c>
      <c r="X12" s="121" t="e">
        <f t="shared" si="3"/>
        <v>#VALUE!</v>
      </c>
    </row>
    <row r="13" spans="1:24" s="12" customFormat="1" ht="54.95" customHeight="1" x14ac:dyDescent="0.15">
      <c r="A13" s="22">
        <v>7</v>
      </c>
      <c r="B13" s="22" t="s">
        <v>132</v>
      </c>
      <c r="C13" s="22" t="s">
        <v>157</v>
      </c>
      <c r="D13" s="22"/>
      <c r="E13" s="22"/>
      <c r="F13" s="22"/>
      <c r="G13" s="23"/>
      <c r="H13" s="23"/>
      <c r="I13" s="22"/>
      <c r="J13" s="23"/>
      <c r="K13" s="23"/>
      <c r="L13" s="23"/>
      <c r="M13" s="29"/>
      <c r="N13" s="23"/>
      <c r="O13" s="23"/>
      <c r="P13" s="22"/>
      <c r="Q13" s="22"/>
      <c r="R13" s="22"/>
      <c r="S13" s="22"/>
      <c r="T13" s="22"/>
      <c r="U13" s="23">
        <v>2258</v>
      </c>
      <c r="V13" s="31"/>
      <c r="W13" s="10" t="e">
        <f>_xlfn.XLOOKUP(C13,[1]工资核对的全字段!$C:$C,[1]工资核对的全字段!$CV:$CV,0)</f>
        <v>#VALUE!</v>
      </c>
      <c r="X13" s="121" t="e">
        <f t="shared" si="3"/>
        <v>#VALUE!</v>
      </c>
    </row>
    <row r="14" spans="1:24" s="12" customFormat="1" ht="54.95" customHeight="1" x14ac:dyDescent="0.15">
      <c r="A14" s="22">
        <v>7</v>
      </c>
      <c r="B14" s="22" t="s">
        <v>132</v>
      </c>
      <c r="C14" s="22" t="s">
        <v>158</v>
      </c>
      <c r="D14" s="22"/>
      <c r="E14" s="22"/>
      <c r="F14" s="22"/>
      <c r="G14" s="23"/>
      <c r="H14" s="23"/>
      <c r="I14" s="22"/>
      <c r="J14" s="23"/>
      <c r="K14" s="23"/>
      <c r="L14" s="23"/>
      <c r="M14" s="29"/>
      <c r="N14" s="23"/>
      <c r="O14" s="23"/>
      <c r="P14" s="22"/>
      <c r="Q14" s="22"/>
      <c r="R14" s="22"/>
      <c r="S14" s="22"/>
      <c r="T14" s="22"/>
      <c r="U14" s="23">
        <v>1774</v>
      </c>
      <c r="V14" s="31"/>
      <c r="W14" s="10" t="e">
        <f>_xlfn.XLOOKUP(C14,[1]工资核对的全字段!$C:$C,[1]工资核对的全字段!$CV:$CV,0)</f>
        <v>#VALUE!</v>
      </c>
      <c r="X14" s="121" t="e">
        <f t="shared" si="3"/>
        <v>#VALUE!</v>
      </c>
    </row>
    <row r="15" spans="1:24" s="12" customFormat="1" ht="54.95" customHeight="1" x14ac:dyDescent="0.15">
      <c r="A15" s="22">
        <v>7</v>
      </c>
      <c r="B15" s="22" t="s">
        <v>135</v>
      </c>
      <c r="C15" s="22" t="s">
        <v>159</v>
      </c>
      <c r="D15" s="22">
        <v>3000</v>
      </c>
      <c r="E15" s="22"/>
      <c r="F15" s="22">
        <v>114</v>
      </c>
      <c r="G15" s="23">
        <v>137026.67000000001</v>
      </c>
      <c r="H15" s="24">
        <v>81488</v>
      </c>
      <c r="I15" s="22">
        <v>3405</v>
      </c>
      <c r="J15" s="23">
        <f>70000*0.02+11488*0.025</f>
        <v>1687.2</v>
      </c>
      <c r="K15" s="23">
        <f t="shared" ref="K15:K19" si="4">G15*0.005</f>
        <v>685.13334999999995</v>
      </c>
      <c r="L15" s="23"/>
      <c r="M15" s="30"/>
      <c r="N15" s="23">
        <f t="shared" ref="N15:N19" si="5">D15+E15+I15+J15+K15+M15</f>
        <v>8777.3333500000008</v>
      </c>
      <c r="O15" s="23">
        <v>0</v>
      </c>
      <c r="P15" s="22">
        <v>120</v>
      </c>
      <c r="Q15" s="22"/>
      <c r="R15" s="22"/>
      <c r="S15" s="22"/>
      <c r="T15" s="22"/>
      <c r="U15" s="23">
        <f t="shared" ref="U15:U19" si="6">N15-O15+P15-T15</f>
        <v>8897.3333500000008</v>
      </c>
      <c r="V15" s="31" t="s">
        <v>62</v>
      </c>
      <c r="W15" s="10" t="e">
        <f>_xlfn.XLOOKUP(C15,[1]工资核对的全字段!$C:$C,[1]工资核对的全字段!$CV:$CV,0)</f>
        <v>#VALUE!</v>
      </c>
      <c r="X15" s="121" t="e">
        <f t="shared" si="3"/>
        <v>#VALUE!</v>
      </c>
    </row>
    <row r="16" spans="1:24" s="12" customFormat="1" ht="54.95" customHeight="1" x14ac:dyDescent="0.15">
      <c r="A16" s="22">
        <v>7</v>
      </c>
      <c r="B16" s="22" t="s">
        <v>135</v>
      </c>
      <c r="C16" s="22" t="s">
        <v>160</v>
      </c>
      <c r="D16" s="22">
        <v>2500</v>
      </c>
      <c r="E16" s="22"/>
      <c r="F16" s="22">
        <v>132</v>
      </c>
      <c r="G16" s="23">
        <v>122913.82</v>
      </c>
      <c r="H16" s="24">
        <v>7800</v>
      </c>
      <c r="I16" s="22">
        <v>2555</v>
      </c>
      <c r="J16" s="23">
        <f>7800*0.01</f>
        <v>78</v>
      </c>
      <c r="K16" s="23">
        <f t="shared" si="4"/>
        <v>614.56910000000005</v>
      </c>
      <c r="L16" s="23"/>
      <c r="M16" s="30"/>
      <c r="N16" s="23">
        <f t="shared" si="5"/>
        <v>5747.5690999999997</v>
      </c>
      <c r="O16" s="23">
        <v>644</v>
      </c>
      <c r="P16" s="22">
        <v>60</v>
      </c>
      <c r="Q16" s="22"/>
      <c r="R16" s="22"/>
      <c r="S16" s="22"/>
      <c r="T16" s="22">
        <v>30</v>
      </c>
      <c r="U16" s="23">
        <f t="shared" si="6"/>
        <v>5133.5690999999997</v>
      </c>
      <c r="V16" s="31" t="s">
        <v>113</v>
      </c>
      <c r="W16" s="10" t="e">
        <f>_xlfn.XLOOKUP(C16,[1]工资核对的全字段!$C:$C,[1]工资核对的全字段!$CV:$CV,0)</f>
        <v>#VALUE!</v>
      </c>
      <c r="X16" s="121" t="e">
        <f t="shared" si="3"/>
        <v>#VALUE!</v>
      </c>
    </row>
    <row r="17" spans="1:24" s="12" customFormat="1" ht="54.95" customHeight="1" x14ac:dyDescent="0.15">
      <c r="A17" s="22">
        <v>7</v>
      </c>
      <c r="B17" s="22" t="s">
        <v>135</v>
      </c>
      <c r="C17" s="22" t="s">
        <v>161</v>
      </c>
      <c r="D17" s="22">
        <v>3500</v>
      </c>
      <c r="E17" s="22"/>
      <c r="F17" s="22">
        <v>149</v>
      </c>
      <c r="G17" s="23">
        <v>145128.6</v>
      </c>
      <c r="H17" s="24">
        <v>118438</v>
      </c>
      <c r="I17" s="22">
        <v>3275</v>
      </c>
      <c r="J17" s="23">
        <f>70000*0.02+48438*0.025</f>
        <v>2610.9499999999998</v>
      </c>
      <c r="K17" s="23">
        <f t="shared" si="4"/>
        <v>725.64300000000003</v>
      </c>
      <c r="L17" s="23"/>
      <c r="M17" s="30"/>
      <c r="N17" s="23">
        <f t="shared" si="5"/>
        <v>10111.593000000001</v>
      </c>
      <c r="O17" s="23">
        <v>0</v>
      </c>
      <c r="P17" s="22">
        <v>90</v>
      </c>
      <c r="Q17" s="22"/>
      <c r="R17" s="22"/>
      <c r="S17" s="22"/>
      <c r="T17" s="22">
        <v>10</v>
      </c>
      <c r="U17" s="23">
        <f t="shared" si="6"/>
        <v>10191.593000000001</v>
      </c>
      <c r="V17" s="31" t="s">
        <v>62</v>
      </c>
      <c r="W17" s="10" t="e">
        <f>_xlfn.XLOOKUP(C17,[1]工资核对的全字段!$C:$C,[1]工资核对的全字段!$CV:$CV,0)</f>
        <v>#VALUE!</v>
      </c>
      <c r="X17" s="121" t="e">
        <f t="shared" si="3"/>
        <v>#VALUE!</v>
      </c>
    </row>
    <row r="18" spans="1:24" s="12" customFormat="1" ht="54.95" customHeight="1" x14ac:dyDescent="0.15">
      <c r="A18" s="22">
        <v>7</v>
      </c>
      <c r="B18" s="22" t="s">
        <v>135</v>
      </c>
      <c r="C18" s="22" t="s">
        <v>162</v>
      </c>
      <c r="D18" s="22">
        <v>3000</v>
      </c>
      <c r="E18" s="22"/>
      <c r="F18" s="22">
        <v>105</v>
      </c>
      <c r="G18" s="23">
        <v>122893.57</v>
      </c>
      <c r="H18" s="24">
        <v>100180</v>
      </c>
      <c r="I18" s="22">
        <v>3015</v>
      </c>
      <c r="J18" s="23">
        <f>70000*0.02+30180*0.025</f>
        <v>2154.5</v>
      </c>
      <c r="K18" s="23">
        <f t="shared" si="4"/>
        <v>614.46785</v>
      </c>
      <c r="L18" s="23"/>
      <c r="M18" s="30"/>
      <c r="N18" s="23">
        <f t="shared" si="5"/>
        <v>8783.9678500000009</v>
      </c>
      <c r="O18" s="23">
        <v>644</v>
      </c>
      <c r="P18" s="22">
        <v>60</v>
      </c>
      <c r="Q18" s="22"/>
      <c r="R18" s="22"/>
      <c r="S18" s="22"/>
      <c r="T18" s="22"/>
      <c r="U18" s="23">
        <f t="shared" si="6"/>
        <v>8199.9678500000009</v>
      </c>
      <c r="V18" s="31"/>
      <c r="W18" s="10" t="e">
        <f>_xlfn.XLOOKUP(C18,[1]工资核对的全字段!$C:$C,[1]工资核对的全字段!$CV:$CV,0)</f>
        <v>#VALUE!</v>
      </c>
      <c r="X18" s="121" t="e">
        <f t="shared" si="3"/>
        <v>#VALUE!</v>
      </c>
    </row>
    <row r="19" spans="1:24" s="12" customFormat="1" ht="54.95" customHeight="1" x14ac:dyDescent="0.15">
      <c r="A19" s="22">
        <v>7</v>
      </c>
      <c r="B19" s="22" t="s">
        <v>135</v>
      </c>
      <c r="C19" s="22" t="s">
        <v>163</v>
      </c>
      <c r="D19" s="23">
        <v>2500</v>
      </c>
      <c r="E19" s="22"/>
      <c r="F19" s="22">
        <v>134</v>
      </c>
      <c r="G19" s="23">
        <v>125320.94</v>
      </c>
      <c r="H19" s="24">
        <v>55922</v>
      </c>
      <c r="I19" s="22">
        <v>2670</v>
      </c>
      <c r="J19" s="23">
        <f>H19*0.02</f>
        <v>1118.44</v>
      </c>
      <c r="K19" s="23">
        <f t="shared" si="4"/>
        <v>626.60469999999998</v>
      </c>
      <c r="L19" s="23"/>
      <c r="M19" s="30"/>
      <c r="N19" s="23">
        <f t="shared" si="5"/>
        <v>6915.0447000000004</v>
      </c>
      <c r="O19" s="23">
        <v>0</v>
      </c>
      <c r="P19" s="22">
        <v>120</v>
      </c>
      <c r="Q19" s="22"/>
      <c r="R19" s="22"/>
      <c r="S19" s="22"/>
      <c r="T19" s="22">
        <v>50</v>
      </c>
      <c r="U19" s="23">
        <f t="shared" si="6"/>
        <v>6985.0447000000004</v>
      </c>
      <c r="V19" s="31" t="s">
        <v>164</v>
      </c>
      <c r="W19" s="10" t="e">
        <f>_xlfn.XLOOKUP(C19,[1]工资核对的全字段!$C:$C,[1]工资核对的全字段!$CV:$CV,0)</f>
        <v>#VALUE!</v>
      </c>
      <c r="X19" s="121" t="e">
        <f t="shared" si="3"/>
        <v>#VALUE!</v>
      </c>
    </row>
    <row r="20" spans="1:24" s="12" customFormat="1" ht="54.95" customHeight="1" x14ac:dyDescent="0.15">
      <c r="A20" s="22">
        <v>7</v>
      </c>
      <c r="B20" s="22" t="s">
        <v>135</v>
      </c>
      <c r="C20" s="22" t="s">
        <v>165</v>
      </c>
      <c r="D20" s="23"/>
      <c r="E20" s="22"/>
      <c r="F20" s="22"/>
      <c r="G20" s="23"/>
      <c r="H20" s="24"/>
      <c r="I20" s="22"/>
      <c r="J20" s="23"/>
      <c r="K20" s="23"/>
      <c r="L20" s="23"/>
      <c r="M20" s="30"/>
      <c r="N20" s="23"/>
      <c r="O20" s="23"/>
      <c r="P20" s="22"/>
      <c r="Q20" s="22"/>
      <c r="R20" s="22"/>
      <c r="S20" s="22"/>
      <c r="T20" s="22"/>
      <c r="U20" s="23">
        <v>1129</v>
      </c>
      <c r="V20" s="31"/>
      <c r="W20" s="10" t="e">
        <f>_xlfn.XLOOKUP(C20,[1]工资核对的全字段!$C:$C,[1]工资核对的全字段!$CV:$CV,0)</f>
        <v>#VALUE!</v>
      </c>
      <c r="X20" s="121" t="e">
        <f t="shared" si="3"/>
        <v>#VALUE!</v>
      </c>
    </row>
  </sheetData>
  <autoFilter ref="B1:B20" xr:uid="{00000000-0009-0000-0000-000003000000}"/>
  <mergeCells count="6">
    <mergeCell ref="F1:G1"/>
    <mergeCell ref="Q1:V1"/>
    <mergeCell ref="F2:G2"/>
    <mergeCell ref="Q2:V2"/>
    <mergeCell ref="F3:G3"/>
    <mergeCell ref="Q3:V3"/>
  </mergeCells>
  <phoneticPr fontId="35" type="noConversion"/>
  <conditionalFormatting sqref="C4:C5">
    <cfRule type="duplicateValues" dxfId="0" priority="12"/>
  </conditionalFormatting>
  <pageMargins left="0.75" right="0.75" top="1" bottom="1" header="0.5" footer="0.5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5"/>
  <sheetViews>
    <sheetView workbookViewId="0">
      <selection activeCell="M26" sqref="M26"/>
    </sheetView>
  </sheetViews>
  <sheetFormatPr defaultColWidth="9" defaultRowHeight="13.5" x14ac:dyDescent="0.15"/>
  <cols>
    <col min="1" max="1" width="5.125" customWidth="1"/>
    <col min="2" max="2" width="7.625" customWidth="1"/>
    <col min="3" max="4" width="6.875" customWidth="1"/>
    <col min="5" max="5" width="8" customWidth="1"/>
    <col min="6" max="6" width="8.625" customWidth="1"/>
    <col min="7" max="7" width="8" customWidth="1"/>
    <col min="8" max="8" width="8.25" customWidth="1"/>
    <col min="9" max="9" width="7.75" customWidth="1"/>
    <col min="10" max="10" width="7.25" customWidth="1"/>
    <col min="11" max="11" width="6.125" customWidth="1"/>
    <col min="12" max="12" width="8.625" customWidth="1"/>
    <col min="13" max="13" width="31.875" customWidth="1"/>
  </cols>
  <sheetData>
    <row r="1" spans="1:13" s="1" customFormat="1" ht="33" customHeight="1" x14ac:dyDescent="0.15">
      <c r="A1" s="3" t="s">
        <v>0</v>
      </c>
      <c r="B1" s="3" t="s">
        <v>1</v>
      </c>
      <c r="C1" s="3" t="s">
        <v>3</v>
      </c>
      <c r="D1" s="3" t="s">
        <v>4</v>
      </c>
      <c r="E1" s="3" t="s">
        <v>166</v>
      </c>
      <c r="F1" s="3" t="s">
        <v>167</v>
      </c>
      <c r="G1" s="3" t="s">
        <v>14</v>
      </c>
      <c r="H1" s="3" t="s">
        <v>111</v>
      </c>
      <c r="I1" s="3" t="s">
        <v>110</v>
      </c>
      <c r="J1" s="3" t="s">
        <v>168</v>
      </c>
      <c r="K1" s="3" t="s">
        <v>55</v>
      </c>
      <c r="L1" s="3" t="s">
        <v>20</v>
      </c>
      <c r="M1" s="3" t="s">
        <v>21</v>
      </c>
    </row>
    <row r="2" spans="1:13" ht="21.95" customHeight="1" x14ac:dyDescent="0.15">
      <c r="A2" s="4">
        <v>7</v>
      </c>
      <c r="B2" s="4" t="s">
        <v>169</v>
      </c>
      <c r="C2" s="4">
        <v>3500</v>
      </c>
      <c r="D2" s="4"/>
      <c r="E2" s="5"/>
      <c r="F2" s="5"/>
      <c r="G2" s="5"/>
      <c r="H2" s="4"/>
      <c r="I2" s="4"/>
      <c r="J2" s="6"/>
      <c r="K2" s="6"/>
      <c r="L2" s="5"/>
      <c r="M2" s="7" t="s">
        <v>170</v>
      </c>
    </row>
    <row r="3" spans="1:13" ht="21.95" customHeight="1" x14ac:dyDescent="0.15">
      <c r="A3" s="4">
        <v>7</v>
      </c>
      <c r="B3" s="4" t="s">
        <v>171</v>
      </c>
      <c r="C3" s="4">
        <v>3500</v>
      </c>
      <c r="D3" s="4"/>
      <c r="E3" s="5"/>
      <c r="F3" s="5"/>
      <c r="G3" s="5"/>
      <c r="H3" s="4"/>
      <c r="I3" s="4"/>
      <c r="J3" s="6"/>
      <c r="K3" s="6"/>
      <c r="L3" s="5"/>
      <c r="M3" s="6"/>
    </row>
    <row r="4" spans="1:13" s="2" customFormat="1" ht="21.95" customHeight="1" x14ac:dyDescent="0.15">
      <c r="A4" s="4">
        <v>7</v>
      </c>
      <c r="B4" s="4" t="s">
        <v>172</v>
      </c>
      <c r="C4" s="4">
        <v>3000</v>
      </c>
      <c r="D4" s="4"/>
      <c r="E4" s="4"/>
      <c r="F4" s="5"/>
      <c r="G4" s="5"/>
      <c r="H4" s="4"/>
      <c r="I4" s="4"/>
      <c r="J4" s="5"/>
      <c r="K4" s="5"/>
      <c r="L4" s="5"/>
      <c r="M4" s="7"/>
    </row>
    <row r="5" spans="1:13" s="2" customFormat="1" ht="21.95" customHeight="1" x14ac:dyDescent="0.15">
      <c r="A5" s="4">
        <v>7</v>
      </c>
      <c r="B5" s="4" t="s">
        <v>173</v>
      </c>
      <c r="C5" s="4">
        <v>3000</v>
      </c>
      <c r="D5" s="4"/>
      <c r="E5" s="4"/>
      <c r="F5" s="5"/>
      <c r="G5" s="5"/>
      <c r="H5" s="6"/>
      <c r="I5" s="4"/>
      <c r="J5" s="4"/>
      <c r="K5" s="8"/>
      <c r="L5" s="5"/>
      <c r="M5" s="4"/>
    </row>
  </sheetData>
  <phoneticPr fontId="35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主任工资</vt:lpstr>
      <vt:lpstr>店长工资</vt:lpstr>
      <vt:lpstr>总经理新提成</vt:lpstr>
      <vt:lpstr>科技部工资</vt:lpstr>
      <vt:lpstr>大项目部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k16921</cp:lastModifiedBy>
  <dcterms:created xsi:type="dcterms:W3CDTF">2023-05-12T11:15:00Z</dcterms:created>
  <dcterms:modified xsi:type="dcterms:W3CDTF">2025-08-14T01:56:50Z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2052-12.1.0.22215</vt:lpwstr>
  </property>
  <property fmtid="{D5CDD505-2E9C-101B-9397-08002B2CF9AE}" pid="3" name="ICV">
    <vt:lpwstr>9809912B8E1341D79A9598DA0AF93C22_13</vt:lpwstr>
  </property>
  <property fmtid="{D5CDD505-2E9C-101B-9397-08002B2CF9AE}" pid="4" name="KSOReadingLayout">
    <vt:bool>true</vt:bool>
  </property>
</Properties>
</file>