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7412963E-0761-4060-B2BC-8C3D7974A2D3}" xr6:coauthVersionLast="47" xr6:coauthVersionMax="47" xr10:uidLastSave="{00000000-0000-0000-0000-000000000000}"/>
  <bookViews>
    <workbookView xWindow="-120" yWindow="-120" windowWidth="29040" windowHeight="15840" activeTab="8" xr2:uid="{00000000-000D-0000-FFFF-FFFF00000000}"/>
  </bookViews>
  <sheets>
    <sheet name="美容师、顾问" sheetId="1" r:id="rId1"/>
    <sheet name="新店" sheetId="9" r:id="rId2"/>
    <sheet name="店助" sheetId="2" r:id="rId3"/>
    <sheet name="主任" sheetId="4" r:id="rId4"/>
    <sheet name="店长" sheetId="3" r:id="rId5"/>
    <sheet name="（总）经理" sheetId="5" r:id="rId6"/>
    <sheet name="科技部" sheetId="6" r:id="rId7"/>
    <sheet name="大项目部" sheetId="7" r:id="rId8"/>
    <sheet name="保洁" sheetId="8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xlnm._FilterDatabase" localSheetId="0" hidden="1">'美容师、顾问'!$A$1:$AQ$232</definedName>
    <definedName name="_xlnm._FilterDatabase" localSheetId="1" hidden="1">新店!$A$1:$AP$17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" i="7" l="1"/>
  <c r="Q4" i="7"/>
  <c r="Q5" i="7"/>
  <c r="P3" i="7"/>
  <c r="P4" i="7"/>
  <c r="P5" i="7"/>
  <c r="Q2" i="7"/>
  <c r="P2" i="7"/>
  <c r="V17" i="6"/>
  <c r="V18" i="6"/>
  <c r="V19" i="6"/>
  <c r="V20" i="6"/>
  <c r="V21" i="6"/>
  <c r="V22" i="6"/>
  <c r="V23" i="6"/>
  <c r="V24" i="6"/>
  <c r="V4" i="6"/>
  <c r="W4" i="6" s="1"/>
  <c r="V5" i="6"/>
  <c r="W5" i="6" s="1"/>
  <c r="V8" i="6"/>
  <c r="W8" i="6" s="1"/>
  <c r="V9" i="6"/>
  <c r="W9" i="6" s="1"/>
  <c r="Q17" i="5"/>
  <c r="Q40" i="5"/>
  <c r="Q43" i="5"/>
  <c r="Q45" i="5"/>
  <c r="Q46" i="5"/>
  <c r="Q47" i="5"/>
  <c r="Q49" i="5"/>
  <c r="Q8" i="5"/>
  <c r="Q9" i="5"/>
  <c r="P3" i="5"/>
  <c r="Q3" i="5" s="1"/>
  <c r="P4" i="5"/>
  <c r="Q4" i="5" s="1"/>
  <c r="P5" i="5"/>
  <c r="Q5" i="5" s="1"/>
  <c r="P6" i="5"/>
  <c r="Q6" i="5" s="1"/>
  <c r="P7" i="5"/>
  <c r="Q7" i="5" s="1"/>
  <c r="P8" i="5"/>
  <c r="P9" i="5"/>
  <c r="P11" i="5"/>
  <c r="Q11" i="5" s="1"/>
  <c r="P12" i="5"/>
  <c r="Q12" i="5" s="1"/>
  <c r="P13" i="5"/>
  <c r="Q13" i="5" s="1"/>
  <c r="P14" i="5"/>
  <c r="Q14" i="5" s="1"/>
  <c r="P15" i="5"/>
  <c r="Q15" i="5" s="1"/>
  <c r="P16" i="5"/>
  <c r="Q16" i="5" s="1"/>
  <c r="P17" i="5"/>
  <c r="P19" i="5"/>
  <c r="Q19" i="5" s="1"/>
  <c r="P20" i="5"/>
  <c r="Q20" i="5" s="1"/>
  <c r="P21" i="5"/>
  <c r="Q21" i="5" s="1"/>
  <c r="P22" i="5"/>
  <c r="Q22" i="5" s="1"/>
  <c r="P23" i="5"/>
  <c r="Q23" i="5" s="1"/>
  <c r="P24" i="5"/>
  <c r="Q24" i="5" s="1"/>
  <c r="P26" i="5"/>
  <c r="Q26" i="5" s="1"/>
  <c r="P27" i="5"/>
  <c r="Q27" i="5" s="1"/>
  <c r="P28" i="5"/>
  <c r="Q28" i="5" s="1"/>
  <c r="P29" i="5"/>
  <c r="Q29" i="5" s="1"/>
  <c r="P30" i="5"/>
  <c r="Q30" i="5" s="1"/>
  <c r="P32" i="5"/>
  <c r="Q32" i="5" s="1"/>
  <c r="P33" i="5"/>
  <c r="Q33" i="5" s="1"/>
  <c r="P34" i="5"/>
  <c r="Q34" i="5" s="1"/>
  <c r="P35" i="5"/>
  <c r="Q35" i="5" s="1"/>
  <c r="P36" i="5"/>
  <c r="Q36" i="5" s="1"/>
  <c r="P38" i="5"/>
  <c r="Q38" i="5" s="1"/>
  <c r="P39" i="5"/>
  <c r="Q39" i="5" s="1"/>
  <c r="P40" i="5"/>
  <c r="P41" i="5"/>
  <c r="Q41" i="5" s="1"/>
  <c r="P43" i="5"/>
  <c r="P44" i="5"/>
  <c r="Q44" i="5" s="1"/>
  <c r="P45" i="5"/>
  <c r="P46" i="5"/>
  <c r="P47" i="5"/>
  <c r="P49" i="5"/>
  <c r="P50" i="5"/>
  <c r="Q50" i="5" s="1"/>
  <c r="P51" i="5"/>
  <c r="Q51" i="5" s="1"/>
  <c r="P52" i="5"/>
  <c r="Q52" i="5" s="1"/>
  <c r="P53" i="5"/>
  <c r="Q53" i="5" s="1"/>
  <c r="P55" i="5"/>
  <c r="Q55" i="5" s="1"/>
  <c r="E31" i="8" l="1"/>
  <c r="D31" i="8"/>
  <c r="E30" i="8"/>
  <c r="D30" i="8"/>
  <c r="E29" i="8"/>
  <c r="D29" i="8"/>
  <c r="E28" i="8"/>
  <c r="D28" i="8"/>
  <c r="E27" i="8"/>
  <c r="D27" i="8"/>
  <c r="E26" i="8"/>
  <c r="D26" i="8"/>
  <c r="E25" i="8"/>
  <c r="D25" i="8"/>
  <c r="E24" i="8"/>
  <c r="D24" i="8"/>
  <c r="E23" i="8"/>
  <c r="D23" i="8"/>
  <c r="E22" i="8"/>
  <c r="D22" i="8"/>
  <c r="E21" i="8"/>
  <c r="D21" i="8"/>
  <c r="E20" i="8"/>
  <c r="D20" i="8"/>
  <c r="E19" i="8"/>
  <c r="D19" i="8"/>
  <c r="E18" i="8"/>
  <c r="D18" i="8"/>
  <c r="E17" i="8"/>
  <c r="D17" i="8"/>
  <c r="E16" i="8"/>
  <c r="D16" i="8"/>
  <c r="E15" i="8"/>
  <c r="D15" i="8"/>
  <c r="E14" i="8"/>
  <c r="D14" i="8"/>
  <c r="E13" i="8"/>
  <c r="D13" i="8"/>
  <c r="E12" i="8"/>
  <c r="D12" i="8"/>
  <c r="E10" i="8"/>
  <c r="D10" i="8"/>
  <c r="E9" i="8"/>
  <c r="D9" i="8"/>
  <c r="E8" i="8"/>
  <c r="D8" i="8"/>
  <c r="E7" i="8"/>
  <c r="D7" i="8"/>
  <c r="E6" i="8"/>
  <c r="D6" i="8"/>
  <c r="E5" i="8"/>
  <c r="D5" i="8"/>
  <c r="E4" i="8"/>
  <c r="D4" i="8"/>
  <c r="E3" i="8"/>
  <c r="D3" i="8"/>
  <c r="E2" i="8"/>
  <c r="D2" i="8"/>
  <c r="O5" i="7"/>
  <c r="N5" i="7"/>
  <c r="H5" i="7"/>
  <c r="N4" i="7"/>
  <c r="H4" i="7"/>
  <c r="N3" i="7"/>
  <c r="K3" i="7"/>
  <c r="H3" i="7"/>
  <c r="O2" i="7"/>
  <c r="N2" i="7"/>
  <c r="H2" i="7"/>
  <c r="G2" i="7"/>
  <c r="T24" i="6"/>
  <c r="M24" i="6"/>
  <c r="F24" i="6"/>
  <c r="P23" i="6"/>
  <c r="O23" i="6"/>
  <c r="M23" i="6"/>
  <c r="G23" i="6"/>
  <c r="T22" i="6"/>
  <c r="P22" i="6"/>
  <c r="O22" i="6"/>
  <c r="M22" i="6"/>
  <c r="L22" i="6"/>
  <c r="J22" i="6"/>
  <c r="T21" i="6"/>
  <c r="P21" i="6"/>
  <c r="O21" i="6"/>
  <c r="N21" i="6"/>
  <c r="M21" i="6"/>
  <c r="L21" i="6"/>
  <c r="J21" i="6"/>
  <c r="T20" i="6"/>
  <c r="P20" i="6"/>
  <c r="O20" i="6"/>
  <c r="N20" i="6"/>
  <c r="M20" i="6"/>
  <c r="J20" i="6"/>
  <c r="T19" i="6"/>
  <c r="P19" i="6"/>
  <c r="O19" i="6"/>
  <c r="M19" i="6"/>
  <c r="L19" i="6"/>
  <c r="J19" i="6"/>
  <c r="T18" i="6"/>
  <c r="P18" i="6"/>
  <c r="O18" i="6"/>
  <c r="M18" i="6"/>
  <c r="L18" i="6"/>
  <c r="J18" i="6"/>
  <c r="T17" i="6"/>
  <c r="M17" i="6"/>
  <c r="J17" i="6"/>
  <c r="T16" i="6"/>
  <c r="P16" i="6"/>
  <c r="O16" i="6"/>
  <c r="J16" i="6"/>
  <c r="T15" i="6"/>
  <c r="P15" i="6"/>
  <c r="O15" i="6"/>
  <c r="J15" i="6"/>
  <c r="T14" i="6"/>
  <c r="P14" i="6"/>
  <c r="O14" i="6"/>
  <c r="M14" i="6"/>
  <c r="L14" i="6"/>
  <c r="J14" i="6"/>
  <c r="T13" i="6"/>
  <c r="P13" i="6"/>
  <c r="O13" i="6"/>
  <c r="N13" i="6"/>
  <c r="M13" i="6"/>
  <c r="L13" i="6"/>
  <c r="J13" i="6"/>
  <c r="T12" i="6"/>
  <c r="P12" i="6"/>
  <c r="O12" i="6"/>
  <c r="M12" i="6"/>
  <c r="L12" i="6"/>
  <c r="J12" i="6"/>
  <c r="T11" i="6"/>
  <c r="P11" i="6"/>
  <c r="O11" i="6"/>
  <c r="N11" i="6"/>
  <c r="M11" i="6"/>
  <c r="L11" i="6"/>
  <c r="J11" i="6"/>
  <c r="T10" i="6"/>
  <c r="P10" i="6"/>
  <c r="M10" i="6"/>
  <c r="L10" i="6"/>
  <c r="K10" i="6"/>
  <c r="G10" i="6"/>
  <c r="T7" i="6"/>
  <c r="M7" i="6"/>
  <c r="L7" i="6"/>
  <c r="K7" i="6"/>
  <c r="J7" i="6"/>
  <c r="T6" i="6"/>
  <c r="M6" i="6"/>
  <c r="L6" i="6"/>
  <c r="K6" i="6"/>
  <c r="J6" i="6"/>
  <c r="P3" i="6"/>
  <c r="K3" i="6"/>
  <c r="J3" i="6"/>
  <c r="I3" i="6"/>
  <c r="P2" i="6"/>
  <c r="K2" i="6"/>
  <c r="I2" i="6"/>
  <c r="H55" i="5"/>
  <c r="F55" i="5"/>
  <c r="N54" i="5"/>
  <c r="J54" i="5"/>
  <c r="H54" i="5"/>
  <c r="F54" i="5"/>
  <c r="F53" i="5"/>
  <c r="F52" i="5"/>
  <c r="F51" i="5"/>
  <c r="H50" i="5"/>
  <c r="F50" i="5"/>
  <c r="H49" i="5"/>
  <c r="F49" i="5"/>
  <c r="J48" i="5"/>
  <c r="N48" i="5" s="1"/>
  <c r="F48" i="5"/>
  <c r="F47" i="5"/>
  <c r="F46" i="5"/>
  <c r="F45" i="5"/>
  <c r="H44" i="5"/>
  <c r="F44" i="5"/>
  <c r="H43" i="5"/>
  <c r="F43" i="5"/>
  <c r="N42" i="5"/>
  <c r="J42" i="5"/>
  <c r="H42" i="5"/>
  <c r="F42" i="5"/>
  <c r="F41" i="5"/>
  <c r="F40" i="5"/>
  <c r="F39" i="5"/>
  <c r="F38" i="5"/>
  <c r="N37" i="5"/>
  <c r="J37" i="5"/>
  <c r="H37" i="5"/>
  <c r="F37" i="5"/>
  <c r="F36" i="5"/>
  <c r="F35" i="5"/>
  <c r="F34" i="5"/>
  <c r="H33" i="5"/>
  <c r="F33" i="5"/>
  <c r="H32" i="5"/>
  <c r="F32" i="5"/>
  <c r="J31" i="5"/>
  <c r="N31" i="5" s="1"/>
  <c r="H31" i="5"/>
  <c r="F31" i="5"/>
  <c r="F30" i="5"/>
  <c r="F29" i="5"/>
  <c r="F28" i="5"/>
  <c r="H27" i="5"/>
  <c r="F27" i="5"/>
  <c r="H26" i="5"/>
  <c r="F26" i="5"/>
  <c r="J25" i="5"/>
  <c r="N25" i="5" s="1"/>
  <c r="F25" i="5"/>
  <c r="F24" i="5"/>
  <c r="F23" i="5"/>
  <c r="F22" i="5"/>
  <c r="F21" i="5"/>
  <c r="H20" i="5"/>
  <c r="F20" i="5"/>
  <c r="F19" i="5"/>
  <c r="J18" i="5"/>
  <c r="N18" i="5" s="1"/>
  <c r="H18" i="5"/>
  <c r="F18" i="5"/>
  <c r="F17" i="5"/>
  <c r="F16" i="5"/>
  <c r="F15" i="5"/>
  <c r="F14" i="5"/>
  <c r="H13" i="5"/>
  <c r="F13" i="5"/>
  <c r="F12" i="5"/>
  <c r="F11" i="5"/>
  <c r="J10" i="5"/>
  <c r="N10" i="5" s="1"/>
  <c r="H10" i="5"/>
  <c r="F10" i="5"/>
  <c r="F9" i="5"/>
  <c r="F8" i="5"/>
  <c r="F7" i="5"/>
  <c r="H6" i="5"/>
  <c r="F6" i="5"/>
  <c r="F5" i="5"/>
  <c r="H4" i="5"/>
  <c r="F4" i="5"/>
  <c r="H3" i="5"/>
  <c r="F3" i="5"/>
  <c r="J2" i="5"/>
  <c r="O2" i="5" s="1"/>
  <c r="H2" i="5"/>
  <c r="F2" i="5"/>
  <c r="W26" i="3"/>
  <c r="T26" i="3"/>
  <c r="S26" i="3"/>
  <c r="R26" i="3"/>
  <c r="Q26" i="3"/>
  <c r="O26" i="3"/>
  <c r="D26" i="3"/>
  <c r="C26" i="3"/>
  <c r="W25" i="3"/>
  <c r="T25" i="3"/>
  <c r="S25" i="3"/>
  <c r="R25" i="3"/>
  <c r="Q25" i="3"/>
  <c r="O25" i="3"/>
  <c r="D25" i="3"/>
  <c r="C25" i="3"/>
  <c r="W24" i="3"/>
  <c r="T24" i="3"/>
  <c r="S24" i="3"/>
  <c r="R24" i="3"/>
  <c r="Q24" i="3"/>
  <c r="O24" i="3"/>
  <c r="D24" i="3"/>
  <c r="C24" i="3"/>
  <c r="W23" i="3"/>
  <c r="T23" i="3"/>
  <c r="S23" i="3"/>
  <c r="R23" i="3"/>
  <c r="Q23" i="3"/>
  <c r="O23" i="3"/>
  <c r="D23" i="3"/>
  <c r="C23" i="3"/>
  <c r="W22" i="3"/>
  <c r="T22" i="3"/>
  <c r="S22" i="3"/>
  <c r="R22" i="3"/>
  <c r="Q22" i="3"/>
  <c r="O22" i="3"/>
  <c r="D22" i="3"/>
  <c r="C22" i="3"/>
  <c r="W21" i="3"/>
  <c r="T21" i="3"/>
  <c r="S21" i="3"/>
  <c r="R21" i="3"/>
  <c r="Q21" i="3"/>
  <c r="O21" i="3"/>
  <c r="D21" i="3"/>
  <c r="C21" i="3"/>
  <c r="W20" i="3"/>
  <c r="T20" i="3"/>
  <c r="S20" i="3"/>
  <c r="R20" i="3"/>
  <c r="Q20" i="3"/>
  <c r="O20" i="3"/>
  <c r="D20" i="3"/>
  <c r="C20" i="3"/>
  <c r="W19" i="3"/>
  <c r="T19" i="3"/>
  <c r="S19" i="3"/>
  <c r="R19" i="3"/>
  <c r="Q19" i="3"/>
  <c r="O19" i="3"/>
  <c r="D19" i="3"/>
  <c r="C19" i="3"/>
  <c r="W18" i="3"/>
  <c r="T18" i="3"/>
  <c r="S18" i="3"/>
  <c r="R18" i="3"/>
  <c r="Q18" i="3"/>
  <c r="O18" i="3"/>
  <c r="D18" i="3"/>
  <c r="C18" i="3"/>
  <c r="W17" i="3"/>
  <c r="T17" i="3"/>
  <c r="S17" i="3"/>
  <c r="R17" i="3"/>
  <c r="Q17" i="3"/>
  <c r="O17" i="3"/>
  <c r="D17" i="3"/>
  <c r="C17" i="3"/>
  <c r="W16" i="3"/>
  <c r="U16" i="3"/>
  <c r="T16" i="3"/>
  <c r="S16" i="3"/>
  <c r="R16" i="3"/>
  <c r="Q16" i="3"/>
  <c r="O16" i="3"/>
  <c r="D16" i="3"/>
  <c r="C16" i="3"/>
  <c r="W15" i="3"/>
  <c r="T15" i="3"/>
  <c r="R15" i="3"/>
  <c r="Q15" i="3"/>
  <c r="O15" i="3"/>
  <c r="D15" i="3"/>
  <c r="C15" i="3"/>
  <c r="W14" i="3"/>
  <c r="T14" i="3"/>
  <c r="S14" i="3"/>
  <c r="R14" i="3"/>
  <c r="Q14" i="3"/>
  <c r="O14" i="3"/>
  <c r="D14" i="3"/>
  <c r="C14" i="3"/>
  <c r="W13" i="3"/>
  <c r="T13" i="3"/>
  <c r="S13" i="3"/>
  <c r="R13" i="3"/>
  <c r="Q13" i="3"/>
  <c r="O13" i="3"/>
  <c r="D13" i="3"/>
  <c r="C13" i="3"/>
  <c r="W12" i="3"/>
  <c r="T12" i="3"/>
  <c r="S12" i="3"/>
  <c r="R12" i="3"/>
  <c r="Q12" i="3"/>
  <c r="O12" i="3"/>
  <c r="D12" i="3"/>
  <c r="C12" i="3"/>
  <c r="W11" i="3"/>
  <c r="T11" i="3"/>
  <c r="S11" i="3"/>
  <c r="R11" i="3"/>
  <c r="Q11" i="3"/>
  <c r="O11" i="3"/>
  <c r="D11" i="3"/>
  <c r="C11" i="3"/>
  <c r="W10" i="3"/>
  <c r="T10" i="3"/>
  <c r="S10" i="3"/>
  <c r="R10" i="3"/>
  <c r="Q10" i="3"/>
  <c r="O10" i="3"/>
  <c r="D10" i="3"/>
  <c r="C10" i="3"/>
  <c r="W9" i="3"/>
  <c r="T9" i="3"/>
  <c r="S9" i="3"/>
  <c r="R9" i="3"/>
  <c r="Q9" i="3"/>
  <c r="O9" i="3"/>
  <c r="D9" i="3"/>
  <c r="C9" i="3"/>
  <c r="W8" i="3"/>
  <c r="T8" i="3"/>
  <c r="S8" i="3"/>
  <c r="R8" i="3"/>
  <c r="Q8" i="3"/>
  <c r="O8" i="3"/>
  <c r="D8" i="3"/>
  <c r="C8" i="3"/>
  <c r="W7" i="3"/>
  <c r="T7" i="3"/>
  <c r="S7" i="3"/>
  <c r="R7" i="3"/>
  <c r="Q7" i="3"/>
  <c r="O7" i="3"/>
  <c r="D7" i="3"/>
  <c r="C7" i="3"/>
  <c r="W6" i="3"/>
  <c r="T6" i="3"/>
  <c r="S6" i="3"/>
  <c r="R6" i="3"/>
  <c r="Q6" i="3"/>
  <c r="O6" i="3"/>
  <c r="D6" i="3"/>
  <c r="C6" i="3"/>
  <c r="W5" i="3"/>
  <c r="T5" i="3"/>
  <c r="S5" i="3"/>
  <c r="R5" i="3"/>
  <c r="Q5" i="3"/>
  <c r="O5" i="3"/>
  <c r="D5" i="3"/>
  <c r="C5" i="3"/>
  <c r="W4" i="3"/>
  <c r="T4" i="3"/>
  <c r="S4" i="3"/>
  <c r="R4" i="3"/>
  <c r="Q4" i="3"/>
  <c r="O4" i="3"/>
  <c r="D4" i="3"/>
  <c r="C4" i="3"/>
  <c r="W3" i="3"/>
  <c r="T3" i="3"/>
  <c r="S3" i="3"/>
  <c r="R3" i="3"/>
  <c r="Q3" i="3"/>
  <c r="O3" i="3"/>
  <c r="D3" i="3"/>
  <c r="C3" i="3"/>
  <c r="W2" i="3"/>
  <c r="T2" i="3"/>
  <c r="S2" i="3"/>
  <c r="R2" i="3"/>
  <c r="Q2" i="3"/>
  <c r="O2" i="3"/>
  <c r="D2" i="3"/>
  <c r="C2" i="3"/>
  <c r="V11" i="4"/>
  <c r="R11" i="4"/>
  <c r="Q11" i="4"/>
  <c r="P11" i="4"/>
  <c r="O11" i="4"/>
  <c r="N11" i="4"/>
  <c r="M11" i="4"/>
  <c r="L11" i="4"/>
  <c r="K11" i="4"/>
  <c r="J11" i="4"/>
  <c r="H11" i="4"/>
  <c r="V10" i="4"/>
  <c r="R10" i="4"/>
  <c r="Q10" i="4"/>
  <c r="P10" i="4"/>
  <c r="O10" i="4"/>
  <c r="H10" i="4"/>
  <c r="G10" i="4"/>
  <c r="V9" i="4"/>
  <c r="R9" i="4"/>
  <c r="Q9" i="4"/>
  <c r="P9" i="4"/>
  <c r="O9" i="4"/>
  <c r="H9" i="4"/>
  <c r="G9" i="4"/>
  <c r="V8" i="4"/>
  <c r="R8" i="4"/>
  <c r="Q8" i="4"/>
  <c r="P8" i="4"/>
  <c r="O8" i="4"/>
  <c r="H8" i="4"/>
  <c r="G8" i="4"/>
  <c r="V7" i="4"/>
  <c r="Q7" i="4"/>
  <c r="P7" i="4"/>
  <c r="O7" i="4"/>
  <c r="H7" i="4"/>
  <c r="G7" i="4"/>
  <c r="V6" i="4"/>
  <c r="R6" i="4"/>
  <c r="Q6" i="4"/>
  <c r="P6" i="4"/>
  <c r="O6" i="4"/>
  <c r="H6" i="4"/>
  <c r="G6" i="4"/>
  <c r="V5" i="4"/>
  <c r="R5" i="4"/>
  <c r="V4" i="4"/>
  <c r="R4" i="4"/>
  <c r="Q4" i="4"/>
  <c r="P4" i="4"/>
  <c r="O4" i="4"/>
  <c r="H4" i="4"/>
  <c r="G4" i="4"/>
  <c r="V3" i="4"/>
  <c r="R3" i="4"/>
  <c r="V2" i="4"/>
  <c r="R2" i="4"/>
  <c r="Q2" i="4"/>
  <c r="P2" i="4"/>
  <c r="O2" i="4"/>
  <c r="H2" i="4"/>
  <c r="G2" i="4"/>
  <c r="R29" i="2"/>
  <c r="P29" i="2"/>
  <c r="O29" i="2"/>
  <c r="N29" i="2"/>
  <c r="C29" i="2"/>
  <c r="R28" i="2"/>
  <c r="P28" i="2"/>
  <c r="O28" i="2"/>
  <c r="N28" i="2"/>
  <c r="C28" i="2"/>
  <c r="R27" i="2"/>
  <c r="P27" i="2"/>
  <c r="O27" i="2"/>
  <c r="N27" i="2"/>
  <c r="K27" i="2"/>
  <c r="H27" i="2"/>
  <c r="G27" i="2"/>
  <c r="F27" i="2"/>
  <c r="E27" i="2"/>
  <c r="C27" i="2"/>
  <c r="R26" i="2"/>
  <c r="P26" i="2"/>
  <c r="O26" i="2"/>
  <c r="N26" i="2"/>
  <c r="K26" i="2"/>
  <c r="H26" i="2"/>
  <c r="G26" i="2"/>
  <c r="F26" i="2"/>
  <c r="E26" i="2"/>
  <c r="D26" i="2"/>
  <c r="C26" i="2"/>
  <c r="R25" i="2"/>
  <c r="P25" i="2"/>
  <c r="O25" i="2"/>
  <c r="N25" i="2"/>
  <c r="K25" i="2"/>
  <c r="H25" i="2"/>
  <c r="G25" i="2"/>
  <c r="F25" i="2"/>
  <c r="E25" i="2"/>
  <c r="D25" i="2"/>
  <c r="C25" i="2"/>
  <c r="R24" i="2"/>
  <c r="P24" i="2"/>
  <c r="N24" i="2"/>
  <c r="C24" i="2"/>
  <c r="R23" i="2"/>
  <c r="P23" i="2"/>
  <c r="O23" i="2"/>
  <c r="N23" i="2"/>
  <c r="K23" i="2"/>
  <c r="H23" i="2"/>
  <c r="G23" i="2"/>
  <c r="F23" i="2"/>
  <c r="E23" i="2"/>
  <c r="D23" i="2"/>
  <c r="C23" i="2"/>
  <c r="R22" i="2"/>
  <c r="P22" i="2"/>
  <c r="O22" i="2"/>
  <c r="N22" i="2"/>
  <c r="K22" i="2"/>
  <c r="H22" i="2"/>
  <c r="G22" i="2"/>
  <c r="F22" i="2"/>
  <c r="E22" i="2"/>
  <c r="D22" i="2"/>
  <c r="C22" i="2"/>
  <c r="R21" i="2"/>
  <c r="P21" i="2"/>
  <c r="O21" i="2"/>
  <c r="N21" i="2"/>
  <c r="K21" i="2"/>
  <c r="H21" i="2"/>
  <c r="G21" i="2"/>
  <c r="F21" i="2"/>
  <c r="E21" i="2"/>
  <c r="C21" i="2"/>
  <c r="R20" i="2"/>
  <c r="P20" i="2"/>
  <c r="O20" i="2"/>
  <c r="N20" i="2"/>
  <c r="L20" i="2"/>
  <c r="K20" i="2"/>
  <c r="H20" i="2"/>
  <c r="G20" i="2"/>
  <c r="F20" i="2"/>
  <c r="E20" i="2"/>
  <c r="D20" i="2"/>
  <c r="C20" i="2"/>
  <c r="R19" i="2"/>
  <c r="P19" i="2"/>
  <c r="O19" i="2"/>
  <c r="L19" i="2"/>
  <c r="K19" i="2"/>
  <c r="H19" i="2"/>
  <c r="G19" i="2"/>
  <c r="F19" i="2"/>
  <c r="E19" i="2"/>
  <c r="D19" i="2"/>
  <c r="C19" i="2"/>
  <c r="R18" i="2"/>
  <c r="P18" i="2"/>
  <c r="O18" i="2"/>
  <c r="N18" i="2"/>
  <c r="L18" i="2"/>
  <c r="K18" i="2"/>
  <c r="H18" i="2"/>
  <c r="G18" i="2"/>
  <c r="F18" i="2"/>
  <c r="E18" i="2"/>
  <c r="D18" i="2"/>
  <c r="C18" i="2"/>
  <c r="R17" i="2"/>
  <c r="P17" i="2"/>
  <c r="O17" i="2"/>
  <c r="N17" i="2"/>
  <c r="L17" i="2"/>
  <c r="K17" i="2"/>
  <c r="H17" i="2"/>
  <c r="G17" i="2"/>
  <c r="F17" i="2"/>
  <c r="E17" i="2"/>
  <c r="D17" i="2"/>
  <c r="C17" i="2"/>
  <c r="R16" i="2"/>
  <c r="P16" i="2"/>
  <c r="O16" i="2"/>
  <c r="N16" i="2"/>
  <c r="K16" i="2"/>
  <c r="H16" i="2"/>
  <c r="F16" i="2"/>
  <c r="E16" i="2"/>
  <c r="D16" i="2"/>
  <c r="C16" i="2"/>
  <c r="R15" i="2"/>
  <c r="P15" i="2"/>
  <c r="O15" i="2"/>
  <c r="N15" i="2"/>
  <c r="K15" i="2"/>
  <c r="H15" i="2"/>
  <c r="G15" i="2"/>
  <c r="F15" i="2"/>
  <c r="E15" i="2"/>
  <c r="D15" i="2"/>
  <c r="C15" i="2"/>
  <c r="R14" i="2"/>
  <c r="P14" i="2"/>
  <c r="O14" i="2"/>
  <c r="N14" i="2"/>
  <c r="K14" i="2"/>
  <c r="H14" i="2"/>
  <c r="G14" i="2"/>
  <c r="F14" i="2"/>
  <c r="E14" i="2"/>
  <c r="D14" i="2"/>
  <c r="C14" i="2"/>
  <c r="R13" i="2"/>
  <c r="P13" i="2"/>
  <c r="O13" i="2"/>
  <c r="N13" i="2"/>
  <c r="K13" i="2"/>
  <c r="G13" i="2"/>
  <c r="D13" i="2"/>
  <c r="R12" i="2"/>
  <c r="P12" i="2"/>
  <c r="O12" i="2"/>
  <c r="N12" i="2"/>
  <c r="L12" i="2"/>
  <c r="K12" i="2"/>
  <c r="H12" i="2"/>
  <c r="G12" i="2"/>
  <c r="F12" i="2"/>
  <c r="E12" i="2"/>
  <c r="D12" i="2"/>
  <c r="C12" i="2"/>
  <c r="R11" i="2"/>
  <c r="P11" i="2"/>
  <c r="O11" i="2"/>
  <c r="N11" i="2"/>
  <c r="L11" i="2"/>
  <c r="K11" i="2"/>
  <c r="H11" i="2"/>
  <c r="G11" i="2"/>
  <c r="F11" i="2"/>
  <c r="E11" i="2"/>
  <c r="D11" i="2"/>
  <c r="C11" i="2"/>
  <c r="R10" i="2"/>
  <c r="P10" i="2"/>
  <c r="O10" i="2"/>
  <c r="N10" i="2"/>
  <c r="K10" i="2"/>
  <c r="H10" i="2"/>
  <c r="G10" i="2"/>
  <c r="F10" i="2"/>
  <c r="E10" i="2"/>
  <c r="D10" i="2"/>
  <c r="C10" i="2"/>
  <c r="R9" i="2"/>
  <c r="P9" i="2"/>
  <c r="O9" i="2"/>
  <c r="N9" i="2"/>
  <c r="L9" i="2"/>
  <c r="K9" i="2"/>
  <c r="H9" i="2"/>
  <c r="G9" i="2"/>
  <c r="F9" i="2"/>
  <c r="E9" i="2"/>
  <c r="D9" i="2"/>
  <c r="C9" i="2"/>
  <c r="R8" i="2"/>
  <c r="P8" i="2"/>
  <c r="O8" i="2"/>
  <c r="N8" i="2"/>
  <c r="L8" i="2"/>
  <c r="K8" i="2"/>
  <c r="H8" i="2"/>
  <c r="G8" i="2"/>
  <c r="F8" i="2"/>
  <c r="E8" i="2"/>
  <c r="D8" i="2"/>
  <c r="C8" i="2"/>
  <c r="R7" i="2"/>
  <c r="P7" i="2"/>
  <c r="O7" i="2"/>
  <c r="N7" i="2"/>
  <c r="L7" i="2"/>
  <c r="K7" i="2"/>
  <c r="H7" i="2"/>
  <c r="G7" i="2"/>
  <c r="F7" i="2"/>
  <c r="E7" i="2"/>
  <c r="D7" i="2"/>
  <c r="C7" i="2"/>
  <c r="R6" i="2"/>
  <c r="P6" i="2"/>
  <c r="O6" i="2"/>
  <c r="N6" i="2"/>
  <c r="K6" i="2"/>
  <c r="H6" i="2"/>
  <c r="G6" i="2"/>
  <c r="F6" i="2"/>
  <c r="E6" i="2"/>
  <c r="C6" i="2"/>
  <c r="R5" i="2"/>
  <c r="P5" i="2"/>
  <c r="O5" i="2"/>
  <c r="N5" i="2"/>
  <c r="K5" i="2"/>
  <c r="H5" i="2"/>
  <c r="G5" i="2"/>
  <c r="F5" i="2"/>
  <c r="E5" i="2"/>
  <c r="D5" i="2"/>
  <c r="C5" i="2"/>
  <c r="R4" i="2"/>
  <c r="P4" i="2"/>
  <c r="O4" i="2"/>
  <c r="N4" i="2"/>
  <c r="K4" i="2"/>
  <c r="H4" i="2"/>
  <c r="G4" i="2"/>
  <c r="F4" i="2"/>
  <c r="E4" i="2"/>
  <c r="D4" i="2"/>
  <c r="C4" i="2"/>
  <c r="R3" i="2"/>
  <c r="P3" i="2"/>
  <c r="O3" i="2"/>
  <c r="N3" i="2"/>
  <c r="K3" i="2"/>
  <c r="H3" i="2"/>
  <c r="G3" i="2"/>
  <c r="F3" i="2"/>
  <c r="E3" i="2"/>
  <c r="D3" i="2"/>
  <c r="C3" i="2"/>
  <c r="R2" i="2"/>
  <c r="P2" i="2"/>
  <c r="O2" i="2"/>
  <c r="N2" i="2"/>
  <c r="L2" i="2"/>
  <c r="K2" i="2"/>
  <c r="H2" i="2"/>
  <c r="G2" i="2"/>
  <c r="F2" i="2"/>
  <c r="E2" i="2"/>
  <c r="D2" i="2"/>
  <c r="C2" i="2"/>
  <c r="AM17" i="9"/>
  <c r="AB17" i="9"/>
  <c r="S17" i="9"/>
  <c r="Q17" i="9"/>
  <c r="P17" i="9"/>
  <c r="F17" i="9"/>
  <c r="AN16" i="9"/>
  <c r="AM16" i="9"/>
  <c r="AL16" i="9"/>
  <c r="AK16" i="9"/>
  <c r="AJ16" i="9"/>
  <c r="AI16" i="9"/>
  <c r="AH16" i="9"/>
  <c r="AG16" i="9"/>
  <c r="AE16" i="9"/>
  <c r="AB16" i="9"/>
  <c r="AA16" i="9"/>
  <c r="Z16" i="9"/>
  <c r="Y16" i="9"/>
  <c r="X16" i="9"/>
  <c r="W16" i="9"/>
  <c r="V16" i="9"/>
  <c r="T16" i="9"/>
  <c r="S16" i="9"/>
  <c r="Q16" i="9"/>
  <c r="P16" i="9"/>
  <c r="F16" i="9"/>
  <c r="AN15" i="9"/>
  <c r="AM15" i="9"/>
  <c r="AL15" i="9"/>
  <c r="AK15" i="9"/>
  <c r="AJ15" i="9"/>
  <c r="AI15" i="9"/>
  <c r="AH15" i="9"/>
  <c r="AG15" i="9"/>
  <c r="AE15" i="9"/>
  <c r="AB15" i="9"/>
  <c r="AA15" i="9"/>
  <c r="Z15" i="9"/>
  <c r="Y15" i="9"/>
  <c r="X15" i="9"/>
  <c r="W15" i="9"/>
  <c r="V15" i="9"/>
  <c r="T15" i="9"/>
  <c r="S15" i="9"/>
  <c r="Q15" i="9"/>
  <c r="P15" i="9"/>
  <c r="F15" i="9"/>
  <c r="AN14" i="9"/>
  <c r="AM14" i="9"/>
  <c r="AL14" i="9"/>
  <c r="AK14" i="9"/>
  <c r="AJ14" i="9"/>
  <c r="AI14" i="9"/>
  <c r="AH14" i="9"/>
  <c r="AG14" i="9"/>
  <c r="AE14" i="9"/>
  <c r="AB14" i="9"/>
  <c r="AA14" i="9"/>
  <c r="Z14" i="9"/>
  <c r="Y14" i="9"/>
  <c r="X14" i="9"/>
  <c r="W14" i="9"/>
  <c r="V14" i="9"/>
  <c r="T14" i="9"/>
  <c r="S14" i="9"/>
  <c r="Q14" i="9"/>
  <c r="P14" i="9"/>
  <c r="F14" i="9"/>
  <c r="AN13" i="9"/>
  <c r="AM13" i="9"/>
  <c r="AK13" i="9"/>
  <c r="AJ13" i="9"/>
  <c r="AI13" i="9"/>
  <c r="AH13" i="9"/>
  <c r="AG13" i="9"/>
  <c r="AE13" i="9"/>
  <c r="AB13" i="9"/>
  <c r="AA13" i="9"/>
  <c r="Z13" i="9"/>
  <c r="Y13" i="9"/>
  <c r="X13" i="9"/>
  <c r="W13" i="9"/>
  <c r="V13" i="9"/>
  <c r="T13" i="9"/>
  <c r="S13" i="9"/>
  <c r="Q13" i="9"/>
  <c r="P13" i="9"/>
  <c r="F13" i="9"/>
  <c r="AN12" i="9"/>
  <c r="AM12" i="9"/>
  <c r="AL12" i="9"/>
  <c r="AK12" i="9"/>
  <c r="AJ12" i="9"/>
  <c r="AI12" i="9"/>
  <c r="AH12" i="9"/>
  <c r="AG12" i="9"/>
  <c r="AE12" i="9"/>
  <c r="AB12" i="9"/>
  <c r="AA12" i="9"/>
  <c r="Z12" i="9"/>
  <c r="Y12" i="9"/>
  <c r="X12" i="9"/>
  <c r="W12" i="9"/>
  <c r="V12" i="9"/>
  <c r="T12" i="9"/>
  <c r="S12" i="9"/>
  <c r="Q12" i="9"/>
  <c r="P12" i="9"/>
  <c r="F12" i="9"/>
  <c r="AN11" i="9"/>
  <c r="AM11" i="9"/>
  <c r="AK11" i="9"/>
  <c r="AJ11" i="9"/>
  <c r="AI11" i="9"/>
  <c r="AH11" i="9"/>
  <c r="AG11" i="9"/>
  <c r="AF11" i="9"/>
  <c r="AE11" i="9"/>
  <c r="AB11" i="9"/>
  <c r="AA11" i="9"/>
  <c r="Z11" i="9"/>
  <c r="Y11" i="9"/>
  <c r="X11" i="9"/>
  <c r="W11" i="9"/>
  <c r="V11" i="9"/>
  <c r="T11" i="9"/>
  <c r="S11" i="9"/>
  <c r="Q11" i="9"/>
  <c r="P11" i="9"/>
  <c r="F11" i="9"/>
  <c r="AN10" i="9"/>
  <c r="AM10" i="9"/>
  <c r="AL10" i="9"/>
  <c r="AK10" i="9"/>
  <c r="AJ10" i="9"/>
  <c r="AI10" i="9"/>
  <c r="AH10" i="9"/>
  <c r="AG10" i="9"/>
  <c r="AE10" i="9"/>
  <c r="AB10" i="9"/>
  <c r="AA10" i="9"/>
  <c r="Z10" i="9"/>
  <c r="Y10" i="9"/>
  <c r="X10" i="9"/>
  <c r="W10" i="9"/>
  <c r="V10" i="9"/>
  <c r="T10" i="9"/>
  <c r="S10" i="9"/>
  <c r="Q10" i="9"/>
  <c r="P10" i="9"/>
  <c r="F10" i="9"/>
  <c r="AN9" i="9"/>
  <c r="AM9" i="9"/>
  <c r="AK9" i="9"/>
  <c r="AJ9" i="9"/>
  <c r="AI9" i="9"/>
  <c r="AH9" i="9"/>
  <c r="AG9" i="9"/>
  <c r="AE9" i="9"/>
  <c r="AB9" i="9"/>
  <c r="AA9" i="9"/>
  <c r="Z9" i="9"/>
  <c r="Y9" i="9"/>
  <c r="X9" i="9"/>
  <c r="W9" i="9"/>
  <c r="V9" i="9"/>
  <c r="T9" i="9"/>
  <c r="S9" i="9"/>
  <c r="Q9" i="9"/>
  <c r="P9" i="9"/>
  <c r="F9" i="9"/>
  <c r="AM8" i="9"/>
  <c r="AB8" i="9"/>
  <c r="S8" i="9"/>
  <c r="Q8" i="9"/>
  <c r="P8" i="9"/>
  <c r="F8" i="9"/>
  <c r="AN7" i="9"/>
  <c r="AM7" i="9"/>
  <c r="AK7" i="9"/>
  <c r="AJ7" i="9"/>
  <c r="AI7" i="9"/>
  <c r="AH7" i="9"/>
  <c r="AG7" i="9"/>
  <c r="AE7" i="9"/>
  <c r="AB7" i="9"/>
  <c r="Z7" i="9"/>
  <c r="Y7" i="9"/>
  <c r="X7" i="9"/>
  <c r="W7" i="9"/>
  <c r="V7" i="9"/>
  <c r="U7" i="9"/>
  <c r="T7" i="9"/>
  <c r="S7" i="9"/>
  <c r="Q7" i="9"/>
  <c r="P7" i="9"/>
  <c r="F7" i="9"/>
  <c r="AN6" i="9"/>
  <c r="AM6" i="9"/>
  <c r="AK6" i="9"/>
  <c r="AJ6" i="9"/>
  <c r="AI6" i="9"/>
  <c r="AH6" i="9"/>
  <c r="AG6" i="9"/>
  <c r="AE6" i="9"/>
  <c r="AB6" i="9"/>
  <c r="AA6" i="9"/>
  <c r="Z6" i="9"/>
  <c r="Y6" i="9"/>
  <c r="X6" i="9"/>
  <c r="W6" i="9"/>
  <c r="V6" i="9"/>
  <c r="T6" i="9"/>
  <c r="S6" i="9"/>
  <c r="Q6" i="9"/>
  <c r="P6" i="9"/>
  <c r="F6" i="9"/>
  <c r="AN5" i="9"/>
  <c r="AM5" i="9"/>
  <c r="AK5" i="9"/>
  <c r="AJ5" i="9"/>
  <c r="AI5" i="9"/>
  <c r="AH5" i="9"/>
  <c r="AG5" i="9"/>
  <c r="AE5" i="9"/>
  <c r="AB5" i="9"/>
  <c r="AA5" i="9"/>
  <c r="Z5" i="9"/>
  <c r="Y5" i="9"/>
  <c r="X5" i="9"/>
  <c r="W5" i="9"/>
  <c r="V5" i="9"/>
  <c r="U5" i="9"/>
  <c r="T5" i="9"/>
  <c r="S5" i="9"/>
  <c r="Q5" i="9"/>
  <c r="P5" i="9"/>
  <c r="F5" i="9"/>
  <c r="AN4" i="9"/>
  <c r="AM4" i="9"/>
  <c r="AK4" i="9"/>
  <c r="AJ4" i="9"/>
  <c r="AI4" i="9"/>
  <c r="AH4" i="9"/>
  <c r="AG4" i="9"/>
  <c r="AE4" i="9"/>
  <c r="AB4" i="9"/>
  <c r="AA4" i="9"/>
  <c r="Z4" i="9"/>
  <c r="Y4" i="9"/>
  <c r="X4" i="9"/>
  <c r="W4" i="9"/>
  <c r="V4" i="9"/>
  <c r="T4" i="9"/>
  <c r="S4" i="9"/>
  <c r="Q4" i="9"/>
  <c r="P4" i="9"/>
  <c r="N4" i="9"/>
  <c r="F4" i="9"/>
  <c r="AN3" i="9"/>
  <c r="AM3" i="9"/>
  <c r="AK3" i="9"/>
  <c r="AI3" i="9"/>
  <c r="AH3" i="9"/>
  <c r="AG3" i="9"/>
  <c r="AE3" i="9"/>
  <c r="AB3" i="9"/>
  <c r="AA3" i="9"/>
  <c r="Z3" i="9"/>
  <c r="Y3" i="9"/>
  <c r="X3" i="9"/>
  <c r="W3" i="9"/>
  <c r="V3" i="9"/>
  <c r="U3" i="9"/>
  <c r="T3" i="9"/>
  <c r="S3" i="9"/>
  <c r="Q3" i="9"/>
  <c r="P3" i="9"/>
  <c r="N3" i="9"/>
  <c r="F3" i="9"/>
  <c r="AN2" i="9"/>
  <c r="AM2" i="9"/>
  <c r="AK2" i="9"/>
  <c r="AJ2" i="9"/>
  <c r="AI2" i="9"/>
  <c r="AH2" i="9"/>
  <c r="AG2" i="9"/>
  <c r="AE2" i="9"/>
  <c r="AB2" i="9"/>
  <c r="AA2" i="9"/>
  <c r="Z2" i="9"/>
  <c r="Y2" i="9"/>
  <c r="X2" i="9"/>
  <c r="W2" i="9"/>
  <c r="V2" i="9"/>
  <c r="T2" i="9"/>
  <c r="S2" i="9"/>
  <c r="Q2" i="9"/>
  <c r="P2" i="9"/>
  <c r="N2" i="9"/>
  <c r="F2" i="9"/>
  <c r="AA232" i="1"/>
  <c r="AM232" i="1" s="1"/>
  <c r="R232" i="1"/>
  <c r="O232" i="1"/>
  <c r="N232" i="1"/>
  <c r="F232" i="1"/>
  <c r="AN231" i="1"/>
  <c r="AK231" i="1"/>
  <c r="AJ231" i="1"/>
  <c r="AI231" i="1"/>
  <c r="AH231" i="1"/>
  <c r="AG231" i="1"/>
  <c r="AF231" i="1"/>
  <c r="AE231" i="1"/>
  <c r="AD231" i="1"/>
  <c r="Z231" i="1"/>
  <c r="Y231" i="1"/>
  <c r="X231" i="1"/>
  <c r="W231" i="1"/>
  <c r="V231" i="1"/>
  <c r="U231" i="1"/>
  <c r="T231" i="1"/>
  <c r="S231" i="1"/>
  <c r="O231" i="1"/>
  <c r="N231" i="1"/>
  <c r="R231" i="1" s="1"/>
  <c r="AA231" i="1" s="1"/>
  <c r="AM231" i="1" s="1"/>
  <c r="F231" i="1"/>
  <c r="O230" i="1"/>
  <c r="R230" i="1" s="1"/>
  <c r="AA230" i="1" s="1"/>
  <c r="AM230" i="1" s="1"/>
  <c r="N230" i="1"/>
  <c r="F230" i="1"/>
  <c r="B230" i="1"/>
  <c r="AN229" i="1"/>
  <c r="AK229" i="1"/>
  <c r="AJ229" i="1"/>
  <c r="AI229" i="1"/>
  <c r="AH229" i="1"/>
  <c r="AG229" i="1"/>
  <c r="AF229" i="1"/>
  <c r="AD229" i="1"/>
  <c r="Z229" i="1"/>
  <c r="Y229" i="1"/>
  <c r="X229" i="1"/>
  <c r="W229" i="1"/>
  <c r="V229" i="1"/>
  <c r="U229" i="1"/>
  <c r="S229" i="1"/>
  <c r="O229" i="1"/>
  <c r="N229" i="1"/>
  <c r="R229" i="1" s="1"/>
  <c r="AA229" i="1" s="1"/>
  <c r="AM229" i="1" s="1"/>
  <c r="F229" i="1"/>
  <c r="L229" i="1" s="1"/>
  <c r="AN228" i="1"/>
  <c r="AK228" i="1"/>
  <c r="AJ228" i="1"/>
  <c r="AI228" i="1"/>
  <c r="AH228" i="1"/>
  <c r="AG228" i="1"/>
  <c r="AF228" i="1"/>
  <c r="AE228" i="1"/>
  <c r="AD228" i="1"/>
  <c r="Z228" i="1"/>
  <c r="Y228" i="1"/>
  <c r="X228" i="1"/>
  <c r="W228" i="1"/>
  <c r="V228" i="1"/>
  <c r="U228" i="1"/>
  <c r="S228" i="1"/>
  <c r="O228" i="1"/>
  <c r="R228" i="1" s="1"/>
  <c r="AA228" i="1" s="1"/>
  <c r="AM228" i="1" s="1"/>
  <c r="N228" i="1"/>
  <c r="F228" i="1"/>
  <c r="L228" i="1" s="1"/>
  <c r="O227" i="1"/>
  <c r="N227" i="1"/>
  <c r="R227" i="1" s="1"/>
  <c r="AA227" i="1" s="1"/>
  <c r="AM227" i="1" s="1"/>
  <c r="F227" i="1"/>
  <c r="B227" i="1"/>
  <c r="AN226" i="1"/>
  <c r="AK226" i="1"/>
  <c r="AJ226" i="1"/>
  <c r="AI226" i="1"/>
  <c r="AH226" i="1"/>
  <c r="AG226" i="1"/>
  <c r="AF226" i="1"/>
  <c r="AD226" i="1"/>
  <c r="Z226" i="1"/>
  <c r="Y226" i="1"/>
  <c r="X226" i="1"/>
  <c r="W226" i="1"/>
  <c r="V226" i="1"/>
  <c r="U226" i="1"/>
  <c r="S226" i="1"/>
  <c r="O226" i="1"/>
  <c r="N226" i="1"/>
  <c r="R226" i="1" s="1"/>
  <c r="AA226" i="1" s="1"/>
  <c r="AM226" i="1" s="1"/>
  <c r="L226" i="1"/>
  <c r="F226" i="1"/>
  <c r="AN225" i="1"/>
  <c r="AK225" i="1"/>
  <c r="AJ225" i="1"/>
  <c r="AI225" i="1"/>
  <c r="AH225" i="1"/>
  <c r="AG225" i="1"/>
  <c r="AF225" i="1"/>
  <c r="AD225" i="1"/>
  <c r="Z225" i="1"/>
  <c r="Y225" i="1"/>
  <c r="X225" i="1"/>
  <c r="W225" i="1"/>
  <c r="V225" i="1"/>
  <c r="U225" i="1"/>
  <c r="S225" i="1"/>
  <c r="R225" i="1"/>
  <c r="AA225" i="1" s="1"/>
  <c r="AM225" i="1" s="1"/>
  <c r="O225" i="1"/>
  <c r="N225" i="1"/>
  <c r="L225" i="1"/>
  <c r="F225" i="1"/>
  <c r="AN224" i="1"/>
  <c r="AK224" i="1"/>
  <c r="AJ224" i="1"/>
  <c r="AI224" i="1"/>
  <c r="AH224" i="1"/>
  <c r="AG224" i="1"/>
  <c r="AF224" i="1"/>
  <c r="AE224" i="1"/>
  <c r="AD224" i="1"/>
  <c r="Z224" i="1"/>
  <c r="Y224" i="1"/>
  <c r="X224" i="1"/>
  <c r="W224" i="1"/>
  <c r="V224" i="1"/>
  <c r="U224" i="1"/>
  <c r="S224" i="1"/>
  <c r="O224" i="1"/>
  <c r="R224" i="1" s="1"/>
  <c r="AA224" i="1" s="1"/>
  <c r="AM224" i="1" s="1"/>
  <c r="N224" i="1"/>
  <c r="L224" i="1"/>
  <c r="F224" i="1"/>
  <c r="O223" i="1"/>
  <c r="R223" i="1" s="1"/>
  <c r="AA223" i="1" s="1"/>
  <c r="AM223" i="1" s="1"/>
  <c r="N223" i="1"/>
  <c r="F223" i="1"/>
  <c r="AN222" i="1"/>
  <c r="AK222" i="1"/>
  <c r="AJ222" i="1"/>
  <c r="AI222" i="1"/>
  <c r="AH222" i="1"/>
  <c r="AG222" i="1"/>
  <c r="AF222" i="1"/>
  <c r="AD222" i="1"/>
  <c r="Y222" i="1"/>
  <c r="X222" i="1"/>
  <c r="W222" i="1"/>
  <c r="V222" i="1"/>
  <c r="U222" i="1"/>
  <c r="T222" i="1"/>
  <c r="S222" i="1"/>
  <c r="O222" i="1"/>
  <c r="N222" i="1"/>
  <c r="R222" i="1" s="1"/>
  <c r="AA222" i="1" s="1"/>
  <c r="AM222" i="1" s="1"/>
  <c r="F222" i="1"/>
  <c r="L222" i="1" s="1"/>
  <c r="O221" i="1"/>
  <c r="N221" i="1"/>
  <c r="R221" i="1" s="1"/>
  <c r="AA221" i="1" s="1"/>
  <c r="AM221" i="1" s="1"/>
  <c r="F221" i="1"/>
  <c r="AN220" i="1"/>
  <c r="AK220" i="1"/>
  <c r="AJ220" i="1"/>
  <c r="AI220" i="1"/>
  <c r="AH220" i="1"/>
  <c r="AG220" i="1"/>
  <c r="AF220" i="1"/>
  <c r="AD220" i="1"/>
  <c r="Z220" i="1"/>
  <c r="Y220" i="1"/>
  <c r="X220" i="1"/>
  <c r="W220" i="1"/>
  <c r="V220" i="1"/>
  <c r="U220" i="1"/>
  <c r="S220" i="1"/>
  <c r="O220" i="1"/>
  <c r="N220" i="1"/>
  <c r="R220" i="1" s="1"/>
  <c r="AA220" i="1" s="1"/>
  <c r="AM220" i="1" s="1"/>
  <c r="F220" i="1"/>
  <c r="L220" i="1" s="1"/>
  <c r="AN219" i="1"/>
  <c r="AK219" i="1"/>
  <c r="AJ219" i="1"/>
  <c r="AI219" i="1"/>
  <c r="AH219" i="1"/>
  <c r="AG219" i="1"/>
  <c r="AF219" i="1"/>
  <c r="AE219" i="1"/>
  <c r="AD219" i="1"/>
  <c r="Z219" i="1"/>
  <c r="Y219" i="1"/>
  <c r="X219" i="1"/>
  <c r="W219" i="1"/>
  <c r="V219" i="1"/>
  <c r="U219" i="1"/>
  <c r="S219" i="1"/>
  <c r="O219" i="1"/>
  <c r="R219" i="1" s="1"/>
  <c r="AA219" i="1" s="1"/>
  <c r="AM219" i="1" s="1"/>
  <c r="N219" i="1"/>
  <c r="L219" i="1"/>
  <c r="F219" i="1"/>
  <c r="O218" i="1"/>
  <c r="N218" i="1"/>
  <c r="R218" i="1" s="1"/>
  <c r="AA218" i="1" s="1"/>
  <c r="AM218" i="1" s="1"/>
  <c r="F218" i="1"/>
  <c r="AN217" i="1"/>
  <c r="AK217" i="1"/>
  <c r="AJ217" i="1"/>
  <c r="AI217" i="1"/>
  <c r="AH217" i="1"/>
  <c r="AG217" i="1"/>
  <c r="AF217" i="1"/>
  <c r="AD217" i="1"/>
  <c r="Z217" i="1"/>
  <c r="Y217" i="1"/>
  <c r="X217" i="1"/>
  <c r="W217" i="1"/>
  <c r="V217" i="1"/>
  <c r="U217" i="1"/>
  <c r="S217" i="1"/>
  <c r="O217" i="1"/>
  <c r="N217" i="1"/>
  <c r="R217" i="1" s="1"/>
  <c r="AA217" i="1" s="1"/>
  <c r="AM217" i="1" s="1"/>
  <c r="L217" i="1"/>
  <c r="F217" i="1"/>
  <c r="AN216" i="1"/>
  <c r="AK216" i="1"/>
  <c r="AJ216" i="1"/>
  <c r="AI216" i="1"/>
  <c r="AH216" i="1"/>
  <c r="AG216" i="1"/>
  <c r="AF216" i="1"/>
  <c r="AD216" i="1"/>
  <c r="Z216" i="1"/>
  <c r="Y216" i="1"/>
  <c r="X216" i="1"/>
  <c r="W216" i="1"/>
  <c r="V216" i="1"/>
  <c r="U216" i="1"/>
  <c r="S216" i="1"/>
  <c r="O216" i="1"/>
  <c r="N216" i="1"/>
  <c r="R216" i="1" s="1"/>
  <c r="AA216" i="1" s="1"/>
  <c r="AM216" i="1" s="1"/>
  <c r="L216" i="1"/>
  <c r="F216" i="1"/>
  <c r="AN215" i="1"/>
  <c r="AK215" i="1"/>
  <c r="AJ215" i="1"/>
  <c r="AI215" i="1"/>
  <c r="AH215" i="1"/>
  <c r="AG215" i="1"/>
  <c r="AF215" i="1"/>
  <c r="AE215" i="1"/>
  <c r="AD215" i="1"/>
  <c r="Z215" i="1"/>
  <c r="Y215" i="1"/>
  <c r="X215" i="1"/>
  <c r="W215" i="1"/>
  <c r="V215" i="1"/>
  <c r="U215" i="1"/>
  <c r="S215" i="1"/>
  <c r="P215" i="1"/>
  <c r="R215" i="1" s="1"/>
  <c r="AA215" i="1" s="1"/>
  <c r="AM215" i="1" s="1"/>
  <c r="O215" i="1"/>
  <c r="N215" i="1"/>
  <c r="L215" i="1"/>
  <c r="F215" i="1"/>
  <c r="O214" i="1"/>
  <c r="N214" i="1"/>
  <c r="R214" i="1" s="1"/>
  <c r="AA214" i="1" s="1"/>
  <c r="AM214" i="1" s="1"/>
  <c r="F214" i="1"/>
  <c r="O213" i="1"/>
  <c r="N213" i="1"/>
  <c r="R213" i="1" s="1"/>
  <c r="AA213" i="1" s="1"/>
  <c r="AM213" i="1" s="1"/>
  <c r="F213" i="1"/>
  <c r="B213" i="1"/>
  <c r="AN212" i="1"/>
  <c r="AK212" i="1"/>
  <c r="AJ212" i="1"/>
  <c r="AI212" i="1"/>
  <c r="AH212" i="1"/>
  <c r="AG212" i="1"/>
  <c r="AF212" i="1"/>
  <c r="AD212" i="1"/>
  <c r="Z212" i="1"/>
  <c r="Y212" i="1"/>
  <c r="X212" i="1"/>
  <c r="W212" i="1"/>
  <c r="V212" i="1"/>
  <c r="U212" i="1"/>
  <c r="S212" i="1"/>
  <c r="O212" i="1"/>
  <c r="N212" i="1"/>
  <c r="R212" i="1" s="1"/>
  <c r="AA212" i="1" s="1"/>
  <c r="AM212" i="1" s="1"/>
  <c r="F212" i="1"/>
  <c r="L212" i="1" s="1"/>
  <c r="AN211" i="1"/>
  <c r="AK211" i="1"/>
  <c r="AJ211" i="1"/>
  <c r="AI211" i="1"/>
  <c r="AH211" i="1"/>
  <c r="AG211" i="1"/>
  <c r="AF211" i="1"/>
  <c r="AD211" i="1"/>
  <c r="Z211" i="1"/>
  <c r="Y211" i="1"/>
  <c r="X211" i="1"/>
  <c r="W211" i="1"/>
  <c r="V211" i="1"/>
  <c r="U211" i="1"/>
  <c r="S211" i="1"/>
  <c r="O211" i="1"/>
  <c r="N211" i="1"/>
  <c r="R211" i="1" s="1"/>
  <c r="AA211" i="1" s="1"/>
  <c r="AM211" i="1" s="1"/>
  <c r="F211" i="1"/>
  <c r="L211" i="1" s="1"/>
  <c r="AN210" i="1"/>
  <c r="AK210" i="1"/>
  <c r="AJ210" i="1"/>
  <c r="AI210" i="1"/>
  <c r="AH210" i="1"/>
  <c r="AG210" i="1"/>
  <c r="AF210" i="1"/>
  <c r="AE210" i="1"/>
  <c r="AD210" i="1"/>
  <c r="Z210" i="1"/>
  <c r="Y210" i="1"/>
  <c r="X210" i="1"/>
  <c r="W210" i="1"/>
  <c r="V210" i="1"/>
  <c r="U210" i="1"/>
  <c r="S210" i="1"/>
  <c r="O210" i="1"/>
  <c r="N210" i="1"/>
  <c r="R210" i="1" s="1"/>
  <c r="AA210" i="1" s="1"/>
  <c r="AM210" i="1" s="1"/>
  <c r="L210" i="1"/>
  <c r="F210" i="1"/>
  <c r="AA209" i="1"/>
  <c r="AM209" i="1" s="1"/>
  <c r="R209" i="1"/>
  <c r="O209" i="1"/>
  <c r="N209" i="1"/>
  <c r="F209" i="1"/>
  <c r="B209" i="1"/>
  <c r="AN208" i="1"/>
  <c r="AK208" i="1"/>
  <c r="AJ208" i="1"/>
  <c r="AI208" i="1"/>
  <c r="AH208" i="1"/>
  <c r="AG208" i="1"/>
  <c r="AF208" i="1"/>
  <c r="AD208" i="1"/>
  <c r="Z208" i="1"/>
  <c r="Y208" i="1"/>
  <c r="X208" i="1"/>
  <c r="W208" i="1"/>
  <c r="V208" i="1"/>
  <c r="U208" i="1"/>
  <c r="S208" i="1"/>
  <c r="O208" i="1"/>
  <c r="N208" i="1"/>
  <c r="R208" i="1" s="1"/>
  <c r="AA208" i="1" s="1"/>
  <c r="AM208" i="1" s="1"/>
  <c r="L208" i="1"/>
  <c r="F208" i="1"/>
  <c r="AN207" i="1"/>
  <c r="AK207" i="1"/>
  <c r="AJ207" i="1"/>
  <c r="AI207" i="1"/>
  <c r="AH207" i="1"/>
  <c r="AG207" i="1"/>
  <c r="AF207" i="1"/>
  <c r="AE207" i="1"/>
  <c r="AD207" i="1"/>
  <c r="AA207" i="1"/>
  <c r="AM207" i="1" s="1"/>
  <c r="Z207" i="1"/>
  <c r="Y207" i="1"/>
  <c r="X207" i="1"/>
  <c r="W207" i="1"/>
  <c r="V207" i="1"/>
  <c r="U207" i="1"/>
  <c r="S207" i="1"/>
  <c r="R207" i="1"/>
  <c r="O207" i="1"/>
  <c r="N207" i="1"/>
  <c r="F207" i="1"/>
  <c r="L207" i="1" s="1"/>
  <c r="O206" i="1"/>
  <c r="N206" i="1"/>
  <c r="R206" i="1" s="1"/>
  <c r="AA206" i="1" s="1"/>
  <c r="AM206" i="1" s="1"/>
  <c r="F206" i="1"/>
  <c r="AN205" i="1"/>
  <c r="AK205" i="1"/>
  <c r="AJ205" i="1"/>
  <c r="AI205" i="1"/>
  <c r="AH205" i="1"/>
  <c r="AG205" i="1"/>
  <c r="AF205" i="1"/>
  <c r="AD205" i="1"/>
  <c r="Z205" i="1"/>
  <c r="Y205" i="1"/>
  <c r="X205" i="1"/>
  <c r="W205" i="1"/>
  <c r="V205" i="1"/>
  <c r="U205" i="1"/>
  <c r="T205" i="1"/>
  <c r="S205" i="1"/>
  <c r="O205" i="1"/>
  <c r="N205" i="1"/>
  <c r="R205" i="1" s="1"/>
  <c r="AA205" i="1" s="1"/>
  <c r="AM205" i="1" s="1"/>
  <c r="F205" i="1"/>
  <c r="AN204" i="1"/>
  <c r="AK204" i="1"/>
  <c r="AJ204" i="1"/>
  <c r="AI204" i="1"/>
  <c r="AH204" i="1"/>
  <c r="AG204" i="1"/>
  <c r="AF204" i="1"/>
  <c r="AD204" i="1"/>
  <c r="Z204" i="1"/>
  <c r="Y204" i="1"/>
  <c r="X204" i="1"/>
  <c r="W204" i="1"/>
  <c r="V204" i="1"/>
  <c r="U204" i="1"/>
  <c r="T204" i="1"/>
  <c r="S204" i="1"/>
  <c r="O204" i="1"/>
  <c r="N204" i="1"/>
  <c r="R204" i="1" s="1"/>
  <c r="AA204" i="1" s="1"/>
  <c r="AM204" i="1" s="1"/>
  <c r="F204" i="1"/>
  <c r="AN203" i="1"/>
  <c r="AK203" i="1"/>
  <c r="AJ203" i="1"/>
  <c r="AI203" i="1"/>
  <c r="AH203" i="1"/>
  <c r="AG203" i="1"/>
  <c r="AF203" i="1"/>
  <c r="AD203" i="1"/>
  <c r="Z203" i="1"/>
  <c r="Y203" i="1"/>
  <c r="X203" i="1"/>
  <c r="W203" i="1"/>
  <c r="V203" i="1"/>
  <c r="U203" i="1"/>
  <c r="T203" i="1"/>
  <c r="S203" i="1"/>
  <c r="O203" i="1"/>
  <c r="N203" i="1"/>
  <c r="R203" i="1" s="1"/>
  <c r="AA203" i="1" s="1"/>
  <c r="AM203" i="1" s="1"/>
  <c r="F203" i="1"/>
  <c r="AN202" i="1"/>
  <c r="AK202" i="1"/>
  <c r="AJ202" i="1"/>
  <c r="AI202" i="1"/>
  <c r="AH202" i="1"/>
  <c r="AG202" i="1"/>
  <c r="AF202" i="1"/>
  <c r="AE202" i="1"/>
  <c r="AD202" i="1"/>
  <c r="Z202" i="1"/>
  <c r="Y202" i="1"/>
  <c r="X202" i="1"/>
  <c r="W202" i="1"/>
  <c r="V202" i="1"/>
  <c r="U202" i="1"/>
  <c r="S202" i="1"/>
  <c r="O202" i="1"/>
  <c r="N202" i="1"/>
  <c r="R202" i="1" s="1"/>
  <c r="AA202" i="1" s="1"/>
  <c r="AM202" i="1" s="1"/>
  <c r="F202" i="1"/>
  <c r="O201" i="1"/>
  <c r="N201" i="1"/>
  <c r="R201" i="1" s="1"/>
  <c r="AA201" i="1" s="1"/>
  <c r="AM201" i="1" s="1"/>
  <c r="F201" i="1"/>
  <c r="AK200" i="1"/>
  <c r="AJ200" i="1"/>
  <c r="AI200" i="1"/>
  <c r="AH200" i="1"/>
  <c r="AG200" i="1"/>
  <c r="AF200" i="1"/>
  <c r="AD200" i="1"/>
  <c r="Z200" i="1"/>
  <c r="Y200" i="1"/>
  <c r="X200" i="1"/>
  <c r="W200" i="1"/>
  <c r="V200" i="1"/>
  <c r="U200" i="1"/>
  <c r="T200" i="1"/>
  <c r="S200" i="1"/>
  <c r="O200" i="1"/>
  <c r="N200" i="1"/>
  <c r="R200" i="1" s="1"/>
  <c r="AA200" i="1" s="1"/>
  <c r="AM200" i="1" s="1"/>
  <c r="L200" i="1"/>
  <c r="F200" i="1"/>
  <c r="AN199" i="1"/>
  <c r="AK199" i="1"/>
  <c r="AJ199" i="1"/>
  <c r="AI199" i="1"/>
  <c r="AH199" i="1"/>
  <c r="AG199" i="1"/>
  <c r="AF199" i="1"/>
  <c r="AE199" i="1"/>
  <c r="AD199" i="1"/>
  <c r="Z199" i="1"/>
  <c r="Y199" i="1"/>
  <c r="X199" i="1"/>
  <c r="W199" i="1"/>
  <c r="V199" i="1"/>
  <c r="U199" i="1"/>
  <c r="S199" i="1"/>
  <c r="O199" i="1"/>
  <c r="N199" i="1"/>
  <c r="R199" i="1" s="1"/>
  <c r="AA199" i="1" s="1"/>
  <c r="AM199" i="1" s="1"/>
  <c r="F199" i="1"/>
  <c r="L199" i="1" s="1"/>
  <c r="O198" i="1"/>
  <c r="N198" i="1"/>
  <c r="R198" i="1" s="1"/>
  <c r="AA198" i="1" s="1"/>
  <c r="AM198" i="1" s="1"/>
  <c r="F198" i="1"/>
  <c r="O197" i="1"/>
  <c r="N197" i="1"/>
  <c r="R197" i="1" s="1"/>
  <c r="AA197" i="1" s="1"/>
  <c r="AM197" i="1" s="1"/>
  <c r="F197" i="1"/>
  <c r="B197" i="1"/>
  <c r="AN196" i="1"/>
  <c r="AK196" i="1"/>
  <c r="AJ196" i="1"/>
  <c r="AI196" i="1"/>
  <c r="AH196" i="1"/>
  <c r="AG196" i="1"/>
  <c r="AF196" i="1"/>
  <c r="AD196" i="1"/>
  <c r="Z196" i="1"/>
  <c r="Y196" i="1"/>
  <c r="X196" i="1"/>
  <c r="W196" i="1"/>
  <c r="V196" i="1"/>
  <c r="U196" i="1"/>
  <c r="S196" i="1"/>
  <c r="R196" i="1"/>
  <c r="AA196" i="1" s="1"/>
  <c r="AM196" i="1" s="1"/>
  <c r="O196" i="1"/>
  <c r="N196" i="1"/>
  <c r="F196" i="1"/>
  <c r="L196" i="1" s="1"/>
  <c r="AN195" i="1"/>
  <c r="AK195" i="1"/>
  <c r="AJ195" i="1"/>
  <c r="AI195" i="1"/>
  <c r="AH195" i="1"/>
  <c r="AG195" i="1"/>
  <c r="AF195" i="1"/>
  <c r="AE195" i="1"/>
  <c r="AD195" i="1"/>
  <c r="Z195" i="1"/>
  <c r="Y195" i="1"/>
  <c r="X195" i="1"/>
  <c r="W195" i="1"/>
  <c r="V195" i="1"/>
  <c r="U195" i="1"/>
  <c r="S195" i="1"/>
  <c r="P195" i="1"/>
  <c r="O195" i="1"/>
  <c r="N195" i="1"/>
  <c r="R195" i="1" s="1"/>
  <c r="AA195" i="1" s="1"/>
  <c r="AM195" i="1" s="1"/>
  <c r="L195" i="1"/>
  <c r="F195" i="1"/>
  <c r="O194" i="1"/>
  <c r="N194" i="1"/>
  <c r="R194" i="1" s="1"/>
  <c r="AA194" i="1" s="1"/>
  <c r="AM194" i="1" s="1"/>
  <c r="F194" i="1"/>
  <c r="B194" i="1"/>
  <c r="AN193" i="1"/>
  <c r="AK193" i="1"/>
  <c r="AJ193" i="1"/>
  <c r="AI193" i="1"/>
  <c r="AH193" i="1"/>
  <c r="AG193" i="1"/>
  <c r="AF193" i="1"/>
  <c r="AD193" i="1"/>
  <c r="Z193" i="1"/>
  <c r="Y193" i="1"/>
  <c r="X193" i="1"/>
  <c r="W193" i="1"/>
  <c r="V193" i="1"/>
  <c r="U193" i="1"/>
  <c r="S193" i="1"/>
  <c r="O193" i="1"/>
  <c r="N193" i="1"/>
  <c r="R193" i="1" s="1"/>
  <c r="AA193" i="1" s="1"/>
  <c r="AM193" i="1" s="1"/>
  <c r="L193" i="1"/>
  <c r="F193" i="1"/>
  <c r="AN192" i="1"/>
  <c r="AK192" i="1"/>
  <c r="AJ192" i="1"/>
  <c r="AI192" i="1"/>
  <c r="AH192" i="1"/>
  <c r="AG192" i="1"/>
  <c r="AF192" i="1"/>
  <c r="AD192" i="1"/>
  <c r="Z192" i="1"/>
  <c r="Y192" i="1"/>
  <c r="X192" i="1"/>
  <c r="W192" i="1"/>
  <c r="V192" i="1"/>
  <c r="U192" i="1"/>
  <c r="S192" i="1"/>
  <c r="O192" i="1"/>
  <c r="N192" i="1"/>
  <c r="R192" i="1" s="1"/>
  <c r="AA192" i="1" s="1"/>
  <c r="AM192" i="1" s="1"/>
  <c r="F192" i="1"/>
  <c r="L192" i="1" s="1"/>
  <c r="AN191" i="1"/>
  <c r="AK191" i="1"/>
  <c r="AJ191" i="1"/>
  <c r="AI191" i="1"/>
  <c r="AH191" i="1"/>
  <c r="AG191" i="1"/>
  <c r="AF191" i="1"/>
  <c r="AE191" i="1"/>
  <c r="AD191" i="1"/>
  <c r="Z191" i="1"/>
  <c r="Y191" i="1"/>
  <c r="X191" i="1"/>
  <c r="W191" i="1"/>
  <c r="V191" i="1"/>
  <c r="U191" i="1"/>
  <c r="S191" i="1"/>
  <c r="P191" i="1"/>
  <c r="O191" i="1"/>
  <c r="N191" i="1"/>
  <c r="R191" i="1" s="1"/>
  <c r="AA191" i="1" s="1"/>
  <c r="AM191" i="1" s="1"/>
  <c r="L191" i="1"/>
  <c r="F191" i="1"/>
  <c r="O190" i="1"/>
  <c r="N190" i="1"/>
  <c r="R190" i="1" s="1"/>
  <c r="AA190" i="1" s="1"/>
  <c r="AM190" i="1" s="1"/>
  <c r="F190" i="1"/>
  <c r="R189" i="1"/>
  <c r="AA189" i="1" s="1"/>
  <c r="AM189" i="1" s="1"/>
  <c r="O189" i="1"/>
  <c r="N189" i="1"/>
  <c r="F189" i="1"/>
  <c r="AN188" i="1"/>
  <c r="AK188" i="1"/>
  <c r="AJ188" i="1"/>
  <c r="AI188" i="1"/>
  <c r="AH188" i="1"/>
  <c r="AG188" i="1"/>
  <c r="AF188" i="1"/>
  <c r="AD188" i="1"/>
  <c r="Z188" i="1"/>
  <c r="Y188" i="1"/>
  <c r="X188" i="1"/>
  <c r="W188" i="1"/>
  <c r="V188" i="1"/>
  <c r="U188" i="1"/>
  <c r="S188" i="1"/>
  <c r="O188" i="1"/>
  <c r="N188" i="1"/>
  <c r="R188" i="1" s="1"/>
  <c r="AA188" i="1" s="1"/>
  <c r="AM188" i="1" s="1"/>
  <c r="L188" i="1"/>
  <c r="F188" i="1"/>
  <c r="AN187" i="1"/>
  <c r="AK187" i="1"/>
  <c r="AJ187" i="1"/>
  <c r="AI187" i="1"/>
  <c r="AH187" i="1"/>
  <c r="AG187" i="1"/>
  <c r="AF187" i="1"/>
  <c r="AD187" i="1"/>
  <c r="Z187" i="1"/>
  <c r="Y187" i="1"/>
  <c r="X187" i="1"/>
  <c r="W187" i="1"/>
  <c r="V187" i="1"/>
  <c r="U187" i="1"/>
  <c r="S187" i="1"/>
  <c r="R187" i="1"/>
  <c r="AA187" i="1" s="1"/>
  <c r="AM187" i="1" s="1"/>
  <c r="O187" i="1"/>
  <c r="N187" i="1"/>
  <c r="F187" i="1"/>
  <c r="L187" i="1" s="1"/>
  <c r="R186" i="1"/>
  <c r="AA186" i="1" s="1"/>
  <c r="AM186" i="1" s="1"/>
  <c r="O186" i="1"/>
  <c r="N186" i="1"/>
  <c r="F186" i="1"/>
  <c r="AN185" i="1"/>
  <c r="AK185" i="1"/>
  <c r="AJ185" i="1"/>
  <c r="AI185" i="1"/>
  <c r="AH185" i="1"/>
  <c r="AG185" i="1"/>
  <c r="AF185" i="1"/>
  <c r="AD185" i="1"/>
  <c r="Z185" i="1"/>
  <c r="Y185" i="1"/>
  <c r="X185" i="1"/>
  <c r="W185" i="1"/>
  <c r="V185" i="1"/>
  <c r="U185" i="1"/>
  <c r="S185" i="1"/>
  <c r="O185" i="1"/>
  <c r="N185" i="1"/>
  <c r="R185" i="1" s="1"/>
  <c r="AA185" i="1" s="1"/>
  <c r="AM185" i="1" s="1"/>
  <c r="L185" i="1"/>
  <c r="F185" i="1"/>
  <c r="AN184" i="1"/>
  <c r="AK184" i="1"/>
  <c r="AJ184" i="1"/>
  <c r="AI184" i="1"/>
  <c r="AH184" i="1"/>
  <c r="AG184" i="1"/>
  <c r="AF184" i="1"/>
  <c r="AD184" i="1"/>
  <c r="Z184" i="1"/>
  <c r="Y184" i="1"/>
  <c r="X184" i="1"/>
  <c r="W184" i="1"/>
  <c r="V184" i="1"/>
  <c r="U184" i="1"/>
  <c r="S184" i="1"/>
  <c r="R184" i="1"/>
  <c r="AA184" i="1" s="1"/>
  <c r="AM184" i="1" s="1"/>
  <c r="O184" i="1"/>
  <c r="N184" i="1"/>
  <c r="F184" i="1"/>
  <c r="L184" i="1" s="1"/>
  <c r="R183" i="1"/>
  <c r="AA183" i="1" s="1"/>
  <c r="AM183" i="1" s="1"/>
  <c r="O183" i="1"/>
  <c r="N183" i="1"/>
  <c r="F183" i="1"/>
  <c r="AM182" i="1"/>
  <c r="AA182" i="1"/>
  <c r="R182" i="1"/>
  <c r="O182" i="1"/>
  <c r="N182" i="1"/>
  <c r="F182" i="1"/>
  <c r="B182" i="1"/>
  <c r="AN181" i="1"/>
  <c r="AK181" i="1"/>
  <c r="AJ181" i="1"/>
  <c r="AI181" i="1"/>
  <c r="AH181" i="1"/>
  <c r="AG181" i="1"/>
  <c r="AF181" i="1"/>
  <c r="AD181" i="1"/>
  <c r="Z181" i="1"/>
  <c r="Y181" i="1"/>
  <c r="X181" i="1"/>
  <c r="W181" i="1"/>
  <c r="V181" i="1"/>
  <c r="U181" i="1"/>
  <c r="S181" i="1"/>
  <c r="O181" i="1"/>
  <c r="N181" i="1"/>
  <c r="R181" i="1" s="1"/>
  <c r="AA181" i="1" s="1"/>
  <c r="AM181" i="1" s="1"/>
  <c r="L181" i="1"/>
  <c r="F181" i="1"/>
  <c r="AN180" i="1"/>
  <c r="AK180" i="1"/>
  <c r="AJ180" i="1"/>
  <c r="AI180" i="1"/>
  <c r="AH180" i="1"/>
  <c r="AG180" i="1"/>
  <c r="AF180" i="1"/>
  <c r="AD180" i="1"/>
  <c r="Z180" i="1"/>
  <c r="Y180" i="1"/>
  <c r="X180" i="1"/>
  <c r="W180" i="1"/>
  <c r="V180" i="1"/>
  <c r="U180" i="1"/>
  <c r="S180" i="1"/>
  <c r="R180" i="1"/>
  <c r="AA180" i="1" s="1"/>
  <c r="AM180" i="1" s="1"/>
  <c r="P180" i="1"/>
  <c r="O180" i="1"/>
  <c r="N180" i="1"/>
  <c r="F180" i="1"/>
  <c r="L180" i="1" s="1"/>
  <c r="O179" i="1"/>
  <c r="N179" i="1"/>
  <c r="R179" i="1" s="1"/>
  <c r="AA179" i="1" s="1"/>
  <c r="AM179" i="1" s="1"/>
  <c r="F179" i="1"/>
  <c r="AN178" i="1"/>
  <c r="AK178" i="1"/>
  <c r="AJ178" i="1"/>
  <c r="AI178" i="1"/>
  <c r="AH178" i="1"/>
  <c r="AG178" i="1"/>
  <c r="AF178" i="1"/>
  <c r="AD178" i="1"/>
  <c r="Z178" i="1"/>
  <c r="Y178" i="1"/>
  <c r="X178" i="1"/>
  <c r="W178" i="1"/>
  <c r="V178" i="1"/>
  <c r="U178" i="1"/>
  <c r="S178" i="1"/>
  <c r="O178" i="1"/>
  <c r="N178" i="1"/>
  <c r="R178" i="1" s="1"/>
  <c r="AA178" i="1" s="1"/>
  <c r="AM178" i="1" s="1"/>
  <c r="L178" i="1"/>
  <c r="F178" i="1"/>
  <c r="AN177" i="1"/>
  <c r="AK177" i="1"/>
  <c r="AJ177" i="1"/>
  <c r="AI177" i="1"/>
  <c r="AH177" i="1"/>
  <c r="AG177" i="1"/>
  <c r="AF177" i="1"/>
  <c r="AD177" i="1"/>
  <c r="Z177" i="1"/>
  <c r="Y177" i="1"/>
  <c r="X177" i="1"/>
  <c r="W177" i="1"/>
  <c r="V177" i="1"/>
  <c r="U177" i="1"/>
  <c r="S177" i="1"/>
  <c r="O177" i="1"/>
  <c r="N177" i="1"/>
  <c r="R177" i="1" s="1"/>
  <c r="AA177" i="1" s="1"/>
  <c r="AM177" i="1" s="1"/>
  <c r="F177" i="1"/>
  <c r="L177" i="1" s="1"/>
  <c r="AN176" i="1"/>
  <c r="AK176" i="1"/>
  <c r="AJ176" i="1"/>
  <c r="AI176" i="1"/>
  <c r="AH176" i="1"/>
  <c r="AG176" i="1"/>
  <c r="AF176" i="1"/>
  <c r="AD176" i="1"/>
  <c r="Z176" i="1"/>
  <c r="Y176" i="1"/>
  <c r="X176" i="1"/>
  <c r="W176" i="1"/>
  <c r="V176" i="1"/>
  <c r="U176" i="1"/>
  <c r="S176" i="1"/>
  <c r="R176" i="1"/>
  <c r="AA176" i="1" s="1"/>
  <c r="AM176" i="1" s="1"/>
  <c r="O176" i="1"/>
  <c r="N176" i="1"/>
  <c r="L176" i="1"/>
  <c r="F176" i="1"/>
  <c r="O175" i="1"/>
  <c r="R175" i="1" s="1"/>
  <c r="AA175" i="1" s="1"/>
  <c r="AM175" i="1" s="1"/>
  <c r="N175" i="1"/>
  <c r="F175" i="1"/>
  <c r="R174" i="1"/>
  <c r="AA174" i="1" s="1"/>
  <c r="AM174" i="1" s="1"/>
  <c r="O174" i="1"/>
  <c r="N174" i="1"/>
  <c r="F174" i="1"/>
  <c r="AN173" i="1"/>
  <c r="AK173" i="1"/>
  <c r="AJ173" i="1"/>
  <c r="AI173" i="1"/>
  <c r="AH173" i="1"/>
  <c r="AG173" i="1"/>
  <c r="AF173" i="1"/>
  <c r="AD173" i="1"/>
  <c r="Z173" i="1"/>
  <c r="Y173" i="1"/>
  <c r="X173" i="1"/>
  <c r="W173" i="1"/>
  <c r="V173" i="1"/>
  <c r="U173" i="1"/>
  <c r="T173" i="1"/>
  <c r="S173" i="1"/>
  <c r="O173" i="1"/>
  <c r="N173" i="1"/>
  <c r="R173" i="1" s="1"/>
  <c r="AA173" i="1" s="1"/>
  <c r="AM173" i="1" s="1"/>
  <c r="F173" i="1"/>
  <c r="L173" i="1" s="1"/>
  <c r="AN172" i="1"/>
  <c r="AK172" i="1"/>
  <c r="AJ172" i="1"/>
  <c r="AI172" i="1"/>
  <c r="AH172" i="1"/>
  <c r="AG172" i="1"/>
  <c r="AF172" i="1"/>
  <c r="AD172" i="1"/>
  <c r="Z172" i="1"/>
  <c r="Y172" i="1"/>
  <c r="X172" i="1"/>
  <c r="W172" i="1"/>
  <c r="V172" i="1"/>
  <c r="U172" i="1"/>
  <c r="S172" i="1"/>
  <c r="O172" i="1"/>
  <c r="R172" i="1" s="1"/>
  <c r="AA172" i="1" s="1"/>
  <c r="AM172" i="1" s="1"/>
  <c r="N172" i="1"/>
  <c r="F172" i="1"/>
  <c r="L172" i="1" s="1"/>
  <c r="AN171" i="1"/>
  <c r="AK171" i="1"/>
  <c r="AJ171" i="1"/>
  <c r="AI171" i="1"/>
  <c r="AH171" i="1"/>
  <c r="AG171" i="1"/>
  <c r="AF171" i="1"/>
  <c r="AD171" i="1"/>
  <c r="Z171" i="1"/>
  <c r="Y171" i="1"/>
  <c r="X171" i="1"/>
  <c r="W171" i="1"/>
  <c r="V171" i="1"/>
  <c r="U171" i="1"/>
  <c r="S171" i="1"/>
  <c r="P171" i="1"/>
  <c r="O171" i="1"/>
  <c r="N171" i="1"/>
  <c r="R171" i="1" s="1"/>
  <c r="AA171" i="1" s="1"/>
  <c r="AM171" i="1" s="1"/>
  <c r="F171" i="1"/>
  <c r="L171" i="1" s="1"/>
  <c r="O170" i="1"/>
  <c r="N170" i="1"/>
  <c r="R170" i="1" s="1"/>
  <c r="AA170" i="1" s="1"/>
  <c r="AM170" i="1" s="1"/>
  <c r="F170" i="1"/>
  <c r="AN169" i="1"/>
  <c r="AK169" i="1"/>
  <c r="AJ169" i="1"/>
  <c r="AI169" i="1"/>
  <c r="AH169" i="1"/>
  <c r="AG169" i="1"/>
  <c r="AF169" i="1"/>
  <c r="AE169" i="1"/>
  <c r="AD169" i="1"/>
  <c r="Z169" i="1"/>
  <c r="Y169" i="1"/>
  <c r="X169" i="1"/>
  <c r="W169" i="1"/>
  <c r="V169" i="1"/>
  <c r="U169" i="1"/>
  <c r="S169" i="1"/>
  <c r="O169" i="1"/>
  <c r="R169" i="1" s="1"/>
  <c r="AA169" i="1" s="1"/>
  <c r="AM169" i="1" s="1"/>
  <c r="N169" i="1"/>
  <c r="L169" i="1"/>
  <c r="F169" i="1"/>
  <c r="AN168" i="1"/>
  <c r="AK168" i="1"/>
  <c r="AJ168" i="1"/>
  <c r="AI168" i="1"/>
  <c r="AH168" i="1"/>
  <c r="AG168" i="1"/>
  <c r="AF168" i="1"/>
  <c r="AE168" i="1"/>
  <c r="AD168" i="1"/>
  <c r="Z168" i="1"/>
  <c r="Y168" i="1"/>
  <c r="X168" i="1"/>
  <c r="W168" i="1"/>
  <c r="V168" i="1"/>
  <c r="U168" i="1"/>
  <c r="S168" i="1"/>
  <c r="P168" i="1"/>
  <c r="O168" i="1"/>
  <c r="N168" i="1"/>
  <c r="R168" i="1" s="1"/>
  <c r="AA168" i="1" s="1"/>
  <c r="AM168" i="1" s="1"/>
  <c r="L168" i="1"/>
  <c r="F168" i="1"/>
  <c r="AA167" i="1"/>
  <c r="AM167" i="1" s="1"/>
  <c r="R167" i="1"/>
  <c r="O167" i="1"/>
  <c r="N167" i="1"/>
  <c r="F167" i="1"/>
  <c r="AN166" i="1"/>
  <c r="AK166" i="1"/>
  <c r="AJ166" i="1"/>
  <c r="AI166" i="1"/>
  <c r="AH166" i="1"/>
  <c r="AG166" i="1"/>
  <c r="AF166" i="1"/>
  <c r="AD166" i="1"/>
  <c r="Z166" i="1"/>
  <c r="Y166" i="1"/>
  <c r="X166" i="1"/>
  <c r="W166" i="1"/>
  <c r="V166" i="1"/>
  <c r="U166" i="1"/>
  <c r="S166" i="1"/>
  <c r="O166" i="1"/>
  <c r="N166" i="1"/>
  <c r="R166" i="1" s="1"/>
  <c r="AA166" i="1" s="1"/>
  <c r="AM166" i="1" s="1"/>
  <c r="F166" i="1"/>
  <c r="L166" i="1" s="1"/>
  <c r="AN165" i="1"/>
  <c r="AK165" i="1"/>
  <c r="AJ165" i="1"/>
  <c r="AI165" i="1"/>
  <c r="AH165" i="1"/>
  <c r="AG165" i="1"/>
  <c r="AF165" i="1"/>
  <c r="AE165" i="1"/>
  <c r="AD165" i="1"/>
  <c r="Z165" i="1"/>
  <c r="Y165" i="1"/>
  <c r="X165" i="1"/>
  <c r="W165" i="1"/>
  <c r="V165" i="1"/>
  <c r="U165" i="1"/>
  <c r="S165" i="1"/>
  <c r="R165" i="1"/>
  <c r="AA165" i="1" s="1"/>
  <c r="AM165" i="1" s="1"/>
  <c r="O165" i="1"/>
  <c r="N165" i="1"/>
  <c r="F165" i="1"/>
  <c r="L165" i="1" s="1"/>
  <c r="AN164" i="1"/>
  <c r="AK164" i="1"/>
  <c r="AJ164" i="1"/>
  <c r="AI164" i="1"/>
  <c r="AH164" i="1"/>
  <c r="AG164" i="1"/>
  <c r="AF164" i="1"/>
  <c r="AE164" i="1"/>
  <c r="AD164" i="1"/>
  <c r="Z164" i="1"/>
  <c r="Y164" i="1"/>
  <c r="X164" i="1"/>
  <c r="W164" i="1"/>
  <c r="V164" i="1"/>
  <c r="U164" i="1"/>
  <c r="S164" i="1"/>
  <c r="P164" i="1"/>
  <c r="O164" i="1"/>
  <c r="N164" i="1"/>
  <c r="R164" i="1" s="1"/>
  <c r="AA164" i="1" s="1"/>
  <c r="AM164" i="1" s="1"/>
  <c r="F164" i="1"/>
  <c r="L164" i="1" s="1"/>
  <c r="R163" i="1"/>
  <c r="AA163" i="1" s="1"/>
  <c r="AM163" i="1" s="1"/>
  <c r="O163" i="1"/>
  <c r="N163" i="1"/>
  <c r="F163" i="1"/>
  <c r="AN162" i="1"/>
  <c r="AK162" i="1"/>
  <c r="AJ162" i="1"/>
  <c r="AI162" i="1"/>
  <c r="AH162" i="1"/>
  <c r="AG162" i="1"/>
  <c r="AF162" i="1"/>
  <c r="AD162" i="1"/>
  <c r="Z162" i="1"/>
  <c r="Y162" i="1"/>
  <c r="X162" i="1"/>
  <c r="W162" i="1"/>
  <c r="V162" i="1"/>
  <c r="U162" i="1"/>
  <c r="T162" i="1"/>
  <c r="S162" i="1"/>
  <c r="O162" i="1"/>
  <c r="N162" i="1"/>
  <c r="R162" i="1" s="1"/>
  <c r="AA162" i="1" s="1"/>
  <c r="AM162" i="1" s="1"/>
  <c r="F162" i="1"/>
  <c r="R161" i="1"/>
  <c r="AA161" i="1" s="1"/>
  <c r="AM161" i="1" s="1"/>
  <c r="O161" i="1"/>
  <c r="N161" i="1"/>
  <c r="F161" i="1"/>
  <c r="AN160" i="1"/>
  <c r="AK160" i="1"/>
  <c r="AJ160" i="1"/>
  <c r="AI160" i="1"/>
  <c r="AH160" i="1"/>
  <c r="AG160" i="1"/>
  <c r="AF160" i="1"/>
  <c r="AD160" i="1"/>
  <c r="Z160" i="1"/>
  <c r="Y160" i="1"/>
  <c r="X160" i="1"/>
  <c r="W160" i="1"/>
  <c r="V160" i="1"/>
  <c r="U160" i="1"/>
  <c r="S160" i="1"/>
  <c r="O160" i="1"/>
  <c r="N160" i="1"/>
  <c r="R160" i="1" s="1"/>
  <c r="AA160" i="1" s="1"/>
  <c r="AM160" i="1" s="1"/>
  <c r="F160" i="1"/>
  <c r="L160" i="1" s="1"/>
  <c r="AN159" i="1"/>
  <c r="AK159" i="1"/>
  <c r="AJ159" i="1"/>
  <c r="AI159" i="1"/>
  <c r="AH159" i="1"/>
  <c r="AG159" i="1"/>
  <c r="AF159" i="1"/>
  <c r="AE159" i="1"/>
  <c r="AD159" i="1"/>
  <c r="Z159" i="1"/>
  <c r="Y159" i="1"/>
  <c r="X159" i="1"/>
  <c r="W159" i="1"/>
  <c r="V159" i="1"/>
  <c r="U159" i="1"/>
  <c r="S159" i="1"/>
  <c r="O159" i="1"/>
  <c r="N159" i="1"/>
  <c r="R159" i="1" s="1"/>
  <c r="AA159" i="1" s="1"/>
  <c r="AM159" i="1" s="1"/>
  <c r="F159" i="1"/>
  <c r="L159" i="1" s="1"/>
  <c r="AN158" i="1"/>
  <c r="AK158" i="1"/>
  <c r="AJ158" i="1"/>
  <c r="AI158" i="1"/>
  <c r="AH158" i="1"/>
  <c r="AG158" i="1"/>
  <c r="AF158" i="1"/>
  <c r="AE158" i="1"/>
  <c r="AD158" i="1"/>
  <c r="Z158" i="1"/>
  <c r="Y158" i="1"/>
  <c r="X158" i="1"/>
  <c r="W158" i="1"/>
  <c r="V158" i="1"/>
  <c r="U158" i="1"/>
  <c r="S158" i="1"/>
  <c r="R158" i="1"/>
  <c r="AA158" i="1" s="1"/>
  <c r="AM158" i="1" s="1"/>
  <c r="P158" i="1"/>
  <c r="O158" i="1"/>
  <c r="N158" i="1"/>
  <c r="F158" i="1"/>
  <c r="L158" i="1" s="1"/>
  <c r="O157" i="1"/>
  <c r="N157" i="1"/>
  <c r="R157" i="1" s="1"/>
  <c r="AA157" i="1" s="1"/>
  <c r="AM157" i="1" s="1"/>
  <c r="F157" i="1"/>
  <c r="AK156" i="1"/>
  <c r="AJ156" i="1"/>
  <c r="AI156" i="1"/>
  <c r="AH156" i="1"/>
  <c r="AG156" i="1"/>
  <c r="AF156" i="1"/>
  <c r="AD156" i="1"/>
  <c r="Z156" i="1"/>
  <c r="Y156" i="1"/>
  <c r="X156" i="1"/>
  <c r="W156" i="1"/>
  <c r="V156" i="1"/>
  <c r="U156" i="1"/>
  <c r="S156" i="1"/>
  <c r="N156" i="1"/>
  <c r="R156" i="1" s="1"/>
  <c r="AA156" i="1" s="1"/>
  <c r="AM156" i="1" s="1"/>
  <c r="F156" i="1"/>
  <c r="AN155" i="1"/>
  <c r="AK155" i="1"/>
  <c r="AJ155" i="1"/>
  <c r="AI155" i="1"/>
  <c r="AH155" i="1"/>
  <c r="AG155" i="1"/>
  <c r="AF155" i="1"/>
  <c r="AD155" i="1"/>
  <c r="Z155" i="1"/>
  <c r="Y155" i="1"/>
  <c r="X155" i="1"/>
  <c r="W155" i="1"/>
  <c r="V155" i="1"/>
  <c r="U155" i="1"/>
  <c r="S155" i="1"/>
  <c r="O155" i="1"/>
  <c r="N155" i="1"/>
  <c r="R155" i="1" s="1"/>
  <c r="AA155" i="1" s="1"/>
  <c r="AM155" i="1" s="1"/>
  <c r="F155" i="1"/>
  <c r="O154" i="1"/>
  <c r="N154" i="1"/>
  <c r="R154" i="1" s="1"/>
  <c r="AA154" i="1" s="1"/>
  <c r="AM154" i="1" s="1"/>
  <c r="F154" i="1"/>
  <c r="AN153" i="1"/>
  <c r="AK153" i="1"/>
  <c r="AJ153" i="1"/>
  <c r="AI153" i="1"/>
  <c r="AH153" i="1"/>
  <c r="AG153" i="1"/>
  <c r="AF153" i="1"/>
  <c r="AD153" i="1"/>
  <c r="Z153" i="1"/>
  <c r="Y153" i="1"/>
  <c r="X153" i="1"/>
  <c r="W153" i="1"/>
  <c r="V153" i="1"/>
  <c r="U153" i="1"/>
  <c r="S153" i="1"/>
  <c r="O153" i="1"/>
  <c r="R153" i="1" s="1"/>
  <c r="AA153" i="1" s="1"/>
  <c r="AM153" i="1" s="1"/>
  <c r="N153" i="1"/>
  <c r="F153" i="1"/>
  <c r="B153" i="1"/>
  <c r="O152" i="1"/>
  <c r="N152" i="1"/>
  <c r="R152" i="1" s="1"/>
  <c r="AA152" i="1" s="1"/>
  <c r="AM152" i="1" s="1"/>
  <c r="F152" i="1"/>
  <c r="B152" i="1"/>
  <c r="AN151" i="1"/>
  <c r="AK151" i="1"/>
  <c r="AJ151" i="1"/>
  <c r="AI151" i="1"/>
  <c r="AH151" i="1"/>
  <c r="AG151" i="1"/>
  <c r="AF151" i="1"/>
  <c r="AD151" i="1"/>
  <c r="Z151" i="1"/>
  <c r="Y151" i="1"/>
  <c r="X151" i="1"/>
  <c r="W151" i="1"/>
  <c r="V151" i="1"/>
  <c r="U151" i="1"/>
  <c r="S151" i="1"/>
  <c r="O151" i="1"/>
  <c r="N151" i="1"/>
  <c r="R151" i="1" s="1"/>
  <c r="AA151" i="1" s="1"/>
  <c r="AM151" i="1" s="1"/>
  <c r="F151" i="1"/>
  <c r="L151" i="1" s="1"/>
  <c r="AN150" i="1"/>
  <c r="AK150" i="1"/>
  <c r="AJ150" i="1"/>
  <c r="AI150" i="1"/>
  <c r="AH150" i="1"/>
  <c r="AG150" i="1"/>
  <c r="AF150" i="1"/>
  <c r="AD150" i="1"/>
  <c r="Z150" i="1"/>
  <c r="Y150" i="1"/>
  <c r="X150" i="1"/>
  <c r="W150" i="1"/>
  <c r="V150" i="1"/>
  <c r="U150" i="1"/>
  <c r="S150" i="1"/>
  <c r="R150" i="1"/>
  <c r="AA150" i="1" s="1"/>
  <c r="AM150" i="1" s="1"/>
  <c r="O150" i="1"/>
  <c r="N150" i="1"/>
  <c r="L150" i="1"/>
  <c r="F150" i="1"/>
  <c r="AN149" i="1"/>
  <c r="AK149" i="1"/>
  <c r="AJ149" i="1"/>
  <c r="AI149" i="1"/>
  <c r="AH149" i="1"/>
  <c r="AG149" i="1"/>
  <c r="AF149" i="1"/>
  <c r="AE149" i="1"/>
  <c r="AD149" i="1"/>
  <c r="Z149" i="1"/>
  <c r="Y149" i="1"/>
  <c r="X149" i="1"/>
  <c r="W149" i="1"/>
  <c r="V149" i="1"/>
  <c r="U149" i="1"/>
  <c r="S149" i="1"/>
  <c r="O149" i="1"/>
  <c r="R149" i="1" s="1"/>
  <c r="AA149" i="1" s="1"/>
  <c r="AM149" i="1" s="1"/>
  <c r="N149" i="1"/>
  <c r="L149" i="1"/>
  <c r="F149" i="1"/>
  <c r="R148" i="1"/>
  <c r="AA148" i="1" s="1"/>
  <c r="AM148" i="1" s="1"/>
  <c r="O148" i="1"/>
  <c r="N148" i="1"/>
  <c r="F148" i="1"/>
  <c r="AN147" i="1"/>
  <c r="AK147" i="1"/>
  <c r="AJ147" i="1"/>
  <c r="AI147" i="1"/>
  <c r="AH147" i="1"/>
  <c r="AG147" i="1"/>
  <c r="AF147" i="1"/>
  <c r="AD147" i="1"/>
  <c r="Z147" i="1"/>
  <c r="Y147" i="1"/>
  <c r="X147" i="1"/>
  <c r="W147" i="1"/>
  <c r="V147" i="1"/>
  <c r="U147" i="1"/>
  <c r="S147" i="1"/>
  <c r="O147" i="1"/>
  <c r="N147" i="1"/>
  <c r="R147" i="1" s="1"/>
  <c r="AA147" i="1" s="1"/>
  <c r="AM147" i="1" s="1"/>
  <c r="F147" i="1"/>
  <c r="L147" i="1" s="1"/>
  <c r="AN146" i="1"/>
  <c r="AK146" i="1"/>
  <c r="AJ146" i="1"/>
  <c r="AI146" i="1"/>
  <c r="AH146" i="1"/>
  <c r="AG146" i="1"/>
  <c r="AF146" i="1"/>
  <c r="AE146" i="1"/>
  <c r="AD146" i="1"/>
  <c r="Z146" i="1"/>
  <c r="Y146" i="1"/>
  <c r="X146" i="1"/>
  <c r="W146" i="1"/>
  <c r="V146" i="1"/>
  <c r="U146" i="1"/>
  <c r="S146" i="1"/>
  <c r="R146" i="1"/>
  <c r="AA146" i="1" s="1"/>
  <c r="AM146" i="1" s="1"/>
  <c r="O146" i="1"/>
  <c r="N146" i="1"/>
  <c r="F146" i="1"/>
  <c r="L146" i="1" s="1"/>
  <c r="O145" i="1"/>
  <c r="N145" i="1"/>
  <c r="R145" i="1" s="1"/>
  <c r="AA145" i="1" s="1"/>
  <c r="AM145" i="1" s="1"/>
  <c r="F145" i="1"/>
  <c r="AN144" i="1"/>
  <c r="AK144" i="1"/>
  <c r="AJ144" i="1"/>
  <c r="AI144" i="1"/>
  <c r="AH144" i="1"/>
  <c r="AG144" i="1"/>
  <c r="AF144" i="1"/>
  <c r="AD144" i="1"/>
  <c r="Z144" i="1"/>
  <c r="Y144" i="1"/>
  <c r="X144" i="1"/>
  <c r="W144" i="1"/>
  <c r="V144" i="1"/>
  <c r="U144" i="1"/>
  <c r="T144" i="1"/>
  <c r="S144" i="1"/>
  <c r="O144" i="1"/>
  <c r="N144" i="1"/>
  <c r="R144" i="1" s="1"/>
  <c r="AA144" i="1" s="1"/>
  <c r="AM144" i="1" s="1"/>
  <c r="F144" i="1"/>
  <c r="AN143" i="1"/>
  <c r="AK143" i="1"/>
  <c r="AJ143" i="1"/>
  <c r="AI143" i="1"/>
  <c r="AH143" i="1"/>
  <c r="AG143" i="1"/>
  <c r="AF143" i="1"/>
  <c r="AD143" i="1"/>
  <c r="Z143" i="1"/>
  <c r="Y143" i="1"/>
  <c r="X143" i="1"/>
  <c r="W143" i="1"/>
  <c r="V143" i="1"/>
  <c r="U143" i="1"/>
  <c r="T143" i="1"/>
  <c r="S143" i="1"/>
  <c r="O143" i="1"/>
  <c r="R143" i="1" s="1"/>
  <c r="AA143" i="1" s="1"/>
  <c r="AM143" i="1" s="1"/>
  <c r="N143" i="1"/>
  <c r="F143" i="1"/>
  <c r="B143" i="1"/>
  <c r="O142" i="1"/>
  <c r="N142" i="1"/>
  <c r="R142" i="1" s="1"/>
  <c r="AA142" i="1" s="1"/>
  <c r="AM142" i="1" s="1"/>
  <c r="F142" i="1"/>
  <c r="AN141" i="1"/>
  <c r="AK141" i="1"/>
  <c r="AJ141" i="1"/>
  <c r="AI141" i="1"/>
  <c r="AH141" i="1"/>
  <c r="AG141" i="1"/>
  <c r="AF141" i="1"/>
  <c r="AD141" i="1"/>
  <c r="Z141" i="1"/>
  <c r="Y141" i="1"/>
  <c r="X141" i="1"/>
  <c r="W141" i="1"/>
  <c r="V141" i="1"/>
  <c r="U141" i="1"/>
  <c r="S141" i="1"/>
  <c r="O141" i="1"/>
  <c r="N141" i="1"/>
  <c r="R141" i="1" s="1"/>
  <c r="AA141" i="1" s="1"/>
  <c r="AM141" i="1" s="1"/>
  <c r="L141" i="1"/>
  <c r="F141" i="1"/>
  <c r="AN140" i="1"/>
  <c r="AK140" i="1"/>
  <c r="AJ140" i="1"/>
  <c r="AI140" i="1"/>
  <c r="AH140" i="1"/>
  <c r="AG140" i="1"/>
  <c r="AF140" i="1"/>
  <c r="AD140" i="1"/>
  <c r="Z140" i="1"/>
  <c r="Y140" i="1"/>
  <c r="X140" i="1"/>
  <c r="W140" i="1"/>
  <c r="V140" i="1"/>
  <c r="U140" i="1"/>
  <c r="S140" i="1"/>
  <c r="P140" i="1"/>
  <c r="O140" i="1"/>
  <c r="N140" i="1"/>
  <c r="R140" i="1" s="1"/>
  <c r="AA140" i="1" s="1"/>
  <c r="AM140" i="1" s="1"/>
  <c r="L140" i="1"/>
  <c r="F140" i="1"/>
  <c r="R139" i="1"/>
  <c r="AA139" i="1" s="1"/>
  <c r="AM139" i="1" s="1"/>
  <c r="O139" i="1"/>
  <c r="N139" i="1"/>
  <c r="F139" i="1"/>
  <c r="AN138" i="1"/>
  <c r="AK138" i="1"/>
  <c r="AJ138" i="1"/>
  <c r="AI138" i="1"/>
  <c r="AH138" i="1"/>
  <c r="AG138" i="1"/>
  <c r="AF138" i="1"/>
  <c r="AE138" i="1"/>
  <c r="AD138" i="1"/>
  <c r="Z138" i="1"/>
  <c r="Y138" i="1"/>
  <c r="X138" i="1"/>
  <c r="W138" i="1"/>
  <c r="V138" i="1"/>
  <c r="U138" i="1"/>
  <c r="S138" i="1"/>
  <c r="O138" i="1"/>
  <c r="R138" i="1" s="1"/>
  <c r="AA138" i="1" s="1"/>
  <c r="AM138" i="1" s="1"/>
  <c r="N138" i="1"/>
  <c r="F138" i="1"/>
  <c r="L138" i="1" s="1"/>
  <c r="AN137" i="1"/>
  <c r="AK137" i="1"/>
  <c r="AJ137" i="1"/>
  <c r="AI137" i="1"/>
  <c r="AH137" i="1"/>
  <c r="AG137" i="1"/>
  <c r="AF137" i="1"/>
  <c r="AD137" i="1"/>
  <c r="Z137" i="1"/>
  <c r="Y137" i="1"/>
  <c r="X137" i="1"/>
  <c r="W137" i="1"/>
  <c r="V137" i="1"/>
  <c r="U137" i="1"/>
  <c r="S137" i="1"/>
  <c r="O137" i="1"/>
  <c r="N137" i="1"/>
  <c r="R137" i="1" s="1"/>
  <c r="AA137" i="1" s="1"/>
  <c r="AM137" i="1" s="1"/>
  <c r="F137" i="1"/>
  <c r="L137" i="1" s="1"/>
  <c r="AA136" i="1"/>
  <c r="AM136" i="1" s="1"/>
  <c r="R136" i="1"/>
  <c r="O136" i="1"/>
  <c r="N136" i="1"/>
  <c r="F136" i="1"/>
  <c r="AN135" i="1"/>
  <c r="AK135" i="1"/>
  <c r="AJ135" i="1"/>
  <c r="AI135" i="1"/>
  <c r="AH135" i="1"/>
  <c r="AG135" i="1"/>
  <c r="AF135" i="1"/>
  <c r="AD135" i="1"/>
  <c r="Z135" i="1"/>
  <c r="Y135" i="1"/>
  <c r="X135" i="1"/>
  <c r="W135" i="1"/>
  <c r="V135" i="1"/>
  <c r="U135" i="1"/>
  <c r="T135" i="1"/>
  <c r="S135" i="1"/>
  <c r="R135" i="1"/>
  <c r="AA135" i="1" s="1"/>
  <c r="AM135" i="1" s="1"/>
  <c r="O135" i="1"/>
  <c r="N135" i="1"/>
  <c r="F135" i="1"/>
  <c r="O134" i="1"/>
  <c r="N134" i="1"/>
  <c r="R134" i="1" s="1"/>
  <c r="AA134" i="1" s="1"/>
  <c r="AM134" i="1" s="1"/>
  <c r="F134" i="1"/>
  <c r="AN133" i="1"/>
  <c r="AK133" i="1"/>
  <c r="AJ133" i="1"/>
  <c r="AI133" i="1"/>
  <c r="AH133" i="1"/>
  <c r="AG133" i="1"/>
  <c r="AF133" i="1"/>
  <c r="AD133" i="1"/>
  <c r="Z133" i="1"/>
  <c r="Y133" i="1"/>
  <c r="X133" i="1"/>
  <c r="W133" i="1"/>
  <c r="V133" i="1"/>
  <c r="U133" i="1"/>
  <c r="S133" i="1"/>
  <c r="O133" i="1"/>
  <c r="N133" i="1"/>
  <c r="R133" i="1" s="1"/>
  <c r="AA133" i="1" s="1"/>
  <c r="AM133" i="1" s="1"/>
  <c r="F133" i="1"/>
  <c r="L133" i="1" s="1"/>
  <c r="AN132" i="1"/>
  <c r="AK132" i="1"/>
  <c r="AJ132" i="1"/>
  <c r="AI132" i="1"/>
  <c r="AH132" i="1"/>
  <c r="AG132" i="1"/>
  <c r="AF132" i="1"/>
  <c r="AD132" i="1"/>
  <c r="Z132" i="1"/>
  <c r="Y132" i="1"/>
  <c r="X132" i="1"/>
  <c r="W132" i="1"/>
  <c r="V132" i="1"/>
  <c r="U132" i="1"/>
  <c r="S132" i="1"/>
  <c r="O132" i="1"/>
  <c r="R132" i="1" s="1"/>
  <c r="AA132" i="1" s="1"/>
  <c r="AM132" i="1" s="1"/>
  <c r="N132" i="1"/>
  <c r="F132" i="1"/>
  <c r="L132" i="1" s="1"/>
  <c r="AN131" i="1"/>
  <c r="AK131" i="1"/>
  <c r="AJ131" i="1"/>
  <c r="AI131" i="1"/>
  <c r="AH131" i="1"/>
  <c r="AG131" i="1"/>
  <c r="AF131" i="1"/>
  <c r="AD131" i="1"/>
  <c r="Z131" i="1"/>
  <c r="Y131" i="1"/>
  <c r="X131" i="1"/>
  <c r="W131" i="1"/>
  <c r="V131" i="1"/>
  <c r="U131" i="1"/>
  <c r="S131" i="1"/>
  <c r="P131" i="1"/>
  <c r="O131" i="1"/>
  <c r="N131" i="1"/>
  <c r="R131" i="1" s="1"/>
  <c r="AA131" i="1" s="1"/>
  <c r="AM131" i="1" s="1"/>
  <c r="F131" i="1"/>
  <c r="L131" i="1" s="1"/>
  <c r="R130" i="1"/>
  <c r="AA130" i="1" s="1"/>
  <c r="AM130" i="1" s="1"/>
  <c r="O130" i="1"/>
  <c r="N130" i="1"/>
  <c r="F130" i="1"/>
  <c r="AN129" i="1"/>
  <c r="AK129" i="1"/>
  <c r="AJ129" i="1"/>
  <c r="AI129" i="1"/>
  <c r="AH129" i="1"/>
  <c r="AG129" i="1"/>
  <c r="AF129" i="1"/>
  <c r="AD129" i="1"/>
  <c r="Z129" i="1"/>
  <c r="Y129" i="1"/>
  <c r="X129" i="1"/>
  <c r="W129" i="1"/>
  <c r="V129" i="1"/>
  <c r="U129" i="1"/>
  <c r="S129" i="1"/>
  <c r="R129" i="1"/>
  <c r="AA129" i="1" s="1"/>
  <c r="AM129" i="1" s="1"/>
  <c r="O129" i="1"/>
  <c r="N129" i="1"/>
  <c r="L129" i="1"/>
  <c r="F129" i="1"/>
  <c r="AN128" i="1"/>
  <c r="AK128" i="1"/>
  <c r="AJ128" i="1"/>
  <c r="AI128" i="1"/>
  <c r="AH128" i="1"/>
  <c r="AG128" i="1"/>
  <c r="AF128" i="1"/>
  <c r="AE128" i="1"/>
  <c r="AD128" i="1"/>
  <c r="Z128" i="1"/>
  <c r="Y128" i="1"/>
  <c r="X128" i="1"/>
  <c r="W128" i="1"/>
  <c r="V128" i="1"/>
  <c r="U128" i="1"/>
  <c r="S128" i="1"/>
  <c r="P128" i="1"/>
  <c r="O128" i="1"/>
  <c r="N128" i="1"/>
  <c r="R128" i="1" s="1"/>
  <c r="AA128" i="1" s="1"/>
  <c r="AM128" i="1" s="1"/>
  <c r="F128" i="1"/>
  <c r="L128" i="1" s="1"/>
  <c r="O127" i="1"/>
  <c r="N127" i="1"/>
  <c r="R127" i="1" s="1"/>
  <c r="AA127" i="1" s="1"/>
  <c r="AM127" i="1" s="1"/>
  <c r="F127" i="1"/>
  <c r="AN126" i="1"/>
  <c r="AK126" i="1"/>
  <c r="AJ126" i="1"/>
  <c r="AI126" i="1"/>
  <c r="AH126" i="1"/>
  <c r="AG126" i="1"/>
  <c r="AF126" i="1"/>
  <c r="AD126" i="1"/>
  <c r="Z126" i="1"/>
  <c r="Y126" i="1"/>
  <c r="X126" i="1"/>
  <c r="T126" i="1"/>
  <c r="S126" i="1"/>
  <c r="R126" i="1"/>
  <c r="AA126" i="1" s="1"/>
  <c r="AM126" i="1" s="1"/>
  <c r="O126" i="1"/>
  <c r="N126" i="1"/>
  <c r="O125" i="1"/>
  <c r="N125" i="1"/>
  <c r="R125" i="1" s="1"/>
  <c r="AA125" i="1" s="1"/>
  <c r="AM125" i="1" s="1"/>
  <c r="F125" i="1"/>
  <c r="AN124" i="1"/>
  <c r="AK124" i="1"/>
  <c r="AJ124" i="1"/>
  <c r="AI124" i="1"/>
  <c r="AH124" i="1"/>
  <c r="AG124" i="1"/>
  <c r="AF124" i="1"/>
  <c r="AD124" i="1"/>
  <c r="Z124" i="1"/>
  <c r="Y124" i="1"/>
  <c r="X124" i="1"/>
  <c r="W124" i="1"/>
  <c r="V124" i="1"/>
  <c r="U124" i="1"/>
  <c r="S124" i="1"/>
  <c r="O124" i="1"/>
  <c r="N124" i="1"/>
  <c r="R124" i="1" s="1"/>
  <c r="AA124" i="1" s="1"/>
  <c r="AM124" i="1" s="1"/>
  <c r="L124" i="1"/>
  <c r="F124" i="1"/>
  <c r="AN123" i="1"/>
  <c r="AK123" i="1"/>
  <c r="AJ123" i="1"/>
  <c r="AI123" i="1"/>
  <c r="AH123" i="1"/>
  <c r="AG123" i="1"/>
  <c r="AF123" i="1"/>
  <c r="AE123" i="1"/>
  <c r="AD123" i="1"/>
  <c r="Z123" i="1"/>
  <c r="Y123" i="1"/>
  <c r="X123" i="1"/>
  <c r="W123" i="1"/>
  <c r="V123" i="1"/>
  <c r="U123" i="1"/>
  <c r="S123" i="1"/>
  <c r="P123" i="1"/>
  <c r="R123" i="1" s="1"/>
  <c r="AA123" i="1" s="1"/>
  <c r="AM123" i="1" s="1"/>
  <c r="O123" i="1"/>
  <c r="N123" i="1"/>
  <c r="F123" i="1"/>
  <c r="L123" i="1" s="1"/>
  <c r="O122" i="1"/>
  <c r="N122" i="1"/>
  <c r="R122" i="1" s="1"/>
  <c r="AA122" i="1" s="1"/>
  <c r="AM122" i="1" s="1"/>
  <c r="F122" i="1"/>
  <c r="AN121" i="1"/>
  <c r="AK121" i="1"/>
  <c r="AJ121" i="1"/>
  <c r="AI121" i="1"/>
  <c r="AH121" i="1"/>
  <c r="AG121" i="1"/>
  <c r="AF121" i="1"/>
  <c r="AD121" i="1"/>
  <c r="Z121" i="1"/>
  <c r="Y121" i="1"/>
  <c r="X121" i="1"/>
  <c r="W121" i="1"/>
  <c r="V121" i="1"/>
  <c r="U121" i="1"/>
  <c r="T121" i="1"/>
  <c r="S121" i="1"/>
  <c r="R121" i="1"/>
  <c r="AA121" i="1" s="1"/>
  <c r="AM121" i="1" s="1"/>
  <c r="O121" i="1"/>
  <c r="N121" i="1"/>
  <c r="L121" i="1"/>
  <c r="F121" i="1"/>
  <c r="AN120" i="1"/>
  <c r="AK120" i="1"/>
  <c r="AJ120" i="1"/>
  <c r="AI120" i="1"/>
  <c r="AH120" i="1"/>
  <c r="AG120" i="1"/>
  <c r="AF120" i="1"/>
  <c r="AD120" i="1"/>
  <c r="Z120" i="1"/>
  <c r="Y120" i="1"/>
  <c r="X120" i="1"/>
  <c r="W120" i="1"/>
  <c r="V120" i="1"/>
  <c r="U120" i="1"/>
  <c r="S120" i="1"/>
  <c r="O120" i="1"/>
  <c r="N120" i="1"/>
  <c r="R120" i="1" s="1"/>
  <c r="AA120" i="1" s="1"/>
  <c r="AM120" i="1" s="1"/>
  <c r="F120" i="1"/>
  <c r="L120" i="1" s="1"/>
  <c r="R119" i="1"/>
  <c r="AA119" i="1" s="1"/>
  <c r="AM119" i="1" s="1"/>
  <c r="O119" i="1"/>
  <c r="N119" i="1"/>
  <c r="F119" i="1"/>
  <c r="O118" i="1"/>
  <c r="N118" i="1"/>
  <c r="R118" i="1" s="1"/>
  <c r="AA118" i="1" s="1"/>
  <c r="AM118" i="1" s="1"/>
  <c r="F118" i="1"/>
  <c r="AN117" i="1"/>
  <c r="AK117" i="1"/>
  <c r="AJ117" i="1"/>
  <c r="AI117" i="1"/>
  <c r="AH117" i="1"/>
  <c r="AG117" i="1"/>
  <c r="AF117" i="1"/>
  <c r="AD117" i="1"/>
  <c r="Z117" i="1"/>
  <c r="Y117" i="1"/>
  <c r="X117" i="1"/>
  <c r="W117" i="1"/>
  <c r="V117" i="1"/>
  <c r="U117" i="1"/>
  <c r="S117" i="1"/>
  <c r="O117" i="1"/>
  <c r="N117" i="1"/>
  <c r="R117" i="1" s="1"/>
  <c r="AA117" i="1" s="1"/>
  <c r="AM117" i="1" s="1"/>
  <c r="L117" i="1"/>
  <c r="F117" i="1"/>
  <c r="AN116" i="1"/>
  <c r="AK116" i="1"/>
  <c r="AJ116" i="1"/>
  <c r="AI116" i="1"/>
  <c r="AH116" i="1"/>
  <c r="AG116" i="1"/>
  <c r="AF116" i="1"/>
  <c r="AD116" i="1"/>
  <c r="Z116" i="1"/>
  <c r="Y116" i="1"/>
  <c r="X116" i="1"/>
  <c r="W116" i="1"/>
  <c r="V116" i="1"/>
  <c r="U116" i="1"/>
  <c r="S116" i="1"/>
  <c r="O116" i="1"/>
  <c r="N116" i="1"/>
  <c r="R116" i="1" s="1"/>
  <c r="AA116" i="1" s="1"/>
  <c r="AM116" i="1" s="1"/>
  <c r="F116" i="1"/>
  <c r="L116" i="1" s="1"/>
  <c r="AN115" i="1"/>
  <c r="AK115" i="1"/>
  <c r="AJ115" i="1"/>
  <c r="AI115" i="1"/>
  <c r="AH115" i="1"/>
  <c r="AG115" i="1"/>
  <c r="AF115" i="1"/>
  <c r="AE115" i="1"/>
  <c r="AD115" i="1"/>
  <c r="Z115" i="1"/>
  <c r="Y115" i="1"/>
  <c r="X115" i="1"/>
  <c r="W115" i="1"/>
  <c r="V115" i="1"/>
  <c r="U115" i="1"/>
  <c r="S115" i="1"/>
  <c r="R115" i="1"/>
  <c r="AA115" i="1" s="1"/>
  <c r="AM115" i="1" s="1"/>
  <c r="O115" i="1"/>
  <c r="N115" i="1"/>
  <c r="F115" i="1"/>
  <c r="L115" i="1" s="1"/>
  <c r="R114" i="1"/>
  <c r="AA114" i="1" s="1"/>
  <c r="AM114" i="1" s="1"/>
  <c r="O114" i="1"/>
  <c r="N114" i="1"/>
  <c r="F114" i="1"/>
  <c r="AN113" i="1"/>
  <c r="AK113" i="1"/>
  <c r="AJ113" i="1"/>
  <c r="AI113" i="1"/>
  <c r="AH113" i="1"/>
  <c r="AG113" i="1"/>
  <c r="AF113" i="1"/>
  <c r="AD113" i="1"/>
  <c r="Z113" i="1"/>
  <c r="Y113" i="1"/>
  <c r="X113" i="1"/>
  <c r="W113" i="1"/>
  <c r="V113" i="1"/>
  <c r="U113" i="1"/>
  <c r="S113" i="1"/>
  <c r="O113" i="1"/>
  <c r="N113" i="1"/>
  <c r="R113" i="1" s="1"/>
  <c r="AA113" i="1" s="1"/>
  <c r="AM113" i="1" s="1"/>
  <c r="L113" i="1"/>
  <c r="F113" i="1"/>
  <c r="AN112" i="1"/>
  <c r="AK112" i="1"/>
  <c r="AJ112" i="1"/>
  <c r="AI112" i="1"/>
  <c r="AH112" i="1"/>
  <c r="AG112" i="1"/>
  <c r="AF112" i="1"/>
  <c r="AD112" i="1"/>
  <c r="Z112" i="1"/>
  <c r="Y112" i="1"/>
  <c r="X112" i="1"/>
  <c r="W112" i="1"/>
  <c r="V112" i="1"/>
  <c r="U112" i="1"/>
  <c r="S112" i="1"/>
  <c r="R112" i="1"/>
  <c r="AA112" i="1" s="1"/>
  <c r="AM112" i="1" s="1"/>
  <c r="O112" i="1"/>
  <c r="N112" i="1"/>
  <c r="F112" i="1"/>
  <c r="L112" i="1" s="1"/>
  <c r="R111" i="1"/>
  <c r="AA111" i="1" s="1"/>
  <c r="AM111" i="1" s="1"/>
  <c r="O111" i="1"/>
  <c r="N111" i="1"/>
  <c r="F111" i="1"/>
  <c r="AN110" i="1"/>
  <c r="AK110" i="1"/>
  <c r="AJ110" i="1"/>
  <c r="AI110" i="1"/>
  <c r="AH110" i="1"/>
  <c r="AG110" i="1"/>
  <c r="AF110" i="1"/>
  <c r="AD110" i="1"/>
  <c r="Z110" i="1"/>
  <c r="Y110" i="1"/>
  <c r="X110" i="1"/>
  <c r="W110" i="1"/>
  <c r="V110" i="1"/>
  <c r="U110" i="1"/>
  <c r="S110" i="1"/>
  <c r="O110" i="1"/>
  <c r="N110" i="1"/>
  <c r="R110" i="1" s="1"/>
  <c r="AA110" i="1" s="1"/>
  <c r="AM110" i="1" s="1"/>
  <c r="F110" i="1"/>
  <c r="O109" i="1"/>
  <c r="N109" i="1"/>
  <c r="R109" i="1" s="1"/>
  <c r="AA109" i="1" s="1"/>
  <c r="AM109" i="1" s="1"/>
  <c r="F109" i="1"/>
  <c r="AN108" i="1"/>
  <c r="AK108" i="1"/>
  <c r="AJ108" i="1"/>
  <c r="AI108" i="1"/>
  <c r="AH108" i="1"/>
  <c r="AG108" i="1"/>
  <c r="AF108" i="1"/>
  <c r="AD108" i="1"/>
  <c r="Z108" i="1"/>
  <c r="Y108" i="1"/>
  <c r="X108" i="1"/>
  <c r="W108" i="1"/>
  <c r="V108" i="1"/>
  <c r="U108" i="1"/>
  <c r="S108" i="1"/>
  <c r="O108" i="1"/>
  <c r="N108" i="1"/>
  <c r="R108" i="1" s="1"/>
  <c r="AA108" i="1" s="1"/>
  <c r="AM108" i="1" s="1"/>
  <c r="L108" i="1"/>
  <c r="F108" i="1"/>
  <c r="AN107" i="1"/>
  <c r="AK107" i="1"/>
  <c r="AJ107" i="1"/>
  <c r="AI107" i="1"/>
  <c r="AH107" i="1"/>
  <c r="AG107" i="1"/>
  <c r="AF107" i="1"/>
  <c r="AD107" i="1"/>
  <c r="Z107" i="1"/>
  <c r="Y107" i="1"/>
  <c r="X107" i="1"/>
  <c r="W107" i="1"/>
  <c r="V107" i="1"/>
  <c r="U107" i="1"/>
  <c r="S107" i="1"/>
  <c r="O107" i="1"/>
  <c r="N107" i="1"/>
  <c r="R107" i="1" s="1"/>
  <c r="AA107" i="1" s="1"/>
  <c r="AM107" i="1" s="1"/>
  <c r="L107" i="1"/>
  <c r="F107" i="1"/>
  <c r="O106" i="1"/>
  <c r="N106" i="1"/>
  <c r="R106" i="1" s="1"/>
  <c r="AA106" i="1" s="1"/>
  <c r="AM106" i="1" s="1"/>
  <c r="F106" i="1"/>
  <c r="AN105" i="1"/>
  <c r="AK105" i="1"/>
  <c r="AJ105" i="1"/>
  <c r="AI105" i="1"/>
  <c r="AH105" i="1"/>
  <c r="AG105" i="1"/>
  <c r="AF105" i="1"/>
  <c r="AD105" i="1"/>
  <c r="Z105" i="1"/>
  <c r="Y105" i="1"/>
  <c r="X105" i="1"/>
  <c r="W105" i="1"/>
  <c r="V105" i="1"/>
  <c r="U105" i="1"/>
  <c r="S105" i="1"/>
  <c r="O105" i="1"/>
  <c r="N105" i="1"/>
  <c r="R105" i="1" s="1"/>
  <c r="AA105" i="1" s="1"/>
  <c r="AM105" i="1" s="1"/>
  <c r="L105" i="1"/>
  <c r="F105" i="1"/>
  <c r="AN104" i="1"/>
  <c r="AK104" i="1"/>
  <c r="AJ104" i="1"/>
  <c r="AI104" i="1"/>
  <c r="AH104" i="1"/>
  <c r="AG104" i="1"/>
  <c r="AF104" i="1"/>
  <c r="AE104" i="1"/>
  <c r="AD104" i="1"/>
  <c r="Z104" i="1"/>
  <c r="Y104" i="1"/>
  <c r="X104" i="1"/>
  <c r="W104" i="1"/>
  <c r="V104" i="1"/>
  <c r="U104" i="1"/>
  <c r="S104" i="1"/>
  <c r="O104" i="1"/>
  <c r="N104" i="1"/>
  <c r="R104" i="1" s="1"/>
  <c r="AA104" i="1" s="1"/>
  <c r="AM104" i="1" s="1"/>
  <c r="L104" i="1"/>
  <c r="F104" i="1"/>
  <c r="O103" i="1"/>
  <c r="R103" i="1" s="1"/>
  <c r="AA103" i="1" s="1"/>
  <c r="AM103" i="1" s="1"/>
  <c r="N103" i="1"/>
  <c r="F103" i="1"/>
  <c r="O102" i="1"/>
  <c r="R102" i="1" s="1"/>
  <c r="AA102" i="1" s="1"/>
  <c r="AM102" i="1" s="1"/>
  <c r="N102" i="1"/>
  <c r="F102" i="1"/>
  <c r="AN101" i="1"/>
  <c r="AK101" i="1"/>
  <c r="AJ101" i="1"/>
  <c r="AI101" i="1"/>
  <c r="AH101" i="1"/>
  <c r="AG101" i="1"/>
  <c r="AF101" i="1"/>
  <c r="AE101" i="1"/>
  <c r="AD101" i="1"/>
  <c r="Z101" i="1"/>
  <c r="Y101" i="1"/>
  <c r="X101" i="1"/>
  <c r="W101" i="1"/>
  <c r="V101" i="1"/>
  <c r="U101" i="1"/>
  <c r="S101" i="1"/>
  <c r="O101" i="1"/>
  <c r="N101" i="1"/>
  <c r="R101" i="1" s="1"/>
  <c r="AA101" i="1" s="1"/>
  <c r="AM101" i="1" s="1"/>
  <c r="F101" i="1"/>
  <c r="L101" i="1" s="1"/>
  <c r="AN100" i="1"/>
  <c r="AK100" i="1"/>
  <c r="AJ100" i="1"/>
  <c r="AI100" i="1"/>
  <c r="AH100" i="1"/>
  <c r="AG100" i="1"/>
  <c r="AF100" i="1"/>
  <c r="AE100" i="1"/>
  <c r="AD100" i="1"/>
  <c r="Z100" i="1"/>
  <c r="Y100" i="1"/>
  <c r="X100" i="1"/>
  <c r="W100" i="1"/>
  <c r="V100" i="1"/>
  <c r="U100" i="1"/>
  <c r="T100" i="1"/>
  <c r="S100" i="1"/>
  <c r="P100" i="1"/>
  <c r="O100" i="1"/>
  <c r="N100" i="1"/>
  <c r="R100" i="1" s="1"/>
  <c r="AA100" i="1" s="1"/>
  <c r="AM100" i="1" s="1"/>
  <c r="L100" i="1"/>
  <c r="F100" i="1"/>
  <c r="O99" i="1"/>
  <c r="N99" i="1"/>
  <c r="R99" i="1" s="1"/>
  <c r="AA99" i="1" s="1"/>
  <c r="AM99" i="1" s="1"/>
  <c r="F99" i="1"/>
  <c r="B99" i="1"/>
  <c r="AN98" i="1"/>
  <c r="AK98" i="1"/>
  <c r="AJ98" i="1"/>
  <c r="AI98" i="1"/>
  <c r="AH98" i="1"/>
  <c r="AG98" i="1"/>
  <c r="AF98" i="1"/>
  <c r="AD98" i="1"/>
  <c r="Z98" i="1"/>
  <c r="Y98" i="1"/>
  <c r="X98" i="1"/>
  <c r="W98" i="1"/>
  <c r="V98" i="1"/>
  <c r="U98" i="1"/>
  <c r="S98" i="1"/>
  <c r="O98" i="1"/>
  <c r="R98" i="1" s="1"/>
  <c r="AA98" i="1" s="1"/>
  <c r="AM98" i="1" s="1"/>
  <c r="N98" i="1"/>
  <c r="F98" i="1"/>
  <c r="L98" i="1" s="1"/>
  <c r="AN97" i="1"/>
  <c r="AK97" i="1"/>
  <c r="AJ97" i="1"/>
  <c r="AI97" i="1"/>
  <c r="AH97" i="1"/>
  <c r="AG97" i="1"/>
  <c r="AF97" i="1"/>
  <c r="AD97" i="1"/>
  <c r="Z97" i="1"/>
  <c r="Y97" i="1"/>
  <c r="X97" i="1"/>
  <c r="W97" i="1"/>
  <c r="V97" i="1"/>
  <c r="U97" i="1"/>
  <c r="S97" i="1"/>
  <c r="O97" i="1"/>
  <c r="N97" i="1"/>
  <c r="R97" i="1" s="1"/>
  <c r="AA97" i="1" s="1"/>
  <c r="AM97" i="1" s="1"/>
  <c r="F97" i="1"/>
  <c r="L97" i="1" s="1"/>
  <c r="AN96" i="1"/>
  <c r="AK96" i="1"/>
  <c r="AJ96" i="1"/>
  <c r="AI96" i="1"/>
  <c r="AH96" i="1"/>
  <c r="AG96" i="1"/>
  <c r="AF96" i="1"/>
  <c r="AE96" i="1"/>
  <c r="AD96" i="1"/>
  <c r="Z96" i="1"/>
  <c r="Y96" i="1"/>
  <c r="X96" i="1"/>
  <c r="AA96" i="1" s="1"/>
  <c r="AM96" i="1" s="1"/>
  <c r="W96" i="1"/>
  <c r="V96" i="1"/>
  <c r="U96" i="1"/>
  <c r="S96" i="1"/>
  <c r="R96" i="1"/>
  <c r="P96" i="1"/>
  <c r="O96" i="1"/>
  <c r="N96" i="1"/>
  <c r="F96" i="1"/>
  <c r="L96" i="1" s="1"/>
  <c r="O95" i="1"/>
  <c r="N95" i="1"/>
  <c r="R95" i="1" s="1"/>
  <c r="AA95" i="1" s="1"/>
  <c r="AM95" i="1" s="1"/>
  <c r="F95" i="1"/>
  <c r="O94" i="1"/>
  <c r="N94" i="1"/>
  <c r="R94" i="1" s="1"/>
  <c r="AA94" i="1" s="1"/>
  <c r="AM94" i="1" s="1"/>
  <c r="F94" i="1"/>
  <c r="AN93" i="1"/>
  <c r="AK93" i="1"/>
  <c r="AJ93" i="1"/>
  <c r="AI93" i="1"/>
  <c r="AH93" i="1"/>
  <c r="AG93" i="1"/>
  <c r="AF93" i="1"/>
  <c r="AD93" i="1"/>
  <c r="Z93" i="1"/>
  <c r="Y93" i="1"/>
  <c r="X93" i="1"/>
  <c r="W93" i="1"/>
  <c r="V93" i="1"/>
  <c r="U93" i="1"/>
  <c r="S93" i="1"/>
  <c r="R93" i="1"/>
  <c r="AA93" i="1" s="1"/>
  <c r="AM93" i="1" s="1"/>
  <c r="O93" i="1"/>
  <c r="N93" i="1"/>
  <c r="L93" i="1"/>
  <c r="F93" i="1"/>
  <c r="AN92" i="1"/>
  <c r="AK92" i="1"/>
  <c r="AJ92" i="1"/>
  <c r="AI92" i="1"/>
  <c r="AH92" i="1"/>
  <c r="AG92" i="1"/>
  <c r="AF92" i="1"/>
  <c r="AD92" i="1"/>
  <c r="Z92" i="1"/>
  <c r="Y92" i="1"/>
  <c r="X92" i="1"/>
  <c r="W92" i="1"/>
  <c r="V92" i="1"/>
  <c r="U92" i="1"/>
  <c r="S92" i="1"/>
  <c r="O92" i="1"/>
  <c r="N92" i="1"/>
  <c r="R92" i="1" s="1"/>
  <c r="AA92" i="1" s="1"/>
  <c r="AM92" i="1" s="1"/>
  <c r="F92" i="1"/>
  <c r="L92" i="1" s="1"/>
  <c r="AN91" i="1"/>
  <c r="AK91" i="1"/>
  <c r="AJ91" i="1"/>
  <c r="AI91" i="1"/>
  <c r="AH91" i="1"/>
  <c r="AG91" i="1"/>
  <c r="AF91" i="1"/>
  <c r="AD91" i="1"/>
  <c r="Z91" i="1"/>
  <c r="Y91" i="1"/>
  <c r="X91" i="1"/>
  <c r="W91" i="1"/>
  <c r="V91" i="1"/>
  <c r="U91" i="1"/>
  <c r="S91" i="1"/>
  <c r="P91" i="1"/>
  <c r="O91" i="1"/>
  <c r="N91" i="1"/>
  <c r="R91" i="1" s="1"/>
  <c r="AA91" i="1" s="1"/>
  <c r="AM91" i="1" s="1"/>
  <c r="F91" i="1"/>
  <c r="L91" i="1" s="1"/>
  <c r="AM90" i="1"/>
  <c r="AA90" i="1"/>
  <c r="R90" i="1"/>
  <c r="O90" i="1"/>
  <c r="N90" i="1"/>
  <c r="F90" i="1"/>
  <c r="B90" i="1"/>
  <c r="AN89" i="1"/>
  <c r="AK89" i="1"/>
  <c r="AJ89" i="1"/>
  <c r="AI89" i="1"/>
  <c r="AH89" i="1"/>
  <c r="AG89" i="1"/>
  <c r="AF89" i="1"/>
  <c r="AD89" i="1"/>
  <c r="Z89" i="1"/>
  <c r="Y89" i="1"/>
  <c r="X89" i="1"/>
  <c r="W89" i="1"/>
  <c r="V89" i="1"/>
  <c r="U89" i="1"/>
  <c r="S89" i="1"/>
  <c r="O89" i="1"/>
  <c r="N89" i="1"/>
  <c r="R89" i="1" s="1"/>
  <c r="AA89" i="1" s="1"/>
  <c r="AM89" i="1" s="1"/>
  <c r="L89" i="1"/>
  <c r="F89" i="1"/>
  <c r="AN88" i="1"/>
  <c r="AK88" i="1"/>
  <c r="AJ88" i="1"/>
  <c r="AI88" i="1"/>
  <c r="AH88" i="1"/>
  <c r="AG88" i="1"/>
  <c r="AF88" i="1"/>
  <c r="AD88" i="1"/>
  <c r="Z88" i="1"/>
  <c r="Y88" i="1"/>
  <c r="X88" i="1"/>
  <c r="W88" i="1"/>
  <c r="V88" i="1"/>
  <c r="U88" i="1"/>
  <c r="S88" i="1"/>
  <c r="O88" i="1"/>
  <c r="R88" i="1" s="1"/>
  <c r="AA88" i="1" s="1"/>
  <c r="AM88" i="1" s="1"/>
  <c r="N88" i="1"/>
  <c r="F88" i="1"/>
  <c r="L88" i="1" s="1"/>
  <c r="AN87" i="1"/>
  <c r="AK87" i="1"/>
  <c r="AJ87" i="1"/>
  <c r="AI87" i="1"/>
  <c r="AH87" i="1"/>
  <c r="AG87" i="1"/>
  <c r="AF87" i="1"/>
  <c r="AE87" i="1"/>
  <c r="AD87" i="1"/>
  <c r="Z87" i="1"/>
  <c r="Y87" i="1"/>
  <c r="X87" i="1"/>
  <c r="W87" i="1"/>
  <c r="V87" i="1"/>
  <c r="U87" i="1"/>
  <c r="S87" i="1"/>
  <c r="O87" i="1"/>
  <c r="R87" i="1" s="1"/>
  <c r="AA87" i="1" s="1"/>
  <c r="AM87" i="1" s="1"/>
  <c r="N87" i="1"/>
  <c r="F87" i="1"/>
  <c r="L87" i="1" s="1"/>
  <c r="R86" i="1"/>
  <c r="AA86" i="1" s="1"/>
  <c r="AM86" i="1" s="1"/>
  <c r="O86" i="1"/>
  <c r="N86" i="1"/>
  <c r="F86" i="1"/>
  <c r="O85" i="1"/>
  <c r="N85" i="1"/>
  <c r="R85" i="1" s="1"/>
  <c r="AA85" i="1" s="1"/>
  <c r="AM85" i="1" s="1"/>
  <c r="F85" i="1"/>
  <c r="AN84" i="1"/>
  <c r="AK84" i="1"/>
  <c r="AJ84" i="1"/>
  <c r="AI84" i="1"/>
  <c r="AH84" i="1"/>
  <c r="AG84" i="1"/>
  <c r="AF84" i="1"/>
  <c r="AD84" i="1"/>
  <c r="Z84" i="1"/>
  <c r="Y84" i="1"/>
  <c r="X84" i="1"/>
  <c r="W84" i="1"/>
  <c r="V84" i="1"/>
  <c r="U84" i="1"/>
  <c r="S84" i="1"/>
  <c r="O84" i="1"/>
  <c r="N84" i="1"/>
  <c r="R84" i="1" s="1"/>
  <c r="AA84" i="1" s="1"/>
  <c r="AM84" i="1" s="1"/>
  <c r="F84" i="1"/>
  <c r="L84" i="1" s="1"/>
  <c r="AN83" i="1"/>
  <c r="AK83" i="1"/>
  <c r="AJ83" i="1"/>
  <c r="AI83" i="1"/>
  <c r="AH83" i="1"/>
  <c r="AG83" i="1"/>
  <c r="AF83" i="1"/>
  <c r="AD83" i="1"/>
  <c r="Z83" i="1"/>
  <c r="Y83" i="1"/>
  <c r="X83" i="1"/>
  <c r="W83" i="1"/>
  <c r="V83" i="1"/>
  <c r="U83" i="1"/>
  <c r="S83" i="1"/>
  <c r="O83" i="1"/>
  <c r="R83" i="1" s="1"/>
  <c r="AA83" i="1" s="1"/>
  <c r="AM83" i="1" s="1"/>
  <c r="N83" i="1"/>
  <c r="L83" i="1"/>
  <c r="F83" i="1"/>
  <c r="AN82" i="1"/>
  <c r="AK82" i="1"/>
  <c r="AJ82" i="1"/>
  <c r="AI82" i="1"/>
  <c r="AH82" i="1"/>
  <c r="AG82" i="1"/>
  <c r="AF82" i="1"/>
  <c r="AE82" i="1"/>
  <c r="AD82" i="1"/>
  <c r="Z82" i="1"/>
  <c r="Y82" i="1"/>
  <c r="X82" i="1"/>
  <c r="W82" i="1"/>
  <c r="V82" i="1"/>
  <c r="U82" i="1"/>
  <c r="S82" i="1"/>
  <c r="O82" i="1"/>
  <c r="N82" i="1"/>
  <c r="R82" i="1" s="1"/>
  <c r="AA82" i="1" s="1"/>
  <c r="AM82" i="1" s="1"/>
  <c r="F82" i="1"/>
  <c r="L82" i="1" s="1"/>
  <c r="O81" i="1"/>
  <c r="N81" i="1"/>
  <c r="R81" i="1" s="1"/>
  <c r="AA81" i="1" s="1"/>
  <c r="AM81" i="1" s="1"/>
  <c r="F81" i="1"/>
  <c r="B81" i="1"/>
  <c r="AN80" i="1"/>
  <c r="AK80" i="1"/>
  <c r="AJ80" i="1"/>
  <c r="AI80" i="1"/>
  <c r="AH80" i="1"/>
  <c r="AG80" i="1"/>
  <c r="AF80" i="1"/>
  <c r="AD80" i="1"/>
  <c r="Z80" i="1"/>
  <c r="Y80" i="1"/>
  <c r="X80" i="1"/>
  <c r="W80" i="1"/>
  <c r="V80" i="1"/>
  <c r="U80" i="1"/>
  <c r="S80" i="1"/>
  <c r="O80" i="1"/>
  <c r="R80" i="1" s="1"/>
  <c r="AA80" i="1" s="1"/>
  <c r="AM80" i="1" s="1"/>
  <c r="N80" i="1"/>
  <c r="F80" i="1"/>
  <c r="L80" i="1" s="1"/>
  <c r="AN79" i="1"/>
  <c r="AK79" i="1"/>
  <c r="AJ79" i="1"/>
  <c r="AI79" i="1"/>
  <c r="AH79" i="1"/>
  <c r="AG79" i="1"/>
  <c r="AF79" i="1"/>
  <c r="AD79" i="1"/>
  <c r="Z79" i="1"/>
  <c r="Y79" i="1"/>
  <c r="X79" i="1"/>
  <c r="W79" i="1"/>
  <c r="V79" i="1"/>
  <c r="U79" i="1"/>
  <c r="S79" i="1"/>
  <c r="O79" i="1"/>
  <c r="N79" i="1"/>
  <c r="R79" i="1" s="1"/>
  <c r="AA79" i="1" s="1"/>
  <c r="AM79" i="1" s="1"/>
  <c r="L79" i="1"/>
  <c r="F79" i="1"/>
  <c r="O78" i="1"/>
  <c r="N78" i="1"/>
  <c r="R78" i="1" s="1"/>
  <c r="AA78" i="1" s="1"/>
  <c r="AM78" i="1" s="1"/>
  <c r="F78" i="1"/>
  <c r="O77" i="1"/>
  <c r="R77" i="1" s="1"/>
  <c r="AA77" i="1" s="1"/>
  <c r="AM77" i="1" s="1"/>
  <c r="N77" i="1"/>
  <c r="F77" i="1"/>
  <c r="B77" i="1"/>
  <c r="AN76" i="1"/>
  <c r="AK76" i="1"/>
  <c r="AJ76" i="1"/>
  <c r="AI76" i="1"/>
  <c r="AH76" i="1"/>
  <c r="AG76" i="1"/>
  <c r="AF76" i="1"/>
  <c r="AD76" i="1"/>
  <c r="Z76" i="1"/>
  <c r="Y76" i="1"/>
  <c r="X76" i="1"/>
  <c r="W76" i="1"/>
  <c r="V76" i="1"/>
  <c r="U76" i="1"/>
  <c r="S76" i="1"/>
  <c r="R76" i="1"/>
  <c r="AA76" i="1" s="1"/>
  <c r="AM76" i="1" s="1"/>
  <c r="O76" i="1"/>
  <c r="N76" i="1"/>
  <c r="F76" i="1"/>
  <c r="L76" i="1" s="1"/>
  <c r="AN75" i="1"/>
  <c r="AK75" i="1"/>
  <c r="AJ75" i="1"/>
  <c r="AI75" i="1"/>
  <c r="AH75" i="1"/>
  <c r="AG75" i="1"/>
  <c r="AF75" i="1"/>
  <c r="AD75" i="1"/>
  <c r="Z75" i="1"/>
  <c r="Y75" i="1"/>
  <c r="X75" i="1"/>
  <c r="W75" i="1"/>
  <c r="V75" i="1"/>
  <c r="U75" i="1"/>
  <c r="S75" i="1"/>
  <c r="O75" i="1"/>
  <c r="N75" i="1"/>
  <c r="R75" i="1" s="1"/>
  <c r="AA75" i="1" s="1"/>
  <c r="AM75" i="1" s="1"/>
  <c r="F75" i="1"/>
  <c r="L75" i="1" s="1"/>
  <c r="AN74" i="1"/>
  <c r="AK74" i="1"/>
  <c r="AJ74" i="1"/>
  <c r="AI74" i="1"/>
  <c r="AH74" i="1"/>
  <c r="AG74" i="1"/>
  <c r="AF74" i="1"/>
  <c r="AE74" i="1"/>
  <c r="AD74" i="1"/>
  <c r="Z74" i="1"/>
  <c r="Y74" i="1"/>
  <c r="X74" i="1"/>
  <c r="W74" i="1"/>
  <c r="V74" i="1"/>
  <c r="U74" i="1"/>
  <c r="S74" i="1"/>
  <c r="O74" i="1"/>
  <c r="N74" i="1"/>
  <c r="R74" i="1" s="1"/>
  <c r="AA74" i="1" s="1"/>
  <c r="AM74" i="1" s="1"/>
  <c r="F74" i="1"/>
  <c r="L74" i="1" s="1"/>
  <c r="O73" i="1"/>
  <c r="N73" i="1"/>
  <c r="R73" i="1" s="1"/>
  <c r="AA73" i="1" s="1"/>
  <c r="AM73" i="1" s="1"/>
  <c r="F73" i="1"/>
  <c r="AN72" i="1"/>
  <c r="AK72" i="1"/>
  <c r="AJ72" i="1"/>
  <c r="AI72" i="1"/>
  <c r="AH72" i="1"/>
  <c r="AG72" i="1"/>
  <c r="AF72" i="1"/>
  <c r="AD72" i="1"/>
  <c r="Z72" i="1"/>
  <c r="Y72" i="1"/>
  <c r="X72" i="1"/>
  <c r="W72" i="1"/>
  <c r="V72" i="1"/>
  <c r="U72" i="1"/>
  <c r="S72" i="1"/>
  <c r="R72" i="1"/>
  <c r="AA72" i="1" s="1"/>
  <c r="AM72" i="1" s="1"/>
  <c r="O72" i="1"/>
  <c r="N72" i="1"/>
  <c r="L72" i="1"/>
  <c r="F72" i="1"/>
  <c r="AN71" i="1"/>
  <c r="AK71" i="1"/>
  <c r="AJ71" i="1"/>
  <c r="AI71" i="1"/>
  <c r="AH71" i="1"/>
  <c r="AG71" i="1"/>
  <c r="AF71" i="1"/>
  <c r="AD71" i="1"/>
  <c r="Z71" i="1"/>
  <c r="Y71" i="1"/>
  <c r="X71" i="1"/>
  <c r="W71" i="1"/>
  <c r="V71" i="1"/>
  <c r="U71" i="1"/>
  <c r="S71" i="1"/>
  <c r="O71" i="1"/>
  <c r="N71" i="1"/>
  <c r="R71" i="1" s="1"/>
  <c r="AA71" i="1" s="1"/>
  <c r="AM71" i="1" s="1"/>
  <c r="F71" i="1"/>
  <c r="L71" i="1" s="1"/>
  <c r="AN70" i="1"/>
  <c r="AK70" i="1"/>
  <c r="AJ70" i="1"/>
  <c r="AI70" i="1"/>
  <c r="AH70" i="1"/>
  <c r="AG70" i="1"/>
  <c r="AF70" i="1"/>
  <c r="AD70" i="1"/>
  <c r="Z70" i="1"/>
  <c r="Y70" i="1"/>
  <c r="X70" i="1"/>
  <c r="W70" i="1"/>
  <c r="V70" i="1"/>
  <c r="U70" i="1"/>
  <c r="S70" i="1"/>
  <c r="O70" i="1"/>
  <c r="R70" i="1" s="1"/>
  <c r="AA70" i="1" s="1"/>
  <c r="AM70" i="1" s="1"/>
  <c r="N70" i="1"/>
  <c r="L70" i="1"/>
  <c r="F70" i="1"/>
  <c r="O69" i="1"/>
  <c r="N69" i="1"/>
  <c r="R69" i="1" s="1"/>
  <c r="AA69" i="1" s="1"/>
  <c r="AM69" i="1" s="1"/>
  <c r="F69" i="1"/>
  <c r="O68" i="1"/>
  <c r="R68" i="1" s="1"/>
  <c r="AA68" i="1" s="1"/>
  <c r="AM68" i="1" s="1"/>
  <c r="N68" i="1"/>
  <c r="F68" i="1"/>
  <c r="AN67" i="1"/>
  <c r="AK67" i="1"/>
  <c r="AJ67" i="1"/>
  <c r="AI67" i="1"/>
  <c r="AH67" i="1"/>
  <c r="AG67" i="1"/>
  <c r="AF67" i="1"/>
  <c r="AD67" i="1"/>
  <c r="Z67" i="1"/>
  <c r="Y67" i="1"/>
  <c r="X67" i="1"/>
  <c r="W67" i="1"/>
  <c r="V67" i="1"/>
  <c r="U67" i="1"/>
  <c r="S67" i="1"/>
  <c r="O67" i="1"/>
  <c r="N67" i="1"/>
  <c r="R67" i="1" s="1"/>
  <c r="AA67" i="1" s="1"/>
  <c r="AM67" i="1" s="1"/>
  <c r="F67" i="1"/>
  <c r="L67" i="1" s="1"/>
  <c r="AN66" i="1"/>
  <c r="AK66" i="1"/>
  <c r="AJ66" i="1"/>
  <c r="AI66" i="1"/>
  <c r="AH66" i="1"/>
  <c r="AG66" i="1"/>
  <c r="AF66" i="1"/>
  <c r="AD66" i="1"/>
  <c r="Z66" i="1"/>
  <c r="Y66" i="1"/>
  <c r="X66" i="1"/>
  <c r="W66" i="1"/>
  <c r="V66" i="1"/>
  <c r="U66" i="1"/>
  <c r="S66" i="1"/>
  <c r="R66" i="1"/>
  <c r="AA66" i="1" s="1"/>
  <c r="AM66" i="1" s="1"/>
  <c r="O66" i="1"/>
  <c r="N66" i="1"/>
  <c r="L66" i="1"/>
  <c r="F66" i="1"/>
  <c r="AN65" i="1"/>
  <c r="AK65" i="1"/>
  <c r="AJ65" i="1"/>
  <c r="AI65" i="1"/>
  <c r="AH65" i="1"/>
  <c r="AG65" i="1"/>
  <c r="AF65" i="1"/>
  <c r="AD65" i="1"/>
  <c r="Z65" i="1"/>
  <c r="Y65" i="1"/>
  <c r="X65" i="1"/>
  <c r="W65" i="1"/>
  <c r="V65" i="1"/>
  <c r="U65" i="1"/>
  <c r="S65" i="1"/>
  <c r="O65" i="1"/>
  <c r="N65" i="1"/>
  <c r="R65" i="1" s="1"/>
  <c r="AA65" i="1" s="1"/>
  <c r="AM65" i="1" s="1"/>
  <c r="F65" i="1"/>
  <c r="L65" i="1" s="1"/>
  <c r="O64" i="1"/>
  <c r="N64" i="1"/>
  <c r="R64" i="1" s="1"/>
  <c r="AA64" i="1" s="1"/>
  <c r="AM64" i="1" s="1"/>
  <c r="F64" i="1"/>
  <c r="AN63" i="1"/>
  <c r="AK63" i="1"/>
  <c r="AJ63" i="1"/>
  <c r="AI63" i="1"/>
  <c r="AH63" i="1"/>
  <c r="AG63" i="1"/>
  <c r="AF63" i="1"/>
  <c r="AD63" i="1"/>
  <c r="Z63" i="1"/>
  <c r="Y63" i="1"/>
  <c r="X63" i="1"/>
  <c r="W63" i="1"/>
  <c r="V63" i="1"/>
  <c r="U63" i="1"/>
  <c r="S63" i="1"/>
  <c r="R63" i="1"/>
  <c r="AA63" i="1" s="1"/>
  <c r="AM63" i="1" s="1"/>
  <c r="O63" i="1"/>
  <c r="N63" i="1"/>
  <c r="L63" i="1"/>
  <c r="F63" i="1"/>
  <c r="AN62" i="1"/>
  <c r="AK62" i="1"/>
  <c r="AJ62" i="1"/>
  <c r="AI62" i="1"/>
  <c r="AH62" i="1"/>
  <c r="AG62" i="1"/>
  <c r="AF62" i="1"/>
  <c r="AD62" i="1"/>
  <c r="Z62" i="1"/>
  <c r="Y62" i="1"/>
  <c r="X62" i="1"/>
  <c r="W62" i="1"/>
  <c r="V62" i="1"/>
  <c r="U62" i="1"/>
  <c r="S62" i="1"/>
  <c r="O62" i="1"/>
  <c r="N62" i="1"/>
  <c r="R62" i="1" s="1"/>
  <c r="AA62" i="1" s="1"/>
  <c r="AM62" i="1" s="1"/>
  <c r="F62" i="1"/>
  <c r="L62" i="1" s="1"/>
  <c r="O61" i="1"/>
  <c r="N61" i="1"/>
  <c r="R61" i="1" s="1"/>
  <c r="AA61" i="1" s="1"/>
  <c r="AM61" i="1" s="1"/>
  <c r="F61" i="1"/>
  <c r="O60" i="1"/>
  <c r="N60" i="1"/>
  <c r="R60" i="1" s="1"/>
  <c r="AA60" i="1" s="1"/>
  <c r="AM60" i="1" s="1"/>
  <c r="F60" i="1"/>
  <c r="AN59" i="1"/>
  <c r="AK59" i="1"/>
  <c r="AJ59" i="1"/>
  <c r="AI59" i="1"/>
  <c r="AH59" i="1"/>
  <c r="AG59" i="1"/>
  <c r="AF59" i="1"/>
  <c r="AE59" i="1"/>
  <c r="AD59" i="1"/>
  <c r="Z59" i="1"/>
  <c r="Y59" i="1"/>
  <c r="X59" i="1"/>
  <c r="W59" i="1"/>
  <c r="V59" i="1"/>
  <c r="U59" i="1"/>
  <c r="S59" i="1"/>
  <c r="O59" i="1"/>
  <c r="R59" i="1" s="1"/>
  <c r="AA59" i="1" s="1"/>
  <c r="AM59" i="1" s="1"/>
  <c r="N59" i="1"/>
  <c r="F59" i="1"/>
  <c r="L59" i="1" s="1"/>
  <c r="AN58" i="1"/>
  <c r="AK58" i="1"/>
  <c r="AJ58" i="1"/>
  <c r="AI58" i="1"/>
  <c r="AH58" i="1"/>
  <c r="AG58" i="1"/>
  <c r="AF58" i="1"/>
  <c r="AD58" i="1"/>
  <c r="Z58" i="1"/>
  <c r="Y58" i="1"/>
  <c r="X58" i="1"/>
  <c r="W58" i="1"/>
  <c r="V58" i="1"/>
  <c r="U58" i="1"/>
  <c r="S58" i="1"/>
  <c r="O58" i="1"/>
  <c r="N58" i="1"/>
  <c r="R58" i="1" s="1"/>
  <c r="AA58" i="1" s="1"/>
  <c r="AM58" i="1" s="1"/>
  <c r="L58" i="1"/>
  <c r="F58" i="1"/>
  <c r="O57" i="1"/>
  <c r="N57" i="1"/>
  <c r="R57" i="1" s="1"/>
  <c r="AA57" i="1" s="1"/>
  <c r="AM57" i="1" s="1"/>
  <c r="F57" i="1"/>
  <c r="AN56" i="1"/>
  <c r="AK56" i="1"/>
  <c r="AJ56" i="1"/>
  <c r="AI56" i="1"/>
  <c r="AH56" i="1"/>
  <c r="AG56" i="1"/>
  <c r="AF56" i="1"/>
  <c r="AD56" i="1"/>
  <c r="Z56" i="1"/>
  <c r="Y56" i="1"/>
  <c r="X56" i="1"/>
  <c r="W56" i="1"/>
  <c r="V56" i="1"/>
  <c r="U56" i="1"/>
  <c r="T56" i="1"/>
  <c r="S56" i="1"/>
  <c r="O56" i="1"/>
  <c r="N56" i="1"/>
  <c r="R56" i="1" s="1"/>
  <c r="AA56" i="1" s="1"/>
  <c r="AM56" i="1" s="1"/>
  <c r="L56" i="1"/>
  <c r="F56" i="1"/>
  <c r="AN55" i="1"/>
  <c r="AK55" i="1"/>
  <c r="AJ55" i="1"/>
  <c r="AI55" i="1"/>
  <c r="AH55" i="1"/>
  <c r="AG55" i="1"/>
  <c r="AF55" i="1"/>
  <c r="AD55" i="1"/>
  <c r="Z55" i="1"/>
  <c r="Y55" i="1"/>
  <c r="AA55" i="1" s="1"/>
  <c r="AM55" i="1" s="1"/>
  <c r="X55" i="1"/>
  <c r="W55" i="1"/>
  <c r="V55" i="1"/>
  <c r="U55" i="1"/>
  <c r="S55" i="1"/>
  <c r="R55" i="1"/>
  <c r="O55" i="1"/>
  <c r="N55" i="1"/>
  <c r="F55" i="1"/>
  <c r="L55" i="1" s="1"/>
  <c r="AN54" i="1"/>
  <c r="AK54" i="1"/>
  <c r="AJ54" i="1"/>
  <c r="AI54" i="1"/>
  <c r="AH54" i="1"/>
  <c r="AG54" i="1"/>
  <c r="AF54" i="1"/>
  <c r="AD54" i="1"/>
  <c r="Z54" i="1"/>
  <c r="Y54" i="1"/>
  <c r="X54" i="1"/>
  <c r="W54" i="1"/>
  <c r="V54" i="1"/>
  <c r="U54" i="1"/>
  <c r="S54" i="1"/>
  <c r="O54" i="1"/>
  <c r="R54" i="1" s="1"/>
  <c r="AA54" i="1" s="1"/>
  <c r="AM54" i="1" s="1"/>
  <c r="N54" i="1"/>
  <c r="F54" i="1"/>
  <c r="L54" i="1" s="1"/>
  <c r="O53" i="1"/>
  <c r="N53" i="1"/>
  <c r="R53" i="1" s="1"/>
  <c r="AA53" i="1" s="1"/>
  <c r="AM53" i="1" s="1"/>
  <c r="F53" i="1"/>
  <c r="O52" i="1"/>
  <c r="N52" i="1"/>
  <c r="R52" i="1" s="1"/>
  <c r="AA52" i="1" s="1"/>
  <c r="AM52" i="1" s="1"/>
  <c r="F52" i="1"/>
  <c r="AN51" i="1"/>
  <c r="AK51" i="1"/>
  <c r="AJ51" i="1"/>
  <c r="AI51" i="1"/>
  <c r="AH51" i="1"/>
  <c r="AG51" i="1"/>
  <c r="AF51" i="1"/>
  <c r="AD51" i="1"/>
  <c r="Z51" i="1"/>
  <c r="Y51" i="1"/>
  <c r="X51" i="1"/>
  <c r="W51" i="1"/>
  <c r="V51" i="1"/>
  <c r="U51" i="1"/>
  <c r="S51" i="1"/>
  <c r="O51" i="1"/>
  <c r="N51" i="1"/>
  <c r="R51" i="1" s="1"/>
  <c r="AA51" i="1" s="1"/>
  <c r="AM51" i="1" s="1"/>
  <c r="F51" i="1"/>
  <c r="L51" i="1" s="1"/>
  <c r="AN50" i="1"/>
  <c r="AK50" i="1"/>
  <c r="AJ50" i="1"/>
  <c r="AI50" i="1"/>
  <c r="AH50" i="1"/>
  <c r="AG50" i="1"/>
  <c r="AF50" i="1"/>
  <c r="AD50" i="1"/>
  <c r="Z50" i="1"/>
  <c r="Y50" i="1"/>
  <c r="X50" i="1"/>
  <c r="W50" i="1"/>
  <c r="V50" i="1"/>
  <c r="U50" i="1"/>
  <c r="S50" i="1"/>
  <c r="O50" i="1"/>
  <c r="N50" i="1"/>
  <c r="R50" i="1" s="1"/>
  <c r="AA50" i="1" s="1"/>
  <c r="AM50" i="1" s="1"/>
  <c r="L50" i="1"/>
  <c r="F50" i="1"/>
  <c r="AN49" i="1"/>
  <c r="AK49" i="1"/>
  <c r="AJ49" i="1"/>
  <c r="AI49" i="1"/>
  <c r="AH49" i="1"/>
  <c r="AG49" i="1"/>
  <c r="AF49" i="1"/>
  <c r="AE49" i="1"/>
  <c r="AD49" i="1"/>
  <c r="Z49" i="1"/>
  <c r="Y49" i="1"/>
  <c r="X49" i="1"/>
  <c r="W49" i="1"/>
  <c r="V49" i="1"/>
  <c r="U49" i="1"/>
  <c r="S49" i="1"/>
  <c r="O49" i="1"/>
  <c r="R49" i="1" s="1"/>
  <c r="AA49" i="1" s="1"/>
  <c r="AM49" i="1" s="1"/>
  <c r="N49" i="1"/>
  <c r="L49" i="1"/>
  <c r="F49" i="1"/>
  <c r="R48" i="1"/>
  <c r="AA48" i="1" s="1"/>
  <c r="AM48" i="1" s="1"/>
  <c r="O48" i="1"/>
  <c r="N48" i="1"/>
  <c r="F48" i="1"/>
  <c r="AN47" i="1"/>
  <c r="AK47" i="1"/>
  <c r="AJ47" i="1"/>
  <c r="AI47" i="1"/>
  <c r="AH47" i="1"/>
  <c r="AG47" i="1"/>
  <c r="AF47" i="1"/>
  <c r="AD47" i="1"/>
  <c r="Z47" i="1"/>
  <c r="Y47" i="1"/>
  <c r="X47" i="1"/>
  <c r="W47" i="1"/>
  <c r="V47" i="1"/>
  <c r="U47" i="1"/>
  <c r="S47" i="1"/>
  <c r="O47" i="1"/>
  <c r="N47" i="1"/>
  <c r="R47" i="1" s="1"/>
  <c r="AA47" i="1" s="1"/>
  <c r="AM47" i="1" s="1"/>
  <c r="F47" i="1"/>
  <c r="L47" i="1" s="1"/>
  <c r="AN46" i="1"/>
  <c r="AK46" i="1"/>
  <c r="AJ46" i="1"/>
  <c r="AI46" i="1"/>
  <c r="AH46" i="1"/>
  <c r="AG46" i="1"/>
  <c r="AF46" i="1"/>
  <c r="AD46" i="1"/>
  <c r="Z46" i="1"/>
  <c r="Y46" i="1"/>
  <c r="X46" i="1"/>
  <c r="W46" i="1"/>
  <c r="V46" i="1"/>
  <c r="U46" i="1"/>
  <c r="S46" i="1"/>
  <c r="O46" i="1"/>
  <c r="R46" i="1" s="1"/>
  <c r="AA46" i="1" s="1"/>
  <c r="AM46" i="1" s="1"/>
  <c r="N46" i="1"/>
  <c r="L46" i="1"/>
  <c r="F46" i="1"/>
  <c r="AN45" i="1"/>
  <c r="AK45" i="1"/>
  <c r="AJ45" i="1"/>
  <c r="AI45" i="1"/>
  <c r="AH45" i="1"/>
  <c r="AG45" i="1"/>
  <c r="AF45" i="1"/>
  <c r="AE45" i="1"/>
  <c r="AD45" i="1"/>
  <c r="Z45" i="1"/>
  <c r="Y45" i="1"/>
  <c r="X45" i="1"/>
  <c r="W45" i="1"/>
  <c r="V45" i="1"/>
  <c r="U45" i="1"/>
  <c r="S45" i="1"/>
  <c r="O45" i="1"/>
  <c r="N45" i="1"/>
  <c r="R45" i="1" s="1"/>
  <c r="AA45" i="1" s="1"/>
  <c r="AM45" i="1" s="1"/>
  <c r="F45" i="1"/>
  <c r="L45" i="1" s="1"/>
  <c r="O44" i="1"/>
  <c r="N44" i="1"/>
  <c r="R44" i="1" s="1"/>
  <c r="AA44" i="1" s="1"/>
  <c r="AM44" i="1" s="1"/>
  <c r="F44" i="1"/>
  <c r="R43" i="1"/>
  <c r="AA43" i="1" s="1"/>
  <c r="AM43" i="1" s="1"/>
  <c r="O43" i="1"/>
  <c r="N43" i="1"/>
  <c r="F43" i="1"/>
  <c r="B43" i="1"/>
  <c r="AN42" i="1"/>
  <c r="AK42" i="1"/>
  <c r="AJ42" i="1"/>
  <c r="AI42" i="1"/>
  <c r="AH42" i="1"/>
  <c r="AG42" i="1"/>
  <c r="AF42" i="1"/>
  <c r="AD42" i="1"/>
  <c r="Z42" i="1"/>
  <c r="Y42" i="1"/>
  <c r="X42" i="1"/>
  <c r="W42" i="1"/>
  <c r="V42" i="1"/>
  <c r="U42" i="1"/>
  <c r="S42" i="1"/>
  <c r="O42" i="1"/>
  <c r="N42" i="1"/>
  <c r="R42" i="1" s="1"/>
  <c r="AA42" i="1" s="1"/>
  <c r="AM42" i="1" s="1"/>
  <c r="F42" i="1"/>
  <c r="L42" i="1" s="1"/>
  <c r="AN41" i="1"/>
  <c r="AK41" i="1"/>
  <c r="AJ41" i="1"/>
  <c r="AI41" i="1"/>
  <c r="AH41" i="1"/>
  <c r="AG41" i="1"/>
  <c r="AF41" i="1"/>
  <c r="AD41" i="1"/>
  <c r="Z41" i="1"/>
  <c r="Y41" i="1"/>
  <c r="X41" i="1"/>
  <c r="W41" i="1"/>
  <c r="V41" i="1"/>
  <c r="U41" i="1"/>
  <c r="S41" i="1"/>
  <c r="O41" i="1"/>
  <c r="N41" i="1"/>
  <c r="R41" i="1" s="1"/>
  <c r="AA41" i="1" s="1"/>
  <c r="AM41" i="1" s="1"/>
  <c r="L41" i="1"/>
  <c r="F41" i="1"/>
  <c r="AN40" i="1"/>
  <c r="AK40" i="1"/>
  <c r="AJ40" i="1"/>
  <c r="AI40" i="1"/>
  <c r="AH40" i="1"/>
  <c r="AG40" i="1"/>
  <c r="AF40" i="1"/>
  <c r="AD40" i="1"/>
  <c r="Z40" i="1"/>
  <c r="Y40" i="1"/>
  <c r="X40" i="1"/>
  <c r="W40" i="1"/>
  <c r="V40" i="1"/>
  <c r="U40" i="1"/>
  <c r="S40" i="1"/>
  <c r="O40" i="1"/>
  <c r="N40" i="1"/>
  <c r="R40" i="1" s="1"/>
  <c r="AA40" i="1" s="1"/>
  <c r="AM40" i="1" s="1"/>
  <c r="F40" i="1"/>
  <c r="L40" i="1" s="1"/>
  <c r="O39" i="1"/>
  <c r="N39" i="1"/>
  <c r="R39" i="1" s="1"/>
  <c r="AA39" i="1" s="1"/>
  <c r="AM39" i="1" s="1"/>
  <c r="F39" i="1"/>
  <c r="B39" i="1"/>
  <c r="AN38" i="1"/>
  <c r="AK38" i="1"/>
  <c r="AJ38" i="1"/>
  <c r="AI38" i="1"/>
  <c r="AH38" i="1"/>
  <c r="AG38" i="1"/>
  <c r="AF38" i="1"/>
  <c r="AD38" i="1"/>
  <c r="Z38" i="1"/>
  <c r="Y38" i="1"/>
  <c r="X38" i="1"/>
  <c r="W38" i="1"/>
  <c r="V38" i="1"/>
  <c r="U38" i="1"/>
  <c r="S38" i="1"/>
  <c r="O38" i="1"/>
  <c r="N38" i="1"/>
  <c r="R38" i="1" s="1"/>
  <c r="AA38" i="1" s="1"/>
  <c r="AM38" i="1" s="1"/>
  <c r="F38" i="1"/>
  <c r="L38" i="1" s="1"/>
  <c r="AN37" i="1"/>
  <c r="AK37" i="1"/>
  <c r="AJ37" i="1"/>
  <c r="AI37" i="1"/>
  <c r="AH37" i="1"/>
  <c r="AG37" i="1"/>
  <c r="AF37" i="1"/>
  <c r="AD37" i="1"/>
  <c r="Z37" i="1"/>
  <c r="Y37" i="1"/>
  <c r="X37" i="1"/>
  <c r="W37" i="1"/>
  <c r="V37" i="1"/>
  <c r="U37" i="1"/>
  <c r="S37" i="1"/>
  <c r="O37" i="1"/>
  <c r="N37" i="1"/>
  <c r="R37" i="1" s="1"/>
  <c r="AA37" i="1" s="1"/>
  <c r="AM37" i="1" s="1"/>
  <c r="L37" i="1"/>
  <c r="F37" i="1"/>
  <c r="AN36" i="1"/>
  <c r="AK36" i="1"/>
  <c r="AJ36" i="1"/>
  <c r="AI36" i="1"/>
  <c r="AH36" i="1"/>
  <c r="AG36" i="1"/>
  <c r="AF36" i="1"/>
  <c r="AE36" i="1"/>
  <c r="AD36" i="1"/>
  <c r="Z36" i="1"/>
  <c r="Y36" i="1"/>
  <c r="X36" i="1"/>
  <c r="W36" i="1"/>
  <c r="V36" i="1"/>
  <c r="U36" i="1"/>
  <c r="S36" i="1"/>
  <c r="O36" i="1"/>
  <c r="R36" i="1" s="1"/>
  <c r="AA36" i="1" s="1"/>
  <c r="AM36" i="1" s="1"/>
  <c r="N36" i="1"/>
  <c r="L36" i="1"/>
  <c r="F36" i="1"/>
  <c r="R35" i="1"/>
  <c r="AA35" i="1" s="1"/>
  <c r="AM35" i="1" s="1"/>
  <c r="O35" i="1"/>
  <c r="N35" i="1"/>
  <c r="F35" i="1"/>
  <c r="O34" i="1"/>
  <c r="N34" i="1"/>
  <c r="R34" i="1" s="1"/>
  <c r="AA34" i="1" s="1"/>
  <c r="AM34" i="1" s="1"/>
  <c r="F34" i="1"/>
  <c r="AN33" i="1"/>
  <c r="AK33" i="1"/>
  <c r="AJ33" i="1"/>
  <c r="AI33" i="1"/>
  <c r="AH33" i="1"/>
  <c r="AG33" i="1"/>
  <c r="AF33" i="1"/>
  <c r="AD33" i="1"/>
  <c r="Z33" i="1"/>
  <c r="Y33" i="1"/>
  <c r="X33" i="1"/>
  <c r="W33" i="1"/>
  <c r="V33" i="1"/>
  <c r="U33" i="1"/>
  <c r="S33" i="1"/>
  <c r="O33" i="1"/>
  <c r="N33" i="1"/>
  <c r="R33" i="1" s="1"/>
  <c r="AA33" i="1" s="1"/>
  <c r="AM33" i="1" s="1"/>
  <c r="F33" i="1"/>
  <c r="L33" i="1" s="1"/>
  <c r="AN32" i="1"/>
  <c r="AK32" i="1"/>
  <c r="AJ32" i="1"/>
  <c r="AI32" i="1"/>
  <c r="AH32" i="1"/>
  <c r="AG32" i="1"/>
  <c r="AF32" i="1"/>
  <c r="AD32" i="1"/>
  <c r="Z32" i="1"/>
  <c r="Y32" i="1"/>
  <c r="X32" i="1"/>
  <c r="W32" i="1"/>
  <c r="V32" i="1"/>
  <c r="U32" i="1"/>
  <c r="S32" i="1"/>
  <c r="O32" i="1"/>
  <c r="R32" i="1" s="1"/>
  <c r="AA32" i="1" s="1"/>
  <c r="AM32" i="1" s="1"/>
  <c r="N32" i="1"/>
  <c r="F32" i="1"/>
  <c r="L32" i="1" s="1"/>
  <c r="AN31" i="1"/>
  <c r="AK31" i="1"/>
  <c r="AJ31" i="1"/>
  <c r="AI31" i="1"/>
  <c r="AH31" i="1"/>
  <c r="AG31" i="1"/>
  <c r="AF31" i="1"/>
  <c r="AE31" i="1"/>
  <c r="AD31" i="1"/>
  <c r="Z31" i="1"/>
  <c r="Y31" i="1"/>
  <c r="X31" i="1"/>
  <c r="W31" i="1"/>
  <c r="V31" i="1"/>
  <c r="U31" i="1"/>
  <c r="S31" i="1"/>
  <c r="O31" i="1"/>
  <c r="R31" i="1" s="1"/>
  <c r="AA31" i="1" s="1"/>
  <c r="AM31" i="1" s="1"/>
  <c r="N31" i="1"/>
  <c r="F31" i="1"/>
  <c r="L31" i="1" s="1"/>
  <c r="R30" i="1"/>
  <c r="AA30" i="1" s="1"/>
  <c r="AM30" i="1" s="1"/>
  <c r="O30" i="1"/>
  <c r="N30" i="1"/>
  <c r="F30" i="1"/>
  <c r="B30" i="1"/>
  <c r="AN29" i="1"/>
  <c r="AK29" i="1"/>
  <c r="AJ29" i="1"/>
  <c r="AI29" i="1"/>
  <c r="AH29" i="1"/>
  <c r="AG29" i="1"/>
  <c r="AF29" i="1"/>
  <c r="AD29" i="1"/>
  <c r="Z29" i="1"/>
  <c r="Y29" i="1"/>
  <c r="X29" i="1"/>
  <c r="W29" i="1"/>
  <c r="V29" i="1"/>
  <c r="U29" i="1"/>
  <c r="T29" i="1"/>
  <c r="S29" i="1"/>
  <c r="O29" i="1"/>
  <c r="N29" i="1"/>
  <c r="R29" i="1" s="1"/>
  <c r="AA29" i="1" s="1"/>
  <c r="AM29" i="1" s="1"/>
  <c r="L29" i="1"/>
  <c r="F29" i="1"/>
  <c r="AN28" i="1"/>
  <c r="AK28" i="1"/>
  <c r="AJ28" i="1"/>
  <c r="AI28" i="1"/>
  <c r="AH28" i="1"/>
  <c r="AG28" i="1"/>
  <c r="AF28" i="1"/>
  <c r="AD28" i="1"/>
  <c r="Z28" i="1"/>
  <c r="Y28" i="1"/>
  <c r="X28" i="1"/>
  <c r="W28" i="1"/>
  <c r="V28" i="1"/>
  <c r="U28" i="1"/>
  <c r="S28" i="1"/>
  <c r="O28" i="1"/>
  <c r="N28" i="1"/>
  <c r="R28" i="1" s="1"/>
  <c r="AA28" i="1" s="1"/>
  <c r="AM28" i="1" s="1"/>
  <c r="F28" i="1"/>
  <c r="L28" i="1" s="1"/>
  <c r="R27" i="1"/>
  <c r="AA27" i="1" s="1"/>
  <c r="AM27" i="1" s="1"/>
  <c r="O27" i="1"/>
  <c r="N27" i="1"/>
  <c r="F27" i="1"/>
  <c r="R26" i="1"/>
  <c r="AA26" i="1" s="1"/>
  <c r="AM26" i="1" s="1"/>
  <c r="O26" i="1"/>
  <c r="N26" i="1"/>
  <c r="F26" i="1"/>
  <c r="B26" i="1"/>
  <c r="AN25" i="1"/>
  <c r="AK25" i="1"/>
  <c r="AJ25" i="1"/>
  <c r="AI25" i="1"/>
  <c r="AH25" i="1"/>
  <c r="AG25" i="1"/>
  <c r="AF25" i="1"/>
  <c r="AD25" i="1"/>
  <c r="Z25" i="1"/>
  <c r="Y25" i="1"/>
  <c r="X25" i="1"/>
  <c r="W25" i="1"/>
  <c r="V25" i="1"/>
  <c r="U25" i="1"/>
  <c r="S25" i="1"/>
  <c r="O25" i="1"/>
  <c r="N25" i="1"/>
  <c r="R25" i="1" s="1"/>
  <c r="AA25" i="1" s="1"/>
  <c r="AM25" i="1" s="1"/>
  <c r="F25" i="1"/>
  <c r="L25" i="1" s="1"/>
  <c r="AN24" i="1"/>
  <c r="AK24" i="1"/>
  <c r="AJ24" i="1"/>
  <c r="AI24" i="1"/>
  <c r="AH24" i="1"/>
  <c r="AG24" i="1"/>
  <c r="AF24" i="1"/>
  <c r="AE24" i="1"/>
  <c r="AD24" i="1"/>
  <c r="Z24" i="1"/>
  <c r="Y24" i="1"/>
  <c r="X24" i="1"/>
  <c r="W24" i="1"/>
  <c r="V24" i="1"/>
  <c r="U24" i="1"/>
  <c r="S24" i="1"/>
  <c r="O24" i="1"/>
  <c r="N24" i="1"/>
  <c r="R24" i="1" s="1"/>
  <c r="AA24" i="1" s="1"/>
  <c r="AM24" i="1" s="1"/>
  <c r="F24" i="1"/>
  <c r="L24" i="1" s="1"/>
  <c r="AN23" i="1"/>
  <c r="AK23" i="1"/>
  <c r="AJ23" i="1"/>
  <c r="AI23" i="1"/>
  <c r="AH23" i="1"/>
  <c r="AG23" i="1"/>
  <c r="AF23" i="1"/>
  <c r="AE23" i="1"/>
  <c r="AD23" i="1"/>
  <c r="Z23" i="1"/>
  <c r="Y23" i="1"/>
  <c r="X23" i="1"/>
  <c r="W23" i="1"/>
  <c r="V23" i="1"/>
  <c r="U23" i="1"/>
  <c r="S23" i="1"/>
  <c r="R23" i="1"/>
  <c r="AA23" i="1" s="1"/>
  <c r="AM23" i="1" s="1"/>
  <c r="O23" i="1"/>
  <c r="N23" i="1"/>
  <c r="L23" i="1"/>
  <c r="F23" i="1"/>
  <c r="O22" i="1"/>
  <c r="R22" i="1" s="1"/>
  <c r="AA22" i="1" s="1"/>
  <c r="AM22" i="1" s="1"/>
  <c r="N22" i="1"/>
  <c r="F22" i="1"/>
  <c r="B22" i="1"/>
  <c r="AN21" i="1"/>
  <c r="AK21" i="1"/>
  <c r="AJ21" i="1"/>
  <c r="AI21" i="1"/>
  <c r="AH21" i="1"/>
  <c r="AG21" i="1"/>
  <c r="AF21" i="1"/>
  <c r="AE21" i="1"/>
  <c r="AD21" i="1"/>
  <c r="Z21" i="1"/>
  <c r="Y21" i="1"/>
  <c r="X21" i="1"/>
  <c r="W21" i="1"/>
  <c r="V21" i="1"/>
  <c r="U21" i="1"/>
  <c r="S21" i="1"/>
  <c r="O21" i="1"/>
  <c r="R21" i="1" s="1"/>
  <c r="AA21" i="1" s="1"/>
  <c r="AM21" i="1" s="1"/>
  <c r="N21" i="1"/>
  <c r="F21" i="1"/>
  <c r="L21" i="1" s="1"/>
  <c r="AN20" i="1"/>
  <c r="AK20" i="1"/>
  <c r="AJ20" i="1"/>
  <c r="AI20" i="1"/>
  <c r="AH20" i="1"/>
  <c r="AG20" i="1"/>
  <c r="AF20" i="1"/>
  <c r="AD20" i="1"/>
  <c r="Z20" i="1"/>
  <c r="AA20" i="1" s="1"/>
  <c r="AM20" i="1" s="1"/>
  <c r="Y20" i="1"/>
  <c r="X20" i="1"/>
  <c r="W20" i="1"/>
  <c r="V20" i="1"/>
  <c r="U20" i="1"/>
  <c r="S20" i="1"/>
  <c r="R20" i="1"/>
  <c r="O20" i="1"/>
  <c r="N20" i="1"/>
  <c r="F20" i="1"/>
  <c r="L20" i="1" s="1"/>
  <c r="AN19" i="1"/>
  <c r="AK19" i="1"/>
  <c r="AJ19" i="1"/>
  <c r="AI19" i="1"/>
  <c r="AH19" i="1"/>
  <c r="AG19" i="1"/>
  <c r="AF19" i="1"/>
  <c r="AE19" i="1"/>
  <c r="AD19" i="1"/>
  <c r="Z19" i="1"/>
  <c r="Y19" i="1"/>
  <c r="X19" i="1"/>
  <c r="W19" i="1"/>
  <c r="V19" i="1"/>
  <c r="U19" i="1"/>
  <c r="S19" i="1"/>
  <c r="O19" i="1"/>
  <c r="R19" i="1" s="1"/>
  <c r="AA19" i="1" s="1"/>
  <c r="AM19" i="1" s="1"/>
  <c r="N19" i="1"/>
  <c r="L19" i="1"/>
  <c r="F19" i="1"/>
  <c r="O18" i="1"/>
  <c r="N18" i="1"/>
  <c r="R18" i="1" s="1"/>
  <c r="AA18" i="1" s="1"/>
  <c r="AM18" i="1" s="1"/>
  <c r="F18" i="1"/>
  <c r="O17" i="1"/>
  <c r="N17" i="1"/>
  <c r="R17" i="1" s="1"/>
  <c r="AA17" i="1" s="1"/>
  <c r="AM17" i="1" s="1"/>
  <c r="F17" i="1"/>
  <c r="AN16" i="1"/>
  <c r="AK16" i="1"/>
  <c r="AJ16" i="1"/>
  <c r="AI16" i="1"/>
  <c r="AH16" i="1"/>
  <c r="AG16" i="1"/>
  <c r="AF16" i="1"/>
  <c r="AD16" i="1"/>
  <c r="Z16" i="1"/>
  <c r="Y16" i="1"/>
  <c r="X16" i="1"/>
  <c r="W16" i="1"/>
  <c r="V16" i="1"/>
  <c r="U16" i="1"/>
  <c r="S16" i="1"/>
  <c r="O16" i="1"/>
  <c r="N16" i="1"/>
  <c r="R16" i="1" s="1"/>
  <c r="AA16" i="1" s="1"/>
  <c r="AM16" i="1" s="1"/>
  <c r="F16" i="1"/>
  <c r="L16" i="1" s="1"/>
  <c r="AN15" i="1"/>
  <c r="AK15" i="1"/>
  <c r="AJ15" i="1"/>
  <c r="AI15" i="1"/>
  <c r="AH15" i="1"/>
  <c r="AG15" i="1"/>
  <c r="AF15" i="1"/>
  <c r="AD15" i="1"/>
  <c r="Z15" i="1"/>
  <c r="Y15" i="1"/>
  <c r="X15" i="1"/>
  <c r="W15" i="1"/>
  <c r="V15" i="1"/>
  <c r="U15" i="1"/>
  <c r="S15" i="1"/>
  <c r="R15" i="1"/>
  <c r="AA15" i="1" s="1"/>
  <c r="AM15" i="1" s="1"/>
  <c r="O15" i="1"/>
  <c r="N15" i="1"/>
  <c r="L15" i="1"/>
  <c r="F15" i="1"/>
  <c r="AN14" i="1"/>
  <c r="AK14" i="1"/>
  <c r="AJ14" i="1"/>
  <c r="AI14" i="1"/>
  <c r="AH14" i="1"/>
  <c r="AG14" i="1"/>
  <c r="AF14" i="1"/>
  <c r="AD14" i="1"/>
  <c r="Z14" i="1"/>
  <c r="Y14" i="1"/>
  <c r="X14" i="1"/>
  <c r="W14" i="1"/>
  <c r="V14" i="1"/>
  <c r="U14" i="1"/>
  <c r="S14" i="1"/>
  <c r="O14" i="1"/>
  <c r="N14" i="1"/>
  <c r="R14" i="1" s="1"/>
  <c r="AA14" i="1" s="1"/>
  <c r="AM14" i="1" s="1"/>
  <c r="F14" i="1"/>
  <c r="L14" i="1" s="1"/>
  <c r="O13" i="1"/>
  <c r="N13" i="1"/>
  <c r="R13" i="1" s="1"/>
  <c r="AA13" i="1" s="1"/>
  <c r="AM13" i="1" s="1"/>
  <c r="F13" i="1"/>
  <c r="B13" i="1"/>
  <c r="AN12" i="1"/>
  <c r="AK12" i="1"/>
  <c r="AJ12" i="1"/>
  <c r="AI12" i="1"/>
  <c r="AH12" i="1"/>
  <c r="AG12" i="1"/>
  <c r="AF12" i="1"/>
  <c r="AD12" i="1"/>
  <c r="Z12" i="1"/>
  <c r="Y12" i="1"/>
  <c r="X12" i="1"/>
  <c r="W12" i="1"/>
  <c r="V12" i="1"/>
  <c r="U12" i="1"/>
  <c r="S12" i="1"/>
  <c r="O12" i="1"/>
  <c r="N12" i="1"/>
  <c r="R12" i="1" s="1"/>
  <c r="AA12" i="1" s="1"/>
  <c r="AM12" i="1" s="1"/>
  <c r="L12" i="1"/>
  <c r="F12" i="1"/>
  <c r="AN11" i="1"/>
  <c r="AK11" i="1"/>
  <c r="AJ11" i="1"/>
  <c r="AI11" i="1"/>
  <c r="AH11" i="1"/>
  <c r="AG11" i="1"/>
  <c r="AF11" i="1"/>
  <c r="AD11" i="1"/>
  <c r="Z11" i="1"/>
  <c r="Y11" i="1"/>
  <c r="X11" i="1"/>
  <c r="W11" i="1"/>
  <c r="V11" i="1"/>
  <c r="U11" i="1"/>
  <c r="S11" i="1"/>
  <c r="O11" i="1"/>
  <c r="N11" i="1"/>
  <c r="R11" i="1" s="1"/>
  <c r="AA11" i="1" s="1"/>
  <c r="AM11" i="1" s="1"/>
  <c r="L11" i="1"/>
  <c r="F11" i="1"/>
  <c r="AN10" i="1"/>
  <c r="AK10" i="1"/>
  <c r="AJ10" i="1"/>
  <c r="AI10" i="1"/>
  <c r="AH10" i="1"/>
  <c r="AG10" i="1"/>
  <c r="AF10" i="1"/>
  <c r="AE10" i="1"/>
  <c r="AD10" i="1"/>
  <c r="Z10" i="1"/>
  <c r="Y10" i="1"/>
  <c r="X10" i="1"/>
  <c r="W10" i="1"/>
  <c r="V10" i="1"/>
  <c r="U10" i="1"/>
  <c r="S10" i="1"/>
  <c r="P10" i="1"/>
  <c r="R10" i="1" s="1"/>
  <c r="AA10" i="1" s="1"/>
  <c r="AM10" i="1" s="1"/>
  <c r="O10" i="1"/>
  <c r="N10" i="1"/>
  <c r="F10" i="1"/>
  <c r="L10" i="1" s="1"/>
  <c r="O9" i="1"/>
  <c r="N9" i="1"/>
  <c r="R9" i="1" s="1"/>
  <c r="AA9" i="1" s="1"/>
  <c r="AM9" i="1" s="1"/>
  <c r="F9" i="1"/>
  <c r="B9" i="1"/>
  <c r="O8" i="1"/>
  <c r="N8" i="1"/>
  <c r="R8" i="1" s="1"/>
  <c r="AA8" i="1" s="1"/>
  <c r="AM8" i="1" s="1"/>
  <c r="F8" i="1"/>
  <c r="B8" i="1"/>
  <c r="AN7" i="1"/>
  <c r="AK7" i="1"/>
  <c r="AJ7" i="1"/>
  <c r="AI7" i="1"/>
  <c r="AH7" i="1"/>
  <c r="AG7" i="1"/>
  <c r="AF7" i="1"/>
  <c r="AE7" i="1"/>
  <c r="AD7" i="1"/>
  <c r="Z7" i="1"/>
  <c r="Y7" i="1"/>
  <c r="X7" i="1"/>
  <c r="W7" i="1"/>
  <c r="AA7" i="1" s="1"/>
  <c r="AM7" i="1" s="1"/>
  <c r="V7" i="1"/>
  <c r="U7" i="1"/>
  <c r="S7" i="1"/>
  <c r="R7" i="1"/>
  <c r="O7" i="1"/>
  <c r="N7" i="1"/>
  <c r="L7" i="1"/>
  <c r="F7" i="1"/>
  <c r="AN6" i="1"/>
  <c r="AK6" i="1"/>
  <c r="AJ6" i="1"/>
  <c r="AI6" i="1"/>
  <c r="AH6" i="1"/>
  <c r="AG6" i="1"/>
  <c r="AF6" i="1"/>
  <c r="AE6" i="1"/>
  <c r="AD6" i="1"/>
  <c r="Z6" i="1"/>
  <c r="Y6" i="1"/>
  <c r="X6" i="1"/>
  <c r="W6" i="1"/>
  <c r="V6" i="1"/>
  <c r="U6" i="1"/>
  <c r="S6" i="1"/>
  <c r="P6" i="1"/>
  <c r="O6" i="1"/>
  <c r="N6" i="1"/>
  <c r="R6" i="1" s="1"/>
  <c r="AA6" i="1" s="1"/>
  <c r="AM6" i="1" s="1"/>
  <c r="F6" i="1"/>
  <c r="L6" i="1" s="1"/>
  <c r="O5" i="1"/>
  <c r="N5" i="1"/>
  <c r="R5" i="1" s="1"/>
  <c r="AA5" i="1" s="1"/>
  <c r="AM5" i="1" s="1"/>
  <c r="F5" i="1"/>
  <c r="B5" i="1"/>
  <c r="AN4" i="1"/>
  <c r="AK4" i="1"/>
  <c r="AJ4" i="1"/>
  <c r="AI4" i="1"/>
  <c r="AH4" i="1"/>
  <c r="AG4" i="1"/>
  <c r="AF4" i="1"/>
  <c r="AD4" i="1"/>
  <c r="Z4" i="1"/>
  <c r="Y4" i="1"/>
  <c r="X4" i="1"/>
  <c r="W4" i="1"/>
  <c r="V4" i="1"/>
  <c r="U4" i="1"/>
  <c r="S4" i="1"/>
  <c r="O4" i="1"/>
  <c r="N4" i="1"/>
  <c r="R4" i="1" s="1"/>
  <c r="AA4" i="1" s="1"/>
  <c r="AM4" i="1" s="1"/>
  <c r="L4" i="1"/>
  <c r="F4" i="1"/>
  <c r="AN3" i="1"/>
  <c r="AK3" i="1"/>
  <c r="AJ3" i="1"/>
  <c r="AI3" i="1"/>
  <c r="AH3" i="1"/>
  <c r="AG3" i="1"/>
  <c r="AF3" i="1"/>
  <c r="AE3" i="1"/>
  <c r="AD3" i="1"/>
  <c r="Z3" i="1"/>
  <c r="Y3" i="1"/>
  <c r="X3" i="1"/>
  <c r="W3" i="1"/>
  <c r="AA3" i="1" s="1"/>
  <c r="AM3" i="1" s="1"/>
  <c r="V3" i="1"/>
  <c r="U3" i="1"/>
  <c r="S3" i="1"/>
  <c r="R3" i="1"/>
  <c r="O3" i="1"/>
  <c r="N3" i="1"/>
  <c r="L3" i="1"/>
  <c r="F3" i="1"/>
  <c r="AN2" i="1"/>
  <c r="AK2" i="1"/>
  <c r="AJ2" i="1"/>
  <c r="AI2" i="1"/>
  <c r="AH2" i="1"/>
  <c r="AG2" i="1"/>
  <c r="AF2" i="1"/>
  <c r="AE2" i="1"/>
  <c r="AD2" i="1"/>
  <c r="Z2" i="1"/>
  <c r="Y2" i="1"/>
  <c r="X2" i="1"/>
  <c r="W2" i="1"/>
  <c r="V2" i="1"/>
  <c r="U2" i="1"/>
  <c r="S2" i="1"/>
  <c r="P2" i="1"/>
  <c r="O2" i="1"/>
  <c r="N2" i="1"/>
  <c r="R2" i="1" s="1"/>
  <c r="AA2" i="1" s="1"/>
  <c r="AM2" i="1" s="1"/>
  <c r="F2" i="1"/>
  <c r="L2" i="1" s="1"/>
  <c r="W17" i="6" l="1"/>
  <c r="W24" i="6"/>
  <c r="AP5" i="1"/>
  <c r="AQ5" i="1" s="1"/>
  <c r="AP122" i="1"/>
  <c r="AQ122" i="1" s="1"/>
  <c r="AP77" i="1"/>
  <c r="AQ77" i="1" s="1"/>
  <c r="AP114" i="1"/>
  <c r="AQ114" i="1" s="1"/>
  <c r="AP8" i="1"/>
  <c r="AQ8" i="1" s="1"/>
  <c r="AP125" i="1"/>
  <c r="AQ125" i="1" s="1"/>
  <c r="AP174" i="1"/>
  <c r="AQ174" i="1" s="1"/>
  <c r="AP213" i="1"/>
  <c r="AQ213" i="1" s="1"/>
  <c r="AP13" i="1"/>
  <c r="AQ13" i="1" s="1"/>
  <c r="AP130" i="1"/>
  <c r="AQ130" i="1" s="1"/>
  <c r="AP57" i="1"/>
  <c r="AQ57" i="1" s="1"/>
  <c r="AP201" i="1"/>
  <c r="AQ201" i="1" s="1"/>
  <c r="AP17" i="1"/>
  <c r="AQ17" i="1" s="1"/>
  <c r="AP134" i="1"/>
  <c r="AQ134" i="1" s="1"/>
  <c r="AP90" i="1"/>
  <c r="AQ90" i="1" s="1"/>
  <c r="AP109" i="1"/>
  <c r="AQ109" i="1" s="1"/>
  <c r="AP22" i="1"/>
  <c r="AQ22" i="1" s="1"/>
  <c r="AP139" i="1"/>
  <c r="AQ139" i="1" s="1"/>
  <c r="AP106" i="1"/>
  <c r="AQ106" i="1" s="1"/>
  <c r="AP26" i="1"/>
  <c r="AQ26" i="1" s="1"/>
  <c r="AP142" i="1"/>
  <c r="AQ142" i="1" s="1"/>
  <c r="AP197" i="1"/>
  <c r="AQ197" i="1" s="1"/>
  <c r="AP99" i="1"/>
  <c r="AQ99" i="1" s="1"/>
  <c r="AP30" i="1"/>
  <c r="AQ30" i="1" s="1"/>
  <c r="AP148" i="1"/>
  <c r="AQ148" i="1" s="1"/>
  <c r="AP182" i="1"/>
  <c r="AQ182" i="1" s="1"/>
  <c r="AP218" i="1"/>
  <c r="AQ218" i="1" s="1"/>
  <c r="AP34" i="1"/>
  <c r="AQ34" i="1" s="1"/>
  <c r="AP152" i="1"/>
  <c r="AQ152" i="1" s="1"/>
  <c r="AP194" i="1"/>
  <c r="AQ194" i="1" s="1"/>
  <c r="AP227" i="1"/>
  <c r="AQ227" i="1" s="1"/>
  <c r="AP39" i="1"/>
  <c r="AQ39" i="1" s="1"/>
  <c r="AP157" i="1"/>
  <c r="AQ157" i="1" s="1"/>
  <c r="AP64" i="1"/>
  <c r="AQ64" i="1" s="1"/>
  <c r="AP85" i="1"/>
  <c r="AQ85" i="1" s="1"/>
  <c r="AP221" i="1"/>
  <c r="AQ221" i="1" s="1"/>
  <c r="AP43" i="1"/>
  <c r="AQ43" i="1" s="1"/>
  <c r="AP161" i="1"/>
  <c r="AQ161" i="1" s="1"/>
  <c r="AP179" i="1"/>
  <c r="AQ179" i="1" s="1"/>
  <c r="AP94" i="1"/>
  <c r="AQ94" i="1" s="1"/>
  <c r="AP48" i="1"/>
  <c r="AQ48" i="1" s="1"/>
  <c r="AP167" i="1"/>
  <c r="AQ167" i="1" s="1"/>
  <c r="AP52" i="1"/>
  <c r="AQ52" i="1" s="1"/>
  <c r="AP170" i="1"/>
  <c r="AQ170" i="1" s="1"/>
  <c r="AP60" i="1"/>
  <c r="AQ60" i="1" s="1"/>
  <c r="AP81" i="1"/>
  <c r="AQ81" i="1" s="1"/>
  <c r="AP102" i="1"/>
  <c r="AQ102" i="1" s="1"/>
  <c r="AP118" i="1"/>
  <c r="AQ118" i="1" s="1"/>
  <c r="AP68" i="1"/>
  <c r="AQ68" i="1" s="1"/>
  <c r="AP186" i="1"/>
  <c r="AQ186" i="1" s="1"/>
  <c r="AP73" i="1"/>
  <c r="AQ73" i="1" s="1"/>
  <c r="AP189" i="1"/>
  <c r="AQ189" i="1" s="1"/>
  <c r="AP209" i="1"/>
  <c r="AQ209" i="1" s="1"/>
  <c r="AP230" i="1"/>
  <c r="AQ230" i="1" s="1"/>
  <c r="Y4" i="3" l="1"/>
  <c r="Z4" i="3" s="1"/>
  <c r="T25" i="2"/>
  <c r="U25" i="2" s="1"/>
  <c r="T19" i="2"/>
  <c r="U19" i="2" s="1"/>
  <c r="T9" i="2"/>
  <c r="U9" i="2" s="1"/>
  <c r="T7" i="2"/>
  <c r="U7" i="2" s="1"/>
  <c r="T26" i="2"/>
  <c r="U26" i="2" s="1"/>
  <c r="X8" i="4"/>
  <c r="Y8" i="4" s="1"/>
  <c r="X4" i="4"/>
  <c r="Y4" i="4" s="1"/>
  <c r="P31" i="5"/>
  <c r="Q31" i="5" s="1"/>
  <c r="P48" i="5"/>
  <c r="Q48" i="5" s="1"/>
  <c r="P25" i="5"/>
  <c r="Q25" i="5" s="1"/>
  <c r="P42" i="5"/>
  <c r="Q42" i="5" s="1"/>
  <c r="Y21" i="3"/>
  <c r="Z21" i="3" s="1"/>
  <c r="T8" i="2"/>
  <c r="U8" i="2" s="1"/>
  <c r="X2" i="4"/>
  <c r="Y2" i="4" s="1"/>
  <c r="T29" i="2"/>
  <c r="U29" i="2" s="1"/>
  <c r="V14" i="6"/>
  <c r="W14" i="6" s="1"/>
  <c r="Y9" i="3"/>
  <c r="Z9" i="3" s="1"/>
  <c r="V12" i="6"/>
  <c r="W12" i="6" s="1"/>
  <c r="T12" i="2" l="1"/>
  <c r="U12" i="2" s="1"/>
  <c r="Y16" i="3"/>
  <c r="Z16" i="3" s="1"/>
  <c r="V11" i="6"/>
  <c r="W11" i="6" s="1"/>
  <c r="V15" i="6"/>
  <c r="W15" i="6" s="1"/>
  <c r="V3" i="6"/>
  <c r="W3" i="6" s="1"/>
  <c r="Y6" i="3"/>
  <c r="Z6" i="3" s="1"/>
  <c r="Y5" i="3"/>
  <c r="Z5" i="3" s="1"/>
  <c r="P2" i="5"/>
  <c r="Q2" i="5" s="1"/>
  <c r="P54" i="5"/>
  <c r="Q54" i="5" s="1"/>
  <c r="X10" i="4"/>
  <c r="Y10" i="4" s="1"/>
  <c r="X9" i="4"/>
  <c r="Y9" i="4" s="1"/>
  <c r="T3" i="2"/>
  <c r="U3" i="2" s="1"/>
  <c r="W19" i="6"/>
  <c r="X3" i="4"/>
  <c r="Y3" i="4" s="1"/>
  <c r="T4" i="2"/>
  <c r="U4" i="2" s="1"/>
  <c r="P18" i="5"/>
  <c r="Q18" i="5" s="1"/>
  <c r="X7" i="4"/>
  <c r="Y7" i="4" s="1"/>
  <c r="T28" i="2"/>
  <c r="U28" i="2" s="1"/>
  <c r="W22" i="6"/>
  <c r="Y14" i="3"/>
  <c r="Z14" i="3" s="1"/>
  <c r="Y20" i="3"/>
  <c r="Z20" i="3" s="1"/>
  <c r="T2" i="2"/>
  <c r="U2" i="2" s="1"/>
  <c r="T17" i="2"/>
  <c r="U17" i="2" s="1"/>
  <c r="T14" i="2"/>
  <c r="U14" i="2" s="1"/>
  <c r="Y7" i="3"/>
  <c r="Z7" i="3" s="1"/>
  <c r="T6" i="2"/>
  <c r="U6" i="2" s="1"/>
  <c r="T18" i="2"/>
  <c r="U18" i="2" s="1"/>
  <c r="T16" i="2"/>
  <c r="U16" i="2" s="1"/>
  <c r="Y11" i="3"/>
  <c r="Z11" i="3" s="1"/>
  <c r="P10" i="5"/>
  <c r="Q10" i="5" s="1"/>
  <c r="W20" i="6"/>
  <c r="T13" i="2"/>
  <c r="U13" i="2" s="1"/>
  <c r="T5" i="2"/>
  <c r="U5" i="2" s="1"/>
  <c r="Y22" i="3"/>
  <c r="Z22" i="3" s="1"/>
  <c r="AP126" i="1"/>
  <c r="AQ126" i="1" s="1"/>
  <c r="Y12" i="3"/>
  <c r="Z12" i="3" s="1"/>
  <c r="V13" i="6"/>
  <c r="W13" i="6" s="1"/>
  <c r="T20" i="2"/>
  <c r="U20" i="2" s="1"/>
  <c r="Y19" i="3"/>
  <c r="Z19" i="3" s="1"/>
  <c r="Y24" i="3"/>
  <c r="Z24" i="3" s="1"/>
  <c r="V10" i="6"/>
  <c r="W10" i="6" s="1"/>
  <c r="V16" i="6"/>
  <c r="W16" i="6" s="1"/>
  <c r="Y26" i="3"/>
  <c r="Z26" i="3" s="1"/>
  <c r="Y10" i="3" l="1"/>
  <c r="Z10" i="3" s="1"/>
  <c r="T24" i="2"/>
  <c r="U24" i="2" s="1"/>
  <c r="T15" i="2"/>
  <c r="U15" i="2" s="1"/>
  <c r="Y23" i="3"/>
  <c r="Z23" i="3" s="1"/>
  <c r="Y18" i="3"/>
  <c r="Z18" i="3" s="1"/>
  <c r="V6" i="6"/>
  <c r="W6" i="6" s="1"/>
  <c r="W21" i="6"/>
  <c r="W23" i="6"/>
  <c r="V7" i="6"/>
  <c r="W7" i="6" s="1"/>
  <c r="T21" i="2"/>
  <c r="U21" i="2" s="1"/>
  <c r="Y17" i="3"/>
  <c r="Z17" i="3" s="1"/>
  <c r="T27" i="2"/>
  <c r="U27" i="2" s="1"/>
  <c r="W18" i="6"/>
  <c r="Y15" i="3"/>
  <c r="Z15" i="3" s="1"/>
  <c r="T10" i="2"/>
  <c r="U10" i="2" s="1"/>
  <c r="T23" i="2"/>
  <c r="U23" i="2" s="1"/>
  <c r="T11" i="2"/>
  <c r="U11" i="2" s="1"/>
  <c r="Y8" i="3"/>
  <c r="Z8" i="3" s="1"/>
  <c r="X6" i="4"/>
  <c r="Y6" i="4" s="1"/>
  <c r="V2" i="6"/>
  <c r="W2" i="6" s="1"/>
  <c r="X5" i="4"/>
  <c r="Y5" i="4" s="1"/>
  <c r="Y13" i="3"/>
  <c r="Z13" i="3" s="1"/>
  <c r="T22" i="2"/>
  <c r="U22" i="2" s="1"/>
  <c r="X11" i="4"/>
  <c r="Y11" i="4" s="1"/>
  <c r="P37" i="5"/>
  <c r="Q37" i="5" s="1"/>
  <c r="Y25" i="3"/>
  <c r="Z25" i="3" s="1"/>
  <c r="Y3" i="3"/>
  <c r="Z3" i="3" s="1"/>
  <c r="Y2" i="3"/>
  <c r="Z2" i="3" s="1"/>
  <c r="AP18" i="1" l="1"/>
  <c r="AQ18" i="1" s="1"/>
  <c r="AP59" i="1" l="1"/>
  <c r="AQ59" i="1" s="1"/>
  <c r="AP153" i="1"/>
  <c r="AQ153" i="1" s="1"/>
  <c r="AP185" i="1"/>
  <c r="AQ185" i="1" s="1"/>
  <c r="AP88" i="1"/>
  <c r="AQ88" i="1" s="1"/>
  <c r="AP25" i="1"/>
  <c r="AQ25" i="1" s="1"/>
  <c r="AP71" i="1"/>
  <c r="AQ71" i="1" s="1"/>
  <c r="AP231" i="1"/>
  <c r="AQ231" i="1" s="1"/>
  <c r="AP86" i="1"/>
  <c r="AQ86" i="1" s="1"/>
  <c r="AP20" i="1"/>
  <c r="AQ20" i="1" s="1"/>
  <c r="AP38" i="1"/>
  <c r="AQ38" i="1" s="1"/>
  <c r="AP205" i="1"/>
  <c r="AQ205" i="1" s="1"/>
  <c r="AP183" i="1"/>
  <c r="AQ183" i="1" s="1"/>
  <c r="AP220" i="1"/>
  <c r="AQ220" i="1" s="1"/>
  <c r="AP95" i="1"/>
  <c r="AQ95" i="1" s="1"/>
  <c r="AP216" i="1"/>
  <c r="AQ216" i="1" s="1"/>
  <c r="AP11" i="9"/>
  <c r="AQ11" i="9" s="1"/>
  <c r="AP154" i="1"/>
  <c r="AQ154" i="1" s="1"/>
  <c r="AP119" i="1"/>
  <c r="AQ119" i="1" s="1"/>
  <c r="AP97" i="1"/>
  <c r="AQ97" i="1" s="1"/>
  <c r="AP3" i="9"/>
  <c r="AQ3" i="9" s="1"/>
  <c r="AP163" i="1"/>
  <c r="AQ163" i="1" s="1"/>
  <c r="AP223" i="1"/>
  <c r="AQ223" i="1" s="1"/>
  <c r="AP24" i="1"/>
  <c r="AQ24" i="1" s="1"/>
  <c r="AP229" i="1"/>
  <c r="AQ229" i="1" s="1"/>
  <c r="AP63" i="1"/>
  <c r="AQ63" i="1" s="1"/>
  <c r="AP78" i="1"/>
  <c r="AQ78" i="1" s="1"/>
  <c r="AP41" i="1"/>
  <c r="AQ41" i="1" s="1"/>
  <c r="AP214" i="1"/>
  <c r="AQ214" i="1" s="1"/>
  <c r="AP27" i="1"/>
  <c r="AQ27" i="1" s="1"/>
  <c r="AP192" i="1" l="1"/>
  <c r="AQ192" i="1" s="1"/>
  <c r="AP35" i="1"/>
  <c r="AQ35" i="1" s="1"/>
  <c r="AP141" i="1"/>
  <c r="AQ141" i="1" s="1"/>
  <c r="AP190" i="1"/>
  <c r="AQ190" i="1" s="1"/>
  <c r="AP69" i="1"/>
  <c r="AQ69" i="1" s="1"/>
  <c r="AP208" i="1"/>
  <c r="AQ208" i="1" s="1"/>
  <c r="AP44" i="1"/>
  <c r="AQ44" i="1" s="1"/>
  <c r="AP61" i="1"/>
  <c r="AQ61" i="1" s="1"/>
  <c r="AP166" i="1"/>
  <c r="AQ166" i="1" s="1"/>
  <c r="AP8" i="9"/>
  <c r="AQ8" i="9" s="1"/>
  <c r="AP17" i="9"/>
  <c r="AQ17" i="9" s="1"/>
  <c r="AP127" i="1"/>
  <c r="AQ127" i="1" s="1"/>
  <c r="AP175" i="1"/>
  <c r="AQ175" i="1" s="1"/>
  <c r="AP159" i="1"/>
  <c r="AQ159" i="1" s="1"/>
  <c r="AP13" i="9"/>
  <c r="AQ13" i="9" s="1"/>
  <c r="AP15" i="9"/>
  <c r="AQ15" i="9" s="1"/>
  <c r="AP171" i="1"/>
  <c r="AQ171" i="1" s="1"/>
  <c r="AP149" i="1"/>
  <c r="AQ149" i="1" s="1"/>
  <c r="AP120" i="1"/>
  <c r="AQ120" i="1" s="1"/>
  <c r="AP40" i="1"/>
  <c r="AQ40" i="1" s="1"/>
  <c r="AP232" i="1"/>
  <c r="AQ232" i="1" s="1"/>
  <c r="AP173" i="1"/>
  <c r="AQ173" i="1" s="1"/>
  <c r="AP5" i="9"/>
  <c r="AQ5" i="9" s="1"/>
  <c r="AP31" i="1"/>
  <c r="AQ31" i="1" s="1"/>
  <c r="AP108" i="1"/>
  <c r="AQ108" i="1" s="1"/>
  <c r="AP84" i="1"/>
  <c r="AQ84" i="1" s="1"/>
  <c r="AP133" i="1"/>
  <c r="AQ133" i="1" s="1"/>
  <c r="AP101" i="1"/>
  <c r="AQ101" i="1" s="1"/>
  <c r="AP212" i="1"/>
  <c r="AQ212" i="1" s="1"/>
  <c r="AP91" i="1"/>
  <c r="AQ91" i="1" s="1"/>
  <c r="AP54" i="1"/>
  <c r="AQ54" i="1" s="1"/>
  <c r="AP9" i="9"/>
  <c r="AQ9" i="9" s="1"/>
  <c r="AP33" i="1"/>
  <c r="AQ33" i="1" s="1"/>
  <c r="AP137" i="1"/>
  <c r="AQ137" i="1" s="1"/>
  <c r="AP217" i="1"/>
  <c r="AQ217" i="1" s="1"/>
  <c r="AP135" i="1"/>
  <c r="AQ135" i="1" s="1"/>
  <c r="AP188" i="1"/>
  <c r="AQ188" i="1" s="1"/>
  <c r="AP62" i="1"/>
  <c r="AQ62" i="1" s="1"/>
  <c r="AP82" i="1"/>
  <c r="AQ82" i="1" s="1"/>
  <c r="AP145" i="1"/>
  <c r="AQ145" i="1" s="1"/>
  <c r="AP169" i="1"/>
  <c r="AQ169" i="1" s="1"/>
  <c r="AP7" i="9"/>
  <c r="AQ7" i="9" s="1"/>
  <c r="AP202" i="1"/>
  <c r="AQ202" i="1" s="1"/>
  <c r="AP132" i="1"/>
  <c r="AQ132" i="1" s="1"/>
  <c r="AP15" i="1"/>
  <c r="AQ15" i="1" s="1"/>
  <c r="AP74" i="1"/>
  <c r="AQ74" i="1" s="1"/>
  <c r="AP198" i="1"/>
  <c r="AQ198" i="1" s="1"/>
  <c r="AP83" i="1"/>
  <c r="AQ83" i="1" s="1"/>
  <c r="AP14" i="1"/>
  <c r="AQ14" i="1" s="1"/>
  <c r="AP129" i="1"/>
  <c r="AQ129" i="1" s="1"/>
  <c r="AP228" i="1"/>
  <c r="AQ228" i="1" s="1"/>
  <c r="AP162" i="1"/>
  <c r="AQ162" i="1" s="1"/>
  <c r="AP136" i="1"/>
  <c r="AQ136" i="1" s="1"/>
  <c r="AP89" i="1"/>
  <c r="AQ89" i="1" s="1"/>
  <c r="AP92" i="1"/>
  <c r="AQ92" i="1" s="1"/>
  <c r="AP11" i="1"/>
  <c r="AQ11" i="1" s="1"/>
  <c r="AP155" i="1"/>
  <c r="AQ155" i="1" s="1"/>
  <c r="AP16" i="1"/>
  <c r="AQ16" i="1" s="1"/>
  <c r="AP107" i="1"/>
  <c r="AQ107" i="1" s="1"/>
  <c r="AP131" i="1"/>
  <c r="AQ131" i="1" s="1"/>
  <c r="AP79" i="1"/>
  <c r="AQ79" i="1" s="1"/>
  <c r="AP21" i="1"/>
  <c r="AQ21" i="1" s="1"/>
  <c r="AP150" i="1"/>
  <c r="AQ150" i="1" s="1"/>
  <c r="AP80" i="1"/>
  <c r="AQ80" i="1" s="1"/>
  <c r="AP203" i="1"/>
  <c r="AQ203" i="1" s="1"/>
  <c r="AP143" i="1"/>
  <c r="AQ143" i="1" s="1"/>
  <c r="AP110" i="1"/>
  <c r="AQ110" i="1" s="1"/>
  <c r="AP168" i="1"/>
  <c r="AQ168" i="1" s="1"/>
  <c r="AP207" i="1"/>
  <c r="AQ207" i="1" s="1"/>
  <c r="AP146" i="1"/>
  <c r="AQ146" i="1" s="1"/>
  <c r="AP28" i="1"/>
  <c r="AQ28" i="1" s="1"/>
  <c r="AP7" i="1"/>
  <c r="AQ7" i="1" s="1"/>
  <c r="AP103" i="1"/>
  <c r="AQ103" i="1" s="1"/>
  <c r="AP211" i="1"/>
  <c r="AQ211" i="1" s="1"/>
  <c r="AP156" i="1"/>
  <c r="AQ156" i="1" s="1"/>
  <c r="AP6" i="1"/>
  <c r="AQ6" i="1" s="1"/>
  <c r="AP55" i="1"/>
  <c r="AQ55" i="1" s="1"/>
  <c r="AP144" i="1"/>
  <c r="AQ144" i="1" s="1"/>
  <c r="AP72" i="1"/>
  <c r="AQ72" i="1" s="1"/>
  <c r="AP19" i="1"/>
  <c r="AQ19" i="1" s="1"/>
  <c r="AP123" i="1"/>
  <c r="AQ123" i="1" s="1"/>
  <c r="AP180" i="1"/>
  <c r="AQ180" i="1" s="1"/>
  <c r="AP12" i="1"/>
  <c r="AQ12" i="1" s="1"/>
  <c r="AP14" i="9"/>
  <c r="AQ14" i="9" s="1"/>
  <c r="AP181" i="1"/>
  <c r="AQ181" i="1" s="1"/>
  <c r="AP76" i="1"/>
  <c r="AQ76" i="1" s="1"/>
  <c r="AP50" i="1"/>
  <c r="AQ50" i="1" s="1"/>
  <c r="AP42" i="1"/>
  <c r="AQ42" i="1" s="1"/>
  <c r="AP172" i="1"/>
  <c r="AQ172" i="1" s="1"/>
  <c r="AP222" i="1"/>
  <c r="AQ222" i="1" s="1"/>
  <c r="AP70" i="1"/>
  <c r="AQ70" i="1" s="1"/>
  <c r="AP36" i="1"/>
  <c r="AQ36" i="1" s="1"/>
  <c r="AP117" i="1"/>
  <c r="AQ117" i="1" s="1"/>
  <c r="AP10" i="9"/>
  <c r="AQ10" i="9" s="1"/>
  <c r="AP113" i="1" l="1"/>
  <c r="AQ113" i="1" s="1"/>
  <c r="AP195" i="1"/>
  <c r="AQ195" i="1" s="1"/>
  <c r="AP32" i="1"/>
  <c r="AQ32" i="1" s="1"/>
  <c r="AP196" i="1"/>
  <c r="AQ196" i="1" s="1"/>
  <c r="AP158" i="1"/>
  <c r="AQ158" i="1" s="1"/>
  <c r="AP210" i="1"/>
  <c r="AQ210" i="1" s="1"/>
  <c r="AP3" i="1"/>
  <c r="AQ3" i="1" s="1"/>
  <c r="AP111" i="1"/>
  <c r="AQ111" i="1" s="1"/>
  <c r="AP184" i="1"/>
  <c r="AQ184" i="1" s="1"/>
  <c r="AP165" i="1"/>
  <c r="AQ165" i="1" s="1"/>
  <c r="AP2" i="1"/>
  <c r="AQ2" i="1" s="1"/>
  <c r="AP58" i="1"/>
  <c r="AQ58" i="1" s="1"/>
  <c r="AP219" i="1"/>
  <c r="AQ219" i="1" s="1"/>
  <c r="AP224" i="1"/>
  <c r="AQ224" i="1" s="1"/>
  <c r="AP53" i="1"/>
  <c r="AQ53" i="1" s="1"/>
  <c r="AP116" i="1"/>
  <c r="AQ116" i="1" s="1"/>
  <c r="AP51" i="1"/>
  <c r="AQ51" i="1" s="1"/>
  <c r="AP6" i="9"/>
  <c r="AQ6" i="9" s="1"/>
  <c r="AP164" i="1"/>
  <c r="AQ164" i="1" s="1"/>
  <c r="AP178" i="1"/>
  <c r="AQ178" i="1" s="1"/>
  <c r="AP138" i="1"/>
  <c r="AQ138" i="1" s="1"/>
  <c r="AP4" i="1"/>
  <c r="AQ4" i="1" s="1"/>
  <c r="AP87" i="1"/>
  <c r="AQ87" i="1" s="1"/>
  <c r="AP225" i="1"/>
  <c r="AQ225" i="1" s="1"/>
  <c r="AP112" i="1"/>
  <c r="AQ112" i="1" s="1"/>
  <c r="AP29" i="1"/>
  <c r="AQ29" i="1" s="1"/>
  <c r="AP9" i="1"/>
  <c r="AQ9" i="1" s="1"/>
  <c r="AP115" i="1"/>
  <c r="AQ115" i="1" s="1"/>
  <c r="AP121" i="1"/>
  <c r="AQ121" i="1" s="1"/>
  <c r="AP23" i="1"/>
  <c r="AQ23" i="1" s="1"/>
  <c r="AP147" i="1"/>
  <c r="AQ147" i="1" s="1"/>
  <c r="AP200" i="1"/>
  <c r="AQ200" i="1" s="1"/>
  <c r="AP12" i="9"/>
  <c r="AQ12" i="9" s="1"/>
  <c r="AP104" i="1"/>
  <c r="AQ104" i="1" s="1"/>
  <c r="AP100" i="1"/>
  <c r="AQ100" i="1" s="1"/>
  <c r="AP215" i="1"/>
  <c r="AQ215" i="1" s="1"/>
  <c r="AP187" i="1"/>
  <c r="AQ187" i="1" s="1"/>
  <c r="AP124" i="1"/>
  <c r="AQ124" i="1" s="1"/>
  <c r="AP226" i="1"/>
  <c r="AQ226" i="1" s="1"/>
  <c r="AP105" i="1"/>
  <c r="AQ105" i="1" s="1"/>
  <c r="AP98" i="1"/>
  <c r="AQ98" i="1" s="1"/>
  <c r="AP191" i="1"/>
  <c r="AQ191" i="1" s="1"/>
  <c r="AP2" i="9"/>
  <c r="AQ2" i="9" s="1"/>
  <c r="AP67" i="1"/>
  <c r="AQ67" i="1" s="1"/>
  <c r="AP160" i="1"/>
  <c r="AQ160" i="1" s="1"/>
  <c r="AP128" i="1"/>
  <c r="AQ128" i="1" s="1"/>
  <c r="AP56" i="1"/>
  <c r="AQ56" i="1" s="1"/>
  <c r="AP204" i="1"/>
  <c r="AQ204" i="1" s="1"/>
  <c r="AP140" i="1"/>
  <c r="AQ140" i="1" s="1"/>
  <c r="AP49" i="1"/>
  <c r="AQ49" i="1" s="1"/>
  <c r="AP151" i="1"/>
  <c r="AQ151" i="1" s="1"/>
  <c r="AP16" i="9"/>
  <c r="AQ16" i="9" s="1"/>
  <c r="AP199" i="1"/>
  <c r="AQ199" i="1" s="1"/>
  <c r="AP206" i="1"/>
  <c r="AQ206" i="1" s="1"/>
  <c r="AP177" i="1"/>
  <c r="AQ177" i="1" s="1"/>
  <c r="AP66" i="1"/>
  <c r="AQ66" i="1" s="1"/>
  <c r="AP96" i="1"/>
  <c r="AQ96" i="1" s="1"/>
  <c r="AP75" i="1"/>
  <c r="AQ75" i="1" s="1"/>
  <c r="AP176" i="1"/>
  <c r="AQ176" i="1" s="1"/>
  <c r="AP37" i="1"/>
  <c r="AQ37" i="1" s="1"/>
  <c r="AP93" i="1"/>
  <c r="AQ93" i="1" s="1"/>
  <c r="AP4" i="9"/>
  <c r="AQ4" i="9" s="1"/>
  <c r="AP10" i="1"/>
  <c r="AQ10" i="1" s="1"/>
  <c r="AP45" i="1"/>
  <c r="AQ45" i="1" s="1"/>
  <c r="AP47" i="1" l="1"/>
  <c r="AQ47" i="1" s="1"/>
  <c r="AP193" i="1"/>
  <c r="AQ193" i="1" s="1"/>
  <c r="AP65" i="1"/>
  <c r="AQ65" i="1" s="1"/>
  <c r="AP46" i="1"/>
  <c r="AQ4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AB1" authorId="0" shapeId="0" xr:uid="{00000000-0006-0000-0000-000001000000}">
      <text>
        <r>
          <rPr>
            <b/>
            <sz val="9"/>
            <rFont val="宋体"/>
            <family val="3"/>
            <charset val="134"/>
          </rPr>
          <t>ASUS:</t>
        </r>
        <r>
          <rPr>
            <sz val="9"/>
            <rFont val="宋体"/>
            <family val="3"/>
            <charset val="134"/>
          </rPr>
          <t xml:space="preserve">
未发的嘉宾奖励</t>
        </r>
      </text>
    </comment>
    <comment ref="AC1" authorId="0" shapeId="0" xr:uid="{00000000-0006-0000-0000-000002000000}">
      <text>
        <r>
          <rPr>
            <b/>
            <sz val="9"/>
            <rFont val="宋体"/>
            <family val="3"/>
            <charset val="134"/>
          </rPr>
          <t>ASUS:</t>
        </r>
        <r>
          <rPr>
            <sz val="9"/>
            <rFont val="宋体"/>
            <family val="3"/>
            <charset val="134"/>
          </rPr>
          <t xml:space="preserve">
扣除员工大会奖励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ASUS</author>
  </authors>
  <commentList>
    <comment ref="AC1" authorId="0" shapeId="0" xr:uid="{00000000-0006-0000-0100-000001000000}">
      <text>
        <r>
          <rPr>
            <b/>
            <sz val="9"/>
            <rFont val="宋体"/>
            <family val="3"/>
            <charset val="134"/>
          </rPr>
          <t>ASUS:</t>
        </r>
        <r>
          <rPr>
            <sz val="9"/>
            <rFont val="宋体"/>
            <family val="3"/>
            <charset val="134"/>
          </rPr>
          <t xml:space="preserve">
未发的嘉宾奖励</t>
        </r>
      </text>
    </comment>
    <comment ref="AD1" authorId="0" shapeId="0" xr:uid="{00000000-0006-0000-0100-000002000000}">
      <text>
        <r>
          <rPr>
            <b/>
            <sz val="9"/>
            <rFont val="宋体"/>
            <family val="3"/>
            <charset val="134"/>
          </rPr>
          <t>ASUS:</t>
        </r>
        <r>
          <rPr>
            <sz val="9"/>
            <rFont val="宋体"/>
            <family val="3"/>
            <charset val="134"/>
          </rPr>
          <t xml:space="preserve">
扣除员工大会奖励</t>
        </r>
      </text>
    </comment>
  </commentList>
</comments>
</file>

<file path=xl/sharedStrings.xml><?xml version="1.0" encoding="utf-8"?>
<sst xmlns="http://schemas.openxmlformats.org/spreadsheetml/2006/main" count="1875" uniqueCount="512">
  <si>
    <t>月份</t>
  </si>
  <si>
    <t>门店</t>
  </si>
  <si>
    <t>金三角</t>
  </si>
  <si>
    <t>职位</t>
  </si>
  <si>
    <t>健康师</t>
  </si>
  <si>
    <t>业绩</t>
  </si>
  <si>
    <t>基础业绩</t>
  </si>
  <si>
    <t>合作业绩</t>
  </si>
  <si>
    <t>奖励业绩</t>
  </si>
  <si>
    <t>门店T区</t>
  </si>
  <si>
    <t>队伍业绩</t>
  </si>
  <si>
    <t>占比</t>
  </si>
  <si>
    <t>提点</t>
  </si>
  <si>
    <t>基础业绩
提成</t>
  </si>
  <si>
    <t>合作业绩
提成</t>
  </si>
  <si>
    <t>顾问提成</t>
  </si>
  <si>
    <t>门店T区
提成</t>
  </si>
  <si>
    <t>提成合计</t>
  </si>
  <si>
    <t>在店天数</t>
  </si>
  <si>
    <t>底薪</t>
  </si>
  <si>
    <t>消耗</t>
  </si>
  <si>
    <t>项目数</t>
  </si>
  <si>
    <t>手工</t>
  </si>
  <si>
    <t>少休</t>
  </si>
  <si>
    <t>全勤</t>
  </si>
  <si>
    <t>培训/交通补贴</t>
  </si>
  <si>
    <t>应发工资</t>
  </si>
  <si>
    <t>奖金</t>
  </si>
  <si>
    <t>扣除奖励</t>
  </si>
  <si>
    <t>扣住宿</t>
  </si>
  <si>
    <t>扣社保</t>
  </si>
  <si>
    <t>扣工作服</t>
  </si>
  <si>
    <t>迟到</t>
  </si>
  <si>
    <t>请假（天）</t>
  </si>
  <si>
    <t>缺卡</t>
  </si>
  <si>
    <t>扣学习期</t>
  </si>
  <si>
    <t>押金</t>
  </si>
  <si>
    <t>保底补差</t>
  </si>
  <si>
    <t>实发工资</t>
  </si>
  <si>
    <t>保底</t>
  </si>
  <si>
    <t>备注</t>
  </si>
  <si>
    <t>7月</t>
  </si>
  <si>
    <t>精英队</t>
  </si>
  <si>
    <t>顾问</t>
  </si>
  <si>
    <t>刘恬恬</t>
  </si>
  <si>
    <t>李燕</t>
  </si>
  <si>
    <t>陈萍</t>
  </si>
  <si>
    <t>T区</t>
  </si>
  <si>
    <t>冲锋队</t>
  </si>
  <si>
    <t>陈小琴</t>
  </si>
  <si>
    <t>苟小春</t>
  </si>
  <si>
    <t>468+门店T区</t>
  </si>
  <si>
    <t>华润</t>
  </si>
  <si>
    <t>战狼队</t>
  </si>
  <si>
    <t>王瑞琳</t>
  </si>
  <si>
    <t>雷朝霞</t>
  </si>
  <si>
    <t>赵玉晓</t>
  </si>
  <si>
    <t>飞跃队</t>
  </si>
  <si>
    <t>黄小燕</t>
  </si>
  <si>
    <t>王如意</t>
  </si>
  <si>
    <t>陈雪莲</t>
  </si>
  <si>
    <t>6月应发778</t>
  </si>
  <si>
    <t>华润+门店T区</t>
  </si>
  <si>
    <t>静居寺</t>
  </si>
  <si>
    <t>战神队</t>
  </si>
  <si>
    <t>张丽</t>
  </si>
  <si>
    <t>王娇</t>
  </si>
  <si>
    <t>陈建蓉</t>
  </si>
  <si>
    <t>亮剑队</t>
  </si>
  <si>
    <t>董顺秀</t>
  </si>
  <si>
    <t>杨金花</t>
  </si>
  <si>
    <t>黎茂婷</t>
  </si>
  <si>
    <t>静居寺+门店T区</t>
  </si>
  <si>
    <t>红光</t>
  </si>
  <si>
    <t>逐梦队</t>
  </si>
  <si>
    <t>马丽亚</t>
  </si>
  <si>
    <t>阿衣尔扎</t>
  </si>
  <si>
    <t>飞鹰队</t>
  </si>
  <si>
    <t>包竹梅</t>
  </si>
  <si>
    <t>蒙亦锌</t>
  </si>
  <si>
    <t>刘梦蓝</t>
  </si>
  <si>
    <t>红光+门店T区</t>
  </si>
  <si>
    <t>犀浦</t>
  </si>
  <si>
    <t>战胜队</t>
  </si>
  <si>
    <t>欧迎春</t>
  </si>
  <si>
    <t>泽仁拉姆</t>
  </si>
  <si>
    <t>舒阳</t>
  </si>
  <si>
    <t>旗胜队</t>
  </si>
  <si>
    <t>刘婵琴</t>
  </si>
  <si>
    <t>张霞</t>
  </si>
  <si>
    <t>谭芙蓉</t>
  </si>
  <si>
    <t>犀浦+门店T区</t>
  </si>
  <si>
    <t>优品道</t>
  </si>
  <si>
    <t>梦想队</t>
  </si>
  <si>
    <t>李维</t>
  </si>
  <si>
    <t>邓笑</t>
  </si>
  <si>
    <t>刘丽华</t>
  </si>
  <si>
    <t>出奇队</t>
  </si>
  <si>
    <t>贾琳</t>
  </si>
  <si>
    <t>彭鑫</t>
  </si>
  <si>
    <t>王智慧</t>
  </si>
  <si>
    <t>优品道+门店T区</t>
  </si>
  <si>
    <t>大源</t>
  </si>
  <si>
    <t>陈世琳</t>
  </si>
  <si>
    <t>李燕1</t>
  </si>
  <si>
    <t>陈珊珊</t>
  </si>
  <si>
    <t>6月应发540</t>
  </si>
  <si>
    <t>野狼队</t>
  </si>
  <si>
    <t>钟秦</t>
  </si>
  <si>
    <t>周林</t>
  </si>
  <si>
    <t>大源+门店T区</t>
  </si>
  <si>
    <t>保利</t>
  </si>
  <si>
    <t>霸天虎啸队</t>
  </si>
  <si>
    <t>黄江</t>
  </si>
  <si>
    <t>陈琼</t>
  </si>
  <si>
    <t>爆棚队</t>
  </si>
  <si>
    <t>谭言希</t>
  </si>
  <si>
    <t>米琪</t>
  </si>
  <si>
    <t>尚杨</t>
  </si>
  <si>
    <t>6月应发190</t>
  </si>
  <si>
    <t>保利+门店T区</t>
  </si>
  <si>
    <t>骑士郡</t>
  </si>
  <si>
    <t>天宇霸主队</t>
  </si>
  <si>
    <t>刘裕琼</t>
  </si>
  <si>
    <t>龙巧云</t>
  </si>
  <si>
    <t>李凤</t>
  </si>
  <si>
    <t>雄霸天下队</t>
  </si>
  <si>
    <t>唐玉芳</t>
  </si>
  <si>
    <t>唐施语</t>
  </si>
  <si>
    <t>谭福英</t>
  </si>
  <si>
    <t>骑士郡+门店T区</t>
  </si>
  <si>
    <t>荣华南路</t>
  </si>
  <si>
    <t>销冠队</t>
  </si>
  <si>
    <t>郑加焕</t>
  </si>
  <si>
    <t>侯英</t>
  </si>
  <si>
    <t>赢销队</t>
  </si>
  <si>
    <t>马宏梅</t>
  </si>
  <si>
    <t>陈洁</t>
  </si>
  <si>
    <t>谢德芳</t>
  </si>
  <si>
    <t>荣华南路+门店T区</t>
  </si>
  <si>
    <t>融创</t>
  </si>
  <si>
    <t>胜羽队</t>
  </si>
  <si>
    <t>李思忆</t>
  </si>
  <si>
    <t>赵情情</t>
  </si>
  <si>
    <t>吴飞雁</t>
  </si>
  <si>
    <t>太阳队</t>
  </si>
  <si>
    <t>梁缘缘</t>
  </si>
  <si>
    <t>曹悦</t>
  </si>
  <si>
    <t>尹桂香</t>
  </si>
  <si>
    <t>融创+门店T区</t>
  </si>
  <si>
    <t>沙河</t>
  </si>
  <si>
    <t>奇迹队</t>
  </si>
  <si>
    <t>张芮</t>
  </si>
  <si>
    <t>叶文娟</t>
  </si>
  <si>
    <t>唐容</t>
  </si>
  <si>
    <t>王依蕊</t>
  </si>
  <si>
    <t>张元琼</t>
  </si>
  <si>
    <t>沙河+门店T区</t>
  </si>
  <si>
    <t>涌泉</t>
  </si>
  <si>
    <t>冲刺队</t>
  </si>
  <si>
    <t>袁玉</t>
  </si>
  <si>
    <t>郑丹</t>
  </si>
  <si>
    <t>进钱队</t>
  </si>
  <si>
    <t>赵晴亮</t>
  </si>
  <si>
    <t>胡钦秀</t>
  </si>
  <si>
    <t>单人</t>
  </si>
  <si>
    <t>曾怡</t>
  </si>
  <si>
    <t>涌泉+门店T区</t>
  </si>
  <si>
    <t>中和</t>
  </si>
  <si>
    <t>无敌队</t>
  </si>
  <si>
    <t>唐尹</t>
  </si>
  <si>
    <t>余姣姣</t>
  </si>
  <si>
    <t>冠军队</t>
  </si>
  <si>
    <t>李红梅</t>
  </si>
  <si>
    <t>龚艳</t>
  </si>
  <si>
    <t>叶朝春</t>
  </si>
  <si>
    <t>中和+门店T区</t>
  </si>
  <si>
    <t>光华</t>
  </si>
  <si>
    <t>天翊队</t>
  </si>
  <si>
    <t>康钦</t>
  </si>
  <si>
    <t>达哇卓玛</t>
  </si>
  <si>
    <t>猛力队</t>
  </si>
  <si>
    <t>聂娟</t>
  </si>
  <si>
    <t>马菁</t>
  </si>
  <si>
    <t>曹煦菡</t>
  </si>
  <si>
    <t>光华+门店T区</t>
  </si>
  <si>
    <t>龙湖</t>
  </si>
  <si>
    <t>必胜队</t>
  </si>
  <si>
    <t>张候敏</t>
  </si>
  <si>
    <t>何婷</t>
  </si>
  <si>
    <t>突破队</t>
  </si>
  <si>
    <t>刘慧</t>
  </si>
  <si>
    <t>邓雪梅</t>
  </si>
  <si>
    <t>高雪</t>
  </si>
  <si>
    <t>陈春秀</t>
  </si>
  <si>
    <t>龙湖+门店T区</t>
  </si>
  <si>
    <t>鹭岛</t>
  </si>
  <si>
    <t>郭小丽</t>
  </si>
  <si>
    <t>雷娜婷</t>
  </si>
  <si>
    <t>出单队</t>
  </si>
  <si>
    <t>顾红艳</t>
  </si>
  <si>
    <t>梁婷</t>
  </si>
  <si>
    <t>安家晴</t>
  </si>
  <si>
    <t>叶美霞</t>
  </si>
  <si>
    <t>鹭岛+门店T区</t>
  </si>
  <si>
    <t>南湖</t>
  </si>
  <si>
    <t>招财队</t>
  </si>
  <si>
    <t>刘九招</t>
  </si>
  <si>
    <t>李彩华</t>
  </si>
  <si>
    <t>进宝队</t>
  </si>
  <si>
    <t>廖妍</t>
  </si>
  <si>
    <t>朱羽</t>
  </si>
  <si>
    <t>高琴</t>
  </si>
  <si>
    <t>达卓措</t>
  </si>
  <si>
    <t>南湖+门店T区</t>
  </si>
  <si>
    <t>荣华北路</t>
  </si>
  <si>
    <t>王萍</t>
  </si>
  <si>
    <t>郝莉娜</t>
  </si>
  <si>
    <t>谢娟</t>
  </si>
  <si>
    <t>胡红琳</t>
  </si>
  <si>
    <t>陈美合</t>
  </si>
  <si>
    <t>路平</t>
  </si>
  <si>
    <t>荣华北路+门店T区</t>
  </si>
  <si>
    <t>紫荆</t>
  </si>
  <si>
    <t>雄鹰队</t>
  </si>
  <si>
    <t>康红梅</t>
  </si>
  <si>
    <t>唐银春</t>
  </si>
  <si>
    <t>陈红霞</t>
  </si>
  <si>
    <t>团结队</t>
  </si>
  <si>
    <t>刘巧艳</t>
  </si>
  <si>
    <t>刘晓丽</t>
  </si>
  <si>
    <t>熊艳</t>
  </si>
  <si>
    <t>任静</t>
  </si>
  <si>
    <t>廖增珍</t>
  </si>
  <si>
    <t>紫荆+门店T区</t>
  </si>
  <si>
    <t>双流</t>
  </si>
  <si>
    <t>超越队</t>
  </si>
  <si>
    <t>冉芳霞</t>
  </si>
  <si>
    <t>谭萍</t>
  </si>
  <si>
    <t>罗湘湘</t>
  </si>
  <si>
    <t>星耀队</t>
  </si>
  <si>
    <t>郝中南</t>
  </si>
  <si>
    <t>彭措志玛</t>
  </si>
  <si>
    <t>双流+门店T区</t>
  </si>
  <si>
    <t>亚洲湾</t>
  </si>
  <si>
    <t>钱进队</t>
  </si>
  <si>
    <t>刘霞</t>
  </si>
  <si>
    <t>陈定坤</t>
  </si>
  <si>
    <t>龙腾队</t>
  </si>
  <si>
    <t>李科</t>
  </si>
  <si>
    <t>付薪燕</t>
  </si>
  <si>
    <t>亚洲湾+门店T区</t>
  </si>
  <si>
    <t>川师</t>
  </si>
  <si>
    <t>虎啸龙吟队</t>
  </si>
  <si>
    <t>李巧娇</t>
  </si>
  <si>
    <t>李萌</t>
  </si>
  <si>
    <t>柳全菊</t>
  </si>
  <si>
    <t>卧虎藏龙队</t>
  </si>
  <si>
    <t>罗雪</t>
  </si>
  <si>
    <t>唐宇欣</t>
  </si>
  <si>
    <t>川师+门店T区</t>
  </si>
  <si>
    <t>明信</t>
  </si>
  <si>
    <t>冷忠翠</t>
  </si>
  <si>
    <t>舒许芳</t>
  </si>
  <si>
    <t>王红</t>
  </si>
  <si>
    <t>贺金云</t>
  </si>
  <si>
    <t>谢翠华</t>
  </si>
  <si>
    <t>郑晓芳</t>
  </si>
  <si>
    <t>明信+门店T区</t>
  </si>
  <si>
    <t>千禧</t>
  </si>
  <si>
    <t>深藏不露队</t>
  </si>
  <si>
    <t>张廷妍</t>
  </si>
  <si>
    <t>王显珍</t>
  </si>
  <si>
    <t>杜兰兰</t>
  </si>
  <si>
    <t>马冬梅</t>
  </si>
  <si>
    <t>彭莉群</t>
  </si>
  <si>
    <t>千禧+门店T区</t>
  </si>
  <si>
    <t>大丰</t>
  </si>
  <si>
    <t>孙红梅</t>
  </si>
  <si>
    <t>蒲艳婷</t>
  </si>
  <si>
    <t>杨艳</t>
  </si>
  <si>
    <t>黎红花</t>
  </si>
  <si>
    <t>刘帆</t>
  </si>
  <si>
    <t>袁晓梅</t>
  </si>
  <si>
    <t>大丰+门店T区</t>
  </si>
  <si>
    <t>凤凰山</t>
  </si>
  <si>
    <t>徐文平</t>
  </si>
  <si>
    <t>周文慧</t>
  </si>
  <si>
    <t>郑美函</t>
  </si>
  <si>
    <t>凤羽队</t>
  </si>
  <si>
    <t>喻容</t>
  </si>
  <si>
    <t>张白金</t>
  </si>
  <si>
    <t>张欣</t>
  </si>
  <si>
    <t>凤凰山+门店T区</t>
  </si>
  <si>
    <t>新客业绩</t>
  </si>
  <si>
    <t>新客成交率</t>
  </si>
  <si>
    <t>新客提点</t>
  </si>
  <si>
    <t>新客业绩提成</t>
  </si>
  <si>
    <t>门店T区提成</t>
  </si>
  <si>
    <t>迟到
请假</t>
  </si>
  <si>
    <t>扣除学习</t>
  </si>
  <si>
    <t>龙城国际</t>
  </si>
  <si>
    <t>王维</t>
  </si>
  <si>
    <t>钟心悦</t>
  </si>
  <si>
    <t>李洪芳</t>
  </si>
  <si>
    <t>谢金梅</t>
  </si>
  <si>
    <t>罗文文</t>
  </si>
  <si>
    <t>邹奇圻</t>
  </si>
  <si>
    <t>川音</t>
  </si>
  <si>
    <t>殷小燕</t>
  </si>
  <si>
    <t>王能琴</t>
  </si>
  <si>
    <t>贺丽</t>
  </si>
  <si>
    <t>邹孟君</t>
  </si>
  <si>
    <t>朱成芳</t>
  </si>
  <si>
    <t>拿保底扣160奖励，按照正常核算</t>
  </si>
  <si>
    <t>翁玲</t>
  </si>
  <si>
    <t>彭羽佳</t>
  </si>
  <si>
    <t>李海瑛</t>
  </si>
  <si>
    <t xml:space="preserve">     </t>
  </si>
  <si>
    <t>姓名</t>
  </si>
  <si>
    <t>提成</t>
  </si>
  <si>
    <t>到店人头</t>
  </si>
  <si>
    <t>人头
奖励</t>
  </si>
  <si>
    <t>手机
管理</t>
  </si>
  <si>
    <t>社保</t>
  </si>
  <si>
    <t>补贴</t>
  </si>
  <si>
    <t>工作服</t>
  </si>
  <si>
    <t>手机押金</t>
  </si>
  <si>
    <t>江玲</t>
  </si>
  <si>
    <t>吴琴</t>
  </si>
  <si>
    <t>赵小红</t>
  </si>
  <si>
    <t>谭莹</t>
  </si>
  <si>
    <t>王任燕</t>
  </si>
  <si>
    <t>陈佳丽</t>
  </si>
  <si>
    <t>但红玉</t>
  </si>
  <si>
    <t>林萍</t>
  </si>
  <si>
    <t>蒋圆圆</t>
  </si>
  <si>
    <t>张明艳</t>
  </si>
  <si>
    <t>郑华跃</t>
  </si>
  <si>
    <t>陈琳</t>
  </si>
  <si>
    <t>雷怡</t>
  </si>
  <si>
    <t>陈嘉仪</t>
  </si>
  <si>
    <t>彭兰钦</t>
  </si>
  <si>
    <t>郑巧玲</t>
  </si>
  <si>
    <t>谢珂欣</t>
  </si>
  <si>
    <t>请假7天</t>
  </si>
  <si>
    <t>贺慧</t>
  </si>
  <si>
    <t>请假2天</t>
  </si>
  <si>
    <t>叶璐璐</t>
  </si>
  <si>
    <t>施凤皎</t>
  </si>
  <si>
    <t>林锶莹</t>
  </si>
  <si>
    <t>刘香</t>
  </si>
  <si>
    <t>陈燕辉</t>
  </si>
  <si>
    <t>谢双叶</t>
  </si>
  <si>
    <t>汪丽娟</t>
  </si>
  <si>
    <t>胡祝曲</t>
  </si>
  <si>
    <t>涂莹丹</t>
  </si>
  <si>
    <t>刘雨佳</t>
  </si>
  <si>
    <t>人头</t>
  </si>
  <si>
    <t>物业水电</t>
  </si>
  <si>
    <t>门店支出</t>
  </si>
  <si>
    <t>产品物料</t>
  </si>
  <si>
    <t>微雕成本</t>
  </si>
  <si>
    <t>其它合作成本</t>
  </si>
  <si>
    <t>洗毛巾</t>
  </si>
  <si>
    <t>毛利</t>
  </si>
  <si>
    <t>业绩提成</t>
  </si>
  <si>
    <t>迟到/请假</t>
  </si>
  <si>
    <t>实得工资</t>
  </si>
  <si>
    <t>李春华</t>
  </si>
  <si>
    <t>吴敏</t>
  </si>
  <si>
    <t>保底7000</t>
  </si>
  <si>
    <t>李萱君</t>
  </si>
  <si>
    <t>刘晓林</t>
  </si>
  <si>
    <t>保底5000</t>
  </si>
  <si>
    <t>刘金凤</t>
  </si>
  <si>
    <t>竹艳梅</t>
  </si>
  <si>
    <t>高红艳</t>
  </si>
  <si>
    <t>罗林芳</t>
  </si>
  <si>
    <t>任艺</t>
  </si>
  <si>
    <t>康丹</t>
  </si>
  <si>
    <t>店长</t>
  </si>
  <si>
    <t>人头数</t>
  </si>
  <si>
    <t>当月业绩</t>
  </si>
  <si>
    <t>月提成</t>
  </si>
  <si>
    <t>应得工资</t>
  </si>
  <si>
    <t>迟到请假</t>
  </si>
  <si>
    <t>易春梅</t>
  </si>
  <si>
    <t>莫志英</t>
  </si>
  <si>
    <t>彭龙惠</t>
  </si>
  <si>
    <t>向郑瑶</t>
  </si>
  <si>
    <t>陈怡名</t>
  </si>
  <si>
    <t>张小华</t>
  </si>
  <si>
    <t>徐睦垚</t>
  </si>
  <si>
    <t>8月2天200元</t>
  </si>
  <si>
    <t>刘安琼</t>
  </si>
  <si>
    <t>何琼华</t>
  </si>
  <si>
    <t>秦娜</t>
  </si>
  <si>
    <t>邓丽莉</t>
  </si>
  <si>
    <t>李茂</t>
  </si>
  <si>
    <t>王晓琳</t>
  </si>
  <si>
    <t>张勤</t>
  </si>
  <si>
    <t>糜清云</t>
  </si>
  <si>
    <t>曾玉莲</t>
  </si>
  <si>
    <t>白丽</t>
  </si>
  <si>
    <t>尧丹丹</t>
  </si>
  <si>
    <t>关晓燕</t>
  </si>
  <si>
    <t>魏柯</t>
  </si>
  <si>
    <t>龚茜</t>
  </si>
  <si>
    <t>赵忠芬</t>
  </si>
  <si>
    <t>张清华</t>
  </si>
  <si>
    <t>张红霞</t>
  </si>
  <si>
    <t>宋林琳</t>
  </si>
  <si>
    <t>完成业绩</t>
  </si>
  <si>
    <t>迟到缺卡</t>
  </si>
  <si>
    <t>扣款</t>
  </si>
  <si>
    <t>秦亚平</t>
  </si>
  <si>
    <t>饶秋华</t>
  </si>
  <si>
    <t>邹福贞</t>
  </si>
  <si>
    <t>张小娟</t>
  </si>
  <si>
    <t>蒲草</t>
  </si>
  <si>
    <t>肖静梅</t>
  </si>
  <si>
    <t>张艳秋</t>
  </si>
  <si>
    <t>王桂明</t>
  </si>
  <si>
    <t>曾雨晴</t>
  </si>
  <si>
    <t>部门</t>
  </si>
  <si>
    <t>溯源业绩</t>
  </si>
  <si>
    <t>cell业绩</t>
  </si>
  <si>
    <t>溯源提成</t>
  </si>
  <si>
    <t>cell提成</t>
  </si>
  <si>
    <t>科技一部</t>
  </si>
  <si>
    <t>夏萍</t>
  </si>
  <si>
    <t>科技二部</t>
  </si>
  <si>
    <t>张雪颖</t>
  </si>
  <si>
    <t>高端业绩</t>
  </si>
  <si>
    <t>组长提成</t>
  </si>
  <si>
    <t>消耗提成</t>
  </si>
  <si>
    <t>请假/迟到</t>
  </si>
  <si>
    <t>车补</t>
  </si>
  <si>
    <t>赵美艳</t>
  </si>
  <si>
    <t>王方贤</t>
  </si>
  <si>
    <t>高端业绩提成</t>
  </si>
  <si>
    <t>培训补贴</t>
  </si>
  <si>
    <t>周柏燚</t>
  </si>
  <si>
    <t>8月上班6天，8月部分还没算</t>
  </si>
  <si>
    <t>杨琴</t>
  </si>
  <si>
    <t>请假1天</t>
  </si>
  <si>
    <t>蒲俊峰</t>
  </si>
  <si>
    <t>郭兰</t>
  </si>
  <si>
    <t>戴林</t>
  </si>
  <si>
    <t>张文卓</t>
  </si>
  <si>
    <t>保底7000/31*10=2258</t>
  </si>
  <si>
    <t>尹佩佩</t>
  </si>
  <si>
    <t>保底5500/31*10=1774</t>
  </si>
  <si>
    <t>王洪武</t>
  </si>
  <si>
    <t>张雨露</t>
  </si>
  <si>
    <t>刘祖红</t>
  </si>
  <si>
    <t>谢宗富</t>
  </si>
  <si>
    <t>余文</t>
  </si>
  <si>
    <t>孙鲜</t>
  </si>
  <si>
    <t>手机押金300</t>
  </si>
  <si>
    <t xml:space="preserve"> </t>
  </si>
  <si>
    <t>总业绩</t>
  </si>
  <si>
    <t>大项目业绩提成</t>
  </si>
  <si>
    <t>缺卡/迟到</t>
  </si>
  <si>
    <t>请假</t>
  </si>
  <si>
    <t>奖励</t>
  </si>
  <si>
    <t>黄桂琴</t>
  </si>
  <si>
    <t>詹芳英</t>
  </si>
  <si>
    <t>陈思思</t>
  </si>
  <si>
    <t>缺卡2次扣20</t>
  </si>
  <si>
    <t>李洁</t>
  </si>
  <si>
    <t>岗位</t>
  </si>
  <si>
    <t>总部</t>
  </si>
  <si>
    <t>保洁</t>
  </si>
  <si>
    <t>王国英</t>
  </si>
  <si>
    <t>周莉</t>
  </si>
  <si>
    <t>吴斌</t>
  </si>
  <si>
    <t>杨汉玉</t>
  </si>
  <si>
    <t>杨润琼</t>
  </si>
  <si>
    <t>林玉琼</t>
  </si>
  <si>
    <t>王秀华</t>
  </si>
  <si>
    <t>刘陈秀</t>
  </si>
  <si>
    <t>钟术群</t>
  </si>
  <si>
    <t>郑竹兰</t>
  </si>
  <si>
    <t>陈春蓉</t>
  </si>
  <si>
    <t>陈明秀</t>
  </si>
  <si>
    <t>许开会</t>
  </si>
  <si>
    <t>蒋治琼</t>
  </si>
  <si>
    <t>曾志芬</t>
  </si>
  <si>
    <t>罗广秀</t>
  </si>
  <si>
    <t>何先会</t>
  </si>
  <si>
    <t>陈德芳</t>
  </si>
  <si>
    <t>邓成分</t>
  </si>
  <si>
    <t>刘胜琼</t>
  </si>
  <si>
    <t>陈文先</t>
  </si>
  <si>
    <t>杨则琼</t>
  </si>
  <si>
    <t>李培英</t>
  </si>
  <si>
    <t>陈永秀</t>
  </si>
  <si>
    <t>李大英</t>
  </si>
  <si>
    <t>范世琼</t>
  </si>
  <si>
    <t>倪巧琼</t>
  </si>
  <si>
    <t>颜香兰</t>
  </si>
  <si>
    <t>刘治菊</t>
  </si>
  <si>
    <t>龙城国际+门店T区</t>
    <phoneticPr fontId="20" type="noConversion"/>
  </si>
  <si>
    <t>川音+门店T区</t>
    <phoneticPr fontId="20" type="noConversion"/>
  </si>
  <si>
    <t>培训费</t>
    <phoneticPr fontId="20" type="noConversion"/>
  </si>
  <si>
    <t>底薪</t>
    <phoneticPr fontId="20" type="noConversion"/>
  </si>
  <si>
    <t>我的提成人头手机是正常核算/31*15</t>
    <phoneticPr fontId="20" type="noConversion"/>
  </si>
  <si>
    <t>加10迟到</t>
    <phoneticPr fontId="20" type="noConversion"/>
  </si>
  <si>
    <t>科技一部+门店T区</t>
    <phoneticPr fontId="20" type="noConversion"/>
  </si>
  <si>
    <t>科技二部+门店T区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</si>
</sst>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8" formatCode="0_ "/>
    <numFmt numFmtId="179" formatCode="0.0%"/>
    <numFmt numFmtId="180" formatCode="0.0_ "/>
    <numFmt numFmtId="181" formatCode="0.00_ "/>
  </numFmts>
  <fonts count="23" x14ac:knownFonts="1">
    <font>
      <sz val="11"/>
      <color theme="1"/>
      <name val="宋体"/>
      <charset val="134"/>
      <scheme val="minor"/>
    </font>
    <font>
      <sz val="11"/>
      <name val="微软雅黑"/>
      <family val="2"/>
      <charset val="134"/>
    </font>
    <font>
      <sz val="9"/>
      <name val="微软雅黑"/>
      <family val="2"/>
      <charset val="134"/>
    </font>
    <font>
      <sz val="9"/>
      <color rgb="FF000000"/>
      <name val="微软雅黑"/>
      <family val="2"/>
      <charset val="134"/>
    </font>
    <font>
      <b/>
      <sz val="11"/>
      <color rgb="FF000000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indexed="8"/>
      <name val="微软雅黑"/>
      <family val="2"/>
      <charset val="134"/>
    </font>
    <font>
      <b/>
      <sz val="10"/>
      <color rgb="FF000000"/>
      <name val="黑体"/>
      <family val="3"/>
      <charset val="134"/>
    </font>
    <font>
      <sz val="10"/>
      <color rgb="FF000000"/>
      <name val="黑体"/>
      <family val="3"/>
      <charset val="134"/>
    </font>
    <font>
      <sz val="10"/>
      <name val="黑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黑体"/>
      <family val="3"/>
      <charset val="134"/>
    </font>
    <font>
      <sz val="12"/>
      <name val="微软雅黑"/>
      <family val="2"/>
      <charset val="134"/>
    </font>
    <font>
      <sz val="11"/>
      <name val="黑体"/>
      <family val="3"/>
      <charset val="134"/>
    </font>
    <font>
      <sz val="11"/>
      <color rgb="FF000000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theme="1"/>
      <name val="微软雅黑"/>
      <family val="2"/>
      <charset val="134"/>
    </font>
    <font>
      <sz val="9"/>
      <color indexed="8"/>
      <name val="微软雅黑"/>
      <family val="2"/>
      <charset val="134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C55A1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178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8" fontId="4" fillId="2" borderId="2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8" fontId="5" fillId="0" borderId="3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78" fontId="8" fillId="2" borderId="1" xfId="0" applyNumberFormat="1" applyFont="1" applyFill="1" applyBorder="1" applyAlignment="1">
      <alignment horizontal="center" vertical="center"/>
    </xf>
    <xf numFmtId="178" fontId="8" fillId="0" borderId="1" xfId="0" applyNumberFormat="1" applyFon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178" fontId="13" fillId="0" borderId="1" xfId="0" applyNumberFormat="1" applyFont="1" applyBorder="1">
      <alignment vertical="center"/>
    </xf>
    <xf numFmtId="0" fontId="7" fillId="4" borderId="1" xfId="0" applyFont="1" applyFill="1" applyBorder="1" applyAlignment="1">
      <alignment horizontal="center" vertical="center"/>
    </xf>
    <xf numFmtId="178" fontId="7" fillId="2" borderId="1" xfId="0" applyNumberFormat="1" applyFont="1" applyFill="1" applyBorder="1" applyAlignment="1">
      <alignment horizontal="center" vertical="center"/>
    </xf>
    <xf numFmtId="178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78" fontId="7" fillId="4" borderId="1" xfId="0" applyNumberFormat="1" applyFont="1" applyFill="1" applyBorder="1" applyAlignment="1">
      <alignment horizontal="center" vertical="center"/>
    </xf>
    <xf numFmtId="178" fontId="10" fillId="0" borderId="0" xfId="0" applyNumberFormat="1" applyFont="1" applyAlignment="1">
      <alignment horizontal="center" vertical="center"/>
    </xf>
    <xf numFmtId="178" fontId="11" fillId="0" borderId="0" xfId="0" applyNumberFormat="1" applyFont="1">
      <alignment vertical="center"/>
    </xf>
    <xf numFmtId="178" fontId="12" fillId="0" borderId="0" xfId="0" applyNumberFormat="1" applyFont="1">
      <alignment vertical="center"/>
    </xf>
    <xf numFmtId="0" fontId="12" fillId="0" borderId="0" xfId="0" applyFont="1" applyAlignment="1">
      <alignment horizontal="center" vertical="center"/>
    </xf>
    <xf numFmtId="178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81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81" fontId="1" fillId="2" borderId="1" xfId="0" applyNumberFormat="1" applyFont="1" applyFill="1" applyBorder="1" applyAlignment="1">
      <alignment horizontal="center" vertical="center"/>
    </xf>
    <xf numFmtId="181" fontId="5" fillId="0" borderId="1" xfId="0" applyNumberFormat="1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178" fontId="15" fillId="2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81" fontId="15" fillId="2" borderId="5" xfId="0" applyNumberFormat="1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178" fontId="5" fillId="0" borderId="0" xfId="0" applyNumberFormat="1" applyFont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0" fontId="4" fillId="6" borderId="2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9" fontId="4" fillId="2" borderId="2" xfId="0" applyNumberFormat="1" applyFont="1" applyFill="1" applyBorder="1" applyAlignment="1">
      <alignment horizontal="center" vertical="center"/>
    </xf>
    <xf numFmtId="178" fontId="4" fillId="2" borderId="2" xfId="0" applyNumberFormat="1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9" fontId="5" fillId="0" borderId="3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9" fontId="5" fillId="0" borderId="1" xfId="0" applyNumberFormat="1" applyFont="1" applyBorder="1" applyAlignment="1">
      <alignment horizontal="center" vertical="center"/>
    </xf>
    <xf numFmtId="178" fontId="4" fillId="4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/>
    </xf>
    <xf numFmtId="178" fontId="4" fillId="9" borderId="2" xfId="0" applyNumberFormat="1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178" fontId="4" fillId="8" borderId="2" xfId="0" applyNumberFormat="1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 wrapText="1"/>
    </xf>
    <xf numFmtId="0" fontId="0" fillId="5" borderId="0" xfId="0" applyFill="1">
      <alignment vertical="center"/>
    </xf>
    <xf numFmtId="0" fontId="5" fillId="0" borderId="0" xfId="0" applyFont="1" applyAlignment="1">
      <alignment horizontal="center" vertical="top"/>
    </xf>
    <xf numFmtId="0" fontId="4" fillId="2" borderId="12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 wrapText="1"/>
    </xf>
    <xf numFmtId="9" fontId="4" fillId="0" borderId="5" xfId="0" applyNumberFormat="1" applyFont="1" applyBorder="1" applyAlignment="1">
      <alignment horizontal="center" vertical="center" wrapText="1"/>
    </xf>
    <xf numFmtId="9" fontId="4" fillId="2" borderId="5" xfId="0" applyNumberFormat="1" applyFont="1" applyFill="1" applyBorder="1" applyAlignment="1">
      <alignment horizontal="center" vertical="center"/>
    </xf>
    <xf numFmtId="178" fontId="4" fillId="2" borderId="5" xfId="0" applyNumberFormat="1" applyFont="1" applyFill="1" applyBorder="1" applyAlignment="1">
      <alignment horizontal="center" vertical="center" wrapText="1"/>
    </xf>
    <xf numFmtId="178" fontId="4" fillId="2" borderId="5" xfId="0" applyNumberFormat="1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178" fontId="4" fillId="9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 wrapText="1"/>
    </xf>
    <xf numFmtId="178" fontId="4" fillId="8" borderId="5" xfId="0" applyNumberFormat="1" applyFont="1" applyFill="1" applyBorder="1" applyAlignment="1">
      <alignment horizontal="center" vertical="center"/>
    </xf>
    <xf numFmtId="178" fontId="4" fillId="11" borderId="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178" fontId="5" fillId="4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6" fillId="5" borderId="1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5" fillId="5" borderId="1" xfId="0" applyFont="1" applyFill="1" applyBorder="1">
      <alignment vertical="center"/>
    </xf>
    <xf numFmtId="9" fontId="5" fillId="5" borderId="1" xfId="0" applyNumberFormat="1" applyFont="1" applyFill="1" applyBorder="1" applyAlignment="1">
      <alignment horizontal="center" vertical="center"/>
    </xf>
    <xf numFmtId="178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top"/>
    </xf>
    <xf numFmtId="0" fontId="0" fillId="5" borderId="1" xfId="0" applyFill="1" applyBorder="1">
      <alignment vertical="center"/>
    </xf>
    <xf numFmtId="178" fontId="0" fillId="5" borderId="0" xfId="0" applyNumberFormat="1" applyFill="1">
      <alignment vertical="center"/>
    </xf>
    <xf numFmtId="0" fontId="8" fillId="0" borderId="1" xfId="0" applyFont="1" applyBorder="1" applyAlignment="1">
      <alignment horizontal="center" vertical="center"/>
    </xf>
    <xf numFmtId="178" fontId="8" fillId="0" borderId="1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178" fontId="8" fillId="0" borderId="4" xfId="0" applyNumberFormat="1" applyFont="1" applyBorder="1" applyAlignment="1">
      <alignment horizontal="center" vertical="center"/>
    </xf>
    <xf numFmtId="178" fontId="8" fillId="0" borderId="1" xfId="0" applyNumberFormat="1" applyFont="1" applyBorder="1" applyAlignment="1">
      <alignment horizontal="center" vertical="center" wrapText="1"/>
    </xf>
    <xf numFmtId="178" fontId="8" fillId="0" borderId="5" xfId="0" applyNumberFormat="1" applyFont="1" applyBorder="1" applyAlignment="1">
      <alignment horizontal="center" vertical="center" wrapText="1"/>
    </xf>
    <xf numFmtId="178" fontId="8" fillId="0" borderId="7" xfId="0" applyNumberFormat="1" applyFont="1" applyBorder="1" applyAlignment="1">
      <alignment horizontal="center" vertical="center" wrapText="1"/>
    </xf>
    <xf numFmtId="178" fontId="8" fillId="0" borderId="6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178" fontId="8" fillId="0" borderId="5" xfId="0" applyNumberFormat="1" applyFont="1" applyBorder="1" applyAlignment="1">
      <alignment horizontal="center" vertical="center"/>
    </xf>
    <xf numFmtId="178" fontId="8" fillId="0" borderId="7" xfId="0" applyNumberFormat="1" applyFont="1" applyBorder="1" applyAlignment="1">
      <alignment horizontal="center" vertical="center"/>
    </xf>
    <xf numFmtId="178" fontId="8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8" fontId="8" fillId="0" borderId="9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78" fontId="13" fillId="0" borderId="5" xfId="0" applyNumberFormat="1" applyFont="1" applyBorder="1" applyAlignment="1">
      <alignment horizontal="center" vertical="center"/>
    </xf>
    <xf numFmtId="178" fontId="13" fillId="0" borderId="6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8" fontId="8" fillId="0" borderId="8" xfId="0" applyNumberFormat="1" applyFont="1" applyBorder="1" applyAlignment="1">
      <alignment horizontal="center" vertical="center"/>
    </xf>
    <xf numFmtId="178" fontId="8" fillId="0" borderId="10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81" fontId="5" fillId="0" borderId="0" xfId="0" applyNumberFormat="1" applyFont="1" applyAlignment="1">
      <alignment horizontal="center" vertical="center"/>
    </xf>
    <xf numFmtId="181" fontId="0" fillId="0" borderId="0" xfId="0" applyNumberFormat="1">
      <alignment vertical="center"/>
    </xf>
    <xf numFmtId="0" fontId="17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178" fontId="3" fillId="2" borderId="1" xfId="0" applyNumberFormat="1" applyFont="1" applyFill="1" applyBorder="1" applyAlignment="1">
      <alignment horizontal="center" vertical="center"/>
    </xf>
    <xf numFmtId="179" fontId="3" fillId="2" borderId="1" xfId="0" applyNumberFormat="1" applyFont="1" applyFill="1" applyBorder="1" applyAlignment="1">
      <alignment horizontal="center" vertical="center"/>
    </xf>
    <xf numFmtId="180" fontId="3" fillId="2" borderId="1" xfId="0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179" fontId="21" fillId="0" borderId="1" xfId="0" applyNumberFormat="1" applyFont="1" applyBorder="1" applyAlignment="1">
      <alignment horizontal="center" vertical="center"/>
    </xf>
    <xf numFmtId="178" fontId="21" fillId="0" borderId="1" xfId="0" applyNumberFormat="1" applyFont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79" fontId="21" fillId="0" borderId="0" xfId="0" applyNumberFormat="1" applyFont="1" applyAlignment="1">
      <alignment horizontal="center" vertical="center"/>
    </xf>
    <xf numFmtId="178" fontId="21" fillId="0" borderId="0" xfId="0" applyNumberFormat="1" applyFont="1" applyAlignment="1">
      <alignment horizontal="center" vertical="center"/>
    </xf>
    <xf numFmtId="0" fontId="21" fillId="0" borderId="0" xfId="0" applyFont="1">
      <alignment vertical="center"/>
    </xf>
    <xf numFmtId="178" fontId="21" fillId="0" borderId="0" xfId="0" applyNumberFormat="1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8" fontId="22" fillId="0" borderId="0" xfId="0" applyNumberFormat="1" applyFont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178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78" fontId="3" fillId="3" borderId="1" xfId="0" applyNumberFormat="1" applyFont="1" applyFill="1" applyBorder="1" applyAlignment="1">
      <alignment horizontal="center" vertical="center"/>
    </xf>
    <xf numFmtId="178" fontId="2" fillId="3" borderId="1" xfId="0" applyNumberFormat="1" applyFont="1" applyFill="1" applyBorder="1" applyAlignment="1">
      <alignment horizontal="center" vertical="center"/>
    </xf>
    <xf numFmtId="178" fontId="21" fillId="5" borderId="0" xfId="0" applyNumberFormat="1" applyFont="1" applyFill="1">
      <alignment vertical="center"/>
    </xf>
    <xf numFmtId="0" fontId="21" fillId="5" borderId="0" xfId="0" applyFont="1" applyFill="1">
      <alignment vertical="center"/>
    </xf>
  </cellXfs>
  <cellStyles count="1">
    <cellStyle name="常规" xfId="0" builtinId="0"/>
  </cellStyles>
  <dxfs count="2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28"/>
      <tableStyleElement type="headerRow" dxfId="27"/>
      <tableStyleElement type="totalRow" dxfId="26"/>
      <tableStyleElement type="firstColumn" dxfId="25"/>
      <tableStyleElement type="lastColumn" dxfId="24"/>
      <tableStyleElement type="firstRowStripe" dxfId="23"/>
      <tableStyleElement type="firstColumnStripe" dxfId="22"/>
    </tableStyle>
    <tableStyle name="PivotStylePreset2_Accent1" table="0" count="10" xr9:uid="{267968C8-6FFD-4C36-ACC1-9EA1FD1885CA}">
      <tableStyleElement type="headerRow" dxfId="21"/>
      <tableStyleElement type="totalRow" dxfId="20"/>
      <tableStyleElement type="firstRowStripe" dxfId="19"/>
      <tableStyleElement type="firstColumnStripe" dxfId="18"/>
      <tableStyleElement type="firstSubtotalRow" dxfId="17"/>
      <tableStyleElement type="secondSubtotalRow" dxfId="16"/>
      <tableStyleElement type="firstRowSubheading" dxfId="15"/>
      <tableStyleElement type="secondRowSubheading" dxfId="14"/>
      <tableStyleElement type="pageFieldLabels" dxfId="13"/>
      <tableStyleElement type="pageFieldValues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xwechat_files/wxid_kjbgkfkshywi12_a59f/msg/file/2025-08/7&#26376;-&#32771;&#212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S/Desktop/2025&#24180;&#39033;&#30446;&#25968;&#25163;&#24037;/2025&#24180;7&#26376;&#39033;&#30446;&#25968;&#12289;&#25163;&#24037;&#12289;&#28040;&#3279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xwechat_files\wxid_ubjump0vbfo422_9d9d\msg\file\2025-08\7&#26376;&#31038;&#20445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S/Desktop/2025&#24180;&#25968;&#25454;&#25773;&#25253;/2025&#24180;7&#26376;&#25968;&#25454;&#25773;&#25253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SUS/Desktop/2025&#24180;&#24037;&#36164;/2025&#24180;6&#26376;&#24037;&#36164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xwechat_files/wxid_kjbgkfkshywi12_a59f/msg/file/2025-08/7&#26376;-&#32771;&#21220;-final-8.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eChat%20Files\wxid_ubjump0vbfo422\FileStorage\File\2025-06\5&#26376;&#31038;&#20445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dministrator\Desktop\2025&#24180;&#24037;&#36164;\2025&#24180;&#32771;&#21220;&#34920;&#65288;3&#26376;&#65289;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istrator\Desktop\&#24037;&#36164;&#26680;&#31639;%20-7&#26376;%20-%20&#21103;&#26412;\&#24037;&#36164;(&#20840;&#23383;&#27573;).xlsx" TargetMode="External"/><Relationship Id="rId1" Type="http://schemas.openxmlformats.org/officeDocument/2006/relationships/externalLinkPath" Target="&#24037;&#36164;&#26680;&#31639;%20-7&#26376;%20-%20&#21103;&#26412;/&#24037;&#36164;(&#20840;&#23383;&#27573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核算规则"/>
      <sheetName val="基础设置"/>
      <sheetName val="①7月-花名册"/>
      <sheetName val="7月运营"/>
      <sheetName val="②7月-汇总"/>
      <sheetName val="上月未发人员明细"/>
      <sheetName val="Sheet1"/>
    </sheetNames>
    <sheetDataSet>
      <sheetData sheetId="0"/>
      <sheetData sheetId="1"/>
      <sheetData sheetId="2">
        <row r="1">
          <cell r="E1" t="str">
            <v>姓名</v>
          </cell>
          <cell r="T1" t="str">
            <v>7月保底</v>
          </cell>
        </row>
        <row r="2">
          <cell r="E2" t="str">
            <v>易春梅</v>
          </cell>
        </row>
        <row r="3">
          <cell r="E3" t="str">
            <v>江玲</v>
          </cell>
        </row>
        <row r="4">
          <cell r="E4" t="str">
            <v>王瑞琳</v>
          </cell>
        </row>
        <row r="5">
          <cell r="E5" t="str">
            <v>黄小燕</v>
          </cell>
        </row>
        <row r="6">
          <cell r="E6" t="str">
            <v>雷彬燕</v>
          </cell>
        </row>
        <row r="7">
          <cell r="E7" t="str">
            <v>赵玉晓</v>
          </cell>
        </row>
        <row r="8">
          <cell r="E8" t="str">
            <v>张江秀</v>
          </cell>
        </row>
        <row r="9">
          <cell r="E9" t="str">
            <v>雷朝霞</v>
          </cell>
          <cell r="T9">
            <v>4000</v>
          </cell>
        </row>
        <row r="10">
          <cell r="E10" t="str">
            <v>陈雪莲</v>
          </cell>
          <cell r="T10">
            <v>5000</v>
          </cell>
        </row>
        <row r="11">
          <cell r="E11" t="str">
            <v>饶秋华</v>
          </cell>
        </row>
        <row r="12">
          <cell r="E12" t="str">
            <v>莫志英</v>
          </cell>
        </row>
        <row r="13">
          <cell r="E13" t="str">
            <v>刘巧艳</v>
          </cell>
        </row>
        <row r="14">
          <cell r="E14" t="str">
            <v>康红梅</v>
          </cell>
        </row>
        <row r="15">
          <cell r="E15" t="str">
            <v>唐银春</v>
          </cell>
        </row>
        <row r="16">
          <cell r="E16" t="str">
            <v>刘晓丽</v>
          </cell>
        </row>
        <row r="17">
          <cell r="E17" t="str">
            <v>熊艳</v>
          </cell>
        </row>
        <row r="18">
          <cell r="E18" t="str">
            <v>任静</v>
          </cell>
        </row>
        <row r="19">
          <cell r="E19" t="str">
            <v>吴琴</v>
          </cell>
        </row>
        <row r="20">
          <cell r="E20" t="str">
            <v>陈红霞</v>
          </cell>
        </row>
        <row r="21">
          <cell r="E21" t="str">
            <v>孙丽娟</v>
          </cell>
        </row>
        <row r="22">
          <cell r="E22" t="str">
            <v>廖增珍</v>
          </cell>
        </row>
        <row r="23">
          <cell r="E23" t="str">
            <v>李春华</v>
          </cell>
        </row>
        <row r="24">
          <cell r="E24" t="str">
            <v>张候敏</v>
          </cell>
        </row>
        <row r="25">
          <cell r="E25" t="str">
            <v>赵小红</v>
          </cell>
        </row>
        <row r="26">
          <cell r="E26" t="str">
            <v>彭龙惠</v>
          </cell>
        </row>
        <row r="27">
          <cell r="E27" t="str">
            <v>邓雪梅</v>
          </cell>
        </row>
        <row r="28">
          <cell r="E28" t="str">
            <v>高雪</v>
          </cell>
        </row>
        <row r="29">
          <cell r="E29" t="str">
            <v>何婷</v>
          </cell>
        </row>
        <row r="30">
          <cell r="E30" t="str">
            <v>刘慧</v>
          </cell>
        </row>
        <row r="31">
          <cell r="E31" t="str">
            <v>王红红</v>
          </cell>
        </row>
        <row r="32">
          <cell r="E32" t="str">
            <v>秦亚平</v>
          </cell>
        </row>
        <row r="33">
          <cell r="E33" t="str">
            <v>谭莹</v>
          </cell>
        </row>
        <row r="34">
          <cell r="E34" t="str">
            <v>张芮</v>
          </cell>
        </row>
        <row r="35">
          <cell r="E35" t="str">
            <v>张元琼</v>
          </cell>
        </row>
        <row r="36">
          <cell r="E36" t="str">
            <v>王依蕊</v>
          </cell>
        </row>
        <row r="37">
          <cell r="E37" t="str">
            <v>向郑瑶</v>
          </cell>
        </row>
        <row r="38">
          <cell r="E38" t="str">
            <v>唐容</v>
          </cell>
        </row>
        <row r="39">
          <cell r="E39" t="str">
            <v>叶文娟</v>
          </cell>
        </row>
        <row r="40">
          <cell r="E40" t="str">
            <v>渗登措</v>
          </cell>
        </row>
        <row r="41">
          <cell r="E41" t="str">
            <v>邹福贞</v>
          </cell>
        </row>
        <row r="42">
          <cell r="E42" t="str">
            <v>陈怡名</v>
          </cell>
        </row>
        <row r="43">
          <cell r="E43" t="str">
            <v>张丽</v>
          </cell>
        </row>
        <row r="44">
          <cell r="E44" t="str">
            <v>杨金花</v>
          </cell>
        </row>
        <row r="45">
          <cell r="E45" t="str">
            <v>樊琳</v>
          </cell>
        </row>
        <row r="46">
          <cell r="E46" t="str">
            <v>董顺秀</v>
          </cell>
        </row>
        <row r="47">
          <cell r="E47" t="str">
            <v>陈建蓉</v>
          </cell>
        </row>
        <row r="48">
          <cell r="E48" t="str">
            <v>王娇</v>
          </cell>
        </row>
        <row r="49">
          <cell r="E49" t="str">
            <v>黎茂婷</v>
          </cell>
        </row>
        <row r="50">
          <cell r="E50" t="str">
            <v>张艳秋</v>
          </cell>
        </row>
        <row r="51">
          <cell r="E51" t="str">
            <v>陈小琴</v>
          </cell>
        </row>
        <row r="52">
          <cell r="E52" t="str">
            <v>刘恬恬</v>
          </cell>
        </row>
        <row r="53">
          <cell r="E53" t="str">
            <v>苟小春</v>
          </cell>
        </row>
        <row r="54">
          <cell r="E54" t="str">
            <v>李燕</v>
          </cell>
        </row>
        <row r="55">
          <cell r="E55" t="str">
            <v>张小华</v>
          </cell>
        </row>
        <row r="56">
          <cell r="E56" t="str">
            <v>王任燕</v>
          </cell>
        </row>
        <row r="57">
          <cell r="E57" t="str">
            <v>罗萍</v>
          </cell>
        </row>
        <row r="58">
          <cell r="E58" t="str">
            <v>陈萍</v>
          </cell>
          <cell r="T58">
            <v>4000</v>
          </cell>
        </row>
        <row r="59">
          <cell r="E59" t="str">
            <v>吴敏</v>
          </cell>
          <cell r="T59">
            <v>7000</v>
          </cell>
        </row>
        <row r="60">
          <cell r="E60" t="str">
            <v>陈佳丽</v>
          </cell>
        </row>
        <row r="61">
          <cell r="E61" t="str">
            <v>康钦</v>
          </cell>
        </row>
        <row r="62">
          <cell r="E62" t="str">
            <v>聂娟</v>
          </cell>
        </row>
        <row r="63">
          <cell r="E63" t="str">
            <v>马菁</v>
          </cell>
        </row>
        <row r="64">
          <cell r="E64" t="str">
            <v>徐睦垚</v>
          </cell>
        </row>
        <row r="65">
          <cell r="E65" t="str">
            <v>达哇卓玛</v>
          </cell>
        </row>
        <row r="66">
          <cell r="E66" t="str">
            <v>曾雨晴</v>
          </cell>
        </row>
        <row r="67">
          <cell r="E67" t="str">
            <v>但红玉</v>
          </cell>
        </row>
        <row r="68">
          <cell r="E68" t="str">
            <v>梁缘缘</v>
          </cell>
        </row>
        <row r="69">
          <cell r="E69" t="str">
            <v>李萱君</v>
          </cell>
        </row>
        <row r="70">
          <cell r="E70" t="str">
            <v>李思忆</v>
          </cell>
        </row>
        <row r="71">
          <cell r="E71" t="str">
            <v>赵情情</v>
          </cell>
        </row>
        <row r="72">
          <cell r="E72" t="str">
            <v>曹悦</v>
          </cell>
        </row>
        <row r="73">
          <cell r="E73" t="str">
            <v>吴飞雁</v>
          </cell>
          <cell r="T73">
            <v>3500</v>
          </cell>
        </row>
        <row r="74">
          <cell r="E74" t="str">
            <v>尹桂香</v>
          </cell>
          <cell r="T74">
            <v>4000</v>
          </cell>
        </row>
        <row r="75">
          <cell r="E75" t="str">
            <v>张小娟</v>
          </cell>
        </row>
        <row r="76">
          <cell r="E76" t="str">
            <v>刘安琼</v>
          </cell>
        </row>
        <row r="77">
          <cell r="E77" t="str">
            <v>刘晓林</v>
          </cell>
          <cell r="T77">
            <v>5000</v>
          </cell>
        </row>
        <row r="78">
          <cell r="E78" t="str">
            <v>李巧娇</v>
          </cell>
        </row>
        <row r="79">
          <cell r="E79" t="str">
            <v>林萍</v>
          </cell>
        </row>
        <row r="80">
          <cell r="E80" t="str">
            <v>罗雪</v>
          </cell>
        </row>
        <row r="81">
          <cell r="E81" t="str">
            <v>唐宇欣</v>
          </cell>
        </row>
        <row r="82">
          <cell r="E82" t="str">
            <v>李萌</v>
          </cell>
        </row>
        <row r="83">
          <cell r="E83" t="str">
            <v>王如意</v>
          </cell>
        </row>
        <row r="84">
          <cell r="E84" t="str">
            <v>柳全菊</v>
          </cell>
        </row>
        <row r="85">
          <cell r="E85" t="str">
            <v>何琼华</v>
          </cell>
        </row>
        <row r="86">
          <cell r="E86" t="str">
            <v>蒋圆圆</v>
          </cell>
        </row>
        <row r="87">
          <cell r="E87" t="str">
            <v>顾红艳</v>
          </cell>
        </row>
        <row r="88">
          <cell r="E88" t="str">
            <v>郭小丽</v>
          </cell>
        </row>
        <row r="89">
          <cell r="E89" t="str">
            <v>梁婷</v>
          </cell>
        </row>
        <row r="90">
          <cell r="E90" t="str">
            <v>雷娜婷</v>
          </cell>
        </row>
        <row r="91">
          <cell r="E91" t="str">
            <v>刘心怡</v>
          </cell>
        </row>
        <row r="92">
          <cell r="E92" t="str">
            <v>叶美霞</v>
          </cell>
        </row>
        <row r="93">
          <cell r="E93" t="str">
            <v>秦娜</v>
          </cell>
        </row>
        <row r="94">
          <cell r="E94" t="str">
            <v>牟光燕</v>
          </cell>
        </row>
        <row r="95">
          <cell r="E95" t="str">
            <v>王萍</v>
          </cell>
        </row>
        <row r="96">
          <cell r="E96" t="str">
            <v>胡红琳</v>
          </cell>
        </row>
        <row r="97">
          <cell r="E97" t="str">
            <v>谢娟</v>
          </cell>
        </row>
        <row r="98">
          <cell r="E98" t="str">
            <v>陈美合</v>
          </cell>
        </row>
        <row r="99">
          <cell r="E99" t="str">
            <v>郝莉娜</v>
          </cell>
          <cell r="T99">
            <v>3500</v>
          </cell>
        </row>
        <row r="100">
          <cell r="E100" t="str">
            <v>邓丽莉</v>
          </cell>
        </row>
        <row r="101">
          <cell r="E101" t="str">
            <v>张明艳</v>
          </cell>
        </row>
        <row r="102">
          <cell r="E102" t="str">
            <v>马宏梅</v>
          </cell>
        </row>
        <row r="103">
          <cell r="E103" t="str">
            <v>陈洁</v>
          </cell>
        </row>
        <row r="104">
          <cell r="E104" t="str">
            <v>郑加焕</v>
          </cell>
        </row>
        <row r="105">
          <cell r="E105" t="str">
            <v>侯英</v>
          </cell>
        </row>
        <row r="106">
          <cell r="E106" t="str">
            <v>谢德芳</v>
          </cell>
        </row>
        <row r="107">
          <cell r="E107" t="str">
            <v>蒲草</v>
          </cell>
        </row>
        <row r="108">
          <cell r="E108" t="str">
            <v>郑华跃</v>
          </cell>
        </row>
        <row r="109">
          <cell r="E109" t="str">
            <v>李茂</v>
          </cell>
        </row>
        <row r="110">
          <cell r="E110" t="str">
            <v>孙红梅</v>
          </cell>
        </row>
        <row r="111">
          <cell r="E111" t="str">
            <v>黎红花</v>
          </cell>
        </row>
        <row r="112">
          <cell r="E112" t="str">
            <v>蒲艳婷</v>
          </cell>
        </row>
        <row r="113">
          <cell r="E113" t="str">
            <v>刘帆</v>
          </cell>
        </row>
        <row r="114">
          <cell r="E114" t="str">
            <v>杨艳</v>
          </cell>
        </row>
        <row r="115">
          <cell r="E115" t="str">
            <v>肖静梅</v>
          </cell>
        </row>
        <row r="116">
          <cell r="E116" t="str">
            <v>王晓琳</v>
          </cell>
        </row>
        <row r="117">
          <cell r="E117" t="str">
            <v>彭措志玛</v>
          </cell>
        </row>
        <row r="118">
          <cell r="E118" t="str">
            <v>郝中南</v>
          </cell>
        </row>
        <row r="119">
          <cell r="E119" t="str">
            <v>冉芳霞</v>
          </cell>
        </row>
        <row r="120">
          <cell r="E120" t="str">
            <v>谭萍</v>
          </cell>
        </row>
        <row r="121">
          <cell r="E121" t="str">
            <v>陈琳</v>
          </cell>
        </row>
        <row r="122">
          <cell r="E122" t="str">
            <v>罗湘湘</v>
          </cell>
          <cell r="T122">
            <v>4000</v>
          </cell>
        </row>
        <row r="123">
          <cell r="E123" t="str">
            <v>唐玉芳</v>
          </cell>
        </row>
        <row r="124">
          <cell r="E124" t="str">
            <v>王新华</v>
          </cell>
        </row>
        <row r="125">
          <cell r="E125" t="str">
            <v>雷怡</v>
          </cell>
        </row>
        <row r="126">
          <cell r="E126" t="str">
            <v>龙巧云</v>
          </cell>
        </row>
        <row r="127">
          <cell r="E127" t="str">
            <v>张勤</v>
          </cell>
        </row>
        <row r="128">
          <cell r="E128" t="str">
            <v>刘裕琼</v>
          </cell>
        </row>
        <row r="129">
          <cell r="E129" t="str">
            <v>唐施语</v>
          </cell>
        </row>
        <row r="130">
          <cell r="E130" t="str">
            <v>谭福英</v>
          </cell>
          <cell r="T130">
            <v>4000</v>
          </cell>
        </row>
        <row r="131">
          <cell r="E131" t="str">
            <v>李凤</v>
          </cell>
          <cell r="T131">
            <v>4000</v>
          </cell>
        </row>
        <row r="132">
          <cell r="E132" t="str">
            <v>陈嘉仪</v>
          </cell>
        </row>
        <row r="133">
          <cell r="E133" t="str">
            <v>王红</v>
          </cell>
        </row>
        <row r="134">
          <cell r="E134" t="str">
            <v>冷忠翠</v>
          </cell>
        </row>
        <row r="135">
          <cell r="E135" t="str">
            <v>糜清云</v>
          </cell>
        </row>
        <row r="136">
          <cell r="E136" t="str">
            <v>向陈洁</v>
          </cell>
        </row>
        <row r="137">
          <cell r="E137" t="str">
            <v>贺金云</v>
          </cell>
        </row>
        <row r="138">
          <cell r="E138" t="str">
            <v>周静芸</v>
          </cell>
        </row>
        <row r="139">
          <cell r="E139" t="str">
            <v>舒许芳</v>
          </cell>
          <cell r="T139">
            <v>3500</v>
          </cell>
        </row>
        <row r="140">
          <cell r="E140" t="str">
            <v>包竹梅</v>
          </cell>
        </row>
        <row r="141">
          <cell r="E141" t="str">
            <v>欧迎春</v>
          </cell>
        </row>
        <row r="142">
          <cell r="E142" t="str">
            <v>谭芙蓉</v>
          </cell>
        </row>
        <row r="143">
          <cell r="E143" t="str">
            <v>曾玉莲</v>
          </cell>
        </row>
        <row r="144">
          <cell r="E144" t="str">
            <v>彭兰钦</v>
          </cell>
        </row>
        <row r="145">
          <cell r="E145" t="str">
            <v>刘婵琴</v>
          </cell>
        </row>
        <row r="146">
          <cell r="E146" t="str">
            <v>泽仁拉姆</v>
          </cell>
        </row>
        <row r="147">
          <cell r="E147" t="str">
            <v>舒阳</v>
          </cell>
          <cell r="T147">
            <v>4000</v>
          </cell>
        </row>
        <row r="148">
          <cell r="E148" t="str">
            <v>白丽</v>
          </cell>
        </row>
        <row r="149">
          <cell r="E149" t="str">
            <v>郑巧玲</v>
          </cell>
        </row>
        <row r="150">
          <cell r="E150" t="str">
            <v>张廷妍</v>
          </cell>
        </row>
        <row r="151">
          <cell r="E151" t="str">
            <v>杜兰兰</v>
          </cell>
        </row>
        <row r="152">
          <cell r="E152" t="str">
            <v>王显珍</v>
          </cell>
        </row>
        <row r="153">
          <cell r="E153" t="str">
            <v>吴雨欣</v>
          </cell>
        </row>
        <row r="154">
          <cell r="E154" t="str">
            <v>马冬梅</v>
          </cell>
          <cell r="T154">
            <v>4000</v>
          </cell>
        </row>
        <row r="155">
          <cell r="E155" t="str">
            <v>彭莉群</v>
          </cell>
          <cell r="T155">
            <v>3500</v>
          </cell>
        </row>
        <row r="156">
          <cell r="E156" t="str">
            <v>刘金凤</v>
          </cell>
        </row>
        <row r="157">
          <cell r="E157" t="str">
            <v>谢珂欣</v>
          </cell>
        </row>
        <row r="158">
          <cell r="E158" t="str">
            <v>刘霞</v>
          </cell>
        </row>
        <row r="159">
          <cell r="E159" t="str">
            <v>尧丹丹</v>
          </cell>
        </row>
        <row r="160">
          <cell r="E160" t="str">
            <v>李科</v>
          </cell>
        </row>
        <row r="161">
          <cell r="E161" t="str">
            <v>石海力</v>
          </cell>
        </row>
        <row r="162">
          <cell r="E162" t="str">
            <v>付薪燕</v>
          </cell>
        </row>
        <row r="163">
          <cell r="E163" t="str">
            <v>陈定坤</v>
          </cell>
        </row>
        <row r="164">
          <cell r="E164" t="str">
            <v>王桂明</v>
          </cell>
        </row>
        <row r="165">
          <cell r="E165" t="str">
            <v>关晓燕</v>
          </cell>
        </row>
        <row r="166">
          <cell r="E166" t="str">
            <v>唐尹</v>
          </cell>
        </row>
        <row r="167">
          <cell r="E167" t="str">
            <v>贺慧</v>
          </cell>
        </row>
        <row r="168">
          <cell r="E168" t="str">
            <v>李红梅</v>
          </cell>
        </row>
        <row r="169">
          <cell r="E169" t="str">
            <v>龚艳</v>
          </cell>
        </row>
        <row r="170">
          <cell r="E170" t="str">
            <v>余姣姣</v>
          </cell>
        </row>
        <row r="171">
          <cell r="E171" t="str">
            <v>竹艳梅</v>
          </cell>
        </row>
        <row r="172">
          <cell r="E172" t="str">
            <v>叶朝春</v>
          </cell>
          <cell r="T172">
            <v>4000</v>
          </cell>
        </row>
        <row r="173">
          <cell r="E173" t="str">
            <v>喻容</v>
          </cell>
        </row>
        <row r="174">
          <cell r="E174" t="str">
            <v>魏柯</v>
          </cell>
        </row>
        <row r="175">
          <cell r="E175" t="str">
            <v>徐文平</v>
          </cell>
        </row>
        <row r="176">
          <cell r="E176" t="str">
            <v>张欣</v>
          </cell>
        </row>
        <row r="177">
          <cell r="E177" t="str">
            <v>叶璐璐</v>
          </cell>
        </row>
        <row r="178">
          <cell r="E178" t="str">
            <v>周文慧</v>
          </cell>
        </row>
        <row r="179">
          <cell r="E179" t="str">
            <v>张白金</v>
          </cell>
        </row>
        <row r="180">
          <cell r="E180" t="str">
            <v>郑美函</v>
          </cell>
        </row>
        <row r="181">
          <cell r="E181" t="str">
            <v>龚茜</v>
          </cell>
        </row>
        <row r="182">
          <cell r="E182" t="str">
            <v>廖妍</v>
          </cell>
        </row>
        <row r="183">
          <cell r="E183" t="str">
            <v>李彩华</v>
          </cell>
        </row>
        <row r="184">
          <cell r="E184" t="str">
            <v>刘九招</v>
          </cell>
        </row>
        <row r="185">
          <cell r="E185" t="str">
            <v>朱羽</v>
          </cell>
        </row>
        <row r="186">
          <cell r="E186" t="str">
            <v>施凤皎</v>
          </cell>
        </row>
        <row r="187">
          <cell r="E187" t="str">
            <v>高琴</v>
          </cell>
        </row>
        <row r="188">
          <cell r="E188" t="str">
            <v>达卓措</v>
          </cell>
          <cell r="T188">
            <v>3500</v>
          </cell>
        </row>
        <row r="189">
          <cell r="E189" t="str">
            <v>袁玉</v>
          </cell>
        </row>
        <row r="190">
          <cell r="E190" t="str">
            <v>赵静</v>
          </cell>
        </row>
        <row r="191">
          <cell r="E191" t="str">
            <v>赵晴亮</v>
          </cell>
        </row>
        <row r="192">
          <cell r="E192" t="str">
            <v>赵忠芬</v>
          </cell>
        </row>
        <row r="193">
          <cell r="E193" t="str">
            <v>郑丹</v>
          </cell>
        </row>
        <row r="194">
          <cell r="E194" t="str">
            <v>林锶莹</v>
          </cell>
        </row>
        <row r="195">
          <cell r="E195" t="str">
            <v>胡钦秀</v>
          </cell>
        </row>
        <row r="196">
          <cell r="E196" t="str">
            <v>高红艳</v>
          </cell>
        </row>
        <row r="197">
          <cell r="E197" t="str">
            <v>曾怡</v>
          </cell>
          <cell r="T197">
            <v>3500</v>
          </cell>
        </row>
        <row r="198">
          <cell r="E198" t="str">
            <v>张清华</v>
          </cell>
        </row>
        <row r="199">
          <cell r="E199" t="str">
            <v>彭鑫</v>
          </cell>
        </row>
        <row r="200">
          <cell r="E200" t="str">
            <v>李维</v>
          </cell>
        </row>
        <row r="201">
          <cell r="E201" t="str">
            <v>贾琳</v>
          </cell>
        </row>
        <row r="202">
          <cell r="E202" t="str">
            <v>王智慧</v>
          </cell>
        </row>
        <row r="203">
          <cell r="E203" t="str">
            <v>邓笑</v>
          </cell>
        </row>
        <row r="204">
          <cell r="E204" t="str">
            <v>刘香</v>
          </cell>
        </row>
        <row r="205">
          <cell r="E205" t="str">
            <v>刘丽华</v>
          </cell>
          <cell r="T205">
            <v>4000</v>
          </cell>
        </row>
        <row r="206">
          <cell r="E206" t="str">
            <v>周林</v>
          </cell>
        </row>
        <row r="207">
          <cell r="E207" t="str">
            <v>钟秦</v>
          </cell>
        </row>
        <row r="208">
          <cell r="E208" t="str">
            <v>张红霞</v>
          </cell>
        </row>
        <row r="209">
          <cell r="E209" t="str">
            <v>李燕1</v>
          </cell>
        </row>
        <row r="210">
          <cell r="E210" t="str">
            <v>陈世琳</v>
          </cell>
        </row>
        <row r="211">
          <cell r="E211" t="str">
            <v>张林英</v>
          </cell>
        </row>
        <row r="212">
          <cell r="E212" t="str">
            <v>陈燕辉</v>
          </cell>
          <cell r="T212">
            <v>3500</v>
          </cell>
        </row>
        <row r="213">
          <cell r="E213" t="str">
            <v>宋林琳</v>
          </cell>
        </row>
        <row r="214">
          <cell r="E214" t="str">
            <v>马丽亚</v>
          </cell>
        </row>
        <row r="215">
          <cell r="E215" t="str">
            <v>阿衣尔扎</v>
          </cell>
        </row>
        <row r="216">
          <cell r="E216" t="str">
            <v>张霞</v>
          </cell>
        </row>
        <row r="217">
          <cell r="E217" t="str">
            <v>谢双叶</v>
          </cell>
        </row>
        <row r="218">
          <cell r="E218" t="str">
            <v>蒙亦锌</v>
          </cell>
        </row>
        <row r="219">
          <cell r="E219" t="str">
            <v>刘梦蓝</v>
          </cell>
        </row>
        <row r="220">
          <cell r="E220" t="str">
            <v>罗林芳</v>
          </cell>
        </row>
        <row r="221">
          <cell r="E221" t="str">
            <v>汪丽娟</v>
          </cell>
        </row>
        <row r="222">
          <cell r="E222" t="str">
            <v>谭言希</v>
          </cell>
        </row>
        <row r="223">
          <cell r="E223" t="str">
            <v>黄江</v>
          </cell>
        </row>
        <row r="224">
          <cell r="E224" t="str">
            <v>陈琼</v>
          </cell>
        </row>
        <row r="225">
          <cell r="E225" t="str">
            <v>米琪</v>
          </cell>
        </row>
        <row r="226">
          <cell r="E226" t="str">
            <v>尚杨</v>
          </cell>
        </row>
        <row r="227">
          <cell r="E227" t="str">
            <v>钟心悦</v>
          </cell>
        </row>
        <row r="228">
          <cell r="E228" t="str">
            <v>胡祝曲</v>
          </cell>
        </row>
        <row r="229">
          <cell r="E229" t="str">
            <v>谢金梅</v>
          </cell>
        </row>
        <row r="230">
          <cell r="E230" t="str">
            <v>李洪芳</v>
          </cell>
        </row>
        <row r="231">
          <cell r="E231" t="str">
            <v>王维</v>
          </cell>
        </row>
        <row r="232">
          <cell r="E232" t="str">
            <v>罗文文</v>
          </cell>
        </row>
        <row r="233">
          <cell r="E233" t="str">
            <v>任艺</v>
          </cell>
        </row>
        <row r="234">
          <cell r="E234" t="str">
            <v>贺丽</v>
          </cell>
        </row>
        <row r="235">
          <cell r="E235" t="str">
            <v>殷小燕</v>
          </cell>
        </row>
        <row r="236">
          <cell r="E236" t="str">
            <v>李海瑛</v>
          </cell>
          <cell r="T236">
            <v>5000</v>
          </cell>
        </row>
        <row r="237">
          <cell r="E237" t="str">
            <v>邹孟君</v>
          </cell>
          <cell r="T237">
            <v>4000</v>
          </cell>
        </row>
        <row r="238">
          <cell r="E238" t="str">
            <v>彭羽佳</v>
          </cell>
          <cell r="T238">
            <v>4000</v>
          </cell>
        </row>
        <row r="239">
          <cell r="E239" t="str">
            <v>朱成芳</v>
          </cell>
          <cell r="T239">
            <v>5500</v>
          </cell>
        </row>
        <row r="240">
          <cell r="E240" t="str">
            <v>翁玲</v>
          </cell>
          <cell r="T240">
            <v>6000</v>
          </cell>
        </row>
        <row r="241">
          <cell r="E241" t="str">
            <v>王能琴</v>
          </cell>
          <cell r="T241">
            <v>5000</v>
          </cell>
        </row>
        <row r="242">
          <cell r="E242" t="str">
            <v>涂莹丹</v>
          </cell>
          <cell r="T242">
            <v>3500</v>
          </cell>
        </row>
        <row r="243">
          <cell r="E243" t="str">
            <v>葛敏</v>
          </cell>
        </row>
        <row r="244">
          <cell r="E244" t="str">
            <v>袁小兵</v>
          </cell>
        </row>
        <row r="245">
          <cell r="E245" t="str">
            <v>徐登毅</v>
          </cell>
        </row>
        <row r="246">
          <cell r="E246" t="str">
            <v>范时依</v>
          </cell>
        </row>
        <row r="247">
          <cell r="E247" t="str">
            <v>吴小强</v>
          </cell>
        </row>
        <row r="248">
          <cell r="E248" t="str">
            <v>宁燕</v>
          </cell>
        </row>
        <row r="249">
          <cell r="E249" t="str">
            <v>杨苹</v>
          </cell>
        </row>
        <row r="250">
          <cell r="E250" t="str">
            <v>赵倩</v>
          </cell>
        </row>
        <row r="251">
          <cell r="E251" t="str">
            <v>梁诗雨</v>
          </cell>
        </row>
        <row r="252">
          <cell r="E252" t="str">
            <v>郭思瑞</v>
          </cell>
        </row>
        <row r="253">
          <cell r="E253" t="str">
            <v>文倩</v>
          </cell>
        </row>
        <row r="254">
          <cell r="E254" t="str">
            <v>刘佳</v>
          </cell>
        </row>
        <row r="255">
          <cell r="E255" t="str">
            <v>杨磊</v>
          </cell>
        </row>
        <row r="256">
          <cell r="E256" t="str">
            <v>钱园</v>
          </cell>
        </row>
        <row r="257">
          <cell r="E257" t="str">
            <v>李吉原</v>
          </cell>
        </row>
        <row r="258">
          <cell r="E258" t="str">
            <v>黄桂琴</v>
          </cell>
        </row>
        <row r="259">
          <cell r="E259" t="str">
            <v>詹芳英</v>
          </cell>
        </row>
        <row r="260">
          <cell r="E260" t="str">
            <v>陈思思</v>
          </cell>
        </row>
        <row r="261">
          <cell r="E261" t="str">
            <v>李洁</v>
          </cell>
        </row>
        <row r="262">
          <cell r="E262" t="str">
            <v>马小英</v>
          </cell>
        </row>
        <row r="263">
          <cell r="E263" t="str">
            <v>欧阳敏</v>
          </cell>
        </row>
        <row r="264">
          <cell r="E264" t="str">
            <v>程燕</v>
          </cell>
        </row>
        <row r="265">
          <cell r="E265" t="str">
            <v>肖倩</v>
          </cell>
        </row>
        <row r="266">
          <cell r="E266" t="str">
            <v>王丽娟</v>
          </cell>
        </row>
        <row r="267">
          <cell r="E267" t="str">
            <v>蓝海英</v>
          </cell>
        </row>
        <row r="268">
          <cell r="E268" t="str">
            <v>夏萍</v>
          </cell>
        </row>
        <row r="269">
          <cell r="E269" t="str">
            <v>王方贤</v>
          </cell>
        </row>
        <row r="270">
          <cell r="E270" t="str">
            <v>杨琴</v>
          </cell>
        </row>
        <row r="271">
          <cell r="E271" t="str">
            <v>赵美艳</v>
          </cell>
        </row>
        <row r="272">
          <cell r="E272" t="str">
            <v>邹盼</v>
          </cell>
        </row>
        <row r="273">
          <cell r="E273" t="str">
            <v>郭兰</v>
          </cell>
        </row>
        <row r="274">
          <cell r="E274" t="str">
            <v>戴林</v>
          </cell>
        </row>
        <row r="275">
          <cell r="E275" t="str">
            <v>蒲俊峰</v>
          </cell>
        </row>
        <row r="276">
          <cell r="E276" t="str">
            <v>张雪颖</v>
          </cell>
        </row>
        <row r="277">
          <cell r="E277" t="str">
            <v>张雨露</v>
          </cell>
        </row>
        <row r="278">
          <cell r="E278" t="str">
            <v>刘祖红</v>
          </cell>
        </row>
        <row r="279">
          <cell r="E279" t="str">
            <v>谢宗富</v>
          </cell>
        </row>
        <row r="280">
          <cell r="E280" t="str">
            <v>余文</v>
          </cell>
        </row>
        <row r="281">
          <cell r="E281" t="str">
            <v>王洪武</v>
          </cell>
        </row>
        <row r="282">
          <cell r="E282" t="str">
            <v>王国英</v>
          </cell>
          <cell r="T282">
            <v>600</v>
          </cell>
        </row>
        <row r="283">
          <cell r="E283" t="str">
            <v>周莉</v>
          </cell>
          <cell r="T283">
            <v>1400</v>
          </cell>
        </row>
        <row r="284">
          <cell r="E284" t="str">
            <v>吴斌</v>
          </cell>
          <cell r="T284">
            <v>1000</v>
          </cell>
        </row>
        <row r="285">
          <cell r="E285" t="str">
            <v>吴斌</v>
          </cell>
          <cell r="T285">
            <v>1200</v>
          </cell>
        </row>
        <row r="286">
          <cell r="E286" t="str">
            <v>杨汉玉</v>
          </cell>
          <cell r="T286">
            <v>3200</v>
          </cell>
        </row>
        <row r="287">
          <cell r="E287" t="str">
            <v>杨润琼</v>
          </cell>
          <cell r="T287">
            <v>3200</v>
          </cell>
        </row>
        <row r="288">
          <cell r="E288" t="str">
            <v>刘期秀</v>
          </cell>
        </row>
        <row r="289">
          <cell r="E289" t="str">
            <v>林玉琼</v>
          </cell>
          <cell r="T289">
            <v>1200</v>
          </cell>
        </row>
        <row r="290">
          <cell r="E290" t="str">
            <v>王秀华</v>
          </cell>
          <cell r="T290">
            <v>1200</v>
          </cell>
        </row>
        <row r="291">
          <cell r="E291" t="str">
            <v>刘陈秀</v>
          </cell>
          <cell r="T291">
            <v>1300</v>
          </cell>
        </row>
        <row r="292">
          <cell r="E292" t="str">
            <v>钟术群</v>
          </cell>
          <cell r="T292">
            <v>1000</v>
          </cell>
        </row>
        <row r="293">
          <cell r="E293" t="str">
            <v>郑竹兰</v>
          </cell>
          <cell r="T293">
            <v>320</v>
          </cell>
        </row>
        <row r="294">
          <cell r="E294" t="str">
            <v>陈春蓉</v>
          </cell>
          <cell r="T294">
            <v>2903.22580645161</v>
          </cell>
        </row>
        <row r="295">
          <cell r="E295" t="str">
            <v>陈明秀</v>
          </cell>
          <cell r="T295">
            <v>1200</v>
          </cell>
        </row>
        <row r="296">
          <cell r="E296" t="str">
            <v>许开会</v>
          </cell>
          <cell r="T296">
            <v>1300</v>
          </cell>
        </row>
        <row r="297">
          <cell r="E297" t="str">
            <v>蒋治琼</v>
          </cell>
          <cell r="T297">
            <v>1200</v>
          </cell>
        </row>
        <row r="298">
          <cell r="E298" t="str">
            <v>曾志芬</v>
          </cell>
          <cell r="T298">
            <v>1200</v>
          </cell>
        </row>
        <row r="299">
          <cell r="E299" t="str">
            <v>罗广秀</v>
          </cell>
          <cell r="T299">
            <v>1400</v>
          </cell>
        </row>
        <row r="300">
          <cell r="E300" t="str">
            <v>何先会</v>
          </cell>
          <cell r="T300">
            <v>1500</v>
          </cell>
        </row>
        <row r="301">
          <cell r="E301" t="str">
            <v>陈德芳</v>
          </cell>
          <cell r="T301">
            <v>1400</v>
          </cell>
        </row>
        <row r="302">
          <cell r="E302" t="str">
            <v>邓成分</v>
          </cell>
          <cell r="T302">
            <v>1300</v>
          </cell>
        </row>
        <row r="303">
          <cell r="E303" t="str">
            <v>刘胜琼</v>
          </cell>
          <cell r="T303">
            <v>1200</v>
          </cell>
        </row>
        <row r="304">
          <cell r="E304" t="str">
            <v>陈文先</v>
          </cell>
          <cell r="T304">
            <v>1100</v>
          </cell>
        </row>
        <row r="305">
          <cell r="E305" t="str">
            <v>杨则琼</v>
          </cell>
          <cell r="T305">
            <v>1400</v>
          </cell>
        </row>
        <row r="306">
          <cell r="E306" t="str">
            <v>李培英</v>
          </cell>
          <cell r="T306">
            <v>1445.16129032258</v>
          </cell>
        </row>
        <row r="307">
          <cell r="E307" t="str">
            <v>陈永秀</v>
          </cell>
          <cell r="T307">
            <v>1200</v>
          </cell>
        </row>
        <row r="308">
          <cell r="E308" t="str">
            <v>李大英</v>
          </cell>
          <cell r="T308">
            <v>1161.2903225806499</v>
          </cell>
        </row>
        <row r="309">
          <cell r="E309" t="str">
            <v>范世琼</v>
          </cell>
          <cell r="T309">
            <v>1064.5161290322601</v>
          </cell>
        </row>
        <row r="310">
          <cell r="E310" t="str">
            <v>倪巧琼</v>
          </cell>
          <cell r="T310">
            <v>1300</v>
          </cell>
        </row>
        <row r="311">
          <cell r="E311" t="str">
            <v>颜香兰</v>
          </cell>
          <cell r="T311">
            <v>1200</v>
          </cell>
        </row>
        <row r="312">
          <cell r="E312" t="str">
            <v>刘治菊</v>
          </cell>
          <cell r="T312">
            <v>3000</v>
          </cell>
        </row>
        <row r="313">
          <cell r="E313" t="str">
            <v>陈珊珊</v>
          </cell>
        </row>
        <row r="314">
          <cell r="E314" t="str">
            <v>安家晴</v>
          </cell>
        </row>
        <row r="315">
          <cell r="E315" t="str">
            <v>刘雨佳</v>
          </cell>
          <cell r="T315">
            <v>1806.4516129032299</v>
          </cell>
        </row>
        <row r="316">
          <cell r="E316" t="str">
            <v>谢翠华</v>
          </cell>
        </row>
        <row r="317">
          <cell r="E317" t="str">
            <v>袁晓梅</v>
          </cell>
        </row>
        <row r="318">
          <cell r="E318" t="str">
            <v>孙鲜</v>
          </cell>
        </row>
        <row r="319">
          <cell r="E319" t="str">
            <v>陈春秀</v>
          </cell>
        </row>
        <row r="320">
          <cell r="E320" t="str">
            <v>郑晓芳</v>
          </cell>
        </row>
        <row r="321">
          <cell r="E321" t="str">
            <v>曾小凤</v>
          </cell>
          <cell r="T321">
            <v>2483.8709677419401</v>
          </cell>
        </row>
        <row r="322">
          <cell r="E322" t="str">
            <v>邹奇圻</v>
          </cell>
        </row>
        <row r="323">
          <cell r="E323" t="str">
            <v>路平</v>
          </cell>
        </row>
        <row r="324">
          <cell r="E324" t="str">
            <v>康丹</v>
          </cell>
        </row>
        <row r="325">
          <cell r="E325" t="str">
            <v>尹佩佩</v>
          </cell>
          <cell r="T325">
            <v>1774.1935483871</v>
          </cell>
        </row>
        <row r="326">
          <cell r="E326" t="str">
            <v>周柏燚</v>
          </cell>
        </row>
        <row r="327">
          <cell r="E327" t="str">
            <v>李文龙</v>
          </cell>
          <cell r="T327">
            <v>1129.03225806452</v>
          </cell>
        </row>
        <row r="328">
          <cell r="E328" t="str">
            <v>张文卓</v>
          </cell>
          <cell r="T328">
            <v>2258.0645161290299</v>
          </cell>
        </row>
        <row r="329">
          <cell r="E329" t="str">
            <v>曹煦菡</v>
          </cell>
        </row>
        <row r="330">
          <cell r="E330" t="str">
            <v>蹇雨珊</v>
          </cell>
        </row>
        <row r="331">
          <cell r="E331" t="str">
            <v>赵圆缘</v>
          </cell>
        </row>
        <row r="332">
          <cell r="E332" t="str">
            <v>李从丽</v>
          </cell>
        </row>
        <row r="333">
          <cell r="E333" t="str">
            <v>杨慧琳</v>
          </cell>
        </row>
        <row r="334">
          <cell r="E334" t="str">
            <v>袁琳育</v>
          </cell>
        </row>
        <row r="335">
          <cell r="E335" t="str">
            <v>蒲敏</v>
          </cell>
        </row>
        <row r="336">
          <cell r="E336" t="str">
            <v>黄芬</v>
          </cell>
        </row>
        <row r="337">
          <cell r="E337" t="str">
            <v>杨娇</v>
          </cell>
        </row>
        <row r="338">
          <cell r="E338" t="str">
            <v>郭芬</v>
          </cell>
        </row>
        <row r="339">
          <cell r="E339" t="str">
            <v>陈丽</v>
          </cell>
        </row>
      </sheetData>
      <sheetData sheetId="3"/>
      <sheetData sheetId="4">
        <row r="1">
          <cell r="AP1" t="str">
            <v>8月调整后同Q</v>
          </cell>
        </row>
        <row r="2">
          <cell r="AI2" t="str">
            <v>7月</v>
          </cell>
          <cell r="AP2" t="str">
            <v>7月</v>
          </cell>
        </row>
        <row r="3">
          <cell r="D3" t="str">
            <v>姓名</v>
          </cell>
          <cell r="L3" t="str">
            <v>请假</v>
          </cell>
          <cell r="W3" t="str">
            <v>少休补贴</v>
          </cell>
          <cell r="X3" t="str">
            <v>缺卡</v>
          </cell>
          <cell r="Y3" t="str">
            <v>迟到</v>
          </cell>
          <cell r="Z3" t="str">
            <v>全勤</v>
          </cell>
          <cell r="AB3" t="str">
            <v>学习期扣款</v>
          </cell>
          <cell r="AC3" t="str">
            <v>住宿</v>
          </cell>
          <cell r="AD3" t="str">
            <v>工作服</v>
          </cell>
          <cell r="AE3" t="str">
            <v>手机押金</v>
          </cell>
          <cell r="AI3" t="str">
            <v>当月培训</v>
          </cell>
          <cell r="AP3" t="str">
            <v>当月在店天数+正常休</v>
          </cell>
        </row>
        <row r="4">
          <cell r="D4" t="str">
            <v>易春梅</v>
          </cell>
          <cell r="W4">
            <v>0</v>
          </cell>
          <cell r="X4">
            <v>20</v>
          </cell>
          <cell r="AI4">
            <v>0</v>
          </cell>
          <cell r="AP4">
            <v>31</v>
          </cell>
        </row>
        <row r="5">
          <cell r="D5" t="str">
            <v>江玲</v>
          </cell>
          <cell r="W5">
            <v>0</v>
          </cell>
          <cell r="X5">
            <v>10</v>
          </cell>
          <cell r="AI5">
            <v>0</v>
          </cell>
          <cell r="AP5">
            <v>31</v>
          </cell>
        </row>
        <row r="6">
          <cell r="D6" t="str">
            <v>王瑞琳</v>
          </cell>
          <cell r="W6">
            <v>0</v>
          </cell>
          <cell r="X6">
            <v>20</v>
          </cell>
          <cell r="AI6">
            <v>0</v>
          </cell>
          <cell r="AP6">
            <v>31</v>
          </cell>
        </row>
        <row r="7">
          <cell r="D7" t="str">
            <v>黄小燕</v>
          </cell>
          <cell r="W7">
            <v>0</v>
          </cell>
          <cell r="Z7">
            <v>50</v>
          </cell>
          <cell r="AI7">
            <v>0</v>
          </cell>
          <cell r="AP7">
            <v>31</v>
          </cell>
        </row>
        <row r="8">
          <cell r="D8" t="str">
            <v>赵玉晓</v>
          </cell>
          <cell r="W8">
            <v>0</v>
          </cell>
          <cell r="AI8">
            <v>0</v>
          </cell>
          <cell r="AP8">
            <v>31</v>
          </cell>
        </row>
        <row r="9">
          <cell r="D9" t="str">
            <v>雷朝霞</v>
          </cell>
          <cell r="W9">
            <v>0</v>
          </cell>
          <cell r="AC9">
            <v>100</v>
          </cell>
          <cell r="AI9">
            <v>0</v>
          </cell>
          <cell r="AP9">
            <v>31</v>
          </cell>
        </row>
        <row r="10">
          <cell r="D10" t="str">
            <v>陈雪莲</v>
          </cell>
          <cell r="W10">
            <v>0</v>
          </cell>
          <cell r="AD10">
            <v>130</v>
          </cell>
          <cell r="AI10">
            <v>0</v>
          </cell>
          <cell r="AP10">
            <v>31</v>
          </cell>
        </row>
        <row r="11">
          <cell r="D11" t="str">
            <v>饶秋华</v>
          </cell>
          <cell r="W11">
            <v>0</v>
          </cell>
          <cell r="X11">
            <v>10</v>
          </cell>
          <cell r="AI11">
            <v>0</v>
          </cell>
          <cell r="AP11">
            <v>31</v>
          </cell>
        </row>
        <row r="12">
          <cell r="D12" t="str">
            <v>莫志英</v>
          </cell>
          <cell r="W12">
            <v>0</v>
          </cell>
          <cell r="AI12">
            <v>0</v>
          </cell>
          <cell r="AP12">
            <v>31</v>
          </cell>
        </row>
        <row r="13">
          <cell r="D13" t="str">
            <v>刘巧艳</v>
          </cell>
          <cell r="W13">
            <v>0</v>
          </cell>
          <cell r="AI13">
            <v>0</v>
          </cell>
          <cell r="AP13">
            <v>31</v>
          </cell>
        </row>
        <row r="14">
          <cell r="D14" t="str">
            <v>康红梅</v>
          </cell>
          <cell r="W14">
            <v>0</v>
          </cell>
          <cell r="Y14">
            <v>10</v>
          </cell>
          <cell r="AI14">
            <v>0</v>
          </cell>
          <cell r="AP14">
            <v>31</v>
          </cell>
        </row>
        <row r="15">
          <cell r="D15" t="str">
            <v>唐银春</v>
          </cell>
          <cell r="W15">
            <v>0</v>
          </cell>
          <cell r="Y15">
            <v>10</v>
          </cell>
          <cell r="AI15">
            <v>0</v>
          </cell>
          <cell r="AP15">
            <v>31</v>
          </cell>
        </row>
        <row r="16">
          <cell r="D16" t="str">
            <v>刘晓丽</v>
          </cell>
          <cell r="W16">
            <v>0</v>
          </cell>
          <cell r="X16">
            <v>10</v>
          </cell>
          <cell r="Y16">
            <v>10</v>
          </cell>
          <cell r="AI16">
            <v>0</v>
          </cell>
          <cell r="AP16">
            <v>31</v>
          </cell>
        </row>
        <row r="17">
          <cell r="D17" t="str">
            <v>熊艳</v>
          </cell>
          <cell r="W17">
            <v>0</v>
          </cell>
          <cell r="Z17">
            <v>50</v>
          </cell>
          <cell r="AI17">
            <v>0</v>
          </cell>
          <cell r="AP17">
            <v>31</v>
          </cell>
        </row>
        <row r="18">
          <cell r="D18" t="str">
            <v>任静</v>
          </cell>
          <cell r="W18">
            <v>0</v>
          </cell>
          <cell r="Y18">
            <v>10</v>
          </cell>
          <cell r="AC18">
            <v>100</v>
          </cell>
          <cell r="AI18">
            <v>0</v>
          </cell>
          <cell r="AP18">
            <v>31</v>
          </cell>
        </row>
        <row r="19">
          <cell r="D19" t="str">
            <v>吴琴</v>
          </cell>
          <cell r="W19">
            <v>0</v>
          </cell>
          <cell r="AI19">
            <v>0</v>
          </cell>
          <cell r="AP19">
            <v>31</v>
          </cell>
        </row>
        <row r="20">
          <cell r="D20" t="str">
            <v>陈红霞</v>
          </cell>
          <cell r="W20">
            <v>0</v>
          </cell>
          <cell r="Y20">
            <v>10</v>
          </cell>
          <cell r="AI20">
            <v>0</v>
          </cell>
          <cell r="AP20">
            <v>31</v>
          </cell>
        </row>
        <row r="21">
          <cell r="D21" t="str">
            <v>廖增珍</v>
          </cell>
          <cell r="W21">
            <v>0</v>
          </cell>
          <cell r="AB21">
            <v>1211</v>
          </cell>
          <cell r="AE21">
            <v>300</v>
          </cell>
          <cell r="AI21">
            <v>0</v>
          </cell>
          <cell r="AP21">
            <v>26</v>
          </cell>
        </row>
        <row r="22">
          <cell r="D22" t="str">
            <v>李春华</v>
          </cell>
          <cell r="W22">
            <v>0</v>
          </cell>
          <cell r="Z22">
            <v>50</v>
          </cell>
          <cell r="AI22">
            <v>0</v>
          </cell>
          <cell r="AP22">
            <v>31</v>
          </cell>
        </row>
        <row r="23">
          <cell r="D23" t="str">
            <v>张候敏</v>
          </cell>
          <cell r="W23">
            <v>0</v>
          </cell>
          <cell r="Z23">
            <v>50</v>
          </cell>
          <cell r="AI23">
            <v>0</v>
          </cell>
          <cell r="AP23">
            <v>31</v>
          </cell>
        </row>
        <row r="24">
          <cell r="D24" t="str">
            <v>赵小红</v>
          </cell>
          <cell r="W24">
            <v>0</v>
          </cell>
          <cell r="X24">
            <v>10</v>
          </cell>
          <cell r="AI24">
            <v>0</v>
          </cell>
          <cell r="AP24">
            <v>31</v>
          </cell>
        </row>
        <row r="25">
          <cell r="D25" t="str">
            <v>彭龙惠</v>
          </cell>
          <cell r="W25">
            <v>0</v>
          </cell>
          <cell r="AI25">
            <v>0</v>
          </cell>
          <cell r="AP25">
            <v>31</v>
          </cell>
        </row>
        <row r="26">
          <cell r="D26" t="str">
            <v>邓雪梅</v>
          </cell>
          <cell r="W26">
            <v>0</v>
          </cell>
          <cell r="AI26">
            <v>0</v>
          </cell>
          <cell r="AP26">
            <v>31</v>
          </cell>
        </row>
        <row r="27">
          <cell r="D27" t="str">
            <v>高雪</v>
          </cell>
          <cell r="W27">
            <v>0</v>
          </cell>
          <cell r="AI27">
            <v>0</v>
          </cell>
          <cell r="AP27">
            <v>31</v>
          </cell>
        </row>
        <row r="28">
          <cell r="D28" t="str">
            <v>何婷</v>
          </cell>
          <cell r="W28">
            <v>0</v>
          </cell>
          <cell r="X28">
            <v>10</v>
          </cell>
          <cell r="AI28">
            <v>0</v>
          </cell>
          <cell r="AP28">
            <v>31</v>
          </cell>
        </row>
        <row r="29">
          <cell r="D29" t="str">
            <v>刘慧</v>
          </cell>
          <cell r="W29">
            <v>0</v>
          </cell>
          <cell r="X29">
            <v>20</v>
          </cell>
          <cell r="AI29">
            <v>0</v>
          </cell>
          <cell r="AP29">
            <v>31</v>
          </cell>
        </row>
        <row r="30">
          <cell r="D30" t="str">
            <v>秦亚平</v>
          </cell>
          <cell r="W30">
            <v>0</v>
          </cell>
          <cell r="X30">
            <v>20</v>
          </cell>
          <cell r="AI30">
            <v>0</v>
          </cell>
          <cell r="AP30">
            <v>31</v>
          </cell>
        </row>
        <row r="31">
          <cell r="D31" t="str">
            <v>谭莹</v>
          </cell>
          <cell r="W31">
            <v>0</v>
          </cell>
          <cell r="Z31">
            <v>50</v>
          </cell>
          <cell r="AI31">
            <v>0</v>
          </cell>
          <cell r="AP31">
            <v>31</v>
          </cell>
        </row>
        <row r="32">
          <cell r="D32" t="str">
            <v>张芮</v>
          </cell>
          <cell r="W32">
            <v>0</v>
          </cell>
          <cell r="Z32">
            <v>50</v>
          </cell>
          <cell r="AI32">
            <v>0</v>
          </cell>
          <cell r="AP32">
            <v>31</v>
          </cell>
        </row>
        <row r="33">
          <cell r="D33" t="str">
            <v>张元琼</v>
          </cell>
          <cell r="W33">
            <v>0</v>
          </cell>
          <cell r="Z33">
            <v>50</v>
          </cell>
          <cell r="AI33">
            <v>0</v>
          </cell>
          <cell r="AP33">
            <v>31</v>
          </cell>
        </row>
        <row r="34">
          <cell r="D34" t="str">
            <v>王依蕊</v>
          </cell>
          <cell r="W34">
            <v>0</v>
          </cell>
          <cell r="X34">
            <v>10</v>
          </cell>
          <cell r="AI34">
            <v>0</v>
          </cell>
          <cell r="AP34">
            <v>25</v>
          </cell>
        </row>
        <row r="35">
          <cell r="D35" t="str">
            <v>向郑瑶</v>
          </cell>
          <cell r="W35">
            <v>0</v>
          </cell>
          <cell r="X35">
            <v>120</v>
          </cell>
          <cell r="AI35">
            <v>0</v>
          </cell>
          <cell r="AP35">
            <v>31</v>
          </cell>
        </row>
        <row r="36">
          <cell r="D36" t="str">
            <v>唐容</v>
          </cell>
          <cell r="W36">
            <v>0</v>
          </cell>
          <cell r="AI36">
            <v>0</v>
          </cell>
          <cell r="AP36">
            <v>31</v>
          </cell>
        </row>
        <row r="37">
          <cell r="D37" t="str">
            <v>叶文娟</v>
          </cell>
          <cell r="W37">
            <v>0</v>
          </cell>
          <cell r="X37">
            <v>150</v>
          </cell>
          <cell r="AI37">
            <v>0</v>
          </cell>
          <cell r="AP37">
            <v>31</v>
          </cell>
        </row>
        <row r="38">
          <cell r="D38" t="str">
            <v>邹福贞</v>
          </cell>
          <cell r="W38">
            <v>0</v>
          </cell>
          <cell r="X38">
            <v>10</v>
          </cell>
          <cell r="AI38">
            <v>0</v>
          </cell>
          <cell r="AP38">
            <v>31</v>
          </cell>
        </row>
        <row r="39">
          <cell r="D39" t="str">
            <v>陈怡名</v>
          </cell>
          <cell r="W39">
            <v>0</v>
          </cell>
          <cell r="Y39">
            <v>10</v>
          </cell>
          <cell r="AI39">
            <v>0</v>
          </cell>
          <cell r="AP39">
            <v>31</v>
          </cell>
        </row>
        <row r="40">
          <cell r="D40" t="str">
            <v>张丽</v>
          </cell>
          <cell r="W40">
            <v>0</v>
          </cell>
          <cell r="AI40">
            <v>0</v>
          </cell>
          <cell r="AP40">
            <v>31</v>
          </cell>
        </row>
        <row r="41">
          <cell r="D41" t="str">
            <v>杨金花</v>
          </cell>
          <cell r="W41">
            <v>0</v>
          </cell>
          <cell r="Z41">
            <v>50</v>
          </cell>
          <cell r="AI41">
            <v>0</v>
          </cell>
          <cell r="AP41">
            <v>31</v>
          </cell>
        </row>
        <row r="42">
          <cell r="D42" t="str">
            <v>樊琳</v>
          </cell>
          <cell r="W42">
            <v>0</v>
          </cell>
          <cell r="X42">
            <v>10</v>
          </cell>
          <cell r="AI42">
            <v>0</v>
          </cell>
          <cell r="AP42">
            <v>31</v>
          </cell>
        </row>
        <row r="43">
          <cell r="D43" t="str">
            <v>董顺秀</v>
          </cell>
          <cell r="W43">
            <v>0</v>
          </cell>
          <cell r="X43">
            <v>10</v>
          </cell>
          <cell r="AI43">
            <v>0</v>
          </cell>
          <cell r="AP43">
            <v>31</v>
          </cell>
        </row>
        <row r="44">
          <cell r="D44" t="str">
            <v>陈建蓉</v>
          </cell>
          <cell r="W44">
            <v>0</v>
          </cell>
          <cell r="X44">
            <v>10</v>
          </cell>
          <cell r="AI44">
            <v>0</v>
          </cell>
          <cell r="AP44">
            <v>31</v>
          </cell>
        </row>
        <row r="45">
          <cell r="D45" t="str">
            <v>王娇</v>
          </cell>
          <cell r="W45">
            <v>0</v>
          </cell>
          <cell r="Z45">
            <v>50</v>
          </cell>
          <cell r="AC45">
            <v>100</v>
          </cell>
          <cell r="AI45">
            <v>0</v>
          </cell>
          <cell r="AP45">
            <v>31</v>
          </cell>
        </row>
        <row r="46">
          <cell r="D46" t="str">
            <v>黎茂婷</v>
          </cell>
          <cell r="W46">
            <v>0</v>
          </cell>
          <cell r="Z46">
            <v>50</v>
          </cell>
          <cell r="AI46">
            <v>0</v>
          </cell>
          <cell r="AP46">
            <v>31</v>
          </cell>
        </row>
        <row r="47">
          <cell r="D47" t="str">
            <v>张艳秋</v>
          </cell>
          <cell r="W47">
            <v>0</v>
          </cell>
          <cell r="X47">
            <v>120</v>
          </cell>
          <cell r="Y47">
            <v>30</v>
          </cell>
          <cell r="AI47">
            <v>0</v>
          </cell>
          <cell r="AP47">
            <v>31</v>
          </cell>
        </row>
        <row r="48">
          <cell r="D48" t="str">
            <v>陈小琴</v>
          </cell>
          <cell r="W48">
            <v>0</v>
          </cell>
          <cell r="X48">
            <v>10</v>
          </cell>
          <cell r="AI48">
            <v>0</v>
          </cell>
          <cell r="AP48">
            <v>31</v>
          </cell>
        </row>
        <row r="49">
          <cell r="D49" t="str">
            <v>刘恬恬</v>
          </cell>
          <cell r="W49">
            <v>0</v>
          </cell>
          <cell r="AI49">
            <v>0</v>
          </cell>
          <cell r="AP49">
            <v>31</v>
          </cell>
        </row>
        <row r="50">
          <cell r="D50" t="str">
            <v>苟小春</v>
          </cell>
          <cell r="W50">
            <v>0</v>
          </cell>
          <cell r="X50">
            <v>10</v>
          </cell>
          <cell r="AI50">
            <v>0</v>
          </cell>
          <cell r="AP50">
            <v>31</v>
          </cell>
        </row>
        <row r="51">
          <cell r="D51" t="str">
            <v>李燕</v>
          </cell>
          <cell r="W51">
            <v>0</v>
          </cell>
          <cell r="Z51">
            <v>50</v>
          </cell>
          <cell r="AI51">
            <v>0</v>
          </cell>
          <cell r="AP51">
            <v>31</v>
          </cell>
        </row>
        <row r="52">
          <cell r="D52" t="str">
            <v>张小华</v>
          </cell>
          <cell r="W52">
            <v>0</v>
          </cell>
          <cell r="X52">
            <v>10</v>
          </cell>
          <cell r="AI52">
            <v>0</v>
          </cell>
          <cell r="AP52">
            <v>31</v>
          </cell>
        </row>
        <row r="53">
          <cell r="D53" t="str">
            <v>王任燕</v>
          </cell>
          <cell r="W53">
            <v>0</v>
          </cell>
          <cell r="AI53">
            <v>0</v>
          </cell>
          <cell r="AP53">
            <v>31</v>
          </cell>
        </row>
        <row r="54">
          <cell r="D54" t="str">
            <v>陈萍</v>
          </cell>
          <cell r="W54">
            <v>0</v>
          </cell>
          <cell r="Z54">
            <v>50</v>
          </cell>
          <cell r="AI54">
            <v>0</v>
          </cell>
          <cell r="AP54">
            <v>31</v>
          </cell>
        </row>
        <row r="55">
          <cell r="D55" t="str">
            <v>吴敏</v>
          </cell>
          <cell r="W55">
            <v>0</v>
          </cell>
          <cell r="AD55">
            <v>530</v>
          </cell>
          <cell r="AI55">
            <v>0</v>
          </cell>
          <cell r="AP55">
            <v>31</v>
          </cell>
        </row>
        <row r="56">
          <cell r="D56" t="str">
            <v>陈佳丽</v>
          </cell>
          <cell r="W56">
            <v>0</v>
          </cell>
          <cell r="AI56">
            <v>0</v>
          </cell>
          <cell r="AP56">
            <v>31</v>
          </cell>
        </row>
        <row r="57">
          <cell r="D57" t="str">
            <v>康钦</v>
          </cell>
          <cell r="W57">
            <v>0</v>
          </cell>
          <cell r="X57">
            <v>20</v>
          </cell>
          <cell r="AI57">
            <v>0</v>
          </cell>
          <cell r="AP57">
            <v>31</v>
          </cell>
        </row>
        <row r="58">
          <cell r="D58" t="str">
            <v>聂娟</v>
          </cell>
          <cell r="W58">
            <v>0</v>
          </cell>
          <cell r="Z58">
            <v>50</v>
          </cell>
          <cell r="AI58">
            <v>0</v>
          </cell>
          <cell r="AP58">
            <v>31</v>
          </cell>
        </row>
        <row r="59">
          <cell r="D59" t="str">
            <v>马菁</v>
          </cell>
          <cell r="W59">
            <v>0</v>
          </cell>
          <cell r="Z59">
            <v>50</v>
          </cell>
          <cell r="AI59">
            <v>0</v>
          </cell>
          <cell r="AP59">
            <v>31</v>
          </cell>
        </row>
        <row r="60">
          <cell r="D60" t="str">
            <v>徐睦垚</v>
          </cell>
          <cell r="W60">
            <v>0</v>
          </cell>
          <cell r="AI60">
            <v>0</v>
          </cell>
          <cell r="AP60">
            <v>31</v>
          </cell>
        </row>
        <row r="61">
          <cell r="D61" t="str">
            <v>达哇卓玛</v>
          </cell>
          <cell r="L61">
            <v>2</v>
          </cell>
          <cell r="W61">
            <v>0</v>
          </cell>
          <cell r="AI61">
            <v>0</v>
          </cell>
          <cell r="AP61">
            <v>29</v>
          </cell>
        </row>
        <row r="62">
          <cell r="D62" t="str">
            <v>曾雨晴</v>
          </cell>
          <cell r="W62">
            <v>0</v>
          </cell>
          <cell r="Y62">
            <v>10</v>
          </cell>
          <cell r="AI62">
            <v>0</v>
          </cell>
          <cell r="AP62">
            <v>31</v>
          </cell>
        </row>
        <row r="63">
          <cell r="D63" t="str">
            <v>但红玉</v>
          </cell>
          <cell r="W63">
            <v>0</v>
          </cell>
          <cell r="AI63">
            <v>0</v>
          </cell>
          <cell r="AP63">
            <v>31</v>
          </cell>
        </row>
        <row r="64">
          <cell r="D64" t="str">
            <v>梁缘缘</v>
          </cell>
          <cell r="W64">
            <v>0</v>
          </cell>
          <cell r="X64">
            <v>10</v>
          </cell>
          <cell r="AI64">
            <v>0</v>
          </cell>
          <cell r="AP64">
            <v>31</v>
          </cell>
        </row>
        <row r="65">
          <cell r="D65" t="str">
            <v>李萱君</v>
          </cell>
          <cell r="W65">
            <v>0</v>
          </cell>
          <cell r="AI65">
            <v>0</v>
          </cell>
          <cell r="AP65">
            <v>31</v>
          </cell>
        </row>
        <row r="66">
          <cell r="D66" t="str">
            <v>李思忆</v>
          </cell>
          <cell r="W66">
            <v>0</v>
          </cell>
          <cell r="X66">
            <v>20</v>
          </cell>
          <cell r="AE66">
            <v>300</v>
          </cell>
          <cell r="AI66">
            <v>0</v>
          </cell>
          <cell r="AP66">
            <v>31</v>
          </cell>
        </row>
        <row r="67">
          <cell r="D67" t="str">
            <v>赵情情</v>
          </cell>
          <cell r="W67">
            <v>0</v>
          </cell>
          <cell r="AI67">
            <v>0</v>
          </cell>
          <cell r="AP67">
            <v>31</v>
          </cell>
        </row>
        <row r="68">
          <cell r="D68" t="str">
            <v>曹悦</v>
          </cell>
          <cell r="W68">
            <v>0</v>
          </cell>
          <cell r="AC68">
            <v>100</v>
          </cell>
          <cell r="AI68">
            <v>0</v>
          </cell>
          <cell r="AP68">
            <v>31</v>
          </cell>
        </row>
        <row r="69">
          <cell r="D69" t="str">
            <v>吴飞雁</v>
          </cell>
          <cell r="W69">
            <v>0</v>
          </cell>
          <cell r="AC69">
            <v>100</v>
          </cell>
          <cell r="AI69">
            <v>0</v>
          </cell>
          <cell r="AP69">
            <v>31</v>
          </cell>
        </row>
        <row r="70">
          <cell r="D70" t="str">
            <v>尹桂香</v>
          </cell>
          <cell r="W70">
            <v>0</v>
          </cell>
          <cell r="X70">
            <v>10</v>
          </cell>
          <cell r="AI70">
            <v>0</v>
          </cell>
          <cell r="AP70">
            <v>31</v>
          </cell>
        </row>
        <row r="71">
          <cell r="D71" t="str">
            <v>张小娟</v>
          </cell>
          <cell r="W71">
            <v>0</v>
          </cell>
          <cell r="X71">
            <v>10</v>
          </cell>
          <cell r="AI71">
            <v>0</v>
          </cell>
          <cell r="AP71">
            <v>31</v>
          </cell>
        </row>
        <row r="72">
          <cell r="D72" t="str">
            <v>刘安琼</v>
          </cell>
          <cell r="W72">
            <v>0</v>
          </cell>
          <cell r="X72">
            <v>20</v>
          </cell>
          <cell r="AI72">
            <v>0</v>
          </cell>
          <cell r="AP72">
            <v>31</v>
          </cell>
        </row>
        <row r="73">
          <cell r="D73" t="str">
            <v>刘晓林</v>
          </cell>
          <cell r="W73">
            <v>0</v>
          </cell>
          <cell r="Y73">
            <v>30</v>
          </cell>
          <cell r="AD73">
            <v>530</v>
          </cell>
          <cell r="AI73">
            <v>0</v>
          </cell>
          <cell r="AP73">
            <v>31</v>
          </cell>
        </row>
        <row r="74">
          <cell r="D74" t="str">
            <v>李巧娇</v>
          </cell>
          <cell r="W74">
            <v>20</v>
          </cell>
          <cell r="AI74">
            <v>0</v>
          </cell>
          <cell r="AP74">
            <v>31</v>
          </cell>
        </row>
        <row r="75">
          <cell r="D75" t="str">
            <v>林萍</v>
          </cell>
          <cell r="W75">
            <v>0</v>
          </cell>
          <cell r="Z75">
            <v>50</v>
          </cell>
          <cell r="AI75">
            <v>0</v>
          </cell>
          <cell r="AP75">
            <v>31</v>
          </cell>
        </row>
        <row r="76">
          <cell r="D76" t="str">
            <v>罗雪</v>
          </cell>
          <cell r="W76">
            <v>0</v>
          </cell>
          <cell r="X76">
            <v>90</v>
          </cell>
          <cell r="Y76">
            <v>40</v>
          </cell>
          <cell r="AE76">
            <v>300</v>
          </cell>
          <cell r="AI76">
            <v>0</v>
          </cell>
          <cell r="AP76">
            <v>31</v>
          </cell>
        </row>
        <row r="77">
          <cell r="D77" t="str">
            <v>唐宇欣</v>
          </cell>
          <cell r="W77">
            <v>0</v>
          </cell>
          <cell r="X77">
            <v>10</v>
          </cell>
          <cell r="AI77">
            <v>0</v>
          </cell>
          <cell r="AP77">
            <v>31</v>
          </cell>
        </row>
        <row r="78">
          <cell r="D78" t="str">
            <v>李萌</v>
          </cell>
          <cell r="W78">
            <v>0</v>
          </cell>
          <cell r="X78">
            <v>90</v>
          </cell>
          <cell r="AC78">
            <v>100</v>
          </cell>
          <cell r="AI78">
            <v>0</v>
          </cell>
          <cell r="AP78">
            <v>31</v>
          </cell>
        </row>
        <row r="79">
          <cell r="D79" t="str">
            <v>王如意</v>
          </cell>
          <cell r="W79">
            <v>0</v>
          </cell>
          <cell r="AC79">
            <v>100</v>
          </cell>
          <cell r="AI79">
            <v>0</v>
          </cell>
          <cell r="AP79">
            <v>31</v>
          </cell>
        </row>
        <row r="80">
          <cell r="D80" t="str">
            <v>柳全菊</v>
          </cell>
          <cell r="W80">
            <v>0</v>
          </cell>
          <cell r="Z80">
            <v>50</v>
          </cell>
          <cell r="AI80">
            <v>0</v>
          </cell>
          <cell r="AP80">
            <v>31</v>
          </cell>
        </row>
        <row r="81">
          <cell r="D81" t="str">
            <v>何琼华</v>
          </cell>
          <cell r="W81">
            <v>0</v>
          </cell>
          <cell r="X81">
            <v>10</v>
          </cell>
          <cell r="AI81">
            <v>0</v>
          </cell>
          <cell r="AP81">
            <v>31</v>
          </cell>
        </row>
        <row r="82">
          <cell r="D82" t="str">
            <v>蒋圆圆</v>
          </cell>
          <cell r="W82">
            <v>0</v>
          </cell>
          <cell r="AI82">
            <v>0</v>
          </cell>
          <cell r="AP82">
            <v>31</v>
          </cell>
        </row>
        <row r="83">
          <cell r="D83" t="str">
            <v>顾红艳</v>
          </cell>
          <cell r="W83">
            <v>0</v>
          </cell>
          <cell r="Y83">
            <v>30</v>
          </cell>
          <cell r="AI83">
            <v>0</v>
          </cell>
          <cell r="AP83">
            <v>31</v>
          </cell>
        </row>
        <row r="84">
          <cell r="D84" t="str">
            <v>郭小丽</v>
          </cell>
          <cell r="W84">
            <v>0</v>
          </cell>
          <cell r="Z84">
            <v>50</v>
          </cell>
          <cell r="AI84">
            <v>0</v>
          </cell>
          <cell r="AP84">
            <v>31</v>
          </cell>
        </row>
        <row r="85">
          <cell r="D85" t="str">
            <v>梁婷</v>
          </cell>
          <cell r="W85">
            <v>0</v>
          </cell>
          <cell r="AC85">
            <v>100</v>
          </cell>
          <cell r="AI85">
            <v>0</v>
          </cell>
          <cell r="AP85">
            <v>31</v>
          </cell>
        </row>
        <row r="86">
          <cell r="D86" t="str">
            <v>雷娜婷</v>
          </cell>
          <cell r="W86">
            <v>0</v>
          </cell>
          <cell r="AI86">
            <v>0</v>
          </cell>
          <cell r="AP86">
            <v>31</v>
          </cell>
        </row>
        <row r="87">
          <cell r="D87" t="str">
            <v>叶美霞</v>
          </cell>
          <cell r="L87">
            <v>2</v>
          </cell>
          <cell r="W87">
            <v>0</v>
          </cell>
          <cell r="AB87">
            <v>1000</v>
          </cell>
          <cell r="AE87">
            <v>300</v>
          </cell>
          <cell r="AI87">
            <v>0</v>
          </cell>
          <cell r="AP87">
            <v>15</v>
          </cell>
        </row>
        <row r="88">
          <cell r="D88" t="str">
            <v>秦娜</v>
          </cell>
          <cell r="L88">
            <v>1</v>
          </cell>
          <cell r="W88">
            <v>0</v>
          </cell>
          <cell r="X88">
            <v>20</v>
          </cell>
          <cell r="AI88">
            <v>0</v>
          </cell>
          <cell r="AP88">
            <v>30</v>
          </cell>
        </row>
        <row r="89">
          <cell r="D89" t="str">
            <v>牟光燕</v>
          </cell>
          <cell r="W89">
            <v>0</v>
          </cell>
          <cell r="X89">
            <v>90</v>
          </cell>
          <cell r="AI89">
            <v>0</v>
          </cell>
          <cell r="AP89">
            <v>31</v>
          </cell>
        </row>
        <row r="90">
          <cell r="D90" t="str">
            <v>王萍</v>
          </cell>
          <cell r="W90">
            <v>0</v>
          </cell>
          <cell r="AI90">
            <v>0</v>
          </cell>
          <cell r="AP90">
            <v>31</v>
          </cell>
        </row>
        <row r="91">
          <cell r="D91" t="str">
            <v>胡红琳</v>
          </cell>
          <cell r="W91">
            <v>0</v>
          </cell>
          <cell r="AC91">
            <v>100</v>
          </cell>
          <cell r="AI91">
            <v>0</v>
          </cell>
          <cell r="AP91">
            <v>31</v>
          </cell>
        </row>
        <row r="92">
          <cell r="D92" t="str">
            <v>谢娟</v>
          </cell>
          <cell r="W92">
            <v>0</v>
          </cell>
          <cell r="Z92">
            <v>50</v>
          </cell>
          <cell r="AC92">
            <v>100</v>
          </cell>
          <cell r="AI92">
            <v>0</v>
          </cell>
          <cell r="AP92">
            <v>31</v>
          </cell>
        </row>
        <row r="93">
          <cell r="D93" t="str">
            <v>陈美合</v>
          </cell>
          <cell r="W93">
            <v>0</v>
          </cell>
          <cell r="X93">
            <v>10</v>
          </cell>
          <cell r="AC93">
            <v>100</v>
          </cell>
          <cell r="AI93">
            <v>0</v>
          </cell>
          <cell r="AP93">
            <v>31</v>
          </cell>
        </row>
        <row r="94">
          <cell r="D94" t="str">
            <v>郝莉娜</v>
          </cell>
          <cell r="W94">
            <v>0</v>
          </cell>
          <cell r="X94">
            <v>20</v>
          </cell>
          <cell r="AI94">
            <v>0</v>
          </cell>
          <cell r="AP94">
            <v>31</v>
          </cell>
        </row>
        <row r="95">
          <cell r="D95" t="str">
            <v>邓丽莉</v>
          </cell>
          <cell r="W95">
            <v>0</v>
          </cell>
          <cell r="X95">
            <v>90</v>
          </cell>
          <cell r="AI95">
            <v>0</v>
          </cell>
          <cell r="AP95">
            <v>31</v>
          </cell>
        </row>
        <row r="96">
          <cell r="D96" t="str">
            <v>张明艳</v>
          </cell>
          <cell r="W96">
            <v>0</v>
          </cell>
          <cell r="AI96">
            <v>0</v>
          </cell>
          <cell r="AP96">
            <v>31</v>
          </cell>
        </row>
        <row r="97">
          <cell r="D97" t="str">
            <v>马宏梅</v>
          </cell>
          <cell r="W97">
            <v>0</v>
          </cell>
          <cell r="AI97">
            <v>0</v>
          </cell>
          <cell r="AP97">
            <v>31</v>
          </cell>
        </row>
        <row r="98">
          <cell r="D98" t="str">
            <v>陈洁</v>
          </cell>
          <cell r="W98">
            <v>0</v>
          </cell>
          <cell r="X98">
            <v>10</v>
          </cell>
          <cell r="AI98">
            <v>0</v>
          </cell>
          <cell r="AP98">
            <v>31</v>
          </cell>
        </row>
        <row r="99">
          <cell r="D99" t="str">
            <v>郑加焕</v>
          </cell>
          <cell r="W99">
            <v>0</v>
          </cell>
          <cell r="X99">
            <v>90</v>
          </cell>
          <cell r="AI99">
            <v>0</v>
          </cell>
          <cell r="AP99">
            <v>31</v>
          </cell>
        </row>
        <row r="100">
          <cell r="D100" t="str">
            <v>侯英</v>
          </cell>
          <cell r="W100">
            <v>0</v>
          </cell>
          <cell r="AI100">
            <v>0</v>
          </cell>
          <cell r="AP100">
            <v>31</v>
          </cell>
        </row>
        <row r="101">
          <cell r="D101" t="str">
            <v>谢德芳</v>
          </cell>
          <cell r="W101">
            <v>0</v>
          </cell>
          <cell r="X101">
            <v>90</v>
          </cell>
          <cell r="AI101">
            <v>0</v>
          </cell>
          <cell r="AP101">
            <v>31</v>
          </cell>
        </row>
        <row r="102">
          <cell r="D102" t="str">
            <v>蒲草</v>
          </cell>
          <cell r="W102">
            <v>0</v>
          </cell>
          <cell r="X102">
            <v>90</v>
          </cell>
          <cell r="AI102">
            <v>0</v>
          </cell>
          <cell r="AP102">
            <v>31</v>
          </cell>
        </row>
        <row r="103">
          <cell r="D103" t="str">
            <v>郑华跃</v>
          </cell>
          <cell r="W103">
            <v>0</v>
          </cell>
          <cell r="AI103">
            <v>0</v>
          </cell>
          <cell r="AP103">
            <v>31</v>
          </cell>
        </row>
        <row r="104">
          <cell r="D104" t="str">
            <v>李茂</v>
          </cell>
          <cell r="W104">
            <v>0</v>
          </cell>
          <cell r="X104">
            <v>20</v>
          </cell>
          <cell r="AI104">
            <v>0</v>
          </cell>
          <cell r="AP104">
            <v>31</v>
          </cell>
        </row>
        <row r="105">
          <cell r="D105" t="str">
            <v>孙红梅</v>
          </cell>
          <cell r="W105">
            <v>0</v>
          </cell>
          <cell r="Z105">
            <v>50</v>
          </cell>
          <cell r="AI105">
            <v>0</v>
          </cell>
          <cell r="AP105">
            <v>31</v>
          </cell>
        </row>
        <row r="106">
          <cell r="D106" t="str">
            <v>黎红花</v>
          </cell>
          <cell r="W106">
            <v>0</v>
          </cell>
          <cell r="AI106">
            <v>0</v>
          </cell>
          <cell r="AP106">
            <v>31</v>
          </cell>
        </row>
        <row r="107">
          <cell r="D107" t="str">
            <v>蒲艳婷</v>
          </cell>
          <cell r="W107">
            <v>0</v>
          </cell>
          <cell r="AI107">
            <v>0</v>
          </cell>
          <cell r="AP107">
            <v>31</v>
          </cell>
        </row>
        <row r="108">
          <cell r="D108" t="str">
            <v>刘帆</v>
          </cell>
          <cell r="W108">
            <v>0</v>
          </cell>
          <cell r="AI108">
            <v>0</v>
          </cell>
          <cell r="AP108">
            <v>31</v>
          </cell>
        </row>
        <row r="109">
          <cell r="D109" t="str">
            <v>杨艳</v>
          </cell>
          <cell r="W109">
            <v>0</v>
          </cell>
          <cell r="AB109">
            <v>900</v>
          </cell>
          <cell r="AE109">
            <v>300</v>
          </cell>
          <cell r="AI109">
            <v>0</v>
          </cell>
          <cell r="AP109">
            <v>31</v>
          </cell>
        </row>
        <row r="110">
          <cell r="D110" t="str">
            <v>肖静梅</v>
          </cell>
          <cell r="W110">
            <v>0</v>
          </cell>
          <cell r="X110">
            <v>180</v>
          </cell>
          <cell r="Y110">
            <v>10</v>
          </cell>
          <cell r="AI110">
            <v>0</v>
          </cell>
          <cell r="AP110">
            <v>31</v>
          </cell>
        </row>
        <row r="111">
          <cell r="D111" t="str">
            <v>王晓琳</v>
          </cell>
          <cell r="W111">
            <v>0</v>
          </cell>
          <cell r="AI111">
            <v>0</v>
          </cell>
          <cell r="AP111">
            <v>31</v>
          </cell>
        </row>
        <row r="112">
          <cell r="D112" t="str">
            <v>彭措志玛</v>
          </cell>
          <cell r="W112">
            <v>0</v>
          </cell>
          <cell r="AC112">
            <v>100</v>
          </cell>
          <cell r="AI112">
            <v>0</v>
          </cell>
          <cell r="AP112">
            <v>31</v>
          </cell>
        </row>
        <row r="113">
          <cell r="D113" t="str">
            <v>郝中南</v>
          </cell>
          <cell r="W113">
            <v>0</v>
          </cell>
          <cell r="X113">
            <v>20</v>
          </cell>
          <cell r="AC113">
            <v>100</v>
          </cell>
          <cell r="AE113">
            <v>300</v>
          </cell>
          <cell r="AI113">
            <v>0</v>
          </cell>
          <cell r="AP113">
            <v>31</v>
          </cell>
        </row>
        <row r="114">
          <cell r="D114" t="str">
            <v>冉芳霞</v>
          </cell>
          <cell r="W114">
            <v>0</v>
          </cell>
          <cell r="Z114">
            <v>50</v>
          </cell>
          <cell r="AI114">
            <v>0</v>
          </cell>
          <cell r="AP114">
            <v>31</v>
          </cell>
        </row>
        <row r="115">
          <cell r="D115" t="str">
            <v>谭萍</v>
          </cell>
          <cell r="W115">
            <v>0</v>
          </cell>
          <cell r="X115">
            <v>20</v>
          </cell>
          <cell r="AC115">
            <v>100</v>
          </cell>
          <cell r="AI115">
            <v>0</v>
          </cell>
          <cell r="AP115">
            <v>31</v>
          </cell>
        </row>
        <row r="116">
          <cell r="D116" t="str">
            <v>陈琳</v>
          </cell>
          <cell r="W116">
            <v>0</v>
          </cell>
          <cell r="X116">
            <v>10</v>
          </cell>
          <cell r="AI116">
            <v>0</v>
          </cell>
          <cell r="AP116">
            <v>15</v>
          </cell>
        </row>
        <row r="117">
          <cell r="D117" t="str">
            <v>罗湘湘</v>
          </cell>
          <cell r="W117">
            <v>0</v>
          </cell>
          <cell r="X117">
            <v>10</v>
          </cell>
          <cell r="Y117">
            <v>20</v>
          </cell>
          <cell r="AI117">
            <v>0</v>
          </cell>
          <cell r="AP117">
            <v>31</v>
          </cell>
        </row>
        <row r="118">
          <cell r="D118" t="str">
            <v>唐玉芳</v>
          </cell>
          <cell r="W118">
            <v>0</v>
          </cell>
          <cell r="AI118">
            <v>0</v>
          </cell>
          <cell r="AP118">
            <v>31</v>
          </cell>
        </row>
        <row r="119">
          <cell r="D119" t="str">
            <v>雷怡</v>
          </cell>
          <cell r="W119">
            <v>0</v>
          </cell>
          <cell r="AI119">
            <v>0</v>
          </cell>
          <cell r="AP119">
            <v>31</v>
          </cell>
        </row>
        <row r="120">
          <cell r="D120" t="str">
            <v>龙巧云</v>
          </cell>
          <cell r="W120">
            <v>0</v>
          </cell>
          <cell r="AI120">
            <v>0</v>
          </cell>
          <cell r="AP120">
            <v>31</v>
          </cell>
        </row>
        <row r="121">
          <cell r="D121" t="str">
            <v>张勤</v>
          </cell>
          <cell r="W121">
            <v>0</v>
          </cell>
          <cell r="X121">
            <v>10</v>
          </cell>
          <cell r="AI121">
            <v>0</v>
          </cell>
          <cell r="AP121">
            <v>31</v>
          </cell>
        </row>
        <row r="122">
          <cell r="D122" t="str">
            <v>刘裕琼</v>
          </cell>
          <cell r="W122">
            <v>0</v>
          </cell>
          <cell r="Z122">
            <v>50</v>
          </cell>
          <cell r="AI122">
            <v>0</v>
          </cell>
          <cell r="AP122">
            <v>31</v>
          </cell>
        </row>
        <row r="123">
          <cell r="D123" t="str">
            <v>唐施语</v>
          </cell>
          <cell r="W123">
            <v>0</v>
          </cell>
          <cell r="AI123">
            <v>0</v>
          </cell>
          <cell r="AP123">
            <v>31</v>
          </cell>
        </row>
        <row r="124">
          <cell r="D124" t="str">
            <v>谭福英</v>
          </cell>
          <cell r="W124">
            <v>0</v>
          </cell>
          <cell r="AI124">
            <v>0</v>
          </cell>
          <cell r="AP124">
            <v>31</v>
          </cell>
        </row>
        <row r="125">
          <cell r="D125" t="str">
            <v>李凤</v>
          </cell>
          <cell r="W125">
            <v>0</v>
          </cell>
          <cell r="AI125">
            <v>0</v>
          </cell>
          <cell r="AP125">
            <v>31</v>
          </cell>
        </row>
        <row r="126">
          <cell r="D126" t="str">
            <v>陈嘉仪</v>
          </cell>
          <cell r="W126">
            <v>0</v>
          </cell>
          <cell r="X126">
            <v>20</v>
          </cell>
          <cell r="AI126">
            <v>0</v>
          </cell>
          <cell r="AP126">
            <v>31</v>
          </cell>
        </row>
        <row r="127">
          <cell r="D127" t="str">
            <v>王红</v>
          </cell>
          <cell r="W127">
            <v>0</v>
          </cell>
          <cell r="Z127">
            <v>50</v>
          </cell>
          <cell r="AI127">
            <v>0</v>
          </cell>
          <cell r="AP127">
            <v>31</v>
          </cell>
        </row>
        <row r="128">
          <cell r="D128" t="str">
            <v>冷忠翠</v>
          </cell>
          <cell r="W128">
            <v>0</v>
          </cell>
          <cell r="X128">
            <v>10</v>
          </cell>
          <cell r="AI128">
            <v>0</v>
          </cell>
          <cell r="AP128">
            <v>31</v>
          </cell>
        </row>
        <row r="129">
          <cell r="D129" t="str">
            <v>糜清云</v>
          </cell>
          <cell r="L129">
            <v>1</v>
          </cell>
          <cell r="W129">
            <v>0</v>
          </cell>
          <cell r="Y129">
            <v>10</v>
          </cell>
          <cell r="AI129">
            <v>0</v>
          </cell>
          <cell r="AP129">
            <v>30</v>
          </cell>
        </row>
        <row r="130">
          <cell r="D130" t="str">
            <v>贺金云</v>
          </cell>
          <cell r="L130">
            <v>1</v>
          </cell>
          <cell r="W130">
            <v>0</v>
          </cell>
          <cell r="AB130">
            <v>760</v>
          </cell>
          <cell r="AE130">
            <v>300</v>
          </cell>
          <cell r="AI130">
            <v>0</v>
          </cell>
          <cell r="AP130">
            <v>19</v>
          </cell>
        </row>
        <row r="131">
          <cell r="D131" t="str">
            <v>舒许芳</v>
          </cell>
          <cell r="L131">
            <v>1</v>
          </cell>
          <cell r="W131">
            <v>0</v>
          </cell>
          <cell r="AI131">
            <v>0</v>
          </cell>
          <cell r="AP131">
            <v>30</v>
          </cell>
        </row>
        <row r="132">
          <cell r="D132" t="str">
            <v>包竹梅</v>
          </cell>
          <cell r="W132">
            <v>0</v>
          </cell>
          <cell r="AI132">
            <v>0</v>
          </cell>
          <cell r="AP132">
            <v>31</v>
          </cell>
        </row>
        <row r="133">
          <cell r="D133" t="str">
            <v>欧迎春</v>
          </cell>
          <cell r="W133">
            <v>0</v>
          </cell>
          <cell r="X133">
            <v>90</v>
          </cell>
          <cell r="AI133">
            <v>0</v>
          </cell>
          <cell r="AP133">
            <v>31</v>
          </cell>
        </row>
        <row r="134">
          <cell r="D134" t="str">
            <v>谭芙蓉</v>
          </cell>
          <cell r="W134">
            <v>0</v>
          </cell>
          <cell r="X134">
            <v>10</v>
          </cell>
          <cell r="AI134">
            <v>0</v>
          </cell>
          <cell r="AP134">
            <v>31</v>
          </cell>
        </row>
        <row r="135">
          <cell r="D135" t="str">
            <v>曾玉莲</v>
          </cell>
          <cell r="W135">
            <v>0</v>
          </cell>
          <cell r="X135">
            <v>10</v>
          </cell>
          <cell r="AI135">
            <v>0</v>
          </cell>
          <cell r="AP135">
            <v>31</v>
          </cell>
        </row>
        <row r="136">
          <cell r="D136" t="str">
            <v>彭兰钦</v>
          </cell>
          <cell r="W136">
            <v>0</v>
          </cell>
          <cell r="AI136">
            <v>0</v>
          </cell>
          <cell r="AP136">
            <v>31</v>
          </cell>
        </row>
        <row r="137">
          <cell r="D137" t="str">
            <v>刘婵琴</v>
          </cell>
          <cell r="W137">
            <v>0</v>
          </cell>
          <cell r="AI137">
            <v>0</v>
          </cell>
          <cell r="AP137">
            <v>31</v>
          </cell>
        </row>
        <row r="138">
          <cell r="D138" t="str">
            <v>泽仁拉姆</v>
          </cell>
          <cell r="W138">
            <v>0</v>
          </cell>
          <cell r="X138">
            <v>10</v>
          </cell>
          <cell r="AC138">
            <v>100</v>
          </cell>
          <cell r="AI138">
            <v>0</v>
          </cell>
          <cell r="AP138">
            <v>31</v>
          </cell>
        </row>
        <row r="139">
          <cell r="D139" t="str">
            <v>舒阳</v>
          </cell>
          <cell r="W139">
            <v>0</v>
          </cell>
          <cell r="Z139">
            <v>50</v>
          </cell>
          <cell r="AI139">
            <v>0</v>
          </cell>
          <cell r="AP139">
            <v>31</v>
          </cell>
        </row>
        <row r="140">
          <cell r="D140" t="str">
            <v>白丽</v>
          </cell>
          <cell r="W140">
            <v>0</v>
          </cell>
          <cell r="AI140">
            <v>0</v>
          </cell>
          <cell r="AP140">
            <v>31</v>
          </cell>
        </row>
        <row r="141">
          <cell r="D141" t="str">
            <v>郑巧玲</v>
          </cell>
          <cell r="W141">
            <v>0</v>
          </cell>
          <cell r="AI141">
            <v>0</v>
          </cell>
          <cell r="AP141">
            <v>31</v>
          </cell>
        </row>
        <row r="142">
          <cell r="D142" t="str">
            <v>张廷妍</v>
          </cell>
          <cell r="W142">
            <v>0</v>
          </cell>
          <cell r="X142">
            <v>10</v>
          </cell>
          <cell r="AI142">
            <v>0</v>
          </cell>
          <cell r="AP142">
            <v>31</v>
          </cell>
        </row>
        <row r="143">
          <cell r="D143" t="str">
            <v>杜兰兰</v>
          </cell>
          <cell r="W143">
            <v>0</v>
          </cell>
          <cell r="AI143">
            <v>0</v>
          </cell>
          <cell r="AP143">
            <v>31</v>
          </cell>
        </row>
        <row r="144">
          <cell r="D144" t="str">
            <v>王显珍</v>
          </cell>
          <cell r="W144">
            <v>0</v>
          </cell>
          <cell r="Z144">
            <v>50</v>
          </cell>
          <cell r="AI144">
            <v>0</v>
          </cell>
          <cell r="AP144">
            <v>31</v>
          </cell>
        </row>
        <row r="145">
          <cell r="D145" t="str">
            <v>马冬梅</v>
          </cell>
          <cell r="W145">
            <v>0</v>
          </cell>
          <cell r="AI145">
            <v>0</v>
          </cell>
          <cell r="AP145">
            <v>31</v>
          </cell>
        </row>
        <row r="146">
          <cell r="D146" t="str">
            <v>彭莉群</v>
          </cell>
          <cell r="W146">
            <v>0</v>
          </cell>
          <cell r="X146">
            <v>10</v>
          </cell>
          <cell r="Y146">
            <v>10</v>
          </cell>
          <cell r="AC146">
            <v>100</v>
          </cell>
          <cell r="AI146">
            <v>0</v>
          </cell>
          <cell r="AP146">
            <v>31</v>
          </cell>
        </row>
        <row r="147">
          <cell r="D147" t="str">
            <v>刘金凤</v>
          </cell>
          <cell r="W147">
            <v>0</v>
          </cell>
          <cell r="X147">
            <v>10</v>
          </cell>
          <cell r="AI147">
            <v>0</v>
          </cell>
          <cell r="AP147">
            <v>31</v>
          </cell>
        </row>
        <row r="148">
          <cell r="D148" t="str">
            <v>谢珂欣</v>
          </cell>
          <cell r="L148">
            <v>7</v>
          </cell>
          <cell r="W148">
            <v>0</v>
          </cell>
          <cell r="AI148">
            <v>0</v>
          </cell>
          <cell r="AP148">
            <v>24</v>
          </cell>
        </row>
        <row r="149">
          <cell r="D149" t="str">
            <v>刘霞</v>
          </cell>
          <cell r="W149">
            <v>0</v>
          </cell>
          <cell r="AI149">
            <v>0</v>
          </cell>
          <cell r="AP149">
            <v>31</v>
          </cell>
        </row>
        <row r="150">
          <cell r="D150" t="str">
            <v>尧丹丹</v>
          </cell>
          <cell r="W150">
            <v>0</v>
          </cell>
          <cell r="AI150">
            <v>0</v>
          </cell>
          <cell r="AP150">
            <v>31</v>
          </cell>
        </row>
        <row r="151">
          <cell r="D151" t="str">
            <v>李科</v>
          </cell>
          <cell r="W151">
            <v>0</v>
          </cell>
          <cell r="AI151">
            <v>0</v>
          </cell>
          <cell r="AP151">
            <v>31</v>
          </cell>
        </row>
        <row r="152">
          <cell r="D152" t="str">
            <v>石海力</v>
          </cell>
          <cell r="W152">
            <v>0</v>
          </cell>
          <cell r="AI152">
            <v>0</v>
          </cell>
          <cell r="AP152">
            <v>31</v>
          </cell>
        </row>
        <row r="153">
          <cell r="D153" t="str">
            <v>付薪燕</v>
          </cell>
          <cell r="W153">
            <v>0</v>
          </cell>
          <cell r="Z153">
            <v>50</v>
          </cell>
          <cell r="AI153">
            <v>0</v>
          </cell>
          <cell r="AP153">
            <v>31</v>
          </cell>
        </row>
        <row r="154">
          <cell r="D154" t="str">
            <v>陈定坤</v>
          </cell>
          <cell r="W154">
            <v>0</v>
          </cell>
          <cell r="AI154">
            <v>0</v>
          </cell>
          <cell r="AP154">
            <v>31</v>
          </cell>
        </row>
        <row r="155">
          <cell r="D155" t="str">
            <v>王桂明</v>
          </cell>
          <cell r="W155">
            <v>0</v>
          </cell>
          <cell r="X155">
            <v>10</v>
          </cell>
          <cell r="AI155">
            <v>0</v>
          </cell>
          <cell r="AP155">
            <v>31</v>
          </cell>
        </row>
        <row r="156">
          <cell r="D156" t="str">
            <v>关晓燕</v>
          </cell>
          <cell r="W156">
            <v>0</v>
          </cell>
          <cell r="X156">
            <v>10</v>
          </cell>
          <cell r="AI156">
            <v>0</v>
          </cell>
          <cell r="AP156">
            <v>31</v>
          </cell>
        </row>
        <row r="157">
          <cell r="D157" t="str">
            <v>唐尹</v>
          </cell>
          <cell r="W157">
            <v>0</v>
          </cell>
          <cell r="X157">
            <v>10</v>
          </cell>
          <cell r="AI157">
            <v>0</v>
          </cell>
          <cell r="AP157">
            <v>31</v>
          </cell>
        </row>
        <row r="158">
          <cell r="D158" t="str">
            <v>贺慧</v>
          </cell>
          <cell r="L158">
            <v>2</v>
          </cell>
          <cell r="W158">
            <v>0</v>
          </cell>
          <cell r="AI158">
            <v>0</v>
          </cell>
          <cell r="AP158">
            <v>29</v>
          </cell>
        </row>
        <row r="159">
          <cell r="D159" t="str">
            <v>李红梅</v>
          </cell>
          <cell r="W159">
            <v>0</v>
          </cell>
          <cell r="X159">
            <v>20</v>
          </cell>
          <cell r="AI159">
            <v>0</v>
          </cell>
          <cell r="AP159">
            <v>31</v>
          </cell>
        </row>
        <row r="160">
          <cell r="D160" t="str">
            <v>龚艳</v>
          </cell>
          <cell r="W160">
            <v>0</v>
          </cell>
          <cell r="AI160">
            <v>0</v>
          </cell>
          <cell r="AP160">
            <v>31</v>
          </cell>
        </row>
        <row r="161">
          <cell r="D161" t="str">
            <v>余姣姣</v>
          </cell>
          <cell r="W161">
            <v>0</v>
          </cell>
          <cell r="X161">
            <v>10</v>
          </cell>
          <cell r="AI161">
            <v>0</v>
          </cell>
          <cell r="AP161">
            <v>31</v>
          </cell>
        </row>
        <row r="162">
          <cell r="D162" t="str">
            <v>竹艳梅</v>
          </cell>
          <cell r="W162">
            <v>0</v>
          </cell>
          <cell r="X162">
            <v>150</v>
          </cell>
          <cell r="Y162">
            <v>40</v>
          </cell>
          <cell r="AI162">
            <v>0</v>
          </cell>
          <cell r="AP162">
            <v>31</v>
          </cell>
        </row>
        <row r="163">
          <cell r="D163" t="str">
            <v>叶朝春</v>
          </cell>
          <cell r="W163">
            <v>0</v>
          </cell>
          <cell r="AI163">
            <v>0</v>
          </cell>
          <cell r="AP163">
            <v>31</v>
          </cell>
        </row>
        <row r="164">
          <cell r="D164" t="str">
            <v>喻容</v>
          </cell>
          <cell r="W164">
            <v>0</v>
          </cell>
          <cell r="X164">
            <v>10</v>
          </cell>
          <cell r="AI164">
            <v>0</v>
          </cell>
          <cell r="AP164">
            <v>31</v>
          </cell>
        </row>
        <row r="165">
          <cell r="D165" t="str">
            <v>魏柯</v>
          </cell>
          <cell r="W165">
            <v>0</v>
          </cell>
          <cell r="X165">
            <v>90</v>
          </cell>
          <cell r="AI165">
            <v>0</v>
          </cell>
          <cell r="AP165">
            <v>31</v>
          </cell>
        </row>
        <row r="166">
          <cell r="D166" t="str">
            <v>徐文平</v>
          </cell>
          <cell r="W166">
            <v>0</v>
          </cell>
          <cell r="X166">
            <v>120</v>
          </cell>
          <cell r="AI166">
            <v>0</v>
          </cell>
          <cell r="AP166">
            <v>31</v>
          </cell>
        </row>
        <row r="167">
          <cell r="D167" t="str">
            <v>张欣</v>
          </cell>
          <cell r="W167">
            <v>0</v>
          </cell>
          <cell r="AI167">
            <v>0</v>
          </cell>
          <cell r="AP167">
            <v>7</v>
          </cell>
        </row>
        <row r="168">
          <cell r="D168" t="str">
            <v>叶璐璐</v>
          </cell>
          <cell r="W168">
            <v>0</v>
          </cell>
          <cell r="AI168">
            <v>0</v>
          </cell>
          <cell r="AP168">
            <v>31</v>
          </cell>
        </row>
        <row r="169">
          <cell r="D169" t="str">
            <v>周文慧</v>
          </cell>
          <cell r="W169">
            <v>0</v>
          </cell>
          <cell r="X169">
            <v>10</v>
          </cell>
          <cell r="AI169">
            <v>0</v>
          </cell>
          <cell r="AP169">
            <v>31</v>
          </cell>
        </row>
        <row r="170">
          <cell r="D170" t="str">
            <v>张白金</v>
          </cell>
          <cell r="W170">
            <v>0</v>
          </cell>
          <cell r="AI170">
            <v>0</v>
          </cell>
          <cell r="AP170">
            <v>31</v>
          </cell>
        </row>
        <row r="171">
          <cell r="D171" t="str">
            <v>郑美函</v>
          </cell>
          <cell r="W171">
            <v>0</v>
          </cell>
          <cell r="AI171">
            <v>0</v>
          </cell>
          <cell r="AP171">
            <v>31</v>
          </cell>
        </row>
        <row r="172">
          <cell r="D172" t="str">
            <v>龚茜</v>
          </cell>
          <cell r="W172">
            <v>0</v>
          </cell>
          <cell r="Z172">
            <v>50</v>
          </cell>
          <cell r="AI172">
            <v>0</v>
          </cell>
          <cell r="AP172">
            <v>31</v>
          </cell>
        </row>
        <row r="173">
          <cell r="D173" t="str">
            <v>廖妍</v>
          </cell>
          <cell r="W173">
            <v>0</v>
          </cell>
          <cell r="AC173">
            <v>100</v>
          </cell>
          <cell r="AI173">
            <v>0</v>
          </cell>
          <cell r="AP173">
            <v>31</v>
          </cell>
        </row>
        <row r="174">
          <cell r="D174" t="str">
            <v>李彩华</v>
          </cell>
          <cell r="W174">
            <v>0</v>
          </cell>
          <cell r="AC174">
            <v>100</v>
          </cell>
          <cell r="AI174">
            <v>0</v>
          </cell>
          <cell r="AP174">
            <v>31</v>
          </cell>
        </row>
        <row r="175">
          <cell r="D175" t="str">
            <v>刘九招</v>
          </cell>
          <cell r="W175">
            <v>0</v>
          </cell>
          <cell r="Z175">
            <v>50</v>
          </cell>
          <cell r="AC175">
            <v>100</v>
          </cell>
          <cell r="AI175">
            <v>0</v>
          </cell>
          <cell r="AP175">
            <v>31</v>
          </cell>
        </row>
        <row r="176">
          <cell r="D176" t="str">
            <v>朱羽</v>
          </cell>
          <cell r="W176">
            <v>0</v>
          </cell>
          <cell r="AC176">
            <v>100</v>
          </cell>
          <cell r="AI176">
            <v>0</v>
          </cell>
          <cell r="AP176">
            <v>31</v>
          </cell>
        </row>
        <row r="177">
          <cell r="D177" t="str">
            <v>施凤皎</v>
          </cell>
          <cell r="W177">
            <v>0</v>
          </cell>
          <cell r="Z177">
            <v>50</v>
          </cell>
          <cell r="AI177">
            <v>0</v>
          </cell>
          <cell r="AP177">
            <v>31</v>
          </cell>
        </row>
        <row r="178">
          <cell r="D178" t="str">
            <v>高琴</v>
          </cell>
          <cell r="W178">
            <v>0</v>
          </cell>
          <cell r="Z178">
            <v>50</v>
          </cell>
          <cell r="AI178">
            <v>0</v>
          </cell>
          <cell r="AP178">
            <v>31</v>
          </cell>
        </row>
        <row r="179">
          <cell r="D179" t="str">
            <v>达卓措</v>
          </cell>
          <cell r="W179">
            <v>0</v>
          </cell>
          <cell r="X179">
            <v>20</v>
          </cell>
          <cell r="Y179">
            <v>10</v>
          </cell>
          <cell r="AC179">
            <v>100</v>
          </cell>
          <cell r="AI179">
            <v>0</v>
          </cell>
          <cell r="AP179">
            <v>31</v>
          </cell>
        </row>
        <row r="180">
          <cell r="D180" t="str">
            <v>袁玉</v>
          </cell>
          <cell r="W180">
            <v>0</v>
          </cell>
          <cell r="AI180">
            <v>0</v>
          </cell>
          <cell r="AP180">
            <v>31</v>
          </cell>
        </row>
        <row r="181">
          <cell r="D181" t="str">
            <v>赵晴亮</v>
          </cell>
          <cell r="W181">
            <v>0</v>
          </cell>
          <cell r="AI181">
            <v>0</v>
          </cell>
          <cell r="AP181">
            <v>31</v>
          </cell>
        </row>
        <row r="182">
          <cell r="D182" t="str">
            <v>赵忠芬</v>
          </cell>
          <cell r="W182">
            <v>0</v>
          </cell>
          <cell r="X182">
            <v>10</v>
          </cell>
          <cell r="AI182">
            <v>0</v>
          </cell>
          <cell r="AP182">
            <v>31</v>
          </cell>
        </row>
        <row r="183">
          <cell r="D183" t="str">
            <v>郑丹</v>
          </cell>
          <cell r="W183">
            <v>0</v>
          </cell>
          <cell r="AC183">
            <v>100</v>
          </cell>
          <cell r="AI183">
            <v>0</v>
          </cell>
          <cell r="AP183">
            <v>31</v>
          </cell>
        </row>
        <row r="184">
          <cell r="D184" t="str">
            <v>林锶莹</v>
          </cell>
          <cell r="W184">
            <v>0</v>
          </cell>
          <cell r="AI184">
            <v>0</v>
          </cell>
          <cell r="AP184">
            <v>31</v>
          </cell>
        </row>
        <row r="185">
          <cell r="D185" t="str">
            <v>胡钦秀</v>
          </cell>
          <cell r="W185">
            <v>0</v>
          </cell>
          <cell r="AC185">
            <v>100</v>
          </cell>
          <cell r="AI185">
            <v>0</v>
          </cell>
          <cell r="AP185">
            <v>31</v>
          </cell>
        </row>
        <row r="186">
          <cell r="D186" t="str">
            <v>高红艳</v>
          </cell>
          <cell r="W186">
            <v>0</v>
          </cell>
          <cell r="AI186">
            <v>0</v>
          </cell>
          <cell r="AP186">
            <v>31</v>
          </cell>
        </row>
        <row r="187">
          <cell r="D187" t="str">
            <v>曾怡</v>
          </cell>
          <cell r="W187">
            <v>0</v>
          </cell>
          <cell r="X187">
            <v>10</v>
          </cell>
          <cell r="AI187">
            <v>0</v>
          </cell>
          <cell r="AP187">
            <v>31</v>
          </cell>
        </row>
        <row r="188">
          <cell r="D188" t="str">
            <v>张清华</v>
          </cell>
          <cell r="W188">
            <v>0</v>
          </cell>
          <cell r="X188">
            <v>90</v>
          </cell>
          <cell r="AI188">
            <v>0</v>
          </cell>
          <cell r="AP188">
            <v>31</v>
          </cell>
        </row>
        <row r="189">
          <cell r="D189" t="str">
            <v>彭鑫</v>
          </cell>
          <cell r="W189">
            <v>0</v>
          </cell>
          <cell r="AI189">
            <v>0</v>
          </cell>
          <cell r="AP189">
            <v>31</v>
          </cell>
        </row>
        <row r="190">
          <cell r="D190" t="str">
            <v>李维</v>
          </cell>
          <cell r="W190">
            <v>0</v>
          </cell>
          <cell r="Z190">
            <v>50</v>
          </cell>
          <cell r="AI190">
            <v>0</v>
          </cell>
          <cell r="AP190">
            <v>31</v>
          </cell>
        </row>
        <row r="191">
          <cell r="D191" t="str">
            <v>贾琳</v>
          </cell>
          <cell r="W191">
            <v>0</v>
          </cell>
          <cell r="AI191">
            <v>0</v>
          </cell>
          <cell r="AP191">
            <v>31</v>
          </cell>
        </row>
        <row r="192">
          <cell r="D192" t="str">
            <v>王智慧</v>
          </cell>
          <cell r="W192">
            <v>0</v>
          </cell>
          <cell r="AI192">
            <v>0</v>
          </cell>
          <cell r="AP192">
            <v>31</v>
          </cell>
        </row>
        <row r="193">
          <cell r="D193" t="str">
            <v>邓笑</v>
          </cell>
          <cell r="W193">
            <v>0</v>
          </cell>
          <cell r="X193">
            <v>10</v>
          </cell>
          <cell r="AI193">
            <v>0</v>
          </cell>
          <cell r="AP193">
            <v>31</v>
          </cell>
        </row>
        <row r="194">
          <cell r="D194" t="str">
            <v>刘香</v>
          </cell>
          <cell r="W194">
            <v>0</v>
          </cell>
          <cell r="Z194">
            <v>50</v>
          </cell>
          <cell r="AI194">
            <v>0</v>
          </cell>
          <cell r="AP194">
            <v>31</v>
          </cell>
        </row>
        <row r="195">
          <cell r="D195" t="str">
            <v>刘丽华</v>
          </cell>
          <cell r="W195">
            <v>0</v>
          </cell>
          <cell r="AI195">
            <v>0</v>
          </cell>
          <cell r="AP195">
            <v>31</v>
          </cell>
        </row>
        <row r="196">
          <cell r="D196" t="str">
            <v>周林</v>
          </cell>
          <cell r="W196">
            <v>0</v>
          </cell>
          <cell r="Z196">
            <v>50</v>
          </cell>
          <cell r="AI196">
            <v>0</v>
          </cell>
          <cell r="AP196">
            <v>31</v>
          </cell>
        </row>
        <row r="197">
          <cell r="D197" t="str">
            <v>钟秦</v>
          </cell>
          <cell r="W197">
            <v>0</v>
          </cell>
          <cell r="AI197">
            <v>0</v>
          </cell>
          <cell r="AP197">
            <v>31</v>
          </cell>
        </row>
        <row r="198">
          <cell r="D198" t="str">
            <v>张红霞</v>
          </cell>
          <cell r="W198">
            <v>0</v>
          </cell>
          <cell r="X198">
            <v>120</v>
          </cell>
          <cell r="AI198">
            <v>0</v>
          </cell>
          <cell r="AP198">
            <v>31</v>
          </cell>
        </row>
        <row r="199">
          <cell r="D199" t="str">
            <v>李燕1</v>
          </cell>
          <cell r="W199">
            <v>0</v>
          </cell>
          <cell r="AI199">
            <v>0</v>
          </cell>
          <cell r="AP199">
            <v>31</v>
          </cell>
        </row>
        <row r="200">
          <cell r="D200" t="str">
            <v>陈世琳</v>
          </cell>
          <cell r="W200">
            <v>0</v>
          </cell>
          <cell r="X200">
            <v>10</v>
          </cell>
          <cell r="AI200">
            <v>0</v>
          </cell>
          <cell r="AP200">
            <v>31</v>
          </cell>
        </row>
        <row r="201">
          <cell r="D201" t="str">
            <v>张林英</v>
          </cell>
          <cell r="W201">
            <v>0</v>
          </cell>
          <cell r="AI201">
            <v>0</v>
          </cell>
          <cell r="AP201">
            <v>1</v>
          </cell>
        </row>
        <row r="202">
          <cell r="D202" t="str">
            <v>陈燕辉</v>
          </cell>
          <cell r="W202">
            <v>0</v>
          </cell>
          <cell r="X202">
            <v>10</v>
          </cell>
          <cell r="AI202">
            <v>0</v>
          </cell>
          <cell r="AP202">
            <v>31</v>
          </cell>
        </row>
        <row r="203">
          <cell r="D203" t="str">
            <v>宋林琳</v>
          </cell>
          <cell r="W203">
            <v>0</v>
          </cell>
          <cell r="X203">
            <v>20</v>
          </cell>
          <cell r="Z203">
            <v>50</v>
          </cell>
          <cell r="AI203">
            <v>0</v>
          </cell>
          <cell r="AP203">
            <v>31</v>
          </cell>
        </row>
        <row r="204">
          <cell r="D204" t="str">
            <v>马丽亚</v>
          </cell>
          <cell r="W204">
            <v>0</v>
          </cell>
          <cell r="AC204">
            <v>100</v>
          </cell>
          <cell r="AI204">
            <v>0</v>
          </cell>
          <cell r="AP204">
            <v>31</v>
          </cell>
        </row>
        <row r="205">
          <cell r="D205" t="str">
            <v>阿衣尔扎</v>
          </cell>
          <cell r="L205">
            <v>6</v>
          </cell>
          <cell r="W205">
            <v>0</v>
          </cell>
          <cell r="AI205">
            <v>0</v>
          </cell>
          <cell r="AP205">
            <v>25</v>
          </cell>
        </row>
        <row r="206">
          <cell r="D206" t="str">
            <v>张霞</v>
          </cell>
          <cell r="W206">
            <v>0</v>
          </cell>
          <cell r="Z206">
            <v>50</v>
          </cell>
          <cell r="AI206">
            <v>0</v>
          </cell>
          <cell r="AP206">
            <v>31</v>
          </cell>
        </row>
        <row r="207">
          <cell r="D207" t="str">
            <v>谢双叶</v>
          </cell>
          <cell r="W207">
            <v>0</v>
          </cell>
          <cell r="Z207">
            <v>50</v>
          </cell>
          <cell r="AI207">
            <v>0</v>
          </cell>
          <cell r="AP207">
            <v>31</v>
          </cell>
        </row>
        <row r="208">
          <cell r="D208" t="str">
            <v>蒙亦锌</v>
          </cell>
          <cell r="W208">
            <v>0</v>
          </cell>
          <cell r="AI208">
            <v>0</v>
          </cell>
          <cell r="AP208">
            <v>31</v>
          </cell>
        </row>
        <row r="209">
          <cell r="D209" t="str">
            <v>刘梦蓝</v>
          </cell>
          <cell r="W209">
            <v>0</v>
          </cell>
          <cell r="Z209">
            <v>50</v>
          </cell>
          <cell r="AC209">
            <v>100</v>
          </cell>
          <cell r="AI209">
            <v>0</v>
          </cell>
          <cell r="AP209">
            <v>31</v>
          </cell>
        </row>
        <row r="210">
          <cell r="D210" t="str">
            <v>罗林芳</v>
          </cell>
          <cell r="W210">
            <v>0</v>
          </cell>
          <cell r="X210">
            <v>10</v>
          </cell>
          <cell r="AI210">
            <v>0</v>
          </cell>
          <cell r="AP210">
            <v>31</v>
          </cell>
        </row>
        <row r="211">
          <cell r="D211" t="str">
            <v>汪丽娟</v>
          </cell>
          <cell r="W211">
            <v>0</v>
          </cell>
          <cell r="X211">
            <v>20</v>
          </cell>
          <cell r="AI211">
            <v>0</v>
          </cell>
          <cell r="AP211">
            <v>31</v>
          </cell>
        </row>
        <row r="212">
          <cell r="D212" t="str">
            <v>谭言希</v>
          </cell>
          <cell r="W212">
            <v>0</v>
          </cell>
          <cell r="Z212">
            <v>50</v>
          </cell>
          <cell r="AI212">
            <v>0</v>
          </cell>
          <cell r="AP212">
            <v>31</v>
          </cell>
        </row>
        <row r="213">
          <cell r="D213" t="str">
            <v>黄江</v>
          </cell>
          <cell r="W213">
            <v>0</v>
          </cell>
          <cell r="AI213">
            <v>0</v>
          </cell>
          <cell r="AP213">
            <v>31</v>
          </cell>
        </row>
        <row r="214">
          <cell r="D214" t="str">
            <v>陈琼</v>
          </cell>
          <cell r="W214">
            <v>20</v>
          </cell>
          <cell r="AC214">
            <v>100</v>
          </cell>
          <cell r="AI214">
            <v>0</v>
          </cell>
          <cell r="AP214">
            <v>31</v>
          </cell>
        </row>
        <row r="215">
          <cell r="D215" t="str">
            <v>米琪</v>
          </cell>
          <cell r="W215">
            <v>0</v>
          </cell>
          <cell r="X215">
            <v>10</v>
          </cell>
          <cell r="AC215">
            <v>100</v>
          </cell>
          <cell r="AI215">
            <v>0</v>
          </cell>
          <cell r="AP215">
            <v>31</v>
          </cell>
        </row>
        <row r="216">
          <cell r="D216" t="str">
            <v>尚杨</v>
          </cell>
          <cell r="W216">
            <v>0</v>
          </cell>
          <cell r="AD216">
            <v>130</v>
          </cell>
          <cell r="AE216">
            <v>300</v>
          </cell>
          <cell r="AI216">
            <v>0</v>
          </cell>
          <cell r="AP216">
            <v>31</v>
          </cell>
        </row>
        <row r="217">
          <cell r="D217" t="str">
            <v>钟心悦</v>
          </cell>
          <cell r="W217">
            <v>0</v>
          </cell>
          <cell r="AB217">
            <v>2041</v>
          </cell>
          <cell r="AE217">
            <v>300</v>
          </cell>
          <cell r="AI217">
            <v>0</v>
          </cell>
          <cell r="AP217">
            <v>10</v>
          </cell>
        </row>
        <row r="218">
          <cell r="D218" t="str">
            <v>胡祝曲</v>
          </cell>
          <cell r="W218">
            <v>0</v>
          </cell>
          <cell r="X218">
            <v>150</v>
          </cell>
          <cell r="AI218">
            <v>0</v>
          </cell>
          <cell r="AP218">
            <v>31</v>
          </cell>
        </row>
        <row r="219">
          <cell r="D219" t="str">
            <v>谢金梅</v>
          </cell>
          <cell r="W219">
            <v>0</v>
          </cell>
          <cell r="AB219">
            <v>1300</v>
          </cell>
          <cell r="AE219">
            <v>300</v>
          </cell>
          <cell r="AI219">
            <v>0</v>
          </cell>
          <cell r="AP219">
            <v>14</v>
          </cell>
        </row>
        <row r="220">
          <cell r="D220" t="str">
            <v>李洪芳</v>
          </cell>
          <cell r="W220">
            <v>0</v>
          </cell>
          <cell r="AI220">
            <v>0</v>
          </cell>
          <cell r="AP220">
            <v>31</v>
          </cell>
        </row>
        <row r="221">
          <cell r="D221" t="str">
            <v>王维</v>
          </cell>
          <cell r="W221">
            <v>0</v>
          </cell>
          <cell r="X221">
            <v>90</v>
          </cell>
          <cell r="AC221">
            <v>100</v>
          </cell>
          <cell r="AI221">
            <v>0</v>
          </cell>
          <cell r="AP221">
            <v>31</v>
          </cell>
        </row>
        <row r="222">
          <cell r="D222" t="str">
            <v>罗文文</v>
          </cell>
          <cell r="W222">
            <v>0</v>
          </cell>
          <cell r="X222">
            <v>90</v>
          </cell>
          <cell r="AI222">
            <v>0</v>
          </cell>
          <cell r="AP222">
            <v>31</v>
          </cell>
        </row>
        <row r="223">
          <cell r="D223" t="str">
            <v>任艺</v>
          </cell>
          <cell r="W223">
            <v>0</v>
          </cell>
          <cell r="X223">
            <v>90</v>
          </cell>
          <cell r="AI223">
            <v>0</v>
          </cell>
          <cell r="AP223">
            <v>31</v>
          </cell>
        </row>
        <row r="224">
          <cell r="D224" t="str">
            <v>贺丽</v>
          </cell>
          <cell r="W224">
            <v>0</v>
          </cell>
          <cell r="X224">
            <v>20</v>
          </cell>
          <cell r="AE224">
            <v>300</v>
          </cell>
          <cell r="AI224">
            <v>0</v>
          </cell>
          <cell r="AP224">
            <v>31</v>
          </cell>
        </row>
        <row r="225">
          <cell r="D225" t="str">
            <v>殷小燕</v>
          </cell>
          <cell r="W225">
            <v>0</v>
          </cell>
          <cell r="AI225">
            <v>0</v>
          </cell>
          <cell r="AP225">
            <v>31</v>
          </cell>
        </row>
        <row r="226">
          <cell r="D226" t="str">
            <v>李海瑛</v>
          </cell>
          <cell r="W226">
            <v>0</v>
          </cell>
          <cell r="AI226">
            <v>0</v>
          </cell>
          <cell r="AP226">
            <v>31</v>
          </cell>
        </row>
        <row r="227">
          <cell r="D227" t="str">
            <v>邹孟君</v>
          </cell>
          <cell r="W227">
            <v>0</v>
          </cell>
          <cell r="AC227">
            <v>100</v>
          </cell>
          <cell r="AI227">
            <v>0</v>
          </cell>
          <cell r="AP227">
            <v>31</v>
          </cell>
        </row>
        <row r="228">
          <cell r="D228" t="str">
            <v>彭羽佳</v>
          </cell>
          <cell r="W228">
            <v>0</v>
          </cell>
          <cell r="AI228">
            <v>0</v>
          </cell>
          <cell r="AP228">
            <v>31</v>
          </cell>
        </row>
        <row r="229">
          <cell r="D229" t="str">
            <v>朱成芳</v>
          </cell>
          <cell r="W229">
            <v>0</v>
          </cell>
          <cell r="AC229">
            <v>100</v>
          </cell>
          <cell r="AI229">
            <v>0</v>
          </cell>
          <cell r="AP229">
            <v>31</v>
          </cell>
        </row>
        <row r="230">
          <cell r="D230" t="str">
            <v>翁玲</v>
          </cell>
          <cell r="W230">
            <v>0</v>
          </cell>
          <cell r="X230">
            <v>90</v>
          </cell>
          <cell r="AI230">
            <v>0</v>
          </cell>
          <cell r="AP230">
            <v>31</v>
          </cell>
        </row>
        <row r="231">
          <cell r="D231" t="str">
            <v>王能琴</v>
          </cell>
          <cell r="W231">
            <v>0</v>
          </cell>
          <cell r="AI231">
            <v>0</v>
          </cell>
          <cell r="AP231">
            <v>31</v>
          </cell>
        </row>
        <row r="232">
          <cell r="D232" t="str">
            <v>涂莹丹</v>
          </cell>
          <cell r="W232">
            <v>0</v>
          </cell>
          <cell r="AI232">
            <v>0</v>
          </cell>
          <cell r="AP232">
            <v>31</v>
          </cell>
        </row>
        <row r="233">
          <cell r="D233" t="str">
            <v>葛敏</v>
          </cell>
          <cell r="W233">
            <v>0</v>
          </cell>
          <cell r="Z233">
            <v>50</v>
          </cell>
          <cell r="AI233">
            <v>0</v>
          </cell>
          <cell r="AP233">
            <v>31</v>
          </cell>
        </row>
        <row r="234">
          <cell r="D234" t="str">
            <v>袁小兵</v>
          </cell>
          <cell r="W234">
            <v>0</v>
          </cell>
          <cell r="AI234">
            <v>0</v>
          </cell>
          <cell r="AP234">
            <v>31</v>
          </cell>
        </row>
        <row r="235">
          <cell r="D235" t="str">
            <v>徐登毅</v>
          </cell>
          <cell r="W235">
            <v>0</v>
          </cell>
          <cell r="AI235">
            <v>0</v>
          </cell>
          <cell r="AP235">
            <v>31</v>
          </cell>
        </row>
        <row r="236">
          <cell r="D236" t="str">
            <v>范时依</v>
          </cell>
          <cell r="W236">
            <v>0</v>
          </cell>
          <cell r="AI236">
            <v>0</v>
          </cell>
          <cell r="AP236">
            <v>31</v>
          </cell>
        </row>
        <row r="237">
          <cell r="D237" t="str">
            <v>吴小强</v>
          </cell>
          <cell r="W237">
            <v>0</v>
          </cell>
          <cell r="AI237">
            <v>0</v>
          </cell>
          <cell r="AP237">
            <v>31</v>
          </cell>
        </row>
        <row r="238">
          <cell r="D238" t="str">
            <v>宁燕</v>
          </cell>
          <cell r="W238">
            <v>0</v>
          </cell>
          <cell r="AI238">
            <v>0</v>
          </cell>
          <cell r="AP238">
            <v>31</v>
          </cell>
        </row>
        <row r="239">
          <cell r="D239" t="str">
            <v>杨苹</v>
          </cell>
          <cell r="W239">
            <v>0</v>
          </cell>
          <cell r="AI239">
            <v>0</v>
          </cell>
          <cell r="AP239">
            <v>31</v>
          </cell>
        </row>
        <row r="240">
          <cell r="D240" t="str">
            <v>赵倩</v>
          </cell>
          <cell r="W240">
            <v>0</v>
          </cell>
          <cell r="AI240">
            <v>0</v>
          </cell>
          <cell r="AP240">
            <v>31</v>
          </cell>
        </row>
        <row r="241">
          <cell r="D241" t="str">
            <v>梁诗雨</v>
          </cell>
          <cell r="W241">
            <v>0</v>
          </cell>
          <cell r="AI241">
            <v>0</v>
          </cell>
          <cell r="AP241">
            <v>31</v>
          </cell>
        </row>
        <row r="242">
          <cell r="D242" t="str">
            <v>郭思瑞</v>
          </cell>
          <cell r="W242">
            <v>0</v>
          </cell>
          <cell r="Y242">
            <v>10</v>
          </cell>
          <cell r="AI242">
            <v>0</v>
          </cell>
          <cell r="AP242">
            <v>31</v>
          </cell>
        </row>
        <row r="243">
          <cell r="D243" t="str">
            <v>文倩</v>
          </cell>
          <cell r="W243">
            <v>0</v>
          </cell>
          <cell r="AI243">
            <v>0</v>
          </cell>
          <cell r="AP243">
            <v>31</v>
          </cell>
        </row>
        <row r="244">
          <cell r="D244" t="str">
            <v>刘佳</v>
          </cell>
          <cell r="W244">
            <v>0</v>
          </cell>
          <cell r="AI244">
            <v>0</v>
          </cell>
          <cell r="AP244">
            <v>31</v>
          </cell>
        </row>
        <row r="245">
          <cell r="D245" t="str">
            <v>杨磊</v>
          </cell>
          <cell r="L245">
            <v>4</v>
          </cell>
          <cell r="W245">
            <v>0</v>
          </cell>
          <cell r="AI245">
            <v>0</v>
          </cell>
          <cell r="AP245">
            <v>9</v>
          </cell>
        </row>
        <row r="246">
          <cell r="D246" t="str">
            <v>李吉原</v>
          </cell>
          <cell r="W246">
            <v>0</v>
          </cell>
          <cell r="X246">
            <v>90</v>
          </cell>
          <cell r="Y246">
            <v>10</v>
          </cell>
          <cell r="AI246">
            <v>0</v>
          </cell>
          <cell r="AP246">
            <v>31</v>
          </cell>
        </row>
        <row r="247">
          <cell r="D247" t="str">
            <v>黄桂琴</v>
          </cell>
          <cell r="W247">
            <v>0</v>
          </cell>
          <cell r="AI247">
            <v>0</v>
          </cell>
          <cell r="AP247">
            <v>31</v>
          </cell>
        </row>
        <row r="248">
          <cell r="D248" t="str">
            <v>詹芳英</v>
          </cell>
          <cell r="L248">
            <v>1</v>
          </cell>
          <cell r="W248">
            <v>0</v>
          </cell>
          <cell r="AI248">
            <v>0</v>
          </cell>
          <cell r="AP248">
            <v>30</v>
          </cell>
        </row>
        <row r="249">
          <cell r="D249" t="str">
            <v>陈思思</v>
          </cell>
          <cell r="W249">
            <v>0</v>
          </cell>
          <cell r="X249">
            <v>20</v>
          </cell>
          <cell r="AI249">
            <v>0</v>
          </cell>
          <cell r="AP249">
            <v>31</v>
          </cell>
        </row>
        <row r="250">
          <cell r="D250" t="str">
            <v>李洁</v>
          </cell>
          <cell r="W250">
            <v>20</v>
          </cell>
          <cell r="Z250">
            <v>50</v>
          </cell>
          <cell r="AI250">
            <v>0</v>
          </cell>
          <cell r="AP250">
            <v>31</v>
          </cell>
        </row>
        <row r="251">
          <cell r="D251" t="str">
            <v>马小英</v>
          </cell>
          <cell r="W251">
            <v>0</v>
          </cell>
          <cell r="X251">
            <v>20</v>
          </cell>
          <cell r="AI251">
            <v>0</v>
          </cell>
          <cell r="AP251">
            <v>31</v>
          </cell>
        </row>
        <row r="252">
          <cell r="D252" t="str">
            <v>欧阳敏</v>
          </cell>
          <cell r="L252">
            <v>2</v>
          </cell>
          <cell r="W252">
            <v>0</v>
          </cell>
          <cell r="X252">
            <v>10</v>
          </cell>
          <cell r="AI252">
            <v>0</v>
          </cell>
          <cell r="AP252">
            <v>29</v>
          </cell>
        </row>
        <row r="253">
          <cell r="D253" t="str">
            <v>程燕</v>
          </cell>
          <cell r="L253">
            <v>9</v>
          </cell>
          <cell r="W253">
            <v>0</v>
          </cell>
          <cell r="AI253">
            <v>0</v>
          </cell>
          <cell r="AP253">
            <v>22</v>
          </cell>
        </row>
        <row r="254">
          <cell r="D254" t="str">
            <v>肖倩</v>
          </cell>
          <cell r="W254">
            <v>20</v>
          </cell>
          <cell r="Z254">
            <v>50</v>
          </cell>
          <cell r="AI254">
            <v>0</v>
          </cell>
          <cell r="AP254">
            <v>31</v>
          </cell>
        </row>
        <row r="255">
          <cell r="D255" t="str">
            <v>王丽娟</v>
          </cell>
          <cell r="W255">
            <v>0</v>
          </cell>
          <cell r="AI255">
            <v>0</v>
          </cell>
          <cell r="AP255">
            <v>31</v>
          </cell>
        </row>
        <row r="256">
          <cell r="D256" t="str">
            <v>蓝海英</v>
          </cell>
          <cell r="W256">
            <v>0</v>
          </cell>
          <cell r="X256">
            <v>20</v>
          </cell>
          <cell r="AI256">
            <v>0</v>
          </cell>
          <cell r="AP256">
            <v>31</v>
          </cell>
        </row>
        <row r="257">
          <cell r="D257" t="str">
            <v>夏萍</v>
          </cell>
          <cell r="W257">
            <v>0</v>
          </cell>
          <cell r="X257">
            <v>20</v>
          </cell>
          <cell r="Y257">
            <v>20</v>
          </cell>
          <cell r="AI257">
            <v>0</v>
          </cell>
          <cell r="AP257">
            <v>31</v>
          </cell>
        </row>
        <row r="258">
          <cell r="D258" t="str">
            <v>王方贤</v>
          </cell>
          <cell r="W258">
            <v>0</v>
          </cell>
          <cell r="X258">
            <v>10</v>
          </cell>
          <cell r="AI258">
            <v>0</v>
          </cell>
          <cell r="AP258">
            <v>31</v>
          </cell>
        </row>
        <row r="259">
          <cell r="D259" t="str">
            <v>杨琴</v>
          </cell>
          <cell r="L259">
            <v>1</v>
          </cell>
          <cell r="W259">
            <v>0</v>
          </cell>
          <cell r="X259">
            <v>90</v>
          </cell>
          <cell r="Y259">
            <v>10</v>
          </cell>
          <cell r="AI259">
            <v>0</v>
          </cell>
          <cell r="AP259">
            <v>30</v>
          </cell>
        </row>
        <row r="260">
          <cell r="D260" t="str">
            <v>赵美艳</v>
          </cell>
          <cell r="W260">
            <v>0</v>
          </cell>
          <cell r="X260">
            <v>120</v>
          </cell>
          <cell r="Y260">
            <v>50</v>
          </cell>
          <cell r="AI260">
            <v>0</v>
          </cell>
          <cell r="AP260">
            <v>31</v>
          </cell>
        </row>
        <row r="261">
          <cell r="D261" t="str">
            <v>郭兰</v>
          </cell>
          <cell r="W261">
            <v>0</v>
          </cell>
          <cell r="AI261">
            <v>0</v>
          </cell>
          <cell r="AP261">
            <v>31</v>
          </cell>
        </row>
        <row r="262">
          <cell r="D262" t="str">
            <v>戴林</v>
          </cell>
          <cell r="W262">
            <v>0</v>
          </cell>
          <cell r="X262">
            <v>20</v>
          </cell>
          <cell r="Y262">
            <v>20</v>
          </cell>
          <cell r="AI262">
            <v>0</v>
          </cell>
          <cell r="AP262">
            <v>31</v>
          </cell>
        </row>
        <row r="263">
          <cell r="D263" t="str">
            <v>蒲俊峰</v>
          </cell>
          <cell r="W263">
            <v>0</v>
          </cell>
          <cell r="AI263">
            <v>0</v>
          </cell>
          <cell r="AP263">
            <v>31</v>
          </cell>
        </row>
        <row r="264">
          <cell r="D264" t="str">
            <v>张雪颖</v>
          </cell>
          <cell r="W264">
            <v>0</v>
          </cell>
          <cell r="X264">
            <v>20</v>
          </cell>
          <cell r="AI264">
            <v>0</v>
          </cell>
          <cell r="AP264">
            <v>31</v>
          </cell>
        </row>
        <row r="265">
          <cell r="D265" t="str">
            <v>张雨露</v>
          </cell>
          <cell r="W265">
            <v>0</v>
          </cell>
          <cell r="Y265">
            <v>10</v>
          </cell>
          <cell r="AI265">
            <v>0</v>
          </cell>
          <cell r="AP265">
            <v>31</v>
          </cell>
        </row>
        <row r="266">
          <cell r="D266" t="str">
            <v>刘祖红</v>
          </cell>
          <cell r="W266">
            <v>0</v>
          </cell>
          <cell r="Y266">
            <v>30</v>
          </cell>
          <cell r="AI266">
            <v>0</v>
          </cell>
          <cell r="AP266">
            <v>31</v>
          </cell>
        </row>
        <row r="267">
          <cell r="D267" t="str">
            <v>谢宗富</v>
          </cell>
          <cell r="W267">
            <v>0</v>
          </cell>
          <cell r="AI267">
            <v>0</v>
          </cell>
          <cell r="AP267">
            <v>31</v>
          </cell>
        </row>
        <row r="268">
          <cell r="D268" t="str">
            <v>余文</v>
          </cell>
          <cell r="W268">
            <v>0</v>
          </cell>
          <cell r="X268">
            <v>20</v>
          </cell>
          <cell r="Y268">
            <v>30</v>
          </cell>
          <cell r="AI268">
            <v>0</v>
          </cell>
          <cell r="AP268">
            <v>31</v>
          </cell>
        </row>
        <row r="269">
          <cell r="D269" t="str">
            <v>王洪武</v>
          </cell>
          <cell r="W269">
            <v>0</v>
          </cell>
          <cell r="Y269">
            <v>10</v>
          </cell>
          <cell r="AI269">
            <v>0</v>
          </cell>
          <cell r="AP269">
            <v>31</v>
          </cell>
        </row>
        <row r="270">
          <cell r="D270" t="str">
            <v>王国英</v>
          </cell>
          <cell r="W270">
            <v>0</v>
          </cell>
          <cell r="AI270">
            <v>0</v>
          </cell>
          <cell r="AP270">
            <v>31</v>
          </cell>
        </row>
        <row r="271">
          <cell r="D271" t="str">
            <v>周莉</v>
          </cell>
          <cell r="W271">
            <v>0</v>
          </cell>
          <cell r="AI271">
            <v>0</v>
          </cell>
          <cell r="AP271">
            <v>31</v>
          </cell>
        </row>
        <row r="272">
          <cell r="D272" t="str">
            <v>吴斌</v>
          </cell>
          <cell r="W272">
            <v>0</v>
          </cell>
          <cell r="AI272">
            <v>0</v>
          </cell>
          <cell r="AP272">
            <v>31</v>
          </cell>
        </row>
        <row r="273">
          <cell r="D273" t="str">
            <v>吴斌</v>
          </cell>
          <cell r="W273">
            <v>0</v>
          </cell>
          <cell r="AI273">
            <v>0</v>
          </cell>
          <cell r="AP273">
            <v>31</v>
          </cell>
        </row>
        <row r="274">
          <cell r="D274" t="str">
            <v>杨汉玉</v>
          </cell>
          <cell r="W274">
            <v>0</v>
          </cell>
          <cell r="AI274">
            <v>0</v>
          </cell>
          <cell r="AP274">
            <v>31</v>
          </cell>
        </row>
        <row r="275">
          <cell r="D275" t="str">
            <v>杨润琼</v>
          </cell>
          <cell r="W275">
            <v>0</v>
          </cell>
          <cell r="AI275">
            <v>0</v>
          </cell>
          <cell r="AP275">
            <v>31</v>
          </cell>
        </row>
        <row r="276">
          <cell r="D276" t="str">
            <v>林玉琼</v>
          </cell>
          <cell r="W276">
            <v>0</v>
          </cell>
          <cell r="AI276">
            <v>0</v>
          </cell>
          <cell r="AP276">
            <v>31</v>
          </cell>
        </row>
        <row r="277">
          <cell r="D277" t="str">
            <v>王秀华</v>
          </cell>
          <cell r="W277">
            <v>0</v>
          </cell>
          <cell r="AI277">
            <v>0</v>
          </cell>
          <cell r="AP277">
            <v>31</v>
          </cell>
        </row>
        <row r="278">
          <cell r="D278" t="str">
            <v>刘陈秀</v>
          </cell>
          <cell r="W278">
            <v>0</v>
          </cell>
          <cell r="AI278">
            <v>0</v>
          </cell>
          <cell r="AP278">
            <v>31</v>
          </cell>
        </row>
        <row r="279">
          <cell r="D279" t="str">
            <v>钟术群</v>
          </cell>
          <cell r="W279">
            <v>0</v>
          </cell>
          <cell r="AI279">
            <v>0</v>
          </cell>
          <cell r="AP279">
            <v>31</v>
          </cell>
        </row>
        <row r="280">
          <cell r="D280" t="str">
            <v>郑竹兰</v>
          </cell>
          <cell r="W280">
            <v>0</v>
          </cell>
          <cell r="AI280">
            <v>0</v>
          </cell>
          <cell r="AP280">
            <v>31</v>
          </cell>
        </row>
        <row r="281">
          <cell r="D281" t="str">
            <v>陈春蓉</v>
          </cell>
          <cell r="W281">
            <v>0</v>
          </cell>
          <cell r="AI281">
            <v>0</v>
          </cell>
          <cell r="AP281">
            <v>31</v>
          </cell>
        </row>
        <row r="282">
          <cell r="D282" t="str">
            <v>陈明秀</v>
          </cell>
          <cell r="W282">
            <v>0</v>
          </cell>
          <cell r="AI282">
            <v>0</v>
          </cell>
          <cell r="AP282">
            <v>31</v>
          </cell>
        </row>
        <row r="283">
          <cell r="D283" t="str">
            <v>许开会</v>
          </cell>
          <cell r="W283">
            <v>0</v>
          </cell>
          <cell r="AI283">
            <v>0</v>
          </cell>
          <cell r="AP283">
            <v>31</v>
          </cell>
        </row>
        <row r="284">
          <cell r="D284" t="str">
            <v>蒋治琼</v>
          </cell>
          <cell r="W284">
            <v>0</v>
          </cell>
          <cell r="AI284">
            <v>0</v>
          </cell>
          <cell r="AP284">
            <v>31</v>
          </cell>
        </row>
        <row r="285">
          <cell r="D285" t="str">
            <v>曾志芬</v>
          </cell>
          <cell r="W285">
            <v>0</v>
          </cell>
          <cell r="AI285">
            <v>0</v>
          </cell>
          <cell r="AP285">
            <v>31</v>
          </cell>
        </row>
        <row r="286">
          <cell r="D286" t="str">
            <v>罗广秀</v>
          </cell>
          <cell r="W286">
            <v>0</v>
          </cell>
          <cell r="AI286">
            <v>0</v>
          </cell>
          <cell r="AP286">
            <v>31</v>
          </cell>
        </row>
        <row r="287">
          <cell r="D287" t="str">
            <v>何先会</v>
          </cell>
          <cell r="W287">
            <v>0</v>
          </cell>
          <cell r="AI287">
            <v>0</v>
          </cell>
          <cell r="AP287">
            <v>31</v>
          </cell>
        </row>
        <row r="288">
          <cell r="D288" t="str">
            <v>陈德芳</v>
          </cell>
          <cell r="W288">
            <v>0</v>
          </cell>
          <cell r="AI288">
            <v>0</v>
          </cell>
          <cell r="AP288">
            <v>31</v>
          </cell>
        </row>
        <row r="289">
          <cell r="D289" t="str">
            <v>邓成分</v>
          </cell>
          <cell r="W289">
            <v>0</v>
          </cell>
          <cell r="AI289">
            <v>0</v>
          </cell>
          <cell r="AP289">
            <v>31</v>
          </cell>
        </row>
        <row r="290">
          <cell r="D290" t="str">
            <v>刘胜琼</v>
          </cell>
          <cell r="W290">
            <v>0</v>
          </cell>
          <cell r="AI290">
            <v>0</v>
          </cell>
          <cell r="AP290">
            <v>31</v>
          </cell>
        </row>
        <row r="291">
          <cell r="D291" t="str">
            <v>陈文先</v>
          </cell>
          <cell r="W291">
            <v>0</v>
          </cell>
          <cell r="AI291">
            <v>0</v>
          </cell>
          <cell r="AP291">
            <v>31</v>
          </cell>
        </row>
        <row r="292">
          <cell r="D292" t="str">
            <v>杨则琼</v>
          </cell>
          <cell r="W292">
            <v>0</v>
          </cell>
          <cell r="AI292">
            <v>0</v>
          </cell>
          <cell r="AP292">
            <v>31</v>
          </cell>
        </row>
        <row r="293">
          <cell r="D293" t="str">
            <v>李培英</v>
          </cell>
          <cell r="W293">
            <v>0</v>
          </cell>
          <cell r="AI293">
            <v>0</v>
          </cell>
          <cell r="AP293">
            <v>31</v>
          </cell>
        </row>
        <row r="294">
          <cell r="D294" t="str">
            <v>陈永秀</v>
          </cell>
          <cell r="W294">
            <v>0</v>
          </cell>
          <cell r="AI294">
            <v>0</v>
          </cell>
          <cell r="AP294">
            <v>31</v>
          </cell>
        </row>
        <row r="295">
          <cell r="D295" t="str">
            <v>李大英</v>
          </cell>
          <cell r="W295">
            <v>0</v>
          </cell>
          <cell r="AI295">
            <v>0</v>
          </cell>
          <cell r="AP295">
            <v>31</v>
          </cell>
        </row>
        <row r="296">
          <cell r="D296" t="str">
            <v>范世琼</v>
          </cell>
          <cell r="W296">
            <v>0</v>
          </cell>
          <cell r="AI296">
            <v>0</v>
          </cell>
          <cell r="AP296">
            <v>31</v>
          </cell>
        </row>
        <row r="297">
          <cell r="D297" t="str">
            <v>倪巧琼</v>
          </cell>
          <cell r="W297">
            <v>0</v>
          </cell>
          <cell r="AI297">
            <v>0</v>
          </cell>
          <cell r="AP297">
            <v>31</v>
          </cell>
        </row>
        <row r="298">
          <cell r="D298" t="str">
            <v>颜香兰</v>
          </cell>
          <cell r="W298">
            <v>0</v>
          </cell>
          <cell r="AI298">
            <v>0</v>
          </cell>
          <cell r="AP298">
            <v>31</v>
          </cell>
        </row>
        <row r="299">
          <cell r="D299" t="str">
            <v>刘治菊</v>
          </cell>
          <cell r="W299">
            <v>0</v>
          </cell>
          <cell r="AI299">
            <v>0</v>
          </cell>
          <cell r="AP299">
            <v>31</v>
          </cell>
        </row>
        <row r="300">
          <cell r="D300" t="str">
            <v>陈珊珊</v>
          </cell>
          <cell r="W300">
            <v>80</v>
          </cell>
          <cell r="AD300">
            <v>130</v>
          </cell>
          <cell r="AI300">
            <v>120</v>
          </cell>
          <cell r="AP300">
            <v>22</v>
          </cell>
        </row>
        <row r="301">
          <cell r="D301" t="str">
            <v>安家晴</v>
          </cell>
          <cell r="W301">
            <v>40</v>
          </cell>
          <cell r="AD301">
            <v>130</v>
          </cell>
          <cell r="AI301">
            <v>660</v>
          </cell>
          <cell r="AP301">
            <v>18</v>
          </cell>
        </row>
        <row r="302">
          <cell r="D302" t="str">
            <v>刘雨佳</v>
          </cell>
          <cell r="W302">
            <v>0</v>
          </cell>
          <cell r="AD302">
            <v>130</v>
          </cell>
          <cell r="AI302">
            <v>420</v>
          </cell>
          <cell r="AP302">
            <v>16</v>
          </cell>
        </row>
        <row r="303">
          <cell r="D303" t="str">
            <v>谢翠华</v>
          </cell>
          <cell r="W303">
            <v>20</v>
          </cell>
          <cell r="AD303">
            <v>130</v>
          </cell>
          <cell r="AI303">
            <v>480</v>
          </cell>
          <cell r="AP303">
            <v>13</v>
          </cell>
        </row>
        <row r="304">
          <cell r="D304" t="str">
            <v>袁晓梅</v>
          </cell>
          <cell r="W304">
            <v>0</v>
          </cell>
          <cell r="AD304">
            <v>130</v>
          </cell>
          <cell r="AI304">
            <v>300</v>
          </cell>
          <cell r="AP304">
            <v>15</v>
          </cell>
        </row>
        <row r="305">
          <cell r="D305" t="str">
            <v>孙鲜</v>
          </cell>
          <cell r="W305">
            <v>0</v>
          </cell>
          <cell r="AE305">
            <v>300</v>
          </cell>
          <cell r="AI305">
            <v>560</v>
          </cell>
          <cell r="AP305">
            <v>8</v>
          </cell>
        </row>
        <row r="306">
          <cell r="D306" t="str">
            <v>陈春秀</v>
          </cell>
          <cell r="W306">
            <v>0</v>
          </cell>
          <cell r="AD306">
            <v>130</v>
          </cell>
          <cell r="AI306">
            <v>540</v>
          </cell>
          <cell r="AP306">
            <v>9</v>
          </cell>
        </row>
        <row r="307">
          <cell r="D307" t="str">
            <v>郑晓芳</v>
          </cell>
          <cell r="W307">
            <v>20</v>
          </cell>
          <cell r="AD307">
            <v>130</v>
          </cell>
          <cell r="AI307">
            <v>600</v>
          </cell>
          <cell r="AP307">
            <v>8</v>
          </cell>
        </row>
        <row r="308">
          <cell r="D308" t="str">
            <v>曾小凤</v>
          </cell>
          <cell r="W308">
            <v>0</v>
          </cell>
          <cell r="AI308">
            <v>560</v>
          </cell>
          <cell r="AP308">
            <v>11</v>
          </cell>
        </row>
        <row r="309">
          <cell r="D309" t="str">
            <v>邹奇圻</v>
          </cell>
          <cell r="W309">
            <v>0</v>
          </cell>
          <cell r="AD309">
            <v>130</v>
          </cell>
          <cell r="AI309">
            <v>420</v>
          </cell>
          <cell r="AP309">
            <v>10</v>
          </cell>
        </row>
        <row r="310">
          <cell r="D310" t="str">
            <v>路平</v>
          </cell>
          <cell r="W310">
            <v>0</v>
          </cell>
          <cell r="AD310">
            <v>130</v>
          </cell>
          <cell r="AI310">
            <v>0</v>
          </cell>
          <cell r="AP310">
            <v>10</v>
          </cell>
        </row>
        <row r="311">
          <cell r="D311" t="str">
            <v>康丹</v>
          </cell>
          <cell r="W311">
            <v>20</v>
          </cell>
          <cell r="AI311">
            <v>0</v>
          </cell>
          <cell r="AP311">
            <v>16</v>
          </cell>
        </row>
        <row r="312">
          <cell r="D312" t="str">
            <v>尹佩佩</v>
          </cell>
          <cell r="W312">
            <v>0</v>
          </cell>
          <cell r="AI312">
            <v>560</v>
          </cell>
          <cell r="AP312">
            <v>17</v>
          </cell>
        </row>
        <row r="313">
          <cell r="D313" t="str">
            <v>周柏燚</v>
          </cell>
          <cell r="W313">
            <v>60</v>
          </cell>
          <cell r="AI313">
            <v>0</v>
          </cell>
          <cell r="AP313">
            <v>29</v>
          </cell>
        </row>
        <row r="314">
          <cell r="D314" t="str">
            <v>李文龙</v>
          </cell>
          <cell r="W314">
            <v>0</v>
          </cell>
          <cell r="AI314">
            <v>560</v>
          </cell>
          <cell r="AP314">
            <v>12</v>
          </cell>
        </row>
        <row r="315">
          <cell r="D315" t="str">
            <v>张文卓</v>
          </cell>
          <cell r="W315">
            <v>0</v>
          </cell>
          <cell r="AI315">
            <v>560</v>
          </cell>
          <cell r="AP315">
            <v>17</v>
          </cell>
        </row>
        <row r="316">
          <cell r="D316" t="str">
            <v>曹煦菡</v>
          </cell>
          <cell r="W316">
            <v>20</v>
          </cell>
          <cell r="AD316">
            <v>130</v>
          </cell>
          <cell r="AI316">
            <v>780</v>
          </cell>
          <cell r="AP316">
            <v>13</v>
          </cell>
        </row>
        <row r="317">
          <cell r="D317" t="str">
            <v>蹇雨珊</v>
          </cell>
          <cell r="W317">
            <v>20</v>
          </cell>
          <cell r="AI317">
            <v>720</v>
          </cell>
          <cell r="AP317">
            <v>12</v>
          </cell>
        </row>
        <row r="318">
          <cell r="D318" t="str">
            <v>赵圆缘</v>
          </cell>
          <cell r="W318">
            <v>20</v>
          </cell>
          <cell r="AI318">
            <v>720</v>
          </cell>
          <cell r="AP318">
            <v>12</v>
          </cell>
        </row>
        <row r="319">
          <cell r="D319" t="str">
            <v>李从丽</v>
          </cell>
          <cell r="W319">
            <v>20</v>
          </cell>
          <cell r="AI319">
            <v>540</v>
          </cell>
          <cell r="AP319">
            <v>9</v>
          </cell>
        </row>
        <row r="320">
          <cell r="D320" t="str">
            <v>杨慧琳</v>
          </cell>
          <cell r="W320">
            <v>20</v>
          </cell>
          <cell r="AI320">
            <v>540</v>
          </cell>
          <cell r="AP320">
            <v>9</v>
          </cell>
        </row>
        <row r="321">
          <cell r="D321" t="str">
            <v>袁琳育</v>
          </cell>
          <cell r="W321">
            <v>20</v>
          </cell>
          <cell r="AI321">
            <v>540</v>
          </cell>
          <cell r="AP321">
            <v>9</v>
          </cell>
        </row>
        <row r="322">
          <cell r="D322" t="str">
            <v>蒲敏</v>
          </cell>
          <cell r="W322">
            <v>20</v>
          </cell>
          <cell r="AI322">
            <v>480</v>
          </cell>
          <cell r="AP322">
            <v>8</v>
          </cell>
        </row>
        <row r="323">
          <cell r="D323" t="str">
            <v>黄芬</v>
          </cell>
          <cell r="W323">
            <v>0</v>
          </cell>
          <cell r="AI323">
            <v>240</v>
          </cell>
          <cell r="AP323">
            <v>4</v>
          </cell>
        </row>
        <row r="324">
          <cell r="D324" t="str">
            <v>杨娇</v>
          </cell>
          <cell r="W324">
            <v>20</v>
          </cell>
          <cell r="AI324">
            <v>420</v>
          </cell>
          <cell r="AP324">
            <v>7</v>
          </cell>
        </row>
        <row r="325">
          <cell r="D325" t="str">
            <v>郭芬</v>
          </cell>
          <cell r="W325">
            <v>0</v>
          </cell>
          <cell r="AI325">
            <v>300</v>
          </cell>
          <cell r="AP325">
            <v>5</v>
          </cell>
        </row>
        <row r="326">
          <cell r="D326" t="str">
            <v>陈丽</v>
          </cell>
          <cell r="W326">
            <v>0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工、项目数、消耗"/>
      <sheetName val="员工业绩提成汇总表"/>
    </sheetNames>
    <sheetDataSet>
      <sheetData sheetId="0">
        <row r="1">
          <cell r="C1" t="str">
            <v>员工</v>
          </cell>
          <cell r="D1" t="str">
            <v>项目数</v>
          </cell>
          <cell r="E1" t="str">
            <v>消耗</v>
          </cell>
          <cell r="H1" t="str">
            <v>手工合计</v>
          </cell>
        </row>
        <row r="2">
          <cell r="C2" t="str">
            <v>李文龙</v>
          </cell>
          <cell r="D2">
            <v>6</v>
          </cell>
          <cell r="E2">
            <v>6800</v>
          </cell>
          <cell r="H2">
            <v>180</v>
          </cell>
        </row>
        <row r="3">
          <cell r="C3" t="str">
            <v>刘祖红</v>
          </cell>
          <cell r="D3">
            <v>132</v>
          </cell>
          <cell r="E3">
            <v>122913.82</v>
          </cell>
          <cell r="H3">
            <v>2555</v>
          </cell>
        </row>
        <row r="4">
          <cell r="C4" t="str">
            <v>孙鲜</v>
          </cell>
          <cell r="D4">
            <v>4</v>
          </cell>
          <cell r="E4">
            <v>7950</v>
          </cell>
          <cell r="H4">
            <v>90</v>
          </cell>
        </row>
        <row r="5">
          <cell r="C5" t="str">
            <v>王洪武</v>
          </cell>
          <cell r="D5">
            <v>114</v>
          </cell>
          <cell r="E5">
            <v>137026.67000000001</v>
          </cell>
          <cell r="H5">
            <v>3405</v>
          </cell>
        </row>
        <row r="6">
          <cell r="C6" t="str">
            <v>谢宗富</v>
          </cell>
          <cell r="D6">
            <v>105</v>
          </cell>
          <cell r="E6">
            <v>122893.57</v>
          </cell>
          <cell r="H6">
            <v>3015</v>
          </cell>
        </row>
        <row r="7">
          <cell r="C7" t="str">
            <v>余文</v>
          </cell>
          <cell r="D7">
            <v>134</v>
          </cell>
          <cell r="E7">
            <v>125320.94</v>
          </cell>
          <cell r="H7">
            <v>2670</v>
          </cell>
        </row>
        <row r="8">
          <cell r="C8" t="str">
            <v>张雨露</v>
          </cell>
          <cell r="D8">
            <v>149</v>
          </cell>
          <cell r="E8">
            <v>145128.6</v>
          </cell>
          <cell r="H8">
            <v>3275</v>
          </cell>
        </row>
        <row r="9">
          <cell r="C9" t="str">
            <v>戴林</v>
          </cell>
          <cell r="D9">
            <v>98</v>
          </cell>
          <cell r="E9">
            <v>121186.53</v>
          </cell>
          <cell r="H9">
            <v>2940</v>
          </cell>
        </row>
        <row r="10">
          <cell r="C10" t="str">
            <v>郭兰</v>
          </cell>
          <cell r="D10">
            <v>162</v>
          </cell>
          <cell r="E10">
            <v>194602.29</v>
          </cell>
          <cell r="H10">
            <v>3570</v>
          </cell>
        </row>
        <row r="11">
          <cell r="C11" t="str">
            <v>蒲俊峰</v>
          </cell>
          <cell r="D11">
            <v>124</v>
          </cell>
          <cell r="E11">
            <v>170456.18</v>
          </cell>
          <cell r="H11">
            <v>3795</v>
          </cell>
        </row>
        <row r="12">
          <cell r="C12" t="str">
            <v>王方贤</v>
          </cell>
          <cell r="D12">
            <v>116</v>
          </cell>
          <cell r="E12">
            <v>253652.65</v>
          </cell>
          <cell r="H12">
            <v>4150</v>
          </cell>
        </row>
        <row r="13">
          <cell r="C13" t="str">
            <v>杨琴</v>
          </cell>
          <cell r="D13">
            <v>138</v>
          </cell>
          <cell r="E13">
            <v>143186.04</v>
          </cell>
          <cell r="H13">
            <v>3290</v>
          </cell>
        </row>
        <row r="14">
          <cell r="C14" t="str">
            <v>尹佩佩</v>
          </cell>
          <cell r="D14">
            <v>2</v>
          </cell>
          <cell r="E14">
            <v>3129.33</v>
          </cell>
          <cell r="H14">
            <v>60</v>
          </cell>
        </row>
        <row r="15">
          <cell r="C15" t="str">
            <v>张文卓</v>
          </cell>
          <cell r="D15">
            <v>5</v>
          </cell>
          <cell r="E15">
            <v>7121.33</v>
          </cell>
          <cell r="H15">
            <v>120</v>
          </cell>
        </row>
        <row r="16">
          <cell r="C16" t="str">
            <v>赵美艳</v>
          </cell>
          <cell r="D16">
            <v>115</v>
          </cell>
          <cell r="E16">
            <v>138410.29</v>
          </cell>
          <cell r="H16">
            <v>2100</v>
          </cell>
        </row>
        <row r="17">
          <cell r="C17" t="str">
            <v>周柏燚</v>
          </cell>
          <cell r="D17">
            <v>75</v>
          </cell>
          <cell r="E17">
            <v>87302.64</v>
          </cell>
          <cell r="H17">
            <v>1850</v>
          </cell>
        </row>
        <row r="18">
          <cell r="C18" t="str">
            <v>邓笑</v>
          </cell>
          <cell r="D18">
            <v>118</v>
          </cell>
          <cell r="E18">
            <v>19040.330000000002</v>
          </cell>
          <cell r="H18">
            <v>1832</v>
          </cell>
        </row>
        <row r="19">
          <cell r="C19" t="str">
            <v>贾琳</v>
          </cell>
          <cell r="D19">
            <v>108</v>
          </cell>
          <cell r="E19">
            <v>15154.56</v>
          </cell>
          <cell r="H19">
            <v>1718</v>
          </cell>
        </row>
        <row r="20">
          <cell r="C20" t="str">
            <v>李维</v>
          </cell>
          <cell r="D20">
            <v>136</v>
          </cell>
          <cell r="E20">
            <v>36278.51</v>
          </cell>
          <cell r="H20">
            <v>1950</v>
          </cell>
        </row>
        <row r="21">
          <cell r="C21" t="str">
            <v>刘丽华</v>
          </cell>
          <cell r="D21">
            <v>102</v>
          </cell>
          <cell r="E21">
            <v>6417.83</v>
          </cell>
          <cell r="H21">
            <v>1229</v>
          </cell>
        </row>
        <row r="22">
          <cell r="C22" t="str">
            <v>彭鑫</v>
          </cell>
          <cell r="D22">
            <v>104</v>
          </cell>
          <cell r="E22">
            <v>16263.86</v>
          </cell>
          <cell r="H22">
            <v>1159</v>
          </cell>
        </row>
        <row r="23">
          <cell r="C23" t="str">
            <v>王智慧</v>
          </cell>
          <cell r="D23">
            <v>113</v>
          </cell>
          <cell r="E23">
            <v>13041.74</v>
          </cell>
          <cell r="H23">
            <v>1608</v>
          </cell>
        </row>
        <row r="24">
          <cell r="C24" t="str">
            <v>优品道店</v>
          </cell>
          <cell r="D24">
            <v>43</v>
          </cell>
          <cell r="E24">
            <v>41060</v>
          </cell>
          <cell r="H24">
            <v>4</v>
          </cell>
        </row>
        <row r="25">
          <cell r="C25" t="str">
            <v>陈珊珊</v>
          </cell>
          <cell r="D25">
            <v>36</v>
          </cell>
          <cell r="E25">
            <v>1887.22</v>
          </cell>
          <cell r="H25">
            <v>508</v>
          </cell>
        </row>
        <row r="26">
          <cell r="C26" t="str">
            <v>陈世琳</v>
          </cell>
          <cell r="D26">
            <v>120</v>
          </cell>
          <cell r="E26">
            <v>20407.3</v>
          </cell>
          <cell r="H26">
            <v>2263</v>
          </cell>
        </row>
        <row r="27">
          <cell r="C27" t="str">
            <v>大源店</v>
          </cell>
          <cell r="D27">
            <v>93</v>
          </cell>
          <cell r="E27">
            <v>30811.75</v>
          </cell>
          <cell r="H27">
            <v>0</v>
          </cell>
        </row>
        <row r="28">
          <cell r="C28" t="str">
            <v>李燕1</v>
          </cell>
          <cell r="D28">
            <v>97</v>
          </cell>
          <cell r="E28">
            <v>5717.98</v>
          </cell>
          <cell r="H28">
            <v>1306</v>
          </cell>
        </row>
        <row r="29">
          <cell r="C29" t="str">
            <v>张林英</v>
          </cell>
          <cell r="D29">
            <v>2</v>
          </cell>
          <cell r="E29">
            <v>81.13</v>
          </cell>
          <cell r="H29">
            <v>30</v>
          </cell>
        </row>
        <row r="30">
          <cell r="C30" t="str">
            <v>钟秦</v>
          </cell>
          <cell r="D30">
            <v>96</v>
          </cell>
          <cell r="E30">
            <v>9214.99</v>
          </cell>
          <cell r="H30">
            <v>1276</v>
          </cell>
        </row>
        <row r="31">
          <cell r="C31" t="str">
            <v>周林</v>
          </cell>
          <cell r="D31">
            <v>122</v>
          </cell>
          <cell r="E31">
            <v>14187.07</v>
          </cell>
          <cell r="H31">
            <v>1735</v>
          </cell>
        </row>
        <row r="32">
          <cell r="C32" t="str">
            <v>保利店</v>
          </cell>
          <cell r="D32">
            <v>21</v>
          </cell>
          <cell r="E32">
            <v>21218</v>
          </cell>
          <cell r="H32">
            <v>0</v>
          </cell>
        </row>
        <row r="33">
          <cell r="C33" t="str">
            <v>陈琼</v>
          </cell>
          <cell r="D33">
            <v>114</v>
          </cell>
          <cell r="E33">
            <v>11825.28</v>
          </cell>
          <cell r="H33">
            <v>1599</v>
          </cell>
        </row>
        <row r="34">
          <cell r="C34" t="str">
            <v>黄江</v>
          </cell>
          <cell r="D34">
            <v>111</v>
          </cell>
          <cell r="E34">
            <v>14027.7</v>
          </cell>
          <cell r="H34">
            <v>1249</v>
          </cell>
        </row>
        <row r="35">
          <cell r="C35" t="str">
            <v>米琪</v>
          </cell>
          <cell r="D35">
            <v>101</v>
          </cell>
          <cell r="E35">
            <v>6892.7</v>
          </cell>
          <cell r="H35">
            <v>1337</v>
          </cell>
        </row>
        <row r="36">
          <cell r="C36" t="str">
            <v>尚杨</v>
          </cell>
          <cell r="D36">
            <v>68</v>
          </cell>
          <cell r="E36">
            <v>3721.76</v>
          </cell>
          <cell r="H36">
            <v>938</v>
          </cell>
        </row>
        <row r="37">
          <cell r="C37" t="str">
            <v>谭言希</v>
          </cell>
          <cell r="D37">
            <v>102</v>
          </cell>
          <cell r="E37">
            <v>7861.8</v>
          </cell>
          <cell r="H37">
            <v>1155</v>
          </cell>
        </row>
        <row r="38">
          <cell r="C38" t="str">
            <v>杜兰兰</v>
          </cell>
          <cell r="D38">
            <v>106</v>
          </cell>
          <cell r="E38">
            <v>67533.37</v>
          </cell>
          <cell r="H38">
            <v>1372</v>
          </cell>
        </row>
        <row r="39">
          <cell r="C39" t="str">
            <v>马冬梅</v>
          </cell>
          <cell r="D39">
            <v>79</v>
          </cell>
          <cell r="E39">
            <v>5771.98</v>
          </cell>
          <cell r="H39">
            <v>1129</v>
          </cell>
        </row>
        <row r="40">
          <cell r="C40" t="str">
            <v>彭莉群</v>
          </cell>
          <cell r="D40">
            <v>71</v>
          </cell>
          <cell r="E40">
            <v>4789.33</v>
          </cell>
          <cell r="H40">
            <v>952</v>
          </cell>
        </row>
        <row r="41">
          <cell r="C41" t="str">
            <v>千禧店</v>
          </cell>
          <cell r="D41">
            <v>23</v>
          </cell>
          <cell r="E41">
            <v>2797.5</v>
          </cell>
          <cell r="H41">
            <v>0</v>
          </cell>
        </row>
        <row r="42">
          <cell r="C42" t="str">
            <v>王显珍</v>
          </cell>
          <cell r="D42">
            <v>111</v>
          </cell>
          <cell r="E42">
            <v>8434.52</v>
          </cell>
          <cell r="H42">
            <v>1161</v>
          </cell>
        </row>
        <row r="43">
          <cell r="C43" t="str">
            <v>张廷妍</v>
          </cell>
          <cell r="D43">
            <v>103</v>
          </cell>
          <cell r="E43">
            <v>23569.279999999999</v>
          </cell>
          <cell r="H43">
            <v>1655</v>
          </cell>
        </row>
        <row r="44">
          <cell r="C44" t="str">
            <v>凤凰山店</v>
          </cell>
          <cell r="D44">
            <v>25</v>
          </cell>
          <cell r="E44">
            <v>15219</v>
          </cell>
          <cell r="H44">
            <v>0</v>
          </cell>
        </row>
        <row r="45">
          <cell r="C45" t="str">
            <v>徐文平</v>
          </cell>
          <cell r="D45">
            <v>99</v>
          </cell>
          <cell r="E45">
            <v>26333.16</v>
          </cell>
          <cell r="H45">
            <v>1625</v>
          </cell>
        </row>
        <row r="46">
          <cell r="C46" t="str">
            <v>喻容</v>
          </cell>
          <cell r="D46">
            <v>92</v>
          </cell>
          <cell r="E46">
            <v>20649.43</v>
          </cell>
          <cell r="H46">
            <v>1220</v>
          </cell>
        </row>
        <row r="47">
          <cell r="C47" t="str">
            <v>张白金</v>
          </cell>
          <cell r="D47">
            <v>105</v>
          </cell>
          <cell r="E47">
            <v>6608.24</v>
          </cell>
          <cell r="H47">
            <v>1263</v>
          </cell>
        </row>
        <row r="48">
          <cell r="C48" t="str">
            <v>张欣</v>
          </cell>
          <cell r="D48">
            <v>12</v>
          </cell>
          <cell r="E48">
            <v>8727.02</v>
          </cell>
          <cell r="H48">
            <v>49</v>
          </cell>
        </row>
        <row r="49">
          <cell r="C49" t="str">
            <v>郑美函</v>
          </cell>
          <cell r="D49">
            <v>81</v>
          </cell>
          <cell r="E49">
            <v>5713.5</v>
          </cell>
          <cell r="H49">
            <v>1123</v>
          </cell>
        </row>
        <row r="50">
          <cell r="C50" t="str">
            <v>周文慧</v>
          </cell>
          <cell r="D50">
            <v>85</v>
          </cell>
          <cell r="E50">
            <v>5446.22</v>
          </cell>
          <cell r="H50">
            <v>1109</v>
          </cell>
        </row>
        <row r="51">
          <cell r="C51" t="str">
            <v>大丰店</v>
          </cell>
          <cell r="D51">
            <v>47</v>
          </cell>
          <cell r="E51">
            <v>50751.5</v>
          </cell>
          <cell r="H51">
            <v>204</v>
          </cell>
        </row>
        <row r="52">
          <cell r="C52" t="str">
            <v>黎红花</v>
          </cell>
          <cell r="D52">
            <v>156</v>
          </cell>
          <cell r="E52">
            <v>51418.54</v>
          </cell>
          <cell r="H52">
            <v>2700</v>
          </cell>
        </row>
        <row r="53">
          <cell r="C53" t="str">
            <v>刘帆</v>
          </cell>
          <cell r="D53">
            <v>97</v>
          </cell>
          <cell r="E53">
            <v>10085.799999999999</v>
          </cell>
          <cell r="H53">
            <v>1256</v>
          </cell>
        </row>
        <row r="54">
          <cell r="C54" t="str">
            <v>蒲艳婷</v>
          </cell>
          <cell r="D54">
            <v>134</v>
          </cell>
          <cell r="E54">
            <v>17876.88</v>
          </cell>
          <cell r="H54">
            <v>2018</v>
          </cell>
        </row>
        <row r="55">
          <cell r="C55" t="str">
            <v>孙红梅</v>
          </cell>
          <cell r="D55">
            <v>159</v>
          </cell>
          <cell r="E55">
            <v>57021.5</v>
          </cell>
          <cell r="H55">
            <v>2067</v>
          </cell>
        </row>
        <row r="56">
          <cell r="C56" t="str">
            <v>杨艳</v>
          </cell>
          <cell r="D56">
            <v>81</v>
          </cell>
          <cell r="E56">
            <v>4540.6499999999996</v>
          </cell>
          <cell r="H56">
            <v>1039</v>
          </cell>
        </row>
        <row r="57">
          <cell r="C57" t="str">
            <v>袁晓梅</v>
          </cell>
          <cell r="D57">
            <v>33</v>
          </cell>
          <cell r="E57">
            <v>2141.39</v>
          </cell>
          <cell r="H57">
            <v>460</v>
          </cell>
        </row>
        <row r="58">
          <cell r="C58" t="str">
            <v>龚艳</v>
          </cell>
          <cell r="D58">
            <v>107</v>
          </cell>
          <cell r="E58">
            <v>20075.759999999998</v>
          </cell>
          <cell r="H58">
            <v>1666</v>
          </cell>
        </row>
        <row r="59">
          <cell r="C59" t="str">
            <v>李红梅</v>
          </cell>
          <cell r="D59">
            <v>108</v>
          </cell>
          <cell r="E59">
            <v>24816.880000000001</v>
          </cell>
          <cell r="H59">
            <v>1814</v>
          </cell>
        </row>
        <row r="60">
          <cell r="C60" t="str">
            <v>唐尹</v>
          </cell>
          <cell r="D60">
            <v>105.5</v>
          </cell>
          <cell r="E60">
            <v>21255.46</v>
          </cell>
          <cell r="H60">
            <v>1561</v>
          </cell>
        </row>
        <row r="61">
          <cell r="C61" t="str">
            <v>叶朝春</v>
          </cell>
          <cell r="D61">
            <v>88</v>
          </cell>
          <cell r="E61">
            <v>7009.51</v>
          </cell>
          <cell r="H61">
            <v>1186</v>
          </cell>
        </row>
        <row r="62">
          <cell r="C62" t="str">
            <v>余姣姣</v>
          </cell>
          <cell r="D62">
            <v>101.5</v>
          </cell>
          <cell r="E62">
            <v>11905.51</v>
          </cell>
          <cell r="H62">
            <v>1429</v>
          </cell>
        </row>
        <row r="63">
          <cell r="C63" t="str">
            <v>中和店</v>
          </cell>
          <cell r="D63">
            <v>10</v>
          </cell>
          <cell r="E63">
            <v>18360</v>
          </cell>
          <cell r="H63">
            <v>0</v>
          </cell>
        </row>
        <row r="64">
          <cell r="C64" t="str">
            <v>曾怡</v>
          </cell>
          <cell r="D64">
            <v>70.5</v>
          </cell>
          <cell r="E64">
            <v>5032.04</v>
          </cell>
          <cell r="H64">
            <v>963</v>
          </cell>
        </row>
        <row r="65">
          <cell r="C65" t="str">
            <v>胡钦秀</v>
          </cell>
          <cell r="D65">
            <v>78</v>
          </cell>
          <cell r="E65">
            <v>5947.88</v>
          </cell>
          <cell r="H65">
            <v>980</v>
          </cell>
        </row>
        <row r="66">
          <cell r="C66" t="str">
            <v>涌泉店</v>
          </cell>
          <cell r="D66">
            <v>21</v>
          </cell>
          <cell r="E66">
            <v>64770</v>
          </cell>
          <cell r="H66">
            <v>0</v>
          </cell>
        </row>
        <row r="67">
          <cell r="C67" t="str">
            <v>袁玉</v>
          </cell>
          <cell r="D67">
            <v>81.5</v>
          </cell>
          <cell r="E67">
            <v>28112.98</v>
          </cell>
          <cell r="H67">
            <v>1155</v>
          </cell>
        </row>
        <row r="68">
          <cell r="C68" t="str">
            <v>赵晴亮</v>
          </cell>
          <cell r="D68">
            <v>104</v>
          </cell>
          <cell r="E68">
            <v>26242.55</v>
          </cell>
          <cell r="H68">
            <v>1524</v>
          </cell>
        </row>
        <row r="69">
          <cell r="C69" t="str">
            <v>郑丹</v>
          </cell>
          <cell r="D69">
            <v>93</v>
          </cell>
          <cell r="E69">
            <v>8694.48</v>
          </cell>
          <cell r="H69">
            <v>1093</v>
          </cell>
        </row>
        <row r="70">
          <cell r="C70" t="str">
            <v>沙河店</v>
          </cell>
          <cell r="D70">
            <v>35</v>
          </cell>
          <cell r="E70">
            <v>10389</v>
          </cell>
          <cell r="H70">
            <v>20</v>
          </cell>
        </row>
        <row r="71">
          <cell r="C71" t="str">
            <v>唐容</v>
          </cell>
          <cell r="D71">
            <v>139</v>
          </cell>
          <cell r="E71">
            <v>31869.96</v>
          </cell>
          <cell r="H71">
            <v>2182</v>
          </cell>
        </row>
        <row r="72">
          <cell r="C72" t="str">
            <v>王依蕊</v>
          </cell>
          <cell r="D72">
            <v>118.5</v>
          </cell>
          <cell r="E72">
            <v>15459.98</v>
          </cell>
          <cell r="H72">
            <v>1652.5</v>
          </cell>
        </row>
        <row r="73">
          <cell r="C73" t="str">
            <v>叶文娟</v>
          </cell>
          <cell r="D73">
            <v>114</v>
          </cell>
          <cell r="E73">
            <v>15290.08</v>
          </cell>
          <cell r="H73">
            <v>1466</v>
          </cell>
        </row>
        <row r="74">
          <cell r="C74" t="str">
            <v>张芮</v>
          </cell>
          <cell r="D74">
            <v>128.5</v>
          </cell>
          <cell r="E74">
            <v>36070.199999999997</v>
          </cell>
          <cell r="H74">
            <v>1779.5</v>
          </cell>
        </row>
        <row r="75">
          <cell r="C75" t="str">
            <v>张元琼</v>
          </cell>
          <cell r="D75">
            <v>145</v>
          </cell>
          <cell r="E75">
            <v>33374.620000000003</v>
          </cell>
          <cell r="H75">
            <v>2417</v>
          </cell>
        </row>
        <row r="76">
          <cell r="C76" t="str">
            <v>曹悦</v>
          </cell>
          <cell r="D76">
            <v>89</v>
          </cell>
          <cell r="E76">
            <v>34300.11</v>
          </cell>
          <cell r="H76">
            <v>1093</v>
          </cell>
        </row>
        <row r="77">
          <cell r="C77" t="str">
            <v>李思忆</v>
          </cell>
          <cell r="D77">
            <v>88</v>
          </cell>
          <cell r="E77">
            <v>22991.78</v>
          </cell>
          <cell r="H77">
            <v>1418</v>
          </cell>
        </row>
        <row r="78">
          <cell r="C78" t="str">
            <v>梁缘缘</v>
          </cell>
          <cell r="D78">
            <v>69</v>
          </cell>
          <cell r="E78">
            <v>18391.38</v>
          </cell>
          <cell r="H78">
            <v>1034</v>
          </cell>
        </row>
        <row r="79">
          <cell r="C79" t="str">
            <v>融创店</v>
          </cell>
          <cell r="D79">
            <v>19</v>
          </cell>
          <cell r="E79">
            <v>1320</v>
          </cell>
          <cell r="H79">
            <v>0</v>
          </cell>
        </row>
        <row r="80">
          <cell r="C80" t="str">
            <v>吴飞雁</v>
          </cell>
          <cell r="D80">
            <v>70</v>
          </cell>
          <cell r="E80">
            <v>11679.15</v>
          </cell>
          <cell r="H80">
            <v>896</v>
          </cell>
        </row>
        <row r="81">
          <cell r="C81" t="str">
            <v>尹桂香</v>
          </cell>
          <cell r="D81">
            <v>82</v>
          </cell>
          <cell r="E81">
            <v>11535.34</v>
          </cell>
          <cell r="H81">
            <v>1032</v>
          </cell>
        </row>
        <row r="82">
          <cell r="C82" t="str">
            <v>赵情情</v>
          </cell>
          <cell r="D82">
            <v>86</v>
          </cell>
          <cell r="E82">
            <v>18249.46</v>
          </cell>
          <cell r="H82">
            <v>1054</v>
          </cell>
        </row>
        <row r="83">
          <cell r="C83" t="str">
            <v>陈洁</v>
          </cell>
          <cell r="D83">
            <v>94</v>
          </cell>
          <cell r="E83">
            <v>23088.240000000002</v>
          </cell>
          <cell r="H83">
            <v>1442</v>
          </cell>
        </row>
        <row r="84">
          <cell r="C84" t="str">
            <v>侯英</v>
          </cell>
          <cell r="D84">
            <v>82</v>
          </cell>
          <cell r="E84">
            <v>8043.96</v>
          </cell>
          <cell r="H84">
            <v>1255</v>
          </cell>
        </row>
        <row r="85">
          <cell r="C85" t="str">
            <v>马宏梅</v>
          </cell>
          <cell r="D85">
            <v>83</v>
          </cell>
          <cell r="E85">
            <v>27866.76</v>
          </cell>
          <cell r="H85">
            <v>1064</v>
          </cell>
        </row>
        <row r="86">
          <cell r="C86" t="str">
            <v>荣华南路店</v>
          </cell>
          <cell r="D86">
            <v>3</v>
          </cell>
          <cell r="E86">
            <v>4592.87</v>
          </cell>
          <cell r="H86">
            <v>0</v>
          </cell>
        </row>
        <row r="87">
          <cell r="C87" t="str">
            <v>谢德芳</v>
          </cell>
          <cell r="D87">
            <v>78</v>
          </cell>
          <cell r="E87">
            <v>7520.64</v>
          </cell>
          <cell r="H87">
            <v>1066</v>
          </cell>
        </row>
        <row r="88">
          <cell r="C88" t="str">
            <v>郑加焕</v>
          </cell>
          <cell r="D88">
            <v>104</v>
          </cell>
          <cell r="E88">
            <v>18058.03</v>
          </cell>
          <cell r="H88">
            <v>1693</v>
          </cell>
        </row>
        <row r="89">
          <cell r="C89" t="str">
            <v>李凤</v>
          </cell>
          <cell r="D89">
            <v>85</v>
          </cell>
          <cell r="E89">
            <v>7126.18</v>
          </cell>
          <cell r="H89">
            <v>1095</v>
          </cell>
        </row>
        <row r="90">
          <cell r="C90" t="str">
            <v>刘裕琼</v>
          </cell>
          <cell r="D90">
            <v>101</v>
          </cell>
          <cell r="E90">
            <v>21310.35</v>
          </cell>
          <cell r="H90">
            <v>1347</v>
          </cell>
        </row>
        <row r="91">
          <cell r="C91" t="str">
            <v>龙巧云</v>
          </cell>
          <cell r="D91">
            <v>106</v>
          </cell>
          <cell r="E91">
            <v>19482.240000000002</v>
          </cell>
          <cell r="H91">
            <v>1354</v>
          </cell>
        </row>
        <row r="92">
          <cell r="C92" t="str">
            <v>骑士郡店</v>
          </cell>
          <cell r="D92">
            <v>20</v>
          </cell>
          <cell r="E92">
            <v>4197.9799999999996</v>
          </cell>
          <cell r="H92">
            <v>0</v>
          </cell>
        </row>
        <row r="93">
          <cell r="C93" t="str">
            <v>谭福英</v>
          </cell>
          <cell r="D93">
            <v>109</v>
          </cell>
          <cell r="E93">
            <v>12395.25</v>
          </cell>
          <cell r="H93">
            <v>1209</v>
          </cell>
        </row>
        <row r="94">
          <cell r="C94" t="str">
            <v>唐施语</v>
          </cell>
          <cell r="D94">
            <v>101</v>
          </cell>
          <cell r="E94">
            <v>18303.84</v>
          </cell>
          <cell r="H94">
            <v>1155</v>
          </cell>
        </row>
        <row r="95">
          <cell r="C95" t="str">
            <v>唐玉芳</v>
          </cell>
          <cell r="D95">
            <v>79</v>
          </cell>
          <cell r="E95">
            <v>40016.480000000003</v>
          </cell>
          <cell r="H95">
            <v>1235</v>
          </cell>
        </row>
        <row r="96">
          <cell r="C96" t="str">
            <v>川音店</v>
          </cell>
          <cell r="D96">
            <v>53</v>
          </cell>
          <cell r="E96">
            <v>80699</v>
          </cell>
          <cell r="H96">
            <v>0</v>
          </cell>
        </row>
        <row r="97">
          <cell r="C97" t="str">
            <v>贺丽</v>
          </cell>
          <cell r="D97">
            <v>67</v>
          </cell>
          <cell r="E97">
            <v>5211.9399999999996</v>
          </cell>
          <cell r="H97">
            <v>1152</v>
          </cell>
        </row>
        <row r="98">
          <cell r="C98" t="str">
            <v>李海瑛</v>
          </cell>
          <cell r="D98">
            <v>56</v>
          </cell>
          <cell r="E98">
            <v>2668.06</v>
          </cell>
          <cell r="H98">
            <v>656</v>
          </cell>
        </row>
        <row r="99">
          <cell r="C99" t="str">
            <v>彭羽佳</v>
          </cell>
          <cell r="D99">
            <v>45</v>
          </cell>
          <cell r="E99">
            <v>3082.38</v>
          </cell>
          <cell r="H99">
            <v>610</v>
          </cell>
        </row>
        <row r="100">
          <cell r="C100" t="str">
            <v>王能琴</v>
          </cell>
          <cell r="D100">
            <v>59</v>
          </cell>
          <cell r="E100">
            <v>2856.63</v>
          </cell>
          <cell r="H100">
            <v>814</v>
          </cell>
        </row>
        <row r="101">
          <cell r="C101" t="str">
            <v>翁玲</v>
          </cell>
          <cell r="D101">
            <v>56</v>
          </cell>
          <cell r="E101">
            <v>3540.96</v>
          </cell>
          <cell r="H101">
            <v>613</v>
          </cell>
        </row>
        <row r="102">
          <cell r="C102" t="str">
            <v>殷小燕</v>
          </cell>
          <cell r="D102">
            <v>74</v>
          </cell>
          <cell r="E102">
            <v>8653.2099999999991</v>
          </cell>
          <cell r="H102">
            <v>950</v>
          </cell>
        </row>
        <row r="103">
          <cell r="C103" t="str">
            <v>朱成芳</v>
          </cell>
          <cell r="D103">
            <v>56</v>
          </cell>
          <cell r="E103">
            <v>5148.9799999999996</v>
          </cell>
          <cell r="H103">
            <v>579</v>
          </cell>
        </row>
        <row r="104">
          <cell r="C104" t="str">
            <v>邹孟君</v>
          </cell>
          <cell r="D104">
            <v>57</v>
          </cell>
          <cell r="E104">
            <v>3102.44</v>
          </cell>
          <cell r="H104">
            <v>796</v>
          </cell>
        </row>
        <row r="105">
          <cell r="C105" t="str">
            <v>陈红霞</v>
          </cell>
          <cell r="D105">
            <v>99</v>
          </cell>
          <cell r="E105">
            <v>7885.26</v>
          </cell>
          <cell r="H105">
            <v>1245.5</v>
          </cell>
        </row>
        <row r="106">
          <cell r="C106" t="str">
            <v>康红梅</v>
          </cell>
          <cell r="D106">
            <v>120.5</v>
          </cell>
          <cell r="E106">
            <v>53433.05</v>
          </cell>
          <cell r="H106">
            <v>1927</v>
          </cell>
        </row>
        <row r="107">
          <cell r="C107" t="str">
            <v>廖增珍</v>
          </cell>
          <cell r="D107">
            <v>83</v>
          </cell>
          <cell r="E107">
            <v>15849.5</v>
          </cell>
          <cell r="H107">
            <v>1074.5</v>
          </cell>
        </row>
        <row r="108">
          <cell r="C108" t="str">
            <v>刘巧艳</v>
          </cell>
          <cell r="D108">
            <v>88</v>
          </cell>
          <cell r="E108">
            <v>69681.67</v>
          </cell>
          <cell r="H108">
            <v>1290</v>
          </cell>
        </row>
        <row r="109">
          <cell r="C109" t="str">
            <v>刘晓丽</v>
          </cell>
          <cell r="D109">
            <v>114</v>
          </cell>
          <cell r="E109">
            <v>24707.94</v>
          </cell>
          <cell r="H109">
            <v>1243.5</v>
          </cell>
        </row>
        <row r="110">
          <cell r="C110" t="str">
            <v>任静</v>
          </cell>
          <cell r="D110">
            <v>100</v>
          </cell>
          <cell r="E110">
            <v>31398.68</v>
          </cell>
          <cell r="H110">
            <v>1087.5</v>
          </cell>
        </row>
        <row r="111">
          <cell r="C111" t="str">
            <v>唐银春</v>
          </cell>
          <cell r="D111">
            <v>128</v>
          </cell>
          <cell r="E111">
            <v>33731.67</v>
          </cell>
          <cell r="H111">
            <v>1636</v>
          </cell>
        </row>
        <row r="112">
          <cell r="C112" t="str">
            <v>紫荆店</v>
          </cell>
          <cell r="D112">
            <v>17</v>
          </cell>
          <cell r="E112">
            <v>105411</v>
          </cell>
          <cell r="H112">
            <v>12</v>
          </cell>
        </row>
        <row r="113">
          <cell r="C113" t="str">
            <v>郝中南</v>
          </cell>
          <cell r="D113">
            <v>129.5</v>
          </cell>
          <cell r="E113">
            <v>25042.22</v>
          </cell>
          <cell r="H113">
            <v>2109</v>
          </cell>
        </row>
        <row r="114">
          <cell r="C114" t="str">
            <v>罗湘湘</v>
          </cell>
          <cell r="D114">
            <v>114</v>
          </cell>
          <cell r="E114">
            <v>8687.26</v>
          </cell>
          <cell r="H114">
            <v>1449</v>
          </cell>
        </row>
        <row r="115">
          <cell r="C115" t="str">
            <v>彭措志玛</v>
          </cell>
          <cell r="D115">
            <v>130</v>
          </cell>
          <cell r="E115">
            <v>21667.48</v>
          </cell>
          <cell r="H115">
            <v>1342.5</v>
          </cell>
        </row>
        <row r="116">
          <cell r="C116" t="str">
            <v>冉芳霞</v>
          </cell>
          <cell r="D116">
            <v>144.5</v>
          </cell>
          <cell r="E116">
            <v>28989.86</v>
          </cell>
          <cell r="H116">
            <v>1895</v>
          </cell>
        </row>
        <row r="117">
          <cell r="C117" t="str">
            <v>双流店</v>
          </cell>
          <cell r="D117">
            <v>40</v>
          </cell>
          <cell r="E117">
            <v>186417</v>
          </cell>
          <cell r="H117">
            <v>0</v>
          </cell>
        </row>
        <row r="118">
          <cell r="C118" t="str">
            <v>谭萍</v>
          </cell>
          <cell r="D118">
            <v>139.5</v>
          </cell>
          <cell r="E118">
            <v>20314.169999999998</v>
          </cell>
          <cell r="H118">
            <v>1763</v>
          </cell>
        </row>
        <row r="119">
          <cell r="C119" t="str">
            <v>陈美合</v>
          </cell>
          <cell r="D119">
            <v>104.5</v>
          </cell>
          <cell r="E119">
            <v>14841.44</v>
          </cell>
          <cell r="H119">
            <v>1112</v>
          </cell>
        </row>
        <row r="120">
          <cell r="C120" t="str">
            <v>郝莉娜</v>
          </cell>
          <cell r="D120">
            <v>73</v>
          </cell>
          <cell r="E120">
            <v>4249.66</v>
          </cell>
          <cell r="H120">
            <v>865</v>
          </cell>
        </row>
        <row r="121">
          <cell r="C121" t="str">
            <v>胡红琳</v>
          </cell>
          <cell r="D121">
            <v>116</v>
          </cell>
          <cell r="E121">
            <v>37325.57</v>
          </cell>
          <cell r="H121">
            <v>1301</v>
          </cell>
        </row>
        <row r="122">
          <cell r="C122" t="str">
            <v>路平</v>
          </cell>
          <cell r="D122">
            <v>14</v>
          </cell>
          <cell r="E122">
            <v>1149.21</v>
          </cell>
          <cell r="H122">
            <v>178</v>
          </cell>
        </row>
        <row r="123">
          <cell r="C123" t="str">
            <v>荣华北路店</v>
          </cell>
          <cell r="D123">
            <v>37</v>
          </cell>
          <cell r="E123">
            <v>15557</v>
          </cell>
          <cell r="H123">
            <v>231</v>
          </cell>
        </row>
        <row r="124">
          <cell r="C124" t="str">
            <v>王萍</v>
          </cell>
          <cell r="D124">
            <v>117</v>
          </cell>
          <cell r="E124">
            <v>42959.34</v>
          </cell>
          <cell r="H124">
            <v>2086</v>
          </cell>
        </row>
        <row r="125">
          <cell r="C125" t="str">
            <v>谢娟</v>
          </cell>
          <cell r="D125">
            <v>123</v>
          </cell>
          <cell r="E125">
            <v>25746.36</v>
          </cell>
          <cell r="H125">
            <v>2285</v>
          </cell>
        </row>
        <row r="126">
          <cell r="C126" t="str">
            <v>达卓措</v>
          </cell>
          <cell r="D126">
            <v>79.5</v>
          </cell>
          <cell r="E126">
            <v>5287.65</v>
          </cell>
          <cell r="H126">
            <v>1021</v>
          </cell>
        </row>
        <row r="127">
          <cell r="C127" t="str">
            <v>高琴</v>
          </cell>
          <cell r="D127">
            <v>130</v>
          </cell>
          <cell r="E127">
            <v>6148.22</v>
          </cell>
          <cell r="H127">
            <v>1384</v>
          </cell>
        </row>
        <row r="128">
          <cell r="C128" t="str">
            <v>李彩华</v>
          </cell>
          <cell r="D128">
            <v>106</v>
          </cell>
          <cell r="E128">
            <v>9635.01</v>
          </cell>
          <cell r="H128">
            <v>1965.5</v>
          </cell>
        </row>
        <row r="129">
          <cell r="C129" t="str">
            <v>廖妍</v>
          </cell>
          <cell r="D129">
            <v>100</v>
          </cell>
          <cell r="E129">
            <v>14073.36</v>
          </cell>
          <cell r="H129">
            <v>854</v>
          </cell>
        </row>
        <row r="130">
          <cell r="C130" t="str">
            <v>刘九招</v>
          </cell>
          <cell r="D130">
            <v>121</v>
          </cell>
          <cell r="E130">
            <v>20521.48</v>
          </cell>
          <cell r="H130">
            <v>1907</v>
          </cell>
        </row>
        <row r="131">
          <cell r="C131" t="str">
            <v>南湖店</v>
          </cell>
          <cell r="D131">
            <v>44</v>
          </cell>
          <cell r="E131">
            <v>61499.07</v>
          </cell>
          <cell r="H131">
            <v>75</v>
          </cell>
        </row>
        <row r="132">
          <cell r="C132" t="str">
            <v>朱羽</v>
          </cell>
          <cell r="D132">
            <v>110</v>
          </cell>
          <cell r="E132">
            <v>9662.0400000000009</v>
          </cell>
          <cell r="H132">
            <v>1154</v>
          </cell>
        </row>
        <row r="133">
          <cell r="C133" t="str">
            <v>安家晴</v>
          </cell>
          <cell r="D133">
            <v>37</v>
          </cell>
          <cell r="E133">
            <v>2623.68</v>
          </cell>
          <cell r="H133">
            <v>493</v>
          </cell>
        </row>
        <row r="134">
          <cell r="C134" t="str">
            <v>顾红艳</v>
          </cell>
          <cell r="D134">
            <v>105</v>
          </cell>
          <cell r="E134">
            <v>20239.59</v>
          </cell>
          <cell r="H134">
            <v>1529</v>
          </cell>
        </row>
        <row r="135">
          <cell r="C135" t="str">
            <v>郭小丽</v>
          </cell>
          <cell r="D135">
            <v>121</v>
          </cell>
          <cell r="E135">
            <v>16834.400000000001</v>
          </cell>
          <cell r="H135">
            <v>1876</v>
          </cell>
        </row>
        <row r="136">
          <cell r="C136" t="str">
            <v>雷娜婷</v>
          </cell>
          <cell r="D136">
            <v>135.5</v>
          </cell>
          <cell r="E136">
            <v>17565.3</v>
          </cell>
          <cell r="H136">
            <v>1905</v>
          </cell>
        </row>
        <row r="137">
          <cell r="C137" t="str">
            <v>梁婷</v>
          </cell>
          <cell r="D137">
            <v>108</v>
          </cell>
          <cell r="E137">
            <v>21935.93</v>
          </cell>
          <cell r="H137">
            <v>1371</v>
          </cell>
        </row>
        <row r="138">
          <cell r="C138" t="str">
            <v>鹭岛店</v>
          </cell>
          <cell r="D138">
            <v>14</v>
          </cell>
          <cell r="E138">
            <v>11817.05</v>
          </cell>
          <cell r="H138">
            <v>0</v>
          </cell>
        </row>
        <row r="139">
          <cell r="C139" t="str">
            <v>叶美霞</v>
          </cell>
          <cell r="D139">
            <v>52</v>
          </cell>
          <cell r="E139">
            <v>3564.77</v>
          </cell>
          <cell r="H139">
            <v>605</v>
          </cell>
        </row>
        <row r="140">
          <cell r="C140" t="str">
            <v>陈春秀</v>
          </cell>
          <cell r="D140">
            <v>23</v>
          </cell>
          <cell r="E140">
            <v>1647.92</v>
          </cell>
          <cell r="H140">
            <v>283</v>
          </cell>
        </row>
        <row r="141">
          <cell r="C141" t="str">
            <v>邓雪梅</v>
          </cell>
          <cell r="D141">
            <v>142</v>
          </cell>
          <cell r="E141">
            <v>28082.959999999999</v>
          </cell>
          <cell r="H141">
            <v>2028</v>
          </cell>
        </row>
        <row r="142">
          <cell r="C142" t="str">
            <v>高雪</v>
          </cell>
          <cell r="D142">
            <v>116</v>
          </cell>
          <cell r="E142">
            <v>18564.669999999998</v>
          </cell>
          <cell r="H142">
            <v>1313</v>
          </cell>
        </row>
        <row r="143">
          <cell r="C143" t="str">
            <v>何婷</v>
          </cell>
          <cell r="D143">
            <v>138</v>
          </cell>
          <cell r="E143">
            <v>24568.3</v>
          </cell>
          <cell r="H143">
            <v>1764</v>
          </cell>
        </row>
        <row r="144">
          <cell r="C144" t="str">
            <v>刘慧</v>
          </cell>
          <cell r="D144">
            <v>114</v>
          </cell>
          <cell r="E144">
            <v>46164.46</v>
          </cell>
          <cell r="H144">
            <v>1366</v>
          </cell>
        </row>
        <row r="145">
          <cell r="C145" t="str">
            <v>龙湖店</v>
          </cell>
          <cell r="D145">
            <v>25</v>
          </cell>
          <cell r="E145">
            <v>32053.26</v>
          </cell>
          <cell r="H145">
            <v>0</v>
          </cell>
        </row>
        <row r="146">
          <cell r="C146" t="str">
            <v>张候敏</v>
          </cell>
          <cell r="D146">
            <v>133</v>
          </cell>
          <cell r="E146">
            <v>58362.94</v>
          </cell>
          <cell r="H146">
            <v>1977</v>
          </cell>
        </row>
        <row r="147">
          <cell r="C147" t="str">
            <v>达哇卓玛</v>
          </cell>
          <cell r="D147">
            <v>110</v>
          </cell>
          <cell r="E147">
            <v>12768.22</v>
          </cell>
          <cell r="H147">
            <v>1347</v>
          </cell>
        </row>
        <row r="148">
          <cell r="C148" t="str">
            <v>光华店</v>
          </cell>
          <cell r="D148">
            <v>11</v>
          </cell>
          <cell r="E148">
            <v>1789.33</v>
          </cell>
          <cell r="H148">
            <v>32</v>
          </cell>
        </row>
        <row r="149">
          <cell r="C149" t="str">
            <v>康钦</v>
          </cell>
          <cell r="D149">
            <v>115</v>
          </cell>
          <cell r="E149">
            <v>40480.21</v>
          </cell>
          <cell r="H149">
            <v>1989</v>
          </cell>
        </row>
        <row r="150">
          <cell r="C150" t="str">
            <v>马菁</v>
          </cell>
          <cell r="D150">
            <v>122</v>
          </cell>
          <cell r="E150">
            <v>18967.5</v>
          </cell>
          <cell r="H150">
            <v>1600</v>
          </cell>
        </row>
        <row r="151">
          <cell r="C151" t="str">
            <v>聂娟</v>
          </cell>
          <cell r="D151">
            <v>135</v>
          </cell>
          <cell r="E151">
            <v>48257.49</v>
          </cell>
          <cell r="H151">
            <v>2157</v>
          </cell>
        </row>
        <row r="152">
          <cell r="C152" t="str">
            <v>熊艳</v>
          </cell>
          <cell r="D152">
            <v>120.5</v>
          </cell>
          <cell r="E152">
            <v>29465.21</v>
          </cell>
          <cell r="H152">
            <v>1735</v>
          </cell>
        </row>
        <row r="153">
          <cell r="C153" t="str">
            <v>陈定坤</v>
          </cell>
          <cell r="D153">
            <v>102</v>
          </cell>
          <cell r="E153">
            <v>5913.88</v>
          </cell>
          <cell r="H153">
            <v>1115</v>
          </cell>
        </row>
        <row r="154">
          <cell r="C154" t="str">
            <v>付薪燕</v>
          </cell>
          <cell r="D154">
            <v>115.5</v>
          </cell>
          <cell r="E154">
            <v>8021.09</v>
          </cell>
          <cell r="H154">
            <v>1344</v>
          </cell>
        </row>
        <row r="155">
          <cell r="C155" t="str">
            <v>李科</v>
          </cell>
          <cell r="D155">
            <v>118</v>
          </cell>
          <cell r="E155">
            <v>17541.330000000002</v>
          </cell>
          <cell r="H155">
            <v>1947</v>
          </cell>
        </row>
        <row r="156">
          <cell r="C156" t="str">
            <v>刘霞</v>
          </cell>
          <cell r="D156">
            <v>78</v>
          </cell>
          <cell r="E156">
            <v>12053.89</v>
          </cell>
          <cell r="H156">
            <v>819</v>
          </cell>
        </row>
        <row r="157">
          <cell r="C157" t="str">
            <v>石海力</v>
          </cell>
          <cell r="D157">
            <v>94.5</v>
          </cell>
          <cell r="E157">
            <v>13323.72</v>
          </cell>
          <cell r="H157">
            <v>1200</v>
          </cell>
        </row>
        <row r="158">
          <cell r="C158" t="str">
            <v>亚洲湾店</v>
          </cell>
          <cell r="D158">
            <v>34</v>
          </cell>
          <cell r="E158">
            <v>46218.71</v>
          </cell>
          <cell r="H158">
            <v>0</v>
          </cell>
        </row>
        <row r="159">
          <cell r="C159" t="str">
            <v>贺金云</v>
          </cell>
          <cell r="D159">
            <v>71</v>
          </cell>
          <cell r="E159">
            <v>7654.79</v>
          </cell>
          <cell r="H159">
            <v>892</v>
          </cell>
        </row>
        <row r="160">
          <cell r="C160" t="str">
            <v>冷忠翠</v>
          </cell>
          <cell r="D160">
            <v>140</v>
          </cell>
          <cell r="E160">
            <v>25735.17</v>
          </cell>
          <cell r="H160">
            <v>2064</v>
          </cell>
        </row>
        <row r="161">
          <cell r="C161" t="str">
            <v>明信店</v>
          </cell>
          <cell r="D161">
            <v>31.5</v>
          </cell>
          <cell r="E161">
            <v>4996.3</v>
          </cell>
          <cell r="H161">
            <v>0</v>
          </cell>
        </row>
        <row r="162">
          <cell r="C162" t="str">
            <v>舒许芳</v>
          </cell>
          <cell r="D162">
            <v>76</v>
          </cell>
          <cell r="E162">
            <v>4125.03</v>
          </cell>
          <cell r="H162">
            <v>1064</v>
          </cell>
        </row>
        <row r="163">
          <cell r="C163" t="str">
            <v>王红</v>
          </cell>
          <cell r="D163">
            <v>109.5</v>
          </cell>
          <cell r="E163">
            <v>11864.38</v>
          </cell>
          <cell r="H163">
            <v>1552</v>
          </cell>
        </row>
        <row r="164">
          <cell r="C164" t="str">
            <v>谢翠华</v>
          </cell>
          <cell r="D164">
            <v>39</v>
          </cell>
          <cell r="E164">
            <v>2543.87</v>
          </cell>
          <cell r="H164">
            <v>536</v>
          </cell>
        </row>
        <row r="165">
          <cell r="C165" t="str">
            <v>郑晓芳</v>
          </cell>
          <cell r="D165">
            <v>18</v>
          </cell>
          <cell r="E165">
            <v>1250.07</v>
          </cell>
          <cell r="H165">
            <v>233</v>
          </cell>
        </row>
        <row r="166">
          <cell r="C166" t="str">
            <v>川师店</v>
          </cell>
          <cell r="D166">
            <v>58</v>
          </cell>
          <cell r="E166">
            <v>65106.42</v>
          </cell>
          <cell r="H166">
            <v>0</v>
          </cell>
        </row>
        <row r="167">
          <cell r="C167" t="str">
            <v>李萌</v>
          </cell>
          <cell r="D167">
            <v>95</v>
          </cell>
          <cell r="E167">
            <v>14369.11</v>
          </cell>
          <cell r="H167">
            <v>1073</v>
          </cell>
        </row>
        <row r="168">
          <cell r="C168" t="str">
            <v>李巧娇</v>
          </cell>
          <cell r="D168">
            <v>110</v>
          </cell>
          <cell r="E168">
            <v>43190.45</v>
          </cell>
          <cell r="H168">
            <v>1112</v>
          </cell>
        </row>
        <row r="169">
          <cell r="C169" t="str">
            <v>柳全菊</v>
          </cell>
          <cell r="D169">
            <v>97</v>
          </cell>
          <cell r="E169">
            <v>12371.53</v>
          </cell>
          <cell r="H169">
            <v>1064</v>
          </cell>
        </row>
        <row r="170">
          <cell r="C170" t="str">
            <v>罗雪</v>
          </cell>
          <cell r="D170">
            <v>125</v>
          </cell>
          <cell r="E170">
            <v>25702.1</v>
          </cell>
          <cell r="H170">
            <v>1995</v>
          </cell>
        </row>
        <row r="171">
          <cell r="C171" t="str">
            <v>唐宇欣</v>
          </cell>
          <cell r="D171">
            <v>113</v>
          </cell>
          <cell r="E171">
            <v>31950.77</v>
          </cell>
          <cell r="H171">
            <v>1231</v>
          </cell>
        </row>
        <row r="172">
          <cell r="C172" t="str">
            <v>刘婵琴</v>
          </cell>
          <cell r="D172">
            <v>119</v>
          </cell>
          <cell r="E172">
            <v>16872.439999999999</v>
          </cell>
          <cell r="H172">
            <v>1584</v>
          </cell>
        </row>
        <row r="173">
          <cell r="C173" t="str">
            <v>欧迎春</v>
          </cell>
          <cell r="D173">
            <v>129</v>
          </cell>
          <cell r="E173">
            <v>48184.25</v>
          </cell>
          <cell r="H173">
            <v>2164</v>
          </cell>
        </row>
        <row r="174">
          <cell r="C174" t="str">
            <v>舒阳</v>
          </cell>
          <cell r="D174">
            <v>104</v>
          </cell>
          <cell r="E174">
            <v>7445.38</v>
          </cell>
          <cell r="H174">
            <v>1252</v>
          </cell>
        </row>
        <row r="175">
          <cell r="C175" t="str">
            <v>谭芙蓉</v>
          </cell>
          <cell r="D175">
            <v>111</v>
          </cell>
          <cell r="E175">
            <v>19882.2</v>
          </cell>
          <cell r="H175">
            <v>1402</v>
          </cell>
        </row>
        <row r="176">
          <cell r="C176" t="str">
            <v>犀浦店</v>
          </cell>
          <cell r="D176">
            <v>12</v>
          </cell>
          <cell r="E176">
            <v>0</v>
          </cell>
          <cell r="H176">
            <v>0</v>
          </cell>
        </row>
        <row r="177">
          <cell r="C177" t="str">
            <v>泽仁拉姆</v>
          </cell>
          <cell r="D177">
            <v>101</v>
          </cell>
          <cell r="E177">
            <v>15050.06</v>
          </cell>
          <cell r="H177">
            <v>1512</v>
          </cell>
        </row>
        <row r="178">
          <cell r="C178" t="str">
            <v>张霞</v>
          </cell>
          <cell r="D178">
            <v>126</v>
          </cell>
          <cell r="E178">
            <v>12792.49</v>
          </cell>
          <cell r="H178">
            <v>1492</v>
          </cell>
        </row>
        <row r="179">
          <cell r="C179" t="str">
            <v>陈丽</v>
          </cell>
          <cell r="D179">
            <v>5</v>
          </cell>
          <cell r="E179">
            <v>270.95999999999998</v>
          </cell>
          <cell r="H179">
            <v>70</v>
          </cell>
        </row>
        <row r="180">
          <cell r="C180" t="str">
            <v>李洪芳</v>
          </cell>
          <cell r="D180">
            <v>99.5</v>
          </cell>
          <cell r="E180">
            <v>25992.16</v>
          </cell>
          <cell r="H180">
            <v>1683.5</v>
          </cell>
        </row>
        <row r="181">
          <cell r="C181" t="str">
            <v>龙城国际店</v>
          </cell>
          <cell r="D181">
            <v>23</v>
          </cell>
          <cell r="E181">
            <v>68388</v>
          </cell>
          <cell r="H181">
            <v>0</v>
          </cell>
        </row>
        <row r="182">
          <cell r="C182" t="str">
            <v>罗文文</v>
          </cell>
          <cell r="D182">
            <v>73.5</v>
          </cell>
          <cell r="E182">
            <v>6857.83</v>
          </cell>
          <cell r="H182">
            <v>991.5</v>
          </cell>
        </row>
        <row r="183">
          <cell r="C183" t="str">
            <v>王维</v>
          </cell>
          <cell r="D183">
            <v>84</v>
          </cell>
          <cell r="E183">
            <v>7072.69</v>
          </cell>
          <cell r="H183">
            <v>1054</v>
          </cell>
        </row>
        <row r="184">
          <cell r="C184" t="str">
            <v>谢金梅</v>
          </cell>
          <cell r="D184">
            <v>39</v>
          </cell>
          <cell r="E184">
            <v>7196.53</v>
          </cell>
          <cell r="H184">
            <v>504.5</v>
          </cell>
        </row>
        <row r="185">
          <cell r="C185" t="str">
            <v>钟心悦</v>
          </cell>
          <cell r="D185">
            <v>20</v>
          </cell>
          <cell r="E185">
            <v>864.77</v>
          </cell>
          <cell r="H185">
            <v>210</v>
          </cell>
        </row>
        <row r="186">
          <cell r="C186" t="str">
            <v>邹奇圻</v>
          </cell>
          <cell r="D186">
            <v>16</v>
          </cell>
          <cell r="E186">
            <v>780.5</v>
          </cell>
          <cell r="H186">
            <v>211</v>
          </cell>
        </row>
        <row r="187">
          <cell r="C187" t="str">
            <v>陈建蓉</v>
          </cell>
          <cell r="D187">
            <v>138</v>
          </cell>
          <cell r="E187">
            <v>28777.7</v>
          </cell>
          <cell r="H187">
            <v>1692</v>
          </cell>
        </row>
        <row r="188">
          <cell r="C188" t="str">
            <v>董顺秀</v>
          </cell>
          <cell r="D188">
            <v>126</v>
          </cell>
          <cell r="E188">
            <v>86891.64</v>
          </cell>
          <cell r="H188">
            <v>1768</v>
          </cell>
        </row>
        <row r="189">
          <cell r="C189" t="str">
            <v>静居寺店</v>
          </cell>
          <cell r="D189">
            <v>57</v>
          </cell>
          <cell r="E189">
            <v>182027.66</v>
          </cell>
          <cell r="H189">
            <v>232</v>
          </cell>
        </row>
        <row r="190">
          <cell r="C190" t="str">
            <v>黎茂婷</v>
          </cell>
          <cell r="D190">
            <v>141</v>
          </cell>
          <cell r="E190">
            <v>46794.41</v>
          </cell>
          <cell r="H190">
            <v>1901</v>
          </cell>
        </row>
        <row r="191">
          <cell r="C191" t="str">
            <v>王娇</v>
          </cell>
          <cell r="D191">
            <v>119</v>
          </cell>
          <cell r="E191">
            <v>32374.69</v>
          </cell>
          <cell r="H191">
            <v>1254</v>
          </cell>
        </row>
        <row r="192">
          <cell r="C192" t="str">
            <v>杨金花</v>
          </cell>
          <cell r="D192">
            <v>141</v>
          </cell>
          <cell r="E192">
            <v>55759.65</v>
          </cell>
          <cell r="H192">
            <v>1805</v>
          </cell>
        </row>
        <row r="193">
          <cell r="C193" t="str">
            <v>张丽</v>
          </cell>
          <cell r="D193">
            <v>128</v>
          </cell>
          <cell r="E193">
            <v>86403.54</v>
          </cell>
          <cell r="H193">
            <v>1948</v>
          </cell>
        </row>
        <row r="194">
          <cell r="C194" t="str">
            <v>陈雪莲</v>
          </cell>
          <cell r="D194">
            <v>102</v>
          </cell>
          <cell r="E194">
            <v>20974.32</v>
          </cell>
          <cell r="H194">
            <v>1238.5</v>
          </cell>
        </row>
        <row r="195">
          <cell r="C195" t="str">
            <v>华润店</v>
          </cell>
          <cell r="D195">
            <v>37</v>
          </cell>
          <cell r="E195">
            <v>15111.11</v>
          </cell>
          <cell r="H195">
            <v>220</v>
          </cell>
        </row>
        <row r="196">
          <cell r="C196" t="str">
            <v>黄小燕</v>
          </cell>
          <cell r="D196">
            <v>124</v>
          </cell>
          <cell r="E196">
            <v>56864.800000000003</v>
          </cell>
          <cell r="H196">
            <v>2002.5</v>
          </cell>
        </row>
        <row r="197">
          <cell r="C197" t="str">
            <v>雷朝霞</v>
          </cell>
          <cell r="D197">
            <v>77</v>
          </cell>
          <cell r="E197">
            <v>10407.49</v>
          </cell>
          <cell r="H197">
            <v>1134</v>
          </cell>
        </row>
        <row r="198">
          <cell r="C198" t="str">
            <v>王如意</v>
          </cell>
          <cell r="D198">
            <v>77</v>
          </cell>
          <cell r="E198">
            <v>15179.01</v>
          </cell>
          <cell r="H198">
            <v>1007</v>
          </cell>
        </row>
        <row r="199">
          <cell r="C199" t="str">
            <v>王瑞琳</v>
          </cell>
          <cell r="D199">
            <v>116</v>
          </cell>
          <cell r="E199">
            <v>48340.47</v>
          </cell>
          <cell r="H199">
            <v>1882</v>
          </cell>
        </row>
        <row r="200">
          <cell r="C200" t="str">
            <v>赵玉晓</v>
          </cell>
          <cell r="D200">
            <v>82</v>
          </cell>
          <cell r="E200">
            <v>14652.31</v>
          </cell>
          <cell r="H200">
            <v>1026</v>
          </cell>
        </row>
        <row r="201">
          <cell r="C201" t="str">
            <v>阿衣尔扎</v>
          </cell>
          <cell r="D201">
            <v>64</v>
          </cell>
          <cell r="E201">
            <v>3537.89</v>
          </cell>
          <cell r="H201">
            <v>890</v>
          </cell>
        </row>
        <row r="202">
          <cell r="C202" t="str">
            <v>包竹梅</v>
          </cell>
          <cell r="D202">
            <v>124</v>
          </cell>
          <cell r="E202">
            <v>14051.89</v>
          </cell>
          <cell r="H202">
            <v>2177</v>
          </cell>
        </row>
        <row r="203">
          <cell r="C203" t="str">
            <v>红光店</v>
          </cell>
          <cell r="D203">
            <v>16</v>
          </cell>
          <cell r="E203">
            <v>130200</v>
          </cell>
          <cell r="H203">
            <v>0</v>
          </cell>
        </row>
        <row r="204">
          <cell r="C204" t="str">
            <v>刘梦蓝</v>
          </cell>
          <cell r="D204">
            <v>77</v>
          </cell>
          <cell r="E204">
            <v>6609.12</v>
          </cell>
          <cell r="H204">
            <v>1062</v>
          </cell>
        </row>
        <row r="205">
          <cell r="C205" t="str">
            <v>马丽亚</v>
          </cell>
          <cell r="D205">
            <v>99</v>
          </cell>
          <cell r="E205">
            <v>15611.31</v>
          </cell>
          <cell r="H205">
            <v>1565</v>
          </cell>
        </row>
        <row r="206">
          <cell r="C206" t="str">
            <v>蒙亦锌</v>
          </cell>
          <cell r="D206">
            <v>96</v>
          </cell>
          <cell r="E206">
            <v>10460.950000000001</v>
          </cell>
          <cell r="H206">
            <v>1154</v>
          </cell>
        </row>
        <row r="207">
          <cell r="C207" t="str">
            <v>468店</v>
          </cell>
          <cell r="D207">
            <v>64</v>
          </cell>
          <cell r="E207">
            <v>12825.42</v>
          </cell>
          <cell r="H207">
            <v>147</v>
          </cell>
        </row>
        <row r="208">
          <cell r="C208" t="str">
            <v>陈萍</v>
          </cell>
          <cell r="D208">
            <v>116</v>
          </cell>
          <cell r="E208">
            <v>14604.05</v>
          </cell>
          <cell r="H208">
            <v>1651</v>
          </cell>
        </row>
        <row r="209">
          <cell r="C209" t="str">
            <v>陈小琴</v>
          </cell>
          <cell r="D209">
            <v>142</v>
          </cell>
          <cell r="E209">
            <v>65626.87</v>
          </cell>
          <cell r="H209">
            <v>2166</v>
          </cell>
        </row>
        <row r="210">
          <cell r="C210" t="str">
            <v>苟小春</v>
          </cell>
          <cell r="D210">
            <v>129</v>
          </cell>
          <cell r="E210">
            <v>24362.94</v>
          </cell>
          <cell r="H210">
            <v>1727</v>
          </cell>
        </row>
        <row r="211">
          <cell r="C211" t="str">
            <v>李燕</v>
          </cell>
          <cell r="D211">
            <v>127</v>
          </cell>
          <cell r="E211">
            <v>48303.1</v>
          </cell>
          <cell r="H211">
            <v>1683</v>
          </cell>
        </row>
        <row r="212">
          <cell r="C212" t="str">
            <v>刘恬恬</v>
          </cell>
          <cell r="D212">
            <v>128</v>
          </cell>
          <cell r="E212">
            <v>25060.39</v>
          </cell>
          <cell r="H212">
            <v>1660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B1" t="str">
            <v>姓名</v>
          </cell>
          <cell r="L1" t="str">
            <v>工资扣</v>
          </cell>
        </row>
        <row r="2">
          <cell r="B2" t="str">
            <v>梁刚</v>
          </cell>
        </row>
        <row r="3">
          <cell r="B3" t="str">
            <v>秦玉梅</v>
          </cell>
        </row>
        <row r="4">
          <cell r="B4" t="str">
            <v>徐登毅</v>
          </cell>
          <cell r="L4">
            <v>644.16800000000001</v>
          </cell>
        </row>
        <row r="5">
          <cell r="B5" t="str">
            <v>马小英</v>
          </cell>
          <cell r="L5">
            <v>644.16800000000001</v>
          </cell>
        </row>
        <row r="6">
          <cell r="B6" t="str">
            <v>吴小强</v>
          </cell>
          <cell r="L6">
            <v>644.16800000000001</v>
          </cell>
        </row>
        <row r="7">
          <cell r="B7" t="str">
            <v>詹芳英</v>
          </cell>
          <cell r="L7">
            <v>644.16800000000001</v>
          </cell>
        </row>
        <row r="8">
          <cell r="B8" t="str">
            <v>刘金凤</v>
          </cell>
          <cell r="L8">
            <v>644.16800000000001</v>
          </cell>
        </row>
        <row r="9">
          <cell r="B9" t="str">
            <v>夏萍</v>
          </cell>
          <cell r="L9">
            <v>644.16800000000001</v>
          </cell>
        </row>
        <row r="10">
          <cell r="B10" t="str">
            <v>张红霞</v>
          </cell>
          <cell r="L10">
            <v>644.16800000000001</v>
          </cell>
        </row>
        <row r="11">
          <cell r="B11" t="str">
            <v>刘九招</v>
          </cell>
          <cell r="L11">
            <v>644.16800000000001</v>
          </cell>
        </row>
        <row r="12">
          <cell r="B12" t="str">
            <v>秦亚平</v>
          </cell>
          <cell r="L12">
            <v>640.55999999999995</v>
          </cell>
        </row>
        <row r="13">
          <cell r="B13" t="str">
            <v>欧阳敏</v>
          </cell>
          <cell r="L13">
            <v>640.55999999999995</v>
          </cell>
        </row>
        <row r="14">
          <cell r="B14" t="str">
            <v>袁小兵</v>
          </cell>
          <cell r="L14">
            <v>640.55999999999995</v>
          </cell>
        </row>
        <row r="15">
          <cell r="B15" t="str">
            <v>张芮</v>
          </cell>
          <cell r="L15">
            <v>640.55999999999995</v>
          </cell>
        </row>
        <row r="16">
          <cell r="B16" t="str">
            <v>曾雨晴</v>
          </cell>
          <cell r="L16">
            <v>640.55999999999995</v>
          </cell>
        </row>
        <row r="17">
          <cell r="B17" t="str">
            <v>向郑瑶</v>
          </cell>
          <cell r="L17">
            <v>640.55999999999995</v>
          </cell>
        </row>
        <row r="18">
          <cell r="B18" t="str">
            <v>肖倩</v>
          </cell>
          <cell r="L18">
            <v>640.55999999999995</v>
          </cell>
        </row>
        <row r="19">
          <cell r="B19" t="str">
            <v>李萱君</v>
          </cell>
          <cell r="L19">
            <v>640.55999999999995</v>
          </cell>
        </row>
        <row r="20">
          <cell r="B20" t="str">
            <v>张雪颖</v>
          </cell>
          <cell r="L20">
            <v>640.55999999999995</v>
          </cell>
        </row>
        <row r="21">
          <cell r="B21" t="str">
            <v>张小娟</v>
          </cell>
          <cell r="L21">
            <v>640.55999999999995</v>
          </cell>
        </row>
        <row r="22">
          <cell r="B22" t="str">
            <v>王依蕊</v>
          </cell>
          <cell r="L22">
            <v>640.55999999999995</v>
          </cell>
        </row>
        <row r="23">
          <cell r="B23" t="str">
            <v>张元琼</v>
          </cell>
          <cell r="L23">
            <v>640.55999999999995</v>
          </cell>
        </row>
        <row r="24">
          <cell r="B24" t="str">
            <v>饶秋华</v>
          </cell>
          <cell r="L24">
            <v>640.55999999999995</v>
          </cell>
        </row>
        <row r="25">
          <cell r="B25" t="str">
            <v>廖妍</v>
          </cell>
          <cell r="L25">
            <v>640.55999999999995</v>
          </cell>
        </row>
        <row r="26">
          <cell r="B26" t="str">
            <v>李晓</v>
          </cell>
        </row>
        <row r="27">
          <cell r="B27" t="str">
            <v>王晓琳</v>
          </cell>
          <cell r="L27">
            <v>640.55999999999995</v>
          </cell>
        </row>
        <row r="28">
          <cell r="B28" t="str">
            <v>秦娜</v>
          </cell>
          <cell r="L28">
            <v>640.55999999999995</v>
          </cell>
        </row>
        <row r="29">
          <cell r="B29" t="str">
            <v>周林</v>
          </cell>
          <cell r="L29">
            <v>640.55999999999995</v>
          </cell>
        </row>
        <row r="30">
          <cell r="B30" t="str">
            <v>何琼华</v>
          </cell>
          <cell r="L30">
            <v>640.55999999999995</v>
          </cell>
        </row>
        <row r="31">
          <cell r="B31" t="str">
            <v>龚茜</v>
          </cell>
          <cell r="L31">
            <v>640.55999999999995</v>
          </cell>
        </row>
        <row r="32">
          <cell r="B32" t="str">
            <v>宋林琳</v>
          </cell>
          <cell r="L32">
            <v>640.55999999999995</v>
          </cell>
        </row>
        <row r="33">
          <cell r="B33" t="str">
            <v>赵美艳</v>
          </cell>
          <cell r="L33">
            <v>640.55999999999995</v>
          </cell>
        </row>
        <row r="34">
          <cell r="B34" t="str">
            <v>雷娜婷</v>
          </cell>
          <cell r="L34">
            <v>640.55999999999995</v>
          </cell>
        </row>
        <row r="35">
          <cell r="B35" t="str">
            <v>欧迎春</v>
          </cell>
          <cell r="L35">
            <v>644.16800000000001</v>
          </cell>
        </row>
        <row r="36">
          <cell r="B36" t="str">
            <v>包竹梅</v>
          </cell>
          <cell r="L36">
            <v>644.16800000000001</v>
          </cell>
        </row>
        <row r="37">
          <cell r="B37" t="str">
            <v>肖静梅</v>
          </cell>
          <cell r="L37">
            <v>644.16800000000001</v>
          </cell>
        </row>
        <row r="38">
          <cell r="B38" t="str">
            <v>牟光燕</v>
          </cell>
          <cell r="L38">
            <v>644.16800000000001</v>
          </cell>
        </row>
        <row r="39">
          <cell r="B39" t="str">
            <v>黎红花</v>
          </cell>
          <cell r="L39">
            <v>644.16800000000001</v>
          </cell>
        </row>
        <row r="40">
          <cell r="B40" t="str">
            <v>谢珂欣</v>
          </cell>
          <cell r="L40">
            <v>644.16800000000001</v>
          </cell>
        </row>
        <row r="41">
          <cell r="B41" t="str">
            <v>郭思瑞</v>
          </cell>
          <cell r="L41">
            <v>644.16800000000001</v>
          </cell>
        </row>
        <row r="42">
          <cell r="B42" t="str">
            <v>樊琳</v>
          </cell>
          <cell r="L42">
            <v>458.31599999999997</v>
          </cell>
        </row>
        <row r="43">
          <cell r="B43" t="str">
            <v>郭兰</v>
          </cell>
          <cell r="L43">
            <v>644.16800000000001</v>
          </cell>
        </row>
        <row r="44">
          <cell r="B44" t="str">
            <v>陈建蓉</v>
          </cell>
          <cell r="L44">
            <v>644.16800000000001</v>
          </cell>
        </row>
        <row r="45">
          <cell r="B45" t="str">
            <v>吴亚梅</v>
          </cell>
        </row>
        <row r="46">
          <cell r="B46" t="str">
            <v>马宏梅</v>
          </cell>
          <cell r="L46">
            <v>640.55999999999995</v>
          </cell>
        </row>
        <row r="47">
          <cell r="B47" t="str">
            <v>袁玉</v>
          </cell>
          <cell r="L47">
            <v>640.55999999999995</v>
          </cell>
        </row>
        <row r="48">
          <cell r="B48" t="str">
            <v>杨金花</v>
          </cell>
          <cell r="L48">
            <v>454.70800000000003</v>
          </cell>
        </row>
        <row r="49">
          <cell r="B49" t="str">
            <v>易春梅</v>
          </cell>
          <cell r="L49">
            <v>640.55999999999995</v>
          </cell>
        </row>
        <row r="50">
          <cell r="B50" t="str">
            <v>江玲</v>
          </cell>
          <cell r="L50">
            <v>640.55999999999995</v>
          </cell>
        </row>
        <row r="51">
          <cell r="B51" t="str">
            <v>王瑞琳</v>
          </cell>
          <cell r="L51">
            <v>640.55999999999995</v>
          </cell>
        </row>
        <row r="52">
          <cell r="B52" t="str">
            <v>关晓燕</v>
          </cell>
          <cell r="L52">
            <v>640.55999999999995</v>
          </cell>
        </row>
        <row r="53">
          <cell r="B53" t="str">
            <v>杨磊</v>
          </cell>
          <cell r="L53">
            <v>0</v>
          </cell>
        </row>
        <row r="54">
          <cell r="B54" t="str">
            <v>赵倩</v>
          </cell>
          <cell r="L54">
            <v>640.55999999999995</v>
          </cell>
        </row>
        <row r="55">
          <cell r="B55" t="str">
            <v>文倩</v>
          </cell>
          <cell r="L55">
            <v>638.75599999999997</v>
          </cell>
        </row>
        <row r="56">
          <cell r="B56" t="str">
            <v>董顺秀</v>
          </cell>
          <cell r="L56">
            <v>452.904</v>
          </cell>
        </row>
        <row r="57">
          <cell r="B57" t="str">
            <v>张明艳</v>
          </cell>
          <cell r="L57">
            <v>638.75599999999997</v>
          </cell>
        </row>
        <row r="58">
          <cell r="B58" t="str">
            <v>邓丽莉</v>
          </cell>
          <cell r="L58">
            <v>638.75599999999997</v>
          </cell>
        </row>
        <row r="59">
          <cell r="B59" t="str">
            <v>陈佳丽</v>
          </cell>
          <cell r="L59">
            <v>638.75599999999997</v>
          </cell>
        </row>
        <row r="60">
          <cell r="B60" t="str">
            <v>郑华跃</v>
          </cell>
          <cell r="L60">
            <v>638.75599999999997</v>
          </cell>
        </row>
        <row r="61">
          <cell r="B61" t="str">
            <v>李茂</v>
          </cell>
          <cell r="L61">
            <v>638.75599999999997</v>
          </cell>
        </row>
        <row r="62">
          <cell r="B62" t="str">
            <v>李巧娇</v>
          </cell>
          <cell r="L62">
            <v>638.75599999999997</v>
          </cell>
        </row>
        <row r="63">
          <cell r="B63" t="str">
            <v>徐睦垚</v>
          </cell>
          <cell r="L63">
            <v>638.75599999999997</v>
          </cell>
        </row>
        <row r="64">
          <cell r="B64" t="str">
            <v>叶璐璐</v>
          </cell>
          <cell r="L64">
            <v>638.75599999999997</v>
          </cell>
        </row>
        <row r="65">
          <cell r="B65" t="str">
            <v>但红玉</v>
          </cell>
          <cell r="L65">
            <v>640.55999999999995</v>
          </cell>
        </row>
        <row r="66">
          <cell r="B66" t="str">
            <v>张候敏</v>
          </cell>
          <cell r="L66">
            <v>640.55999999999995</v>
          </cell>
        </row>
        <row r="67">
          <cell r="B67" t="str">
            <v>唐玉芳</v>
          </cell>
          <cell r="L67">
            <v>640.55999999999995</v>
          </cell>
        </row>
        <row r="68">
          <cell r="B68" t="str">
            <v>杨琴</v>
          </cell>
          <cell r="L68">
            <v>640.55999999999995</v>
          </cell>
        </row>
        <row r="69">
          <cell r="B69" t="str">
            <v>魏柯</v>
          </cell>
          <cell r="L69">
            <v>640.55999999999995</v>
          </cell>
        </row>
        <row r="70">
          <cell r="B70" t="str">
            <v>孙红梅</v>
          </cell>
          <cell r="L70">
            <v>640.55999999999995</v>
          </cell>
        </row>
        <row r="71">
          <cell r="B71" t="str">
            <v>刘安琼</v>
          </cell>
          <cell r="L71">
            <v>640.55999999999995</v>
          </cell>
        </row>
        <row r="72">
          <cell r="B72" t="str">
            <v>罗雪</v>
          </cell>
          <cell r="L72">
            <v>454.70800000000003</v>
          </cell>
        </row>
        <row r="73">
          <cell r="B73" t="str">
            <v>李思忆</v>
          </cell>
          <cell r="L73">
            <v>640.55999999999995</v>
          </cell>
        </row>
        <row r="74">
          <cell r="B74" t="str">
            <v>贺丽</v>
          </cell>
          <cell r="L74">
            <v>640.55999999999995</v>
          </cell>
        </row>
        <row r="75">
          <cell r="B75" t="str">
            <v>蒲草</v>
          </cell>
          <cell r="L75">
            <v>640.55999999999995</v>
          </cell>
        </row>
        <row r="76">
          <cell r="B76" t="str">
            <v>喻容</v>
          </cell>
          <cell r="L76">
            <v>640.55999999999995</v>
          </cell>
        </row>
        <row r="77">
          <cell r="B77" t="str">
            <v>葛敏</v>
          </cell>
          <cell r="L77">
            <v>640.55999999999995</v>
          </cell>
        </row>
        <row r="78">
          <cell r="B78" t="str">
            <v>程燕</v>
          </cell>
          <cell r="L78">
            <v>640.55999999999995</v>
          </cell>
        </row>
        <row r="79">
          <cell r="B79" t="str">
            <v>林萍</v>
          </cell>
          <cell r="L79">
            <v>640.55999999999995</v>
          </cell>
        </row>
        <row r="80">
          <cell r="B80" t="str">
            <v>李燕</v>
          </cell>
          <cell r="L80">
            <v>640.55999999999995</v>
          </cell>
        </row>
        <row r="81">
          <cell r="B81" t="str">
            <v>张清华</v>
          </cell>
          <cell r="L81">
            <v>640.55999999999995</v>
          </cell>
        </row>
        <row r="82">
          <cell r="B82" t="str">
            <v>陈怡名</v>
          </cell>
          <cell r="L82">
            <v>640.55999999999995</v>
          </cell>
        </row>
        <row r="83">
          <cell r="B83" t="str">
            <v>徐文平</v>
          </cell>
          <cell r="L83">
            <v>640.55999999999995</v>
          </cell>
        </row>
        <row r="84">
          <cell r="B84" t="str">
            <v>陈小琴</v>
          </cell>
          <cell r="L84">
            <v>640.55999999999995</v>
          </cell>
        </row>
        <row r="85">
          <cell r="B85" t="str">
            <v>张艳秋</v>
          </cell>
          <cell r="L85">
            <v>640.55999999999995</v>
          </cell>
        </row>
        <row r="86">
          <cell r="B86" t="str">
            <v>张小华</v>
          </cell>
          <cell r="L86">
            <v>640.55999999999995</v>
          </cell>
        </row>
        <row r="87">
          <cell r="B87" t="str">
            <v>陈思思</v>
          </cell>
          <cell r="L87">
            <v>644.16800000000001</v>
          </cell>
        </row>
        <row r="88">
          <cell r="B88" t="str">
            <v>王红</v>
          </cell>
          <cell r="L88">
            <v>644.16800000000001</v>
          </cell>
        </row>
        <row r="89">
          <cell r="B89" t="str">
            <v>刘祖红</v>
          </cell>
          <cell r="L89">
            <v>644.16800000000001</v>
          </cell>
        </row>
        <row r="90">
          <cell r="B90" t="str">
            <v>康丹</v>
          </cell>
        </row>
        <row r="91">
          <cell r="B91" t="str">
            <v>王桂明</v>
          </cell>
          <cell r="L91">
            <v>644.16800000000001</v>
          </cell>
        </row>
        <row r="92">
          <cell r="B92" t="str">
            <v>刘恬恬</v>
          </cell>
          <cell r="L92">
            <v>644.16800000000001</v>
          </cell>
        </row>
        <row r="93">
          <cell r="B93" t="str">
            <v>白丽</v>
          </cell>
          <cell r="L93">
            <v>644.16800000000001</v>
          </cell>
        </row>
        <row r="94">
          <cell r="B94" t="str">
            <v>张丽</v>
          </cell>
          <cell r="L94">
            <v>644.16800000000001</v>
          </cell>
        </row>
        <row r="95">
          <cell r="B95" t="str">
            <v>苟小春</v>
          </cell>
          <cell r="L95">
            <v>644.16800000000001</v>
          </cell>
        </row>
        <row r="96">
          <cell r="B96" t="str">
            <v>彭龙惠</v>
          </cell>
          <cell r="L96">
            <v>644.16800000000001</v>
          </cell>
        </row>
        <row r="97">
          <cell r="B97" t="str">
            <v>范时依</v>
          </cell>
          <cell r="L97">
            <v>644.16800000000001</v>
          </cell>
        </row>
        <row r="98">
          <cell r="B98" t="str">
            <v>罗林芳</v>
          </cell>
          <cell r="L98">
            <v>644.16800000000001</v>
          </cell>
        </row>
        <row r="99">
          <cell r="B99" t="str">
            <v>聂娟</v>
          </cell>
          <cell r="L99">
            <v>644.16800000000001</v>
          </cell>
        </row>
        <row r="100">
          <cell r="B100" t="str">
            <v>谢宗富</v>
          </cell>
          <cell r="L100">
            <v>644.16800000000001</v>
          </cell>
        </row>
        <row r="101">
          <cell r="B101" t="str">
            <v>赵静</v>
          </cell>
          <cell r="L101">
            <v>644.16800000000001</v>
          </cell>
        </row>
        <row r="102">
          <cell r="B102" t="str">
            <v>冷忠翠</v>
          </cell>
          <cell r="L102">
            <v>644.16800000000001</v>
          </cell>
        </row>
        <row r="103">
          <cell r="B103" t="str">
            <v>尧丹丹</v>
          </cell>
          <cell r="L103">
            <v>644.16800000000001</v>
          </cell>
        </row>
        <row r="104">
          <cell r="B104" t="str">
            <v>杜兰兰</v>
          </cell>
          <cell r="L104">
            <v>644.16800000000001</v>
          </cell>
        </row>
        <row r="105">
          <cell r="B105" t="str">
            <v>赵忠芬</v>
          </cell>
          <cell r="L105">
            <v>644.16800000000001</v>
          </cell>
        </row>
        <row r="106">
          <cell r="B106" t="str">
            <v>张廷妍</v>
          </cell>
          <cell r="L106">
            <v>644.16800000000001</v>
          </cell>
        </row>
        <row r="107">
          <cell r="B107" t="str">
            <v>郑巧玲</v>
          </cell>
          <cell r="L107">
            <v>644.16800000000001</v>
          </cell>
        </row>
        <row r="108">
          <cell r="B108" t="str">
            <v>糜清云</v>
          </cell>
          <cell r="L108">
            <v>644.16800000000001</v>
          </cell>
        </row>
        <row r="109">
          <cell r="B109" t="str">
            <v>王新华</v>
          </cell>
        </row>
        <row r="110">
          <cell r="B110" t="str">
            <v>宁燕</v>
          </cell>
          <cell r="L110">
            <v>644.16800000000001</v>
          </cell>
        </row>
        <row r="111">
          <cell r="B111" t="str">
            <v>曾玉莲</v>
          </cell>
          <cell r="L111">
            <v>644.16800000000001</v>
          </cell>
        </row>
        <row r="112">
          <cell r="B112" t="str">
            <v>张欣</v>
          </cell>
          <cell r="L112">
            <v>644.16800000000001</v>
          </cell>
        </row>
        <row r="113">
          <cell r="B113" t="str">
            <v>竹艳梅</v>
          </cell>
          <cell r="L113">
            <v>644.16800000000001</v>
          </cell>
        </row>
        <row r="114">
          <cell r="B114" t="str">
            <v>贾琳</v>
          </cell>
          <cell r="L114">
            <v>644.16800000000001</v>
          </cell>
        </row>
        <row r="115">
          <cell r="B115" t="str">
            <v>李维</v>
          </cell>
          <cell r="L115">
            <v>644.16800000000001</v>
          </cell>
        </row>
        <row r="116">
          <cell r="B116" t="str">
            <v>蓝海英</v>
          </cell>
          <cell r="L116">
            <v>644.16800000000001</v>
          </cell>
        </row>
        <row r="117">
          <cell r="B117" t="str">
            <v>唐银春</v>
          </cell>
          <cell r="L117">
            <v>644.16800000000001</v>
          </cell>
        </row>
        <row r="118">
          <cell r="B118" t="str">
            <v>任艺</v>
          </cell>
          <cell r="L118">
            <v>644.16800000000001</v>
          </cell>
        </row>
        <row r="119">
          <cell r="B119" t="str">
            <v>莫志英</v>
          </cell>
          <cell r="L119">
            <v>644.16800000000001</v>
          </cell>
        </row>
        <row r="120">
          <cell r="B120" t="str">
            <v>刘巧艳</v>
          </cell>
          <cell r="L120">
            <v>644.16800000000001</v>
          </cell>
        </row>
        <row r="121">
          <cell r="B121" t="str">
            <v>康红梅</v>
          </cell>
          <cell r="L121">
            <v>644.16800000000001</v>
          </cell>
        </row>
        <row r="122">
          <cell r="B122" t="str">
            <v>刘晓丽</v>
          </cell>
          <cell r="L122">
            <v>644.16800000000001</v>
          </cell>
        </row>
        <row r="123">
          <cell r="B123" t="str">
            <v>李红梅</v>
          </cell>
          <cell r="L123">
            <v>644.16800000000001</v>
          </cell>
        </row>
        <row r="124">
          <cell r="B124" t="str">
            <v>谢娟</v>
          </cell>
          <cell r="L124">
            <v>644.16800000000001</v>
          </cell>
        </row>
        <row r="125">
          <cell r="B125" t="str">
            <v>贺慧</v>
          </cell>
          <cell r="L125">
            <v>644.16800000000001</v>
          </cell>
        </row>
        <row r="126">
          <cell r="B126" t="str">
            <v>胡红琳</v>
          </cell>
          <cell r="L126">
            <v>644.16800000000001</v>
          </cell>
        </row>
        <row r="127">
          <cell r="L127">
            <v>75026.679999999993</v>
          </cell>
        </row>
        <row r="130">
          <cell r="B130" t="str">
            <v>7月新增：</v>
          </cell>
        </row>
        <row r="131">
          <cell r="B131" t="str">
            <v>姓名</v>
          </cell>
        </row>
        <row r="132">
          <cell r="B132" t="str">
            <v>胡红琳</v>
          </cell>
        </row>
        <row r="133">
          <cell r="B133" t="str">
            <v>杨磊</v>
          </cell>
        </row>
        <row r="134">
          <cell r="B134" t="str">
            <v>赵倩</v>
          </cell>
        </row>
        <row r="137">
          <cell r="B137" t="str">
            <v>7月停保：</v>
          </cell>
        </row>
        <row r="138">
          <cell r="B138" t="str">
            <v>杨磊</v>
          </cell>
        </row>
        <row r="139">
          <cell r="B139" t="str">
            <v>李晓</v>
          </cell>
        </row>
        <row r="140">
          <cell r="B140" t="str">
            <v>王依蕊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门店排名"/>
      <sheetName val="人头人次表"/>
      <sheetName val="业绩表"/>
      <sheetName val="活动数据表"/>
      <sheetName val="四大天王团"/>
    </sheetNames>
    <sheetDataSet>
      <sheetData sheetId="0">
        <row r="1">
          <cell r="C1" t="str">
            <v>时间</v>
          </cell>
          <cell r="E1" t="str">
            <v>时间占比</v>
          </cell>
        </row>
        <row r="2">
          <cell r="C2" t="str">
            <v>目标业绩</v>
          </cell>
          <cell r="E2" t="str">
            <v>完成业绩</v>
          </cell>
        </row>
        <row r="3">
          <cell r="C3" t="str">
            <v>门店</v>
          </cell>
          <cell r="E3" t="str">
            <v>完成业绩</v>
          </cell>
        </row>
        <row r="4">
          <cell r="C4" t="str">
            <v>红光</v>
          </cell>
          <cell r="E4">
            <v>259744.88</v>
          </cell>
        </row>
        <row r="5">
          <cell r="C5" t="str">
            <v>双流</v>
          </cell>
          <cell r="E5">
            <v>311108</v>
          </cell>
        </row>
        <row r="6">
          <cell r="C6" t="str">
            <v>紫荆</v>
          </cell>
          <cell r="E6">
            <v>522756</v>
          </cell>
        </row>
        <row r="7">
          <cell r="C7" t="str">
            <v>静居寺</v>
          </cell>
          <cell r="E7">
            <v>407490.19</v>
          </cell>
        </row>
        <row r="8">
          <cell r="C8" t="str">
            <v>涌泉</v>
          </cell>
          <cell r="E8">
            <v>169632</v>
          </cell>
        </row>
        <row r="9">
          <cell r="C9" t="str">
            <v>川师</v>
          </cell>
          <cell r="E9">
            <v>205041</v>
          </cell>
        </row>
        <row r="10">
          <cell r="C10" t="str">
            <v>沙河</v>
          </cell>
          <cell r="E10">
            <v>150694</v>
          </cell>
        </row>
        <row r="11">
          <cell r="C11" t="str">
            <v>大丰</v>
          </cell>
          <cell r="E11">
            <v>200049.7</v>
          </cell>
        </row>
        <row r="12">
          <cell r="C12" t="str">
            <v>荣华南路</v>
          </cell>
          <cell r="E12">
            <v>180024</v>
          </cell>
        </row>
        <row r="13">
          <cell r="C13" t="str">
            <v>光华</v>
          </cell>
          <cell r="E13">
            <v>135590</v>
          </cell>
        </row>
        <row r="14">
          <cell r="C14" t="str">
            <v>凤凰山</v>
          </cell>
          <cell r="E14">
            <v>180307.8</v>
          </cell>
        </row>
        <row r="15">
          <cell r="C15" t="str">
            <v>亚洲湾</v>
          </cell>
          <cell r="E15">
            <v>143757</v>
          </cell>
        </row>
        <row r="16">
          <cell r="C16" t="str">
            <v>龙湖</v>
          </cell>
          <cell r="E16">
            <v>220223</v>
          </cell>
        </row>
        <row r="17">
          <cell r="C17" t="str">
            <v>川音</v>
          </cell>
          <cell r="E17">
            <v>173290.6</v>
          </cell>
        </row>
        <row r="18">
          <cell r="C18" t="str">
            <v>荣华北路</v>
          </cell>
          <cell r="E18">
            <v>153950.6</v>
          </cell>
        </row>
        <row r="19">
          <cell r="C19" t="str">
            <v>融创</v>
          </cell>
          <cell r="E19">
            <v>152421</v>
          </cell>
        </row>
        <row r="20">
          <cell r="C20" t="str">
            <v>千禧</v>
          </cell>
          <cell r="E20">
            <v>151129</v>
          </cell>
        </row>
        <row r="21">
          <cell r="C21" t="str">
            <v>中和</v>
          </cell>
          <cell r="E21">
            <v>150422</v>
          </cell>
        </row>
        <row r="22">
          <cell r="C22" t="str">
            <v>龙城国际</v>
          </cell>
          <cell r="E22">
            <v>133334.88</v>
          </cell>
        </row>
        <row r="23">
          <cell r="C23" t="str">
            <v>华润</v>
          </cell>
          <cell r="E23">
            <v>201952.3</v>
          </cell>
        </row>
        <row r="24">
          <cell r="C24" t="str">
            <v>骑士郡</v>
          </cell>
          <cell r="E24">
            <v>158633</v>
          </cell>
        </row>
        <row r="25">
          <cell r="C25" t="str">
            <v>大源</v>
          </cell>
          <cell r="E25">
            <v>120949.6</v>
          </cell>
        </row>
        <row r="26">
          <cell r="C26" t="str">
            <v>保利</v>
          </cell>
          <cell r="E26">
            <v>150031.32999999999</v>
          </cell>
        </row>
        <row r="27">
          <cell r="C27" t="str">
            <v>鹭岛</v>
          </cell>
          <cell r="E27">
            <v>111267</v>
          </cell>
        </row>
        <row r="28">
          <cell r="C28" t="str">
            <v>优品道</v>
          </cell>
          <cell r="E28">
            <v>160812</v>
          </cell>
        </row>
        <row r="29">
          <cell r="C29">
            <v>468</v>
          </cell>
          <cell r="E29">
            <v>140295</v>
          </cell>
        </row>
        <row r="30">
          <cell r="C30" t="str">
            <v>明信</v>
          </cell>
          <cell r="E30">
            <v>92371</v>
          </cell>
        </row>
        <row r="31">
          <cell r="C31" t="str">
            <v>南湖</v>
          </cell>
          <cell r="E31">
            <v>139022</v>
          </cell>
        </row>
        <row r="32">
          <cell r="C32" t="str">
            <v>犀浦</v>
          </cell>
          <cell r="E32">
            <v>100934</v>
          </cell>
        </row>
        <row r="33">
          <cell r="C33" t="str">
            <v>数据截止时间19:00</v>
          </cell>
        </row>
      </sheetData>
      <sheetData sheetId="1">
        <row r="1">
          <cell r="GB1" t="str">
            <v>门店</v>
          </cell>
          <cell r="GD1" t="str">
            <v>到店人头</v>
          </cell>
          <cell r="GG1" t="str">
            <v>消耗业绩</v>
          </cell>
        </row>
        <row r="2">
          <cell r="GB2" t="str">
            <v>紫荆</v>
          </cell>
          <cell r="GD2">
            <v>210</v>
          </cell>
          <cell r="GG2">
            <v>368762.45</v>
          </cell>
        </row>
        <row r="3">
          <cell r="GB3" t="str">
            <v>静居寺</v>
          </cell>
          <cell r="GD3">
            <v>206</v>
          </cell>
          <cell r="GG3">
            <v>518617.05</v>
          </cell>
        </row>
        <row r="4">
          <cell r="GB4">
            <v>468</v>
          </cell>
          <cell r="GD4">
            <v>217</v>
          </cell>
          <cell r="GG4">
            <v>190782.77</v>
          </cell>
        </row>
        <row r="5">
          <cell r="GB5" t="str">
            <v>犀浦</v>
          </cell>
          <cell r="GD5">
            <v>183</v>
          </cell>
          <cell r="GG5">
            <v>120573.32</v>
          </cell>
        </row>
        <row r="6">
          <cell r="GB6" t="str">
            <v>优品道</v>
          </cell>
          <cell r="GD6">
            <v>192</v>
          </cell>
          <cell r="GG6">
            <v>146778.57999999999</v>
          </cell>
        </row>
        <row r="7">
          <cell r="GB7" t="str">
            <v>龙湖</v>
          </cell>
          <cell r="GD7">
            <v>205</v>
          </cell>
          <cell r="GG7">
            <v>210203.02</v>
          </cell>
        </row>
        <row r="8">
          <cell r="GB8" t="str">
            <v>沙河</v>
          </cell>
          <cell r="GD8">
            <v>160</v>
          </cell>
          <cell r="GG8">
            <v>142453.84</v>
          </cell>
        </row>
        <row r="9">
          <cell r="GB9" t="str">
            <v>华润</v>
          </cell>
          <cell r="GD9">
            <v>195</v>
          </cell>
          <cell r="GG9">
            <v>179433.01</v>
          </cell>
        </row>
        <row r="10">
          <cell r="GB10" t="str">
            <v>双流</v>
          </cell>
          <cell r="GD10">
            <v>163</v>
          </cell>
          <cell r="GG10">
            <v>291471.05</v>
          </cell>
        </row>
        <row r="11">
          <cell r="GB11" t="str">
            <v>骑士郡</v>
          </cell>
          <cell r="GD11">
            <v>177</v>
          </cell>
          <cell r="GG11">
            <v>123760.98</v>
          </cell>
        </row>
        <row r="12">
          <cell r="GB12" t="str">
            <v>大丰</v>
          </cell>
          <cell r="GD12">
            <v>172</v>
          </cell>
          <cell r="GG12">
            <v>192405.22</v>
          </cell>
        </row>
        <row r="13">
          <cell r="GB13" t="str">
            <v>鹭岛</v>
          </cell>
          <cell r="GD13">
            <v>142</v>
          </cell>
          <cell r="GG13">
            <v>87745.89</v>
          </cell>
        </row>
        <row r="14">
          <cell r="GB14" t="str">
            <v>荣华北路</v>
          </cell>
          <cell r="GD14">
            <v>153</v>
          </cell>
          <cell r="GG14">
            <v>140812.54</v>
          </cell>
        </row>
        <row r="15">
          <cell r="GB15" t="str">
            <v>川师</v>
          </cell>
          <cell r="GD15">
            <v>157</v>
          </cell>
          <cell r="GG15">
            <v>194741.48</v>
          </cell>
        </row>
        <row r="16">
          <cell r="GB16" t="str">
            <v>南湖</v>
          </cell>
          <cell r="GD16">
            <v>191</v>
          </cell>
          <cell r="GG16">
            <v>127157.72</v>
          </cell>
        </row>
        <row r="17">
          <cell r="GB17" t="str">
            <v>中和</v>
          </cell>
          <cell r="GD17">
            <v>111</v>
          </cell>
          <cell r="GG17">
            <v>103361.72</v>
          </cell>
        </row>
        <row r="18">
          <cell r="GB18" t="str">
            <v>亚洲湾</v>
          </cell>
          <cell r="GD18">
            <v>156</v>
          </cell>
          <cell r="GG18">
            <v>100865.33</v>
          </cell>
        </row>
        <row r="19">
          <cell r="GB19" t="str">
            <v>保利</v>
          </cell>
          <cell r="GD19">
            <v>186</v>
          </cell>
          <cell r="GG19">
            <v>65878.570000000007</v>
          </cell>
        </row>
        <row r="20">
          <cell r="GB20" t="str">
            <v>融创</v>
          </cell>
          <cell r="GD20">
            <v>138</v>
          </cell>
          <cell r="GG20">
            <v>117167.22</v>
          </cell>
        </row>
        <row r="21">
          <cell r="GB21" t="str">
            <v>光华</v>
          </cell>
          <cell r="GD21">
            <v>150</v>
          </cell>
          <cell r="GG21">
            <v>120657.22</v>
          </cell>
        </row>
        <row r="22">
          <cell r="GB22" t="str">
            <v>红光</v>
          </cell>
          <cell r="GD22">
            <v>155</v>
          </cell>
          <cell r="GG22">
            <v>180406.1</v>
          </cell>
        </row>
        <row r="23">
          <cell r="GB23" t="str">
            <v>大源</v>
          </cell>
          <cell r="GD23">
            <v>149</v>
          </cell>
          <cell r="GG23">
            <v>82307.44</v>
          </cell>
        </row>
        <row r="24">
          <cell r="GB24" t="str">
            <v>千禧</v>
          </cell>
          <cell r="GD24">
            <v>164</v>
          </cell>
          <cell r="GG24">
            <v>112580.75</v>
          </cell>
        </row>
        <row r="25">
          <cell r="GB25" t="str">
            <v>凤凰山</v>
          </cell>
          <cell r="GD25">
            <v>154</v>
          </cell>
          <cell r="GG25">
            <v>89092.800000000003</v>
          </cell>
        </row>
        <row r="26">
          <cell r="GB26" t="str">
            <v>荣华南路</v>
          </cell>
          <cell r="GD26">
            <v>140</v>
          </cell>
          <cell r="GG26">
            <v>87671.5</v>
          </cell>
        </row>
        <row r="27">
          <cell r="GB27" t="str">
            <v>川音</v>
          </cell>
          <cell r="GD27">
            <v>169</v>
          </cell>
          <cell r="GG27">
            <v>115560.6</v>
          </cell>
        </row>
        <row r="28">
          <cell r="GB28" t="str">
            <v>涌泉</v>
          </cell>
          <cell r="GD28">
            <v>180</v>
          </cell>
          <cell r="GG28">
            <v>139162.62</v>
          </cell>
        </row>
        <row r="29">
          <cell r="GB29" t="str">
            <v>明信</v>
          </cell>
          <cell r="GD29">
            <v>169</v>
          </cell>
          <cell r="GG29">
            <v>58105.8</v>
          </cell>
        </row>
        <row r="30">
          <cell r="GB30" t="str">
            <v>龙城国际</v>
          </cell>
          <cell r="GD30">
            <v>117</v>
          </cell>
          <cell r="GG30">
            <v>117423.44</v>
          </cell>
        </row>
        <row r="31">
          <cell r="GB31" t="str">
            <v>总计</v>
          </cell>
          <cell r="GD31">
            <v>4861</v>
          </cell>
          <cell r="GG31">
            <v>4525940.03</v>
          </cell>
        </row>
        <row r="32">
          <cell r="GB32" t="str">
            <v>平均</v>
          </cell>
          <cell r="GD32">
            <v>167.62068965517199</v>
          </cell>
          <cell r="GG32">
            <v>156066.89758620699</v>
          </cell>
        </row>
        <row r="33">
          <cell r="GB33" t="str">
            <v>数据截止7月31日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美容师、顾问"/>
      <sheetName val="新店"/>
      <sheetName val="店助"/>
      <sheetName val="主任"/>
      <sheetName val="店长"/>
      <sheetName val="（总）经理"/>
      <sheetName val="科技部"/>
      <sheetName val="大项目部"/>
      <sheetName val="保洁"/>
    </sheetNames>
    <sheetDataSet>
      <sheetData sheetId="0"/>
      <sheetData sheetId="1"/>
      <sheetData sheetId="2">
        <row r="1">
          <cell r="B1" t="str">
            <v>姓名</v>
          </cell>
          <cell r="D1" t="str">
            <v>底薪</v>
          </cell>
        </row>
        <row r="2">
          <cell r="B2" t="str">
            <v>江玲</v>
          </cell>
          <cell r="D2">
            <v>3000</v>
          </cell>
        </row>
        <row r="3">
          <cell r="B3" t="str">
            <v>吴琴</v>
          </cell>
          <cell r="D3">
            <v>3000</v>
          </cell>
        </row>
        <row r="4">
          <cell r="B4" t="str">
            <v>赵小红</v>
          </cell>
          <cell r="D4">
            <v>3000</v>
          </cell>
        </row>
        <row r="5">
          <cell r="B5" t="str">
            <v>谭莹</v>
          </cell>
          <cell r="D5">
            <v>3100</v>
          </cell>
        </row>
        <row r="6">
          <cell r="B6" t="str">
            <v>樊琳</v>
          </cell>
          <cell r="D6">
            <v>3000</v>
          </cell>
        </row>
        <row r="7">
          <cell r="B7" t="str">
            <v>王任燕</v>
          </cell>
          <cell r="D7">
            <v>0</v>
          </cell>
        </row>
        <row r="8">
          <cell r="B8" t="str">
            <v>陈佳丽</v>
          </cell>
          <cell r="D8">
            <v>3100</v>
          </cell>
        </row>
        <row r="9">
          <cell r="B9" t="str">
            <v>但红玉</v>
          </cell>
          <cell r="D9">
            <v>3100</v>
          </cell>
        </row>
        <row r="10">
          <cell r="B10" t="str">
            <v>林萍</v>
          </cell>
          <cell r="D10">
            <v>3000</v>
          </cell>
        </row>
        <row r="11">
          <cell r="B11" t="str">
            <v>蒋圆圆</v>
          </cell>
          <cell r="D11">
            <v>3200</v>
          </cell>
        </row>
        <row r="12">
          <cell r="B12" t="str">
            <v>牟光燕</v>
          </cell>
          <cell r="D12">
            <v>3100</v>
          </cell>
        </row>
        <row r="13">
          <cell r="B13" t="str">
            <v>张明艳</v>
          </cell>
          <cell r="D13">
            <v>3100</v>
          </cell>
        </row>
        <row r="14">
          <cell r="B14" t="str">
            <v>郑华跃</v>
          </cell>
          <cell r="D14">
            <v>3000</v>
          </cell>
        </row>
        <row r="15">
          <cell r="B15" t="str">
            <v>陈琳</v>
          </cell>
          <cell r="D15">
            <v>0</v>
          </cell>
        </row>
        <row r="16">
          <cell r="B16" t="str">
            <v>雷怡</v>
          </cell>
          <cell r="D16">
            <v>3000</v>
          </cell>
        </row>
        <row r="17">
          <cell r="B17" t="str">
            <v>陈嘉仪</v>
          </cell>
          <cell r="D17">
            <v>3200</v>
          </cell>
        </row>
        <row r="18">
          <cell r="B18" t="str">
            <v>彭兰钦</v>
          </cell>
          <cell r="D18">
            <v>3100</v>
          </cell>
        </row>
        <row r="19">
          <cell r="B19" t="str">
            <v>郑巧玲</v>
          </cell>
          <cell r="D19">
            <v>3100</v>
          </cell>
        </row>
        <row r="20">
          <cell r="B20" t="str">
            <v>谢珂欣</v>
          </cell>
          <cell r="D20">
            <v>3200</v>
          </cell>
        </row>
        <row r="21">
          <cell r="B21" t="str">
            <v>贺慧</v>
          </cell>
          <cell r="D21">
            <v>3100</v>
          </cell>
        </row>
        <row r="22">
          <cell r="B22" t="str">
            <v>叶璐璐</v>
          </cell>
          <cell r="D22">
            <v>3000</v>
          </cell>
        </row>
        <row r="23">
          <cell r="B23" t="str">
            <v>施凤皎</v>
          </cell>
          <cell r="D23">
            <v>0</v>
          </cell>
        </row>
        <row r="24">
          <cell r="B24" t="str">
            <v>林锶莹</v>
          </cell>
          <cell r="D24">
            <v>3100</v>
          </cell>
        </row>
        <row r="25">
          <cell r="B25" t="str">
            <v>刘香</v>
          </cell>
          <cell r="D25">
            <v>3100</v>
          </cell>
        </row>
        <row r="26">
          <cell r="B26" t="str">
            <v>谢双叶</v>
          </cell>
          <cell r="D26">
            <v>3200</v>
          </cell>
        </row>
        <row r="27">
          <cell r="B27" t="str">
            <v>汪丽娟</v>
          </cell>
          <cell r="D27">
            <v>3100</v>
          </cell>
        </row>
        <row r="28">
          <cell r="B28" t="str">
            <v>胡祝曲</v>
          </cell>
          <cell r="D28">
            <v>0</v>
          </cell>
        </row>
        <row r="29">
          <cell r="B29" t="str">
            <v>涂莹丹</v>
          </cell>
          <cell r="D29">
            <v>0</v>
          </cell>
        </row>
        <row r="30">
          <cell r="B30" t="str">
            <v>陈燕辉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核算规则"/>
      <sheetName val="基础设置"/>
      <sheetName val="①7月-花名册"/>
      <sheetName val="7月运营"/>
      <sheetName val="②7月-汇总"/>
      <sheetName val="上月未发人员明细"/>
      <sheetName val="Sheet1"/>
    </sheetNames>
    <sheetDataSet>
      <sheetData sheetId="0"/>
      <sheetData sheetId="1"/>
      <sheetData sheetId="2"/>
      <sheetData sheetId="3"/>
      <sheetData sheetId="4">
        <row r="3">
          <cell r="D3" t="str">
            <v>姓名</v>
          </cell>
          <cell r="X3" t="str">
            <v>缺卡</v>
          </cell>
        </row>
        <row r="4">
          <cell r="D4" t="str">
            <v>易春梅</v>
          </cell>
          <cell r="X4">
            <v>20</v>
          </cell>
        </row>
        <row r="5">
          <cell r="D5" t="str">
            <v>江玲</v>
          </cell>
          <cell r="X5">
            <v>10</v>
          </cell>
        </row>
        <row r="6">
          <cell r="D6" t="str">
            <v>王瑞琳</v>
          </cell>
          <cell r="X6">
            <v>20</v>
          </cell>
        </row>
        <row r="7">
          <cell r="D7" t="str">
            <v>黄小燕</v>
          </cell>
        </row>
        <row r="8">
          <cell r="D8" t="str">
            <v>赵玉晓</v>
          </cell>
        </row>
        <row r="9">
          <cell r="D9" t="str">
            <v>雷朝霞</v>
          </cell>
        </row>
        <row r="10">
          <cell r="D10" t="str">
            <v>陈雪莲</v>
          </cell>
        </row>
        <row r="11">
          <cell r="D11" t="str">
            <v>饶秋华</v>
          </cell>
          <cell r="X11">
            <v>10</v>
          </cell>
        </row>
        <row r="12">
          <cell r="D12" t="str">
            <v>莫志英</v>
          </cell>
        </row>
        <row r="13">
          <cell r="D13" t="str">
            <v>刘巧艳</v>
          </cell>
        </row>
        <row r="14">
          <cell r="D14" t="str">
            <v>康红梅</v>
          </cell>
        </row>
        <row r="15">
          <cell r="D15" t="str">
            <v>唐银春</v>
          </cell>
        </row>
        <row r="16">
          <cell r="D16" t="str">
            <v>刘晓丽</v>
          </cell>
          <cell r="X16">
            <v>10</v>
          </cell>
        </row>
        <row r="17">
          <cell r="D17" t="str">
            <v>熊艳</v>
          </cell>
        </row>
        <row r="18">
          <cell r="D18" t="str">
            <v>任静</v>
          </cell>
        </row>
        <row r="19">
          <cell r="D19" t="str">
            <v>吴琴</v>
          </cell>
        </row>
        <row r="20">
          <cell r="D20" t="str">
            <v>陈红霞</v>
          </cell>
        </row>
        <row r="21">
          <cell r="D21" t="str">
            <v>廖增珍</v>
          </cell>
        </row>
        <row r="22">
          <cell r="D22" t="str">
            <v>李春华</v>
          </cell>
        </row>
        <row r="23">
          <cell r="D23" t="str">
            <v>张候敏</v>
          </cell>
        </row>
        <row r="24">
          <cell r="D24" t="str">
            <v>赵小红</v>
          </cell>
          <cell r="X24">
            <v>10</v>
          </cell>
        </row>
        <row r="25">
          <cell r="D25" t="str">
            <v>彭龙惠</v>
          </cell>
        </row>
        <row r="26">
          <cell r="D26" t="str">
            <v>邓雪梅</v>
          </cell>
        </row>
        <row r="27">
          <cell r="D27" t="str">
            <v>高雪</v>
          </cell>
        </row>
        <row r="28">
          <cell r="D28" t="str">
            <v>何婷</v>
          </cell>
          <cell r="X28">
            <v>10</v>
          </cell>
        </row>
        <row r="29">
          <cell r="D29" t="str">
            <v>刘慧</v>
          </cell>
          <cell r="X29">
            <v>20</v>
          </cell>
        </row>
        <row r="30">
          <cell r="D30" t="str">
            <v>秦亚平</v>
          </cell>
          <cell r="X30">
            <v>20</v>
          </cell>
        </row>
        <row r="31">
          <cell r="D31" t="str">
            <v>谭莹</v>
          </cell>
        </row>
        <row r="32">
          <cell r="D32" t="str">
            <v>张芮</v>
          </cell>
        </row>
        <row r="33">
          <cell r="D33" t="str">
            <v>张元琼</v>
          </cell>
        </row>
        <row r="34">
          <cell r="D34" t="str">
            <v>王依蕊</v>
          </cell>
          <cell r="X34">
            <v>10</v>
          </cell>
        </row>
        <row r="35">
          <cell r="D35" t="str">
            <v>向郑瑶</v>
          </cell>
          <cell r="X35">
            <v>120</v>
          </cell>
        </row>
        <row r="36">
          <cell r="D36" t="str">
            <v>唐容</v>
          </cell>
        </row>
        <row r="37">
          <cell r="D37" t="str">
            <v>叶文娟</v>
          </cell>
          <cell r="X37">
            <v>150</v>
          </cell>
        </row>
        <row r="38">
          <cell r="D38" t="str">
            <v>邹福贞</v>
          </cell>
          <cell r="X38">
            <v>10</v>
          </cell>
        </row>
        <row r="39">
          <cell r="D39" t="str">
            <v>陈怡名</v>
          </cell>
        </row>
        <row r="40">
          <cell r="D40" t="str">
            <v>张丽</v>
          </cell>
        </row>
        <row r="41">
          <cell r="D41" t="str">
            <v>杨金花</v>
          </cell>
        </row>
        <row r="42">
          <cell r="D42" t="str">
            <v>樊琳</v>
          </cell>
          <cell r="X42">
            <v>10</v>
          </cell>
        </row>
        <row r="43">
          <cell r="D43" t="str">
            <v>董顺秀</v>
          </cell>
          <cell r="X43">
            <v>10</v>
          </cell>
        </row>
        <row r="44">
          <cell r="D44" t="str">
            <v>陈建蓉</v>
          </cell>
          <cell r="X44">
            <v>10</v>
          </cell>
        </row>
        <row r="45">
          <cell r="D45" t="str">
            <v>王娇</v>
          </cell>
        </row>
        <row r="46">
          <cell r="D46" t="str">
            <v>黎茂婷</v>
          </cell>
        </row>
        <row r="47">
          <cell r="D47" t="str">
            <v>张艳秋</v>
          </cell>
          <cell r="X47">
            <v>120</v>
          </cell>
        </row>
        <row r="48">
          <cell r="D48" t="str">
            <v>陈小琴</v>
          </cell>
          <cell r="X48">
            <v>10</v>
          </cell>
        </row>
        <row r="49">
          <cell r="D49" t="str">
            <v>刘恬恬</v>
          </cell>
        </row>
        <row r="50">
          <cell r="D50" t="str">
            <v>苟小春</v>
          </cell>
          <cell r="X50">
            <v>10</v>
          </cell>
        </row>
        <row r="51">
          <cell r="D51" t="str">
            <v>李燕</v>
          </cell>
        </row>
        <row r="52">
          <cell r="D52" t="str">
            <v>张小华</v>
          </cell>
          <cell r="X52">
            <v>10</v>
          </cell>
        </row>
        <row r="53">
          <cell r="D53" t="str">
            <v>王任燕</v>
          </cell>
        </row>
        <row r="54">
          <cell r="D54" t="str">
            <v>陈萍</v>
          </cell>
        </row>
        <row r="55">
          <cell r="D55" t="str">
            <v>吴敏</v>
          </cell>
        </row>
        <row r="56">
          <cell r="D56" t="str">
            <v>陈佳丽</v>
          </cell>
        </row>
        <row r="57">
          <cell r="D57" t="str">
            <v>康钦</v>
          </cell>
          <cell r="X57">
            <v>20</v>
          </cell>
        </row>
        <row r="58">
          <cell r="D58" t="str">
            <v>聂娟</v>
          </cell>
        </row>
        <row r="59">
          <cell r="D59" t="str">
            <v>马菁</v>
          </cell>
        </row>
        <row r="60">
          <cell r="D60" t="str">
            <v>徐睦垚</v>
          </cell>
        </row>
        <row r="61">
          <cell r="D61" t="str">
            <v>达哇卓玛</v>
          </cell>
        </row>
        <row r="62">
          <cell r="D62" t="str">
            <v>曾雨晴</v>
          </cell>
        </row>
        <row r="63">
          <cell r="D63" t="str">
            <v>但红玉</v>
          </cell>
        </row>
        <row r="64">
          <cell r="D64" t="str">
            <v>梁缘缘</v>
          </cell>
          <cell r="X64">
            <v>10</v>
          </cell>
        </row>
        <row r="65">
          <cell r="D65" t="str">
            <v>李萱君</v>
          </cell>
        </row>
        <row r="66">
          <cell r="D66" t="str">
            <v>李思忆</v>
          </cell>
          <cell r="X66">
            <v>20</v>
          </cell>
        </row>
        <row r="67">
          <cell r="D67" t="str">
            <v>赵情情</v>
          </cell>
        </row>
        <row r="68">
          <cell r="D68" t="str">
            <v>曹悦</v>
          </cell>
        </row>
        <row r="69">
          <cell r="D69" t="str">
            <v>吴飞雁</v>
          </cell>
        </row>
        <row r="70">
          <cell r="D70" t="str">
            <v>尹桂香</v>
          </cell>
          <cell r="X70">
            <v>10</v>
          </cell>
        </row>
        <row r="71">
          <cell r="D71" t="str">
            <v>张小娟</v>
          </cell>
          <cell r="X71">
            <v>10</v>
          </cell>
        </row>
        <row r="72">
          <cell r="D72" t="str">
            <v>刘安琼</v>
          </cell>
          <cell r="X72">
            <v>20</v>
          </cell>
        </row>
        <row r="73">
          <cell r="D73" t="str">
            <v>刘晓林</v>
          </cell>
        </row>
        <row r="74">
          <cell r="D74" t="str">
            <v>李巧娇</v>
          </cell>
        </row>
        <row r="75">
          <cell r="D75" t="str">
            <v>林萍</v>
          </cell>
        </row>
        <row r="76">
          <cell r="D76" t="str">
            <v>罗雪</v>
          </cell>
          <cell r="X76">
            <v>90</v>
          </cell>
        </row>
        <row r="77">
          <cell r="D77" t="str">
            <v>唐宇欣</v>
          </cell>
          <cell r="X77">
            <v>10</v>
          </cell>
        </row>
        <row r="78">
          <cell r="D78" t="str">
            <v>李萌</v>
          </cell>
          <cell r="X78">
            <v>90</v>
          </cell>
        </row>
        <row r="79">
          <cell r="D79" t="str">
            <v>王如意</v>
          </cell>
        </row>
        <row r="80">
          <cell r="D80" t="str">
            <v>柳全菊</v>
          </cell>
        </row>
        <row r="81">
          <cell r="D81" t="str">
            <v>何琼华</v>
          </cell>
          <cell r="X81">
            <v>10</v>
          </cell>
        </row>
        <row r="82">
          <cell r="D82" t="str">
            <v>蒋圆圆</v>
          </cell>
        </row>
        <row r="83">
          <cell r="D83" t="str">
            <v>顾红艳</v>
          </cell>
        </row>
        <row r="84">
          <cell r="D84" t="str">
            <v>郭小丽</v>
          </cell>
        </row>
        <row r="85">
          <cell r="D85" t="str">
            <v>梁婷</v>
          </cell>
        </row>
        <row r="86">
          <cell r="D86" t="str">
            <v>雷娜婷</v>
          </cell>
        </row>
        <row r="87">
          <cell r="D87" t="str">
            <v>叶美霞</v>
          </cell>
        </row>
        <row r="88">
          <cell r="D88" t="str">
            <v>秦娜</v>
          </cell>
          <cell r="X88">
            <v>20</v>
          </cell>
        </row>
        <row r="89">
          <cell r="D89" t="str">
            <v>牟光燕</v>
          </cell>
          <cell r="X89">
            <v>90</v>
          </cell>
        </row>
        <row r="90">
          <cell r="D90" t="str">
            <v>王萍</v>
          </cell>
        </row>
        <row r="91">
          <cell r="D91" t="str">
            <v>胡红琳</v>
          </cell>
        </row>
        <row r="92">
          <cell r="D92" t="str">
            <v>谢娟</v>
          </cell>
        </row>
        <row r="93">
          <cell r="D93" t="str">
            <v>陈美合</v>
          </cell>
          <cell r="X93">
            <v>10</v>
          </cell>
        </row>
        <row r="94">
          <cell r="D94" t="str">
            <v>郝莉娜</v>
          </cell>
          <cell r="X94">
            <v>20</v>
          </cell>
        </row>
        <row r="95">
          <cell r="D95" t="str">
            <v>邓丽莉</v>
          </cell>
          <cell r="X95">
            <v>90</v>
          </cell>
        </row>
        <row r="96">
          <cell r="D96" t="str">
            <v>张明艳</v>
          </cell>
        </row>
        <row r="97">
          <cell r="D97" t="str">
            <v>马宏梅</v>
          </cell>
        </row>
        <row r="98">
          <cell r="D98" t="str">
            <v>陈洁</v>
          </cell>
          <cell r="X98">
            <v>10</v>
          </cell>
        </row>
        <row r="99">
          <cell r="D99" t="str">
            <v>郑加焕</v>
          </cell>
          <cell r="X99">
            <v>90</v>
          </cell>
        </row>
        <row r="100">
          <cell r="D100" t="str">
            <v>侯英</v>
          </cell>
        </row>
        <row r="101">
          <cell r="D101" t="str">
            <v>谢德芳</v>
          </cell>
          <cell r="X101">
            <v>90</v>
          </cell>
        </row>
        <row r="102">
          <cell r="D102" t="str">
            <v>蒲草</v>
          </cell>
          <cell r="X102">
            <v>90</v>
          </cell>
        </row>
        <row r="103">
          <cell r="D103" t="str">
            <v>郑华跃</v>
          </cell>
        </row>
        <row r="104">
          <cell r="D104" t="str">
            <v>李茂</v>
          </cell>
          <cell r="X104">
            <v>20</v>
          </cell>
        </row>
        <row r="105">
          <cell r="D105" t="str">
            <v>孙红梅</v>
          </cell>
        </row>
        <row r="106">
          <cell r="D106" t="str">
            <v>黎红花</v>
          </cell>
        </row>
        <row r="107">
          <cell r="D107" t="str">
            <v>蒲艳婷</v>
          </cell>
        </row>
        <row r="108">
          <cell r="D108" t="str">
            <v>刘帆</v>
          </cell>
        </row>
        <row r="109">
          <cell r="D109" t="str">
            <v>杨艳</v>
          </cell>
        </row>
        <row r="110">
          <cell r="D110" t="str">
            <v>肖静梅</v>
          </cell>
          <cell r="X110">
            <v>180</v>
          </cell>
        </row>
        <row r="111">
          <cell r="D111" t="str">
            <v>王晓琳</v>
          </cell>
        </row>
        <row r="112">
          <cell r="D112" t="str">
            <v>彭措志玛</v>
          </cell>
        </row>
        <row r="113">
          <cell r="D113" t="str">
            <v>郝中南</v>
          </cell>
          <cell r="X113">
            <v>20</v>
          </cell>
        </row>
        <row r="114">
          <cell r="D114" t="str">
            <v>冉芳霞</v>
          </cell>
        </row>
        <row r="115">
          <cell r="D115" t="str">
            <v>谭萍</v>
          </cell>
          <cell r="X115">
            <v>20</v>
          </cell>
        </row>
        <row r="116">
          <cell r="D116" t="str">
            <v>陈琳</v>
          </cell>
          <cell r="X116">
            <v>10</v>
          </cell>
        </row>
        <row r="117">
          <cell r="D117" t="str">
            <v>罗湘湘</v>
          </cell>
          <cell r="X117">
            <v>10</v>
          </cell>
        </row>
        <row r="118">
          <cell r="D118" t="str">
            <v>唐玉芳</v>
          </cell>
        </row>
        <row r="119">
          <cell r="D119" t="str">
            <v>雷怡</v>
          </cell>
        </row>
        <row r="120">
          <cell r="D120" t="str">
            <v>龙巧云</v>
          </cell>
        </row>
        <row r="121">
          <cell r="D121" t="str">
            <v>张勤</v>
          </cell>
          <cell r="X121">
            <v>10</v>
          </cell>
        </row>
        <row r="122">
          <cell r="D122" t="str">
            <v>刘裕琼</v>
          </cell>
        </row>
        <row r="123">
          <cell r="D123" t="str">
            <v>唐施语</v>
          </cell>
        </row>
        <row r="124">
          <cell r="D124" t="str">
            <v>谭福英</v>
          </cell>
        </row>
        <row r="125">
          <cell r="D125" t="str">
            <v>李凤</v>
          </cell>
        </row>
        <row r="126">
          <cell r="D126" t="str">
            <v>陈嘉仪</v>
          </cell>
          <cell r="X126">
            <v>20</v>
          </cell>
        </row>
        <row r="127">
          <cell r="D127" t="str">
            <v>王红</v>
          </cell>
        </row>
        <row r="128">
          <cell r="D128" t="str">
            <v>冷忠翠</v>
          </cell>
          <cell r="X128">
            <v>10</v>
          </cell>
        </row>
        <row r="129">
          <cell r="D129" t="str">
            <v>糜清云</v>
          </cell>
        </row>
        <row r="130">
          <cell r="D130" t="str">
            <v>贺金云</v>
          </cell>
        </row>
        <row r="131">
          <cell r="D131" t="str">
            <v>舒许芳</v>
          </cell>
        </row>
        <row r="132">
          <cell r="D132" t="str">
            <v>包竹梅</v>
          </cell>
        </row>
        <row r="133">
          <cell r="D133" t="str">
            <v>欧迎春</v>
          </cell>
          <cell r="X133">
            <v>90</v>
          </cell>
        </row>
        <row r="134">
          <cell r="D134" t="str">
            <v>谭芙蓉</v>
          </cell>
          <cell r="X134">
            <v>10</v>
          </cell>
        </row>
        <row r="135">
          <cell r="D135" t="str">
            <v>曾玉莲</v>
          </cell>
          <cell r="X135">
            <v>10</v>
          </cell>
        </row>
        <row r="136">
          <cell r="D136" t="str">
            <v>彭兰钦</v>
          </cell>
        </row>
        <row r="137">
          <cell r="D137" t="str">
            <v>刘婵琴</v>
          </cell>
        </row>
        <row r="138">
          <cell r="D138" t="str">
            <v>泽仁拉姆</v>
          </cell>
          <cell r="X138">
            <v>10</v>
          </cell>
        </row>
        <row r="139">
          <cell r="D139" t="str">
            <v>舒阳</v>
          </cell>
        </row>
        <row r="140">
          <cell r="D140" t="str">
            <v>白丽</v>
          </cell>
        </row>
        <row r="141">
          <cell r="D141" t="str">
            <v>郑巧玲</v>
          </cell>
        </row>
        <row r="142">
          <cell r="D142" t="str">
            <v>张廷妍</v>
          </cell>
          <cell r="X142">
            <v>10</v>
          </cell>
        </row>
        <row r="143">
          <cell r="D143" t="str">
            <v>杜兰兰</v>
          </cell>
        </row>
        <row r="144">
          <cell r="D144" t="str">
            <v>王显珍</v>
          </cell>
        </row>
        <row r="145">
          <cell r="D145" t="str">
            <v>马冬梅</v>
          </cell>
        </row>
        <row r="146">
          <cell r="D146" t="str">
            <v>彭莉群</v>
          </cell>
          <cell r="X146">
            <v>10</v>
          </cell>
        </row>
        <row r="147">
          <cell r="D147" t="str">
            <v>刘金凤</v>
          </cell>
          <cell r="X147">
            <v>10</v>
          </cell>
        </row>
        <row r="148">
          <cell r="D148" t="str">
            <v>谢珂欣</v>
          </cell>
        </row>
        <row r="149">
          <cell r="D149" t="str">
            <v>刘霞</v>
          </cell>
        </row>
        <row r="150">
          <cell r="D150" t="str">
            <v>尧丹丹</v>
          </cell>
        </row>
        <row r="151">
          <cell r="D151" t="str">
            <v>李科</v>
          </cell>
        </row>
        <row r="152">
          <cell r="D152" t="str">
            <v>石海力</v>
          </cell>
        </row>
        <row r="153">
          <cell r="D153" t="str">
            <v>付薪燕</v>
          </cell>
        </row>
        <row r="154">
          <cell r="D154" t="str">
            <v>陈定坤</v>
          </cell>
        </row>
        <row r="155">
          <cell r="D155" t="str">
            <v>王桂明</v>
          </cell>
          <cell r="X155">
            <v>10</v>
          </cell>
        </row>
        <row r="156">
          <cell r="D156" t="str">
            <v>关晓燕</v>
          </cell>
          <cell r="X156">
            <v>10</v>
          </cell>
        </row>
        <row r="157">
          <cell r="D157" t="str">
            <v>唐尹</v>
          </cell>
          <cell r="X157">
            <v>10</v>
          </cell>
        </row>
        <row r="158">
          <cell r="D158" t="str">
            <v>贺慧</v>
          </cell>
        </row>
        <row r="159">
          <cell r="D159" t="str">
            <v>李红梅</v>
          </cell>
          <cell r="X159">
            <v>20</v>
          </cell>
        </row>
        <row r="160">
          <cell r="D160" t="str">
            <v>龚艳</v>
          </cell>
        </row>
        <row r="161">
          <cell r="D161" t="str">
            <v>余姣姣</v>
          </cell>
          <cell r="X161">
            <v>10</v>
          </cell>
        </row>
        <row r="162">
          <cell r="D162" t="str">
            <v>竹艳梅</v>
          </cell>
          <cell r="X162">
            <v>150</v>
          </cell>
        </row>
        <row r="163">
          <cell r="D163" t="str">
            <v>叶朝春</v>
          </cell>
        </row>
        <row r="164">
          <cell r="D164" t="str">
            <v>喻容</v>
          </cell>
          <cell r="X164">
            <v>10</v>
          </cell>
        </row>
        <row r="165">
          <cell r="D165" t="str">
            <v>魏柯</v>
          </cell>
          <cell r="X165">
            <v>90</v>
          </cell>
        </row>
        <row r="166">
          <cell r="D166" t="str">
            <v>徐文平</v>
          </cell>
          <cell r="X166">
            <v>120</v>
          </cell>
        </row>
        <row r="167">
          <cell r="D167" t="str">
            <v>张欣</v>
          </cell>
        </row>
        <row r="168">
          <cell r="D168" t="str">
            <v>叶璐璐</v>
          </cell>
        </row>
        <row r="169">
          <cell r="D169" t="str">
            <v>周文慧</v>
          </cell>
          <cell r="X169">
            <v>10</v>
          </cell>
        </row>
        <row r="170">
          <cell r="D170" t="str">
            <v>张白金</v>
          </cell>
        </row>
        <row r="171">
          <cell r="D171" t="str">
            <v>郑美函</v>
          </cell>
        </row>
        <row r="172">
          <cell r="D172" t="str">
            <v>龚茜</v>
          </cell>
        </row>
        <row r="173">
          <cell r="D173" t="str">
            <v>廖妍</v>
          </cell>
        </row>
        <row r="174">
          <cell r="D174" t="str">
            <v>李彩华</v>
          </cell>
        </row>
        <row r="175">
          <cell r="D175" t="str">
            <v>刘九招</v>
          </cell>
        </row>
        <row r="176">
          <cell r="D176" t="str">
            <v>朱羽</v>
          </cell>
        </row>
        <row r="177">
          <cell r="D177" t="str">
            <v>施凤皎</v>
          </cell>
        </row>
        <row r="178">
          <cell r="D178" t="str">
            <v>高琴</v>
          </cell>
        </row>
        <row r="179">
          <cell r="D179" t="str">
            <v>达卓措</v>
          </cell>
          <cell r="X179">
            <v>20</v>
          </cell>
        </row>
        <row r="180">
          <cell r="D180" t="str">
            <v>袁玉</v>
          </cell>
        </row>
        <row r="181">
          <cell r="D181" t="str">
            <v>赵晴亮</v>
          </cell>
        </row>
        <row r="182">
          <cell r="D182" t="str">
            <v>赵忠芬</v>
          </cell>
          <cell r="X182">
            <v>10</v>
          </cell>
        </row>
        <row r="183">
          <cell r="D183" t="str">
            <v>郑丹</v>
          </cell>
        </row>
        <row r="184">
          <cell r="D184" t="str">
            <v>林锶莹</v>
          </cell>
        </row>
        <row r="185">
          <cell r="D185" t="str">
            <v>胡钦秀</v>
          </cell>
        </row>
        <row r="186">
          <cell r="D186" t="str">
            <v>高红艳</v>
          </cell>
        </row>
        <row r="187">
          <cell r="D187" t="str">
            <v>曾怡</v>
          </cell>
          <cell r="X187">
            <v>10</v>
          </cell>
        </row>
        <row r="188">
          <cell r="D188" t="str">
            <v>张清华</v>
          </cell>
          <cell r="X188">
            <v>90</v>
          </cell>
        </row>
        <row r="189">
          <cell r="D189" t="str">
            <v>彭鑫</v>
          </cell>
        </row>
        <row r="190">
          <cell r="D190" t="str">
            <v>李维</v>
          </cell>
        </row>
        <row r="191">
          <cell r="D191" t="str">
            <v>贾琳</v>
          </cell>
        </row>
        <row r="192">
          <cell r="D192" t="str">
            <v>王智慧</v>
          </cell>
        </row>
        <row r="193">
          <cell r="D193" t="str">
            <v>邓笑</v>
          </cell>
          <cell r="X193">
            <v>10</v>
          </cell>
        </row>
        <row r="194">
          <cell r="D194" t="str">
            <v>刘香</v>
          </cell>
        </row>
        <row r="195">
          <cell r="D195" t="str">
            <v>刘丽华</v>
          </cell>
        </row>
        <row r="196">
          <cell r="D196" t="str">
            <v>周林</v>
          </cell>
        </row>
        <row r="197">
          <cell r="D197" t="str">
            <v>钟秦</v>
          </cell>
        </row>
        <row r="198">
          <cell r="D198" t="str">
            <v>张红霞</v>
          </cell>
          <cell r="X198">
            <v>120</v>
          </cell>
        </row>
        <row r="199">
          <cell r="D199" t="str">
            <v>李燕1</v>
          </cell>
        </row>
        <row r="200">
          <cell r="D200" t="str">
            <v>陈世琳</v>
          </cell>
          <cell r="X200">
            <v>10</v>
          </cell>
        </row>
        <row r="201">
          <cell r="D201" t="str">
            <v>陈燕辉</v>
          </cell>
          <cell r="X201">
            <v>10</v>
          </cell>
        </row>
        <row r="202">
          <cell r="D202" t="str">
            <v>宋林琳</v>
          </cell>
          <cell r="X202">
            <v>20</v>
          </cell>
        </row>
        <row r="203">
          <cell r="D203" t="str">
            <v>马丽亚</v>
          </cell>
        </row>
        <row r="204">
          <cell r="D204" t="str">
            <v>阿衣尔扎</v>
          </cell>
        </row>
        <row r="205">
          <cell r="D205" t="str">
            <v>张霞</v>
          </cell>
        </row>
        <row r="206">
          <cell r="D206" t="str">
            <v>谢双叶</v>
          </cell>
        </row>
        <row r="207">
          <cell r="D207" t="str">
            <v>蒙亦锌</v>
          </cell>
        </row>
        <row r="208">
          <cell r="D208" t="str">
            <v>刘梦蓝</v>
          </cell>
        </row>
        <row r="209">
          <cell r="D209" t="str">
            <v>罗林芳</v>
          </cell>
          <cell r="X209">
            <v>10</v>
          </cell>
        </row>
        <row r="210">
          <cell r="D210" t="str">
            <v>汪丽娟</v>
          </cell>
          <cell r="X210">
            <v>20</v>
          </cell>
        </row>
        <row r="211">
          <cell r="D211" t="str">
            <v>谭言希</v>
          </cell>
        </row>
        <row r="212">
          <cell r="D212" t="str">
            <v>黄江</v>
          </cell>
        </row>
        <row r="213">
          <cell r="D213" t="str">
            <v>陈琼</v>
          </cell>
        </row>
        <row r="214">
          <cell r="D214" t="str">
            <v>米琪</v>
          </cell>
          <cell r="X214">
            <v>10</v>
          </cell>
        </row>
        <row r="215">
          <cell r="D215" t="str">
            <v>尚杨</v>
          </cell>
        </row>
        <row r="216">
          <cell r="D216" t="str">
            <v>钟心悦</v>
          </cell>
        </row>
        <row r="217">
          <cell r="D217" t="str">
            <v>胡祝曲</v>
          </cell>
          <cell r="X217">
            <v>150</v>
          </cell>
        </row>
        <row r="218">
          <cell r="D218" t="str">
            <v>谢金梅</v>
          </cell>
        </row>
        <row r="219">
          <cell r="D219" t="str">
            <v>李洪芳</v>
          </cell>
        </row>
        <row r="220">
          <cell r="D220" t="str">
            <v>王维</v>
          </cell>
          <cell r="X220">
            <v>90</v>
          </cell>
        </row>
        <row r="221">
          <cell r="D221" t="str">
            <v>罗文文</v>
          </cell>
          <cell r="X221">
            <v>90</v>
          </cell>
        </row>
        <row r="222">
          <cell r="D222" t="str">
            <v>任艺</v>
          </cell>
          <cell r="X222">
            <v>90</v>
          </cell>
        </row>
        <row r="223">
          <cell r="D223" t="str">
            <v>贺丽</v>
          </cell>
          <cell r="X223">
            <v>20</v>
          </cell>
        </row>
        <row r="224">
          <cell r="D224" t="str">
            <v>殷小燕</v>
          </cell>
        </row>
        <row r="225">
          <cell r="D225" t="str">
            <v>李海瑛</v>
          </cell>
        </row>
        <row r="226">
          <cell r="D226" t="str">
            <v>邹孟君</v>
          </cell>
        </row>
        <row r="227">
          <cell r="D227" t="str">
            <v>彭羽佳</v>
          </cell>
        </row>
        <row r="228">
          <cell r="D228" t="str">
            <v>朱成芳</v>
          </cell>
        </row>
        <row r="229">
          <cell r="D229" t="str">
            <v>翁玲</v>
          </cell>
          <cell r="X229">
            <v>90</v>
          </cell>
        </row>
        <row r="230">
          <cell r="D230" t="str">
            <v>王能琴</v>
          </cell>
        </row>
        <row r="231">
          <cell r="D231" t="str">
            <v>涂莹丹</v>
          </cell>
        </row>
        <row r="232">
          <cell r="D232" t="str">
            <v>葛敏</v>
          </cell>
        </row>
        <row r="233">
          <cell r="D233" t="str">
            <v>袁小兵</v>
          </cell>
        </row>
        <row r="234">
          <cell r="D234" t="str">
            <v>徐登毅</v>
          </cell>
        </row>
        <row r="235">
          <cell r="D235" t="str">
            <v>范时依</v>
          </cell>
        </row>
        <row r="236">
          <cell r="D236" t="str">
            <v>吴小强</v>
          </cell>
        </row>
        <row r="237">
          <cell r="D237" t="str">
            <v>宁燕</v>
          </cell>
        </row>
        <row r="238">
          <cell r="D238" t="str">
            <v>杨苹</v>
          </cell>
        </row>
        <row r="239">
          <cell r="D239" t="str">
            <v>赵倩</v>
          </cell>
        </row>
        <row r="240">
          <cell r="D240" t="str">
            <v>梁诗雨</v>
          </cell>
        </row>
        <row r="241">
          <cell r="D241" t="str">
            <v>郭思瑞</v>
          </cell>
        </row>
        <row r="242">
          <cell r="D242" t="str">
            <v>文倩</v>
          </cell>
        </row>
        <row r="243">
          <cell r="D243" t="str">
            <v>刘佳</v>
          </cell>
        </row>
        <row r="244">
          <cell r="D244" t="str">
            <v>杨磊</v>
          </cell>
        </row>
        <row r="245">
          <cell r="D245" t="str">
            <v>李吉原</v>
          </cell>
          <cell r="X245">
            <v>90</v>
          </cell>
        </row>
        <row r="246">
          <cell r="D246" t="str">
            <v>黄桂琴</v>
          </cell>
        </row>
        <row r="247">
          <cell r="D247" t="str">
            <v>詹芳英</v>
          </cell>
        </row>
        <row r="248">
          <cell r="D248" t="str">
            <v>陈思思</v>
          </cell>
          <cell r="X248">
            <v>20</v>
          </cell>
        </row>
        <row r="249">
          <cell r="D249" t="str">
            <v>李洁</v>
          </cell>
        </row>
        <row r="250">
          <cell r="D250" t="str">
            <v>马小英</v>
          </cell>
          <cell r="X250">
            <v>20</v>
          </cell>
        </row>
        <row r="251">
          <cell r="D251" t="str">
            <v>欧阳敏</v>
          </cell>
          <cell r="X251">
            <v>10</v>
          </cell>
        </row>
        <row r="252">
          <cell r="D252" t="str">
            <v>程燕</v>
          </cell>
        </row>
        <row r="253">
          <cell r="D253" t="str">
            <v>肖倩</v>
          </cell>
        </row>
        <row r="254">
          <cell r="D254" t="str">
            <v>王丽娟</v>
          </cell>
        </row>
        <row r="255">
          <cell r="D255" t="str">
            <v>蓝海英</v>
          </cell>
          <cell r="X255">
            <v>20</v>
          </cell>
        </row>
        <row r="256">
          <cell r="D256" t="str">
            <v>夏萍</v>
          </cell>
          <cell r="X256">
            <v>20</v>
          </cell>
        </row>
        <row r="257">
          <cell r="D257" t="str">
            <v>王方贤</v>
          </cell>
          <cell r="X257">
            <v>10</v>
          </cell>
        </row>
        <row r="258">
          <cell r="D258" t="str">
            <v>杨琴</v>
          </cell>
          <cell r="X258">
            <v>90</v>
          </cell>
        </row>
        <row r="259">
          <cell r="D259" t="str">
            <v>赵美艳</v>
          </cell>
          <cell r="X259">
            <v>120</v>
          </cell>
        </row>
        <row r="260">
          <cell r="D260" t="str">
            <v>郭兰</v>
          </cell>
        </row>
        <row r="261">
          <cell r="D261" t="str">
            <v>戴林</v>
          </cell>
          <cell r="X261">
            <v>20</v>
          </cell>
        </row>
        <row r="262">
          <cell r="D262" t="str">
            <v>蒲俊峰</v>
          </cell>
        </row>
        <row r="263">
          <cell r="D263" t="str">
            <v>张雪颖</v>
          </cell>
          <cell r="X263">
            <v>20</v>
          </cell>
        </row>
        <row r="264">
          <cell r="D264" t="str">
            <v>张雨露</v>
          </cell>
        </row>
        <row r="265">
          <cell r="D265" t="str">
            <v>刘祖红</v>
          </cell>
        </row>
        <row r="266">
          <cell r="D266" t="str">
            <v>谢宗富</v>
          </cell>
        </row>
        <row r="267">
          <cell r="D267" t="str">
            <v>余文</v>
          </cell>
          <cell r="X267">
            <v>20</v>
          </cell>
        </row>
        <row r="268">
          <cell r="D268" t="str">
            <v>王洪武</v>
          </cell>
        </row>
        <row r="269">
          <cell r="D269" t="str">
            <v>王国英</v>
          </cell>
        </row>
        <row r="270">
          <cell r="D270" t="str">
            <v>周莉</v>
          </cell>
        </row>
        <row r="271">
          <cell r="D271" t="str">
            <v>吴斌</v>
          </cell>
        </row>
        <row r="272">
          <cell r="D272" t="str">
            <v>吴斌</v>
          </cell>
        </row>
        <row r="273">
          <cell r="D273" t="str">
            <v>杨汉玉</v>
          </cell>
        </row>
        <row r="274">
          <cell r="D274" t="str">
            <v>杨润琼</v>
          </cell>
        </row>
        <row r="275">
          <cell r="D275" t="str">
            <v>林玉琼</v>
          </cell>
        </row>
        <row r="276">
          <cell r="D276" t="str">
            <v>王秀华</v>
          </cell>
        </row>
        <row r="277">
          <cell r="D277" t="str">
            <v>刘陈秀</v>
          </cell>
        </row>
        <row r="278">
          <cell r="D278" t="str">
            <v>钟术群</v>
          </cell>
        </row>
        <row r="279">
          <cell r="D279" t="str">
            <v>郑竹兰</v>
          </cell>
        </row>
        <row r="280">
          <cell r="D280" t="str">
            <v>陈春蓉</v>
          </cell>
        </row>
        <row r="281">
          <cell r="D281" t="str">
            <v>陈明秀</v>
          </cell>
        </row>
        <row r="282">
          <cell r="D282" t="str">
            <v>许开会</v>
          </cell>
        </row>
        <row r="283">
          <cell r="D283" t="str">
            <v>蒋治琼</v>
          </cell>
        </row>
        <row r="284">
          <cell r="D284" t="str">
            <v>曾志芬</v>
          </cell>
        </row>
        <row r="285">
          <cell r="D285" t="str">
            <v>罗广秀</v>
          </cell>
        </row>
        <row r="286">
          <cell r="D286" t="str">
            <v>何先会</v>
          </cell>
        </row>
        <row r="287">
          <cell r="D287" t="str">
            <v>陈德芳</v>
          </cell>
        </row>
        <row r="288">
          <cell r="D288" t="str">
            <v>邓成分</v>
          </cell>
        </row>
        <row r="289">
          <cell r="D289" t="str">
            <v>刘胜琼</v>
          </cell>
        </row>
        <row r="290">
          <cell r="D290" t="str">
            <v>陈文先</v>
          </cell>
        </row>
        <row r="291">
          <cell r="D291" t="str">
            <v>杨则琼</v>
          </cell>
        </row>
        <row r="292">
          <cell r="D292" t="str">
            <v>李培英</v>
          </cell>
        </row>
        <row r="293">
          <cell r="D293" t="str">
            <v>陈永秀</v>
          </cell>
        </row>
        <row r="294">
          <cell r="D294" t="str">
            <v>李大英</v>
          </cell>
        </row>
        <row r="295">
          <cell r="D295" t="str">
            <v>范世琼</v>
          </cell>
        </row>
        <row r="296">
          <cell r="D296" t="str">
            <v>倪巧琼</v>
          </cell>
        </row>
        <row r="297">
          <cell r="D297" t="str">
            <v>颜香兰</v>
          </cell>
        </row>
        <row r="298">
          <cell r="D298" t="str">
            <v>刘治菊</v>
          </cell>
        </row>
        <row r="299">
          <cell r="D299" t="str">
            <v>陈珊珊</v>
          </cell>
        </row>
        <row r="300">
          <cell r="D300" t="str">
            <v>安家晴</v>
          </cell>
        </row>
        <row r="301">
          <cell r="D301" t="str">
            <v>刘雨佳</v>
          </cell>
        </row>
        <row r="302">
          <cell r="D302" t="str">
            <v>谢翠华</v>
          </cell>
        </row>
        <row r="303">
          <cell r="D303" t="str">
            <v>袁晓梅</v>
          </cell>
        </row>
        <row r="304">
          <cell r="D304" t="str">
            <v>孙鲜</v>
          </cell>
        </row>
        <row r="305">
          <cell r="D305" t="str">
            <v>陈春秀</v>
          </cell>
        </row>
        <row r="306">
          <cell r="D306" t="str">
            <v>郑晓芳</v>
          </cell>
        </row>
        <row r="307">
          <cell r="D307" t="str">
            <v>曾小凤</v>
          </cell>
        </row>
        <row r="308">
          <cell r="D308" t="str">
            <v>邹奇圻</v>
          </cell>
        </row>
        <row r="309">
          <cell r="D309" t="str">
            <v>路平</v>
          </cell>
        </row>
        <row r="310">
          <cell r="D310" t="str">
            <v>康丹</v>
          </cell>
        </row>
        <row r="311">
          <cell r="D311" t="str">
            <v>尹佩佩</v>
          </cell>
        </row>
        <row r="312">
          <cell r="D312" t="str">
            <v>周柏燚</v>
          </cell>
        </row>
        <row r="313">
          <cell r="D313" t="str">
            <v>李文龙</v>
          </cell>
        </row>
        <row r="314">
          <cell r="D314" t="str">
            <v>张文卓</v>
          </cell>
        </row>
        <row r="315">
          <cell r="D315" t="str">
            <v>曹煦菡</v>
          </cell>
        </row>
        <row r="316">
          <cell r="D316" t="str">
            <v>蹇雨珊</v>
          </cell>
        </row>
        <row r="317">
          <cell r="D317" t="str">
            <v>赵圆缘</v>
          </cell>
        </row>
        <row r="318">
          <cell r="D318" t="str">
            <v>李从丽</v>
          </cell>
        </row>
        <row r="319">
          <cell r="D319" t="str">
            <v>杨慧琳</v>
          </cell>
        </row>
        <row r="320">
          <cell r="D320" t="str">
            <v>袁琳育</v>
          </cell>
        </row>
        <row r="321">
          <cell r="D321" t="str">
            <v>蒲敏</v>
          </cell>
        </row>
        <row r="322">
          <cell r="D322" t="str">
            <v>黄芬</v>
          </cell>
        </row>
        <row r="323">
          <cell r="D323" t="str">
            <v>吴英</v>
          </cell>
        </row>
        <row r="324">
          <cell r="D324" t="str">
            <v>杨娇</v>
          </cell>
        </row>
        <row r="325">
          <cell r="D325" t="str">
            <v>郭芬</v>
          </cell>
        </row>
      </sheetData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月社保"/>
      <sheetName val="分摊表"/>
      <sheetName val="总经理"/>
      <sheetName val="Sheet3"/>
    </sheetNames>
    <sheetDataSet>
      <sheetData sheetId="0">
        <row r="1">
          <cell r="L1">
            <v>73086.960000000006</v>
          </cell>
        </row>
        <row r="2">
          <cell r="B2" t="str">
            <v>姓名</v>
          </cell>
          <cell r="L2" t="str">
            <v>工资扣</v>
          </cell>
        </row>
        <row r="3">
          <cell r="B3" t="str">
            <v>梁刚</v>
          </cell>
        </row>
        <row r="4">
          <cell r="B4" t="str">
            <v>秦玉梅</v>
          </cell>
        </row>
        <row r="5">
          <cell r="B5" t="str">
            <v>徐登毅</v>
          </cell>
          <cell r="L5">
            <v>644.16800000000001</v>
          </cell>
        </row>
        <row r="6">
          <cell r="B6" t="str">
            <v>马小英</v>
          </cell>
          <cell r="L6">
            <v>644.16800000000001</v>
          </cell>
        </row>
        <row r="7">
          <cell r="B7" t="str">
            <v>吴小强</v>
          </cell>
          <cell r="L7">
            <v>644.16800000000001</v>
          </cell>
        </row>
        <row r="8">
          <cell r="B8" t="str">
            <v>詹芳英</v>
          </cell>
          <cell r="L8">
            <v>644.16800000000001</v>
          </cell>
        </row>
        <row r="9">
          <cell r="B9" t="str">
            <v>刘金凤</v>
          </cell>
          <cell r="L9">
            <v>644.16800000000001</v>
          </cell>
        </row>
        <row r="10">
          <cell r="B10" t="str">
            <v>夏萍</v>
          </cell>
          <cell r="L10">
            <v>644.16800000000001</v>
          </cell>
        </row>
        <row r="11">
          <cell r="B11" t="str">
            <v>张红霞</v>
          </cell>
          <cell r="L11">
            <v>644.16800000000001</v>
          </cell>
        </row>
        <row r="12">
          <cell r="B12" t="str">
            <v>刘九招</v>
          </cell>
          <cell r="L12">
            <v>644.16800000000001</v>
          </cell>
        </row>
        <row r="13">
          <cell r="B13" t="str">
            <v>秦亚平</v>
          </cell>
          <cell r="L13">
            <v>640.55999999999995</v>
          </cell>
        </row>
        <row r="14">
          <cell r="B14" t="str">
            <v>欧阳敏</v>
          </cell>
          <cell r="L14">
            <v>640.55999999999995</v>
          </cell>
        </row>
        <row r="15">
          <cell r="B15" t="str">
            <v>袁小兵</v>
          </cell>
          <cell r="L15">
            <v>640.55999999999995</v>
          </cell>
        </row>
        <row r="16">
          <cell r="B16" t="str">
            <v>张芮</v>
          </cell>
          <cell r="L16">
            <v>640.55999999999995</v>
          </cell>
        </row>
        <row r="17">
          <cell r="B17" t="str">
            <v>曾雨晴</v>
          </cell>
          <cell r="L17">
            <v>640.55999999999995</v>
          </cell>
        </row>
        <row r="18">
          <cell r="B18" t="str">
            <v>向郑瑶</v>
          </cell>
          <cell r="L18">
            <v>640.55999999999995</v>
          </cell>
        </row>
        <row r="19">
          <cell r="B19" t="str">
            <v>肖倩</v>
          </cell>
          <cell r="L19">
            <v>640.55999999999995</v>
          </cell>
        </row>
        <row r="20">
          <cell r="B20" t="str">
            <v>李萱君</v>
          </cell>
          <cell r="L20">
            <v>640.55999999999995</v>
          </cell>
        </row>
        <row r="21">
          <cell r="B21" t="str">
            <v>张雪颖</v>
          </cell>
          <cell r="L21">
            <v>640.55999999999995</v>
          </cell>
        </row>
        <row r="22">
          <cell r="B22" t="str">
            <v>张小娟</v>
          </cell>
          <cell r="L22">
            <v>640.55999999999995</v>
          </cell>
        </row>
        <row r="23">
          <cell r="B23" t="str">
            <v>王依蕊</v>
          </cell>
          <cell r="L23">
            <v>640.55999999999995</v>
          </cell>
        </row>
        <row r="24">
          <cell r="B24" t="str">
            <v>张元琼</v>
          </cell>
          <cell r="L24">
            <v>640.55999999999995</v>
          </cell>
        </row>
        <row r="25">
          <cell r="B25" t="str">
            <v>饶秋华</v>
          </cell>
          <cell r="L25">
            <v>640.55999999999995</v>
          </cell>
        </row>
        <row r="26">
          <cell r="B26" t="str">
            <v>廖妍</v>
          </cell>
          <cell r="L26">
            <v>640.55999999999995</v>
          </cell>
        </row>
        <row r="27">
          <cell r="B27" t="str">
            <v>李晓</v>
          </cell>
        </row>
        <row r="28">
          <cell r="B28" t="str">
            <v>王晓琳</v>
          </cell>
          <cell r="L28">
            <v>640.55999999999995</v>
          </cell>
        </row>
        <row r="29">
          <cell r="B29" t="str">
            <v>秦娜</v>
          </cell>
          <cell r="L29">
            <v>640.55999999999995</v>
          </cell>
        </row>
        <row r="30">
          <cell r="B30" t="str">
            <v>周林</v>
          </cell>
          <cell r="L30">
            <v>640.55999999999995</v>
          </cell>
        </row>
        <row r="31">
          <cell r="B31" t="str">
            <v>何琼华</v>
          </cell>
          <cell r="L31">
            <v>640.55999999999995</v>
          </cell>
        </row>
        <row r="32">
          <cell r="B32" t="str">
            <v>龚茜</v>
          </cell>
          <cell r="L32">
            <v>640.55999999999995</v>
          </cell>
        </row>
        <row r="33">
          <cell r="B33" t="str">
            <v>宋林琳</v>
          </cell>
          <cell r="L33">
            <v>640.55999999999995</v>
          </cell>
        </row>
        <row r="34">
          <cell r="B34" t="str">
            <v>赵美艳</v>
          </cell>
          <cell r="L34">
            <v>640.55999999999995</v>
          </cell>
        </row>
        <row r="35">
          <cell r="B35" t="str">
            <v>欧迎春</v>
          </cell>
          <cell r="L35">
            <v>644.16800000000001</v>
          </cell>
        </row>
        <row r="36">
          <cell r="B36" t="str">
            <v>包竹梅</v>
          </cell>
          <cell r="L36">
            <v>644.16800000000001</v>
          </cell>
        </row>
        <row r="37">
          <cell r="B37" t="str">
            <v>肖静梅</v>
          </cell>
          <cell r="L37">
            <v>644.16800000000001</v>
          </cell>
        </row>
        <row r="38">
          <cell r="B38" t="str">
            <v>牟光燕</v>
          </cell>
          <cell r="L38">
            <v>644.16800000000001</v>
          </cell>
        </row>
        <row r="39">
          <cell r="B39" t="str">
            <v>黎红花</v>
          </cell>
          <cell r="L39">
            <v>644.16800000000001</v>
          </cell>
        </row>
        <row r="40">
          <cell r="B40" t="str">
            <v>谢珂欣</v>
          </cell>
          <cell r="L40">
            <v>644.16800000000001</v>
          </cell>
        </row>
        <row r="41">
          <cell r="B41" t="str">
            <v>郭思瑞</v>
          </cell>
          <cell r="L41">
            <v>644.16800000000001</v>
          </cell>
        </row>
        <row r="42">
          <cell r="B42" t="str">
            <v>樊琳</v>
          </cell>
          <cell r="L42">
            <v>458.31599999999997</v>
          </cell>
        </row>
        <row r="43">
          <cell r="B43" t="str">
            <v>郭兰</v>
          </cell>
          <cell r="L43">
            <v>644.16800000000001</v>
          </cell>
        </row>
        <row r="44">
          <cell r="B44" t="str">
            <v>陈建蓉</v>
          </cell>
          <cell r="L44">
            <v>644.16800000000001</v>
          </cell>
        </row>
        <row r="45">
          <cell r="B45" t="str">
            <v>吴亚梅</v>
          </cell>
          <cell r="L45">
            <v>640.55999999999995</v>
          </cell>
        </row>
        <row r="46">
          <cell r="B46" t="str">
            <v>马宏梅</v>
          </cell>
          <cell r="L46">
            <v>640.55999999999995</v>
          </cell>
        </row>
        <row r="47">
          <cell r="B47" t="str">
            <v>袁玉</v>
          </cell>
          <cell r="L47">
            <v>640.55999999999995</v>
          </cell>
        </row>
        <row r="48">
          <cell r="B48" t="str">
            <v>杨金花</v>
          </cell>
          <cell r="L48">
            <v>454.70800000000003</v>
          </cell>
        </row>
        <row r="49">
          <cell r="B49" t="str">
            <v>易春梅</v>
          </cell>
          <cell r="L49">
            <v>640.55999999999995</v>
          </cell>
        </row>
        <row r="50">
          <cell r="B50" t="str">
            <v>江玲</v>
          </cell>
          <cell r="L50">
            <v>640.55999999999995</v>
          </cell>
        </row>
        <row r="51">
          <cell r="B51" t="str">
            <v>王瑞琳</v>
          </cell>
          <cell r="L51">
            <v>640.55999999999995</v>
          </cell>
        </row>
        <row r="52">
          <cell r="B52" t="str">
            <v>关晓燕</v>
          </cell>
          <cell r="L52">
            <v>640.55999999999995</v>
          </cell>
        </row>
        <row r="53">
          <cell r="B53" t="str">
            <v>文倩</v>
          </cell>
          <cell r="L53">
            <v>636.952</v>
          </cell>
        </row>
        <row r="54">
          <cell r="B54" t="str">
            <v>董顺秀</v>
          </cell>
          <cell r="L54">
            <v>451.1</v>
          </cell>
        </row>
        <row r="55">
          <cell r="B55" t="str">
            <v>张明艳</v>
          </cell>
          <cell r="L55">
            <v>636.952</v>
          </cell>
        </row>
        <row r="56">
          <cell r="B56" t="str">
            <v>邓丽莉</v>
          </cell>
          <cell r="L56">
            <v>636.952</v>
          </cell>
        </row>
        <row r="57">
          <cell r="B57" t="str">
            <v>陈佳丽</v>
          </cell>
          <cell r="L57">
            <v>636.952</v>
          </cell>
        </row>
        <row r="58">
          <cell r="B58" t="str">
            <v>郑华跃</v>
          </cell>
          <cell r="L58">
            <v>636.952</v>
          </cell>
        </row>
        <row r="59">
          <cell r="B59" t="str">
            <v>李茂</v>
          </cell>
          <cell r="L59">
            <v>636.952</v>
          </cell>
        </row>
        <row r="60">
          <cell r="B60" t="str">
            <v>李巧娇</v>
          </cell>
          <cell r="L60">
            <v>636.952</v>
          </cell>
        </row>
        <row r="61">
          <cell r="B61" t="str">
            <v>徐睦垚</v>
          </cell>
          <cell r="L61">
            <v>636.952</v>
          </cell>
        </row>
        <row r="62">
          <cell r="B62" t="str">
            <v>但红玉</v>
          </cell>
          <cell r="L62">
            <v>640.55999999999995</v>
          </cell>
        </row>
        <row r="63">
          <cell r="B63" t="str">
            <v>张候敏</v>
          </cell>
          <cell r="L63">
            <v>640.55999999999995</v>
          </cell>
        </row>
        <row r="64">
          <cell r="B64" t="str">
            <v>唐玉芳</v>
          </cell>
          <cell r="L64">
            <v>640.55999999999995</v>
          </cell>
        </row>
        <row r="65">
          <cell r="B65" t="str">
            <v>杨琴</v>
          </cell>
          <cell r="L65">
            <v>640.55999999999995</v>
          </cell>
        </row>
        <row r="66">
          <cell r="B66" t="str">
            <v>魏柯</v>
          </cell>
          <cell r="L66">
            <v>640.55999999999995</v>
          </cell>
        </row>
        <row r="67">
          <cell r="B67" t="str">
            <v>孙红梅</v>
          </cell>
          <cell r="L67">
            <v>640.55999999999995</v>
          </cell>
        </row>
        <row r="68">
          <cell r="B68" t="str">
            <v>刘安琼</v>
          </cell>
          <cell r="L68">
            <v>640.55999999999995</v>
          </cell>
        </row>
        <row r="69">
          <cell r="B69" t="str">
            <v>罗雪</v>
          </cell>
          <cell r="L69">
            <v>454.70800000000003</v>
          </cell>
        </row>
        <row r="70">
          <cell r="B70" t="str">
            <v>李思忆</v>
          </cell>
          <cell r="L70">
            <v>640.55999999999995</v>
          </cell>
        </row>
        <row r="71">
          <cell r="B71" t="str">
            <v>贺丽</v>
          </cell>
          <cell r="L71">
            <v>640.55999999999995</v>
          </cell>
        </row>
        <row r="72">
          <cell r="B72" t="str">
            <v>蒲草</v>
          </cell>
          <cell r="L72">
            <v>640.55999999999995</v>
          </cell>
        </row>
        <row r="73">
          <cell r="B73" t="str">
            <v>喻容</v>
          </cell>
          <cell r="L73">
            <v>640.55999999999995</v>
          </cell>
        </row>
        <row r="74">
          <cell r="B74" t="str">
            <v>葛敏</v>
          </cell>
          <cell r="L74">
            <v>640.55999999999995</v>
          </cell>
        </row>
        <row r="75">
          <cell r="B75" t="str">
            <v>程燕</v>
          </cell>
          <cell r="L75">
            <v>640.55999999999995</v>
          </cell>
        </row>
        <row r="76">
          <cell r="B76" t="str">
            <v>林萍</v>
          </cell>
          <cell r="L76">
            <v>640.55999999999995</v>
          </cell>
        </row>
        <row r="77">
          <cell r="B77" t="str">
            <v>李燕</v>
          </cell>
          <cell r="L77">
            <v>640.55999999999995</v>
          </cell>
        </row>
        <row r="78">
          <cell r="B78" t="str">
            <v>张清华</v>
          </cell>
          <cell r="L78">
            <v>640.55999999999995</v>
          </cell>
        </row>
        <row r="79">
          <cell r="B79" t="str">
            <v>陈怡名</v>
          </cell>
          <cell r="L79">
            <v>640.55999999999995</v>
          </cell>
        </row>
        <row r="80">
          <cell r="B80" t="str">
            <v>徐文平</v>
          </cell>
          <cell r="L80">
            <v>640.55999999999995</v>
          </cell>
        </row>
        <row r="81">
          <cell r="B81" t="str">
            <v>陈小琴</v>
          </cell>
          <cell r="L81">
            <v>640.55999999999995</v>
          </cell>
        </row>
        <row r="82">
          <cell r="B82" t="str">
            <v>张艳秋</v>
          </cell>
          <cell r="L82">
            <v>640.55999999999995</v>
          </cell>
        </row>
        <row r="83">
          <cell r="B83" t="str">
            <v>张小华</v>
          </cell>
          <cell r="L83">
            <v>640.55999999999995</v>
          </cell>
        </row>
        <row r="84">
          <cell r="B84" t="str">
            <v>陈思思</v>
          </cell>
          <cell r="L84">
            <v>644.16800000000001</v>
          </cell>
        </row>
        <row r="85">
          <cell r="B85" t="str">
            <v>王萍</v>
          </cell>
          <cell r="L85">
            <v>0</v>
          </cell>
        </row>
        <row r="86">
          <cell r="B86" t="str">
            <v>王红</v>
          </cell>
          <cell r="L86">
            <v>644.16800000000001</v>
          </cell>
        </row>
        <row r="87">
          <cell r="B87" t="str">
            <v>刘祖红</v>
          </cell>
          <cell r="L87">
            <v>644.16800000000001</v>
          </cell>
        </row>
        <row r="88">
          <cell r="B88" t="str">
            <v>康丹</v>
          </cell>
        </row>
        <row r="89">
          <cell r="B89" t="str">
            <v>王桂明</v>
          </cell>
          <cell r="L89">
            <v>644.16800000000001</v>
          </cell>
        </row>
        <row r="90">
          <cell r="B90" t="str">
            <v>刘恬恬</v>
          </cell>
          <cell r="L90">
            <v>644.16800000000001</v>
          </cell>
        </row>
        <row r="91">
          <cell r="B91" t="str">
            <v>白丽</v>
          </cell>
          <cell r="L91">
            <v>644.16800000000001</v>
          </cell>
        </row>
        <row r="92">
          <cell r="B92" t="str">
            <v>张丽</v>
          </cell>
          <cell r="L92">
            <v>644.16800000000001</v>
          </cell>
        </row>
        <row r="93">
          <cell r="B93" t="str">
            <v>苟小春</v>
          </cell>
          <cell r="L93">
            <v>644.16800000000001</v>
          </cell>
        </row>
        <row r="94">
          <cell r="B94" t="str">
            <v>彭龙惠</v>
          </cell>
          <cell r="L94">
            <v>644.16800000000001</v>
          </cell>
        </row>
        <row r="95">
          <cell r="B95" t="str">
            <v>邓雪梅</v>
          </cell>
          <cell r="L95">
            <v>0</v>
          </cell>
        </row>
        <row r="96">
          <cell r="B96" t="str">
            <v>范时依</v>
          </cell>
          <cell r="L96">
            <v>644.16800000000001</v>
          </cell>
        </row>
        <row r="97">
          <cell r="B97" t="str">
            <v>罗林芳</v>
          </cell>
          <cell r="L97">
            <v>644.16800000000001</v>
          </cell>
        </row>
        <row r="98">
          <cell r="B98" t="str">
            <v>聂娟</v>
          </cell>
          <cell r="L98">
            <v>644.16800000000001</v>
          </cell>
        </row>
        <row r="99">
          <cell r="B99" t="str">
            <v>谢宗富</v>
          </cell>
          <cell r="L99">
            <v>644.16800000000001</v>
          </cell>
        </row>
        <row r="100">
          <cell r="B100" t="str">
            <v>赵静</v>
          </cell>
          <cell r="L100">
            <v>644.16800000000001</v>
          </cell>
        </row>
        <row r="101">
          <cell r="B101" t="str">
            <v>冷忠翠</v>
          </cell>
          <cell r="L101">
            <v>644.16800000000001</v>
          </cell>
        </row>
        <row r="102">
          <cell r="B102" t="str">
            <v>尧丹丹</v>
          </cell>
          <cell r="L102">
            <v>644.16800000000001</v>
          </cell>
        </row>
        <row r="103">
          <cell r="B103" t="str">
            <v>杜兰兰</v>
          </cell>
          <cell r="L103">
            <v>644.16800000000001</v>
          </cell>
        </row>
        <row r="104">
          <cell r="B104" t="str">
            <v>赵忠芬</v>
          </cell>
          <cell r="L104">
            <v>644.16800000000001</v>
          </cell>
        </row>
        <row r="105">
          <cell r="B105" t="str">
            <v>张廷妍</v>
          </cell>
          <cell r="L105">
            <v>644.16800000000001</v>
          </cell>
        </row>
        <row r="106">
          <cell r="B106" t="str">
            <v>郑巧玲</v>
          </cell>
          <cell r="L106">
            <v>644.16800000000001</v>
          </cell>
        </row>
        <row r="107">
          <cell r="B107" t="str">
            <v>王新华</v>
          </cell>
          <cell r="L107">
            <v>644.16800000000001</v>
          </cell>
        </row>
        <row r="108">
          <cell r="B108" t="str">
            <v>宁燕</v>
          </cell>
          <cell r="L108">
            <v>644.16800000000001</v>
          </cell>
        </row>
        <row r="109">
          <cell r="B109" t="str">
            <v>曾玉莲</v>
          </cell>
          <cell r="L109">
            <v>644.16800000000001</v>
          </cell>
        </row>
        <row r="110">
          <cell r="B110" t="str">
            <v>张欣</v>
          </cell>
          <cell r="L110">
            <v>644.16800000000001</v>
          </cell>
        </row>
        <row r="111">
          <cell r="B111" t="str">
            <v>竹艳梅</v>
          </cell>
          <cell r="L111">
            <v>644.16800000000001</v>
          </cell>
        </row>
        <row r="112">
          <cell r="B112" t="str">
            <v>贾琳</v>
          </cell>
          <cell r="L112">
            <v>644.16800000000001</v>
          </cell>
        </row>
        <row r="113">
          <cell r="B113" t="str">
            <v>李维</v>
          </cell>
          <cell r="L113">
            <v>644.16800000000001</v>
          </cell>
        </row>
        <row r="114">
          <cell r="B114" t="str">
            <v>蓝海英</v>
          </cell>
          <cell r="L114">
            <v>644.16800000000001</v>
          </cell>
        </row>
        <row r="115">
          <cell r="B115" t="str">
            <v>唐银春</v>
          </cell>
          <cell r="L115">
            <v>644.16800000000001</v>
          </cell>
        </row>
        <row r="116">
          <cell r="B116" t="str">
            <v>任艺</v>
          </cell>
          <cell r="L116">
            <v>644.16800000000001</v>
          </cell>
        </row>
        <row r="117">
          <cell r="B117" t="str">
            <v>莫志英</v>
          </cell>
          <cell r="L117">
            <v>644.16800000000001</v>
          </cell>
        </row>
        <row r="118">
          <cell r="B118" t="str">
            <v>刘巧艳</v>
          </cell>
          <cell r="L118">
            <v>644.16800000000001</v>
          </cell>
        </row>
        <row r="119">
          <cell r="B119" t="str">
            <v>康红梅</v>
          </cell>
          <cell r="L119">
            <v>644.16800000000001</v>
          </cell>
        </row>
        <row r="120">
          <cell r="B120" t="str">
            <v>刘晓丽</v>
          </cell>
          <cell r="L120">
            <v>644.16800000000001</v>
          </cell>
        </row>
        <row r="121">
          <cell r="B121" t="str">
            <v>李红梅</v>
          </cell>
          <cell r="L121">
            <v>644.16800000000001</v>
          </cell>
        </row>
        <row r="122">
          <cell r="B122" t="str">
            <v>谢娟</v>
          </cell>
          <cell r="L122">
            <v>644.16800000000001</v>
          </cell>
        </row>
        <row r="123">
          <cell r="B123" t="str">
            <v>贺慧</v>
          </cell>
          <cell r="L123">
            <v>644.16800000000001</v>
          </cell>
        </row>
      </sheetData>
      <sheetData sheetId="1"/>
      <sheetData sheetId="2"/>
      <sheetData sheetId="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月"/>
      <sheetName val="2月"/>
      <sheetName val="3月"/>
    </sheetNames>
    <sheetDataSet>
      <sheetData sheetId="0" refreshError="1"/>
      <sheetData sheetId="1" refreshError="1"/>
      <sheetData sheetId="2" refreshError="1">
        <row r="1">
          <cell r="C1" t="str">
            <v>姓名</v>
          </cell>
          <cell r="D1" t="str">
            <v>出勤</v>
          </cell>
        </row>
        <row r="2">
          <cell r="C2" t="str">
            <v>易春梅</v>
          </cell>
          <cell r="D2">
            <v>0</v>
          </cell>
        </row>
        <row r="3">
          <cell r="C3" t="str">
            <v>江玲</v>
          </cell>
          <cell r="D3">
            <v>50</v>
          </cell>
        </row>
        <row r="4">
          <cell r="C4" t="str">
            <v>王瑞琳</v>
          </cell>
          <cell r="D4">
            <v>0</v>
          </cell>
        </row>
        <row r="5">
          <cell r="C5" t="str">
            <v>黄小燕</v>
          </cell>
          <cell r="D5">
            <v>0</v>
          </cell>
        </row>
        <row r="6">
          <cell r="C6" t="str">
            <v>雷彬燕</v>
          </cell>
          <cell r="D6">
            <v>0</v>
          </cell>
        </row>
        <row r="7">
          <cell r="C7" t="str">
            <v>赵玉晓</v>
          </cell>
          <cell r="D7">
            <v>0</v>
          </cell>
        </row>
        <row r="8">
          <cell r="C8" t="str">
            <v>张江秀</v>
          </cell>
          <cell r="D8">
            <v>0</v>
          </cell>
        </row>
        <row r="9">
          <cell r="C9" t="str">
            <v>黄娟</v>
          </cell>
          <cell r="D9" t="str">
            <v>正常薪资计算</v>
          </cell>
        </row>
        <row r="10">
          <cell r="C10" t="str">
            <v>饶秋华</v>
          </cell>
          <cell r="D10">
            <v>0</v>
          </cell>
        </row>
        <row r="11">
          <cell r="C11" t="str">
            <v>莫志英</v>
          </cell>
          <cell r="D11">
            <v>0</v>
          </cell>
        </row>
        <row r="12">
          <cell r="C12" t="str">
            <v>刘巧艳</v>
          </cell>
          <cell r="D12">
            <v>0</v>
          </cell>
        </row>
        <row r="13">
          <cell r="C13" t="str">
            <v>康红梅</v>
          </cell>
          <cell r="D13">
            <v>0</v>
          </cell>
        </row>
        <row r="14">
          <cell r="C14" t="str">
            <v>唐银春</v>
          </cell>
          <cell r="D14">
            <v>0</v>
          </cell>
        </row>
        <row r="15">
          <cell r="C15" t="str">
            <v>刘晓丽</v>
          </cell>
          <cell r="D15">
            <v>50</v>
          </cell>
        </row>
        <row r="16">
          <cell r="C16" t="str">
            <v>熊艳</v>
          </cell>
          <cell r="D16" t="str">
            <v>少休2天+40</v>
          </cell>
        </row>
        <row r="17">
          <cell r="C17" t="str">
            <v>任静</v>
          </cell>
          <cell r="D17">
            <v>50</v>
          </cell>
        </row>
        <row r="18">
          <cell r="C18" t="str">
            <v>吴琴</v>
          </cell>
          <cell r="D18">
            <v>0</v>
          </cell>
        </row>
        <row r="19">
          <cell r="C19" t="str">
            <v>陈红霞</v>
          </cell>
          <cell r="D19" t="str">
            <v>保底3500</v>
          </cell>
        </row>
        <row r="20">
          <cell r="C20" t="str">
            <v>孙丽娟</v>
          </cell>
          <cell r="D20" t="str">
            <v>3月1日-8日8*60=480元，3月9日-31日保底3500/31*23=2597元，合计3077元</v>
          </cell>
        </row>
        <row r="21">
          <cell r="C21" t="str">
            <v>廖增珍</v>
          </cell>
          <cell r="D21" t="str">
            <v>2月28日-3月9日10*60=600元，保底4000/31*22=2839元</v>
          </cell>
        </row>
        <row r="22">
          <cell r="C22" t="str">
            <v>李春华</v>
          </cell>
          <cell r="D22" t="str">
            <v>3月4日-10日80*7=560元，3月11日-31日保底   保底6000/月无责，6500-7000/月有业绩标准</v>
          </cell>
        </row>
        <row r="23">
          <cell r="C23" t="str">
            <v>刘宏霞</v>
          </cell>
          <cell r="D23" t="str">
            <v>3月1日-7日正常计算</v>
          </cell>
        </row>
        <row r="24">
          <cell r="C24" t="str">
            <v>张候敏</v>
          </cell>
          <cell r="D24">
            <v>0</v>
          </cell>
        </row>
        <row r="25">
          <cell r="C25" t="str">
            <v>赵小红</v>
          </cell>
          <cell r="D25">
            <v>0</v>
          </cell>
        </row>
        <row r="26">
          <cell r="C26" t="str">
            <v>彭龙惠</v>
          </cell>
          <cell r="D26">
            <v>0</v>
          </cell>
        </row>
        <row r="27">
          <cell r="C27" t="str">
            <v>余文</v>
          </cell>
          <cell r="D27">
            <v>0</v>
          </cell>
        </row>
        <row r="28">
          <cell r="C28" t="str">
            <v>邓雪梅</v>
          </cell>
          <cell r="D28">
            <v>0</v>
          </cell>
        </row>
        <row r="29">
          <cell r="C29" t="str">
            <v>王子怡</v>
          </cell>
          <cell r="D29" t="str">
            <v>保底4000</v>
          </cell>
        </row>
        <row r="30">
          <cell r="C30" t="str">
            <v>高雪</v>
          </cell>
          <cell r="D30" t="str">
            <v>3月1日-2日2*60=120元，3日-31日保底3500/31*29=3274元，合计3394元</v>
          </cell>
        </row>
        <row r="31">
          <cell r="C31" t="str">
            <v>何婷</v>
          </cell>
          <cell r="D31" t="str">
            <v>保底5000</v>
          </cell>
        </row>
        <row r="32">
          <cell r="C32" t="str">
            <v>刘慧</v>
          </cell>
          <cell r="D32" t="str">
            <v>2月24日-3月2日7*60=420元，3月3日下店保底4000/31*29=3742元</v>
          </cell>
        </row>
        <row r="33">
          <cell r="C33" t="str">
            <v>秦亚平</v>
          </cell>
          <cell r="D33">
            <v>0</v>
          </cell>
        </row>
        <row r="34">
          <cell r="C34" t="str">
            <v>谭莹</v>
          </cell>
          <cell r="D34">
            <v>50</v>
          </cell>
        </row>
        <row r="35">
          <cell r="C35" t="str">
            <v>张芮</v>
          </cell>
          <cell r="D35">
            <v>0</v>
          </cell>
        </row>
        <row r="36">
          <cell r="C36" t="str">
            <v>肖敏</v>
          </cell>
          <cell r="D36" t="str">
            <v>50，+4月上班3天</v>
          </cell>
        </row>
        <row r="37">
          <cell r="C37" t="str">
            <v>张元琼</v>
          </cell>
          <cell r="D37">
            <v>0</v>
          </cell>
        </row>
        <row r="38">
          <cell r="C38" t="str">
            <v>王依蕊</v>
          </cell>
          <cell r="D38">
            <v>0</v>
          </cell>
        </row>
        <row r="39">
          <cell r="C39" t="str">
            <v>向郑瑶</v>
          </cell>
          <cell r="D39">
            <v>0</v>
          </cell>
        </row>
        <row r="40">
          <cell r="C40" t="str">
            <v>唐容</v>
          </cell>
          <cell r="D40">
            <v>0</v>
          </cell>
        </row>
        <row r="41">
          <cell r="C41" t="str">
            <v>叶文娟</v>
          </cell>
          <cell r="D41" t="str">
            <v>3月1日-10日10*60=600,11日-31日3500/31*21=2371元（11-13日在川师），合计2971元</v>
          </cell>
        </row>
        <row r="42">
          <cell r="C42" t="str">
            <v>邹福贞</v>
          </cell>
          <cell r="D42">
            <v>0</v>
          </cell>
        </row>
        <row r="43">
          <cell r="C43" t="str">
            <v>陈怡名</v>
          </cell>
          <cell r="D43">
            <v>0</v>
          </cell>
        </row>
        <row r="44">
          <cell r="C44" t="str">
            <v>张丽</v>
          </cell>
          <cell r="D44" t="str">
            <v>少休1天+20</v>
          </cell>
        </row>
        <row r="45">
          <cell r="C45" t="str">
            <v>杨金花</v>
          </cell>
          <cell r="D45">
            <v>0</v>
          </cell>
        </row>
        <row r="46">
          <cell r="C46" t="str">
            <v>闫丽萍</v>
          </cell>
          <cell r="D46">
            <v>0</v>
          </cell>
        </row>
        <row r="47">
          <cell r="C47" t="str">
            <v>樊琳</v>
          </cell>
          <cell r="D47">
            <v>0</v>
          </cell>
        </row>
        <row r="48">
          <cell r="C48" t="str">
            <v>董顺秀</v>
          </cell>
          <cell r="D48" t="str">
            <v>少休1天+20</v>
          </cell>
        </row>
        <row r="49">
          <cell r="C49" t="str">
            <v>陈建蓉</v>
          </cell>
          <cell r="D49">
            <v>0</v>
          </cell>
        </row>
        <row r="50">
          <cell r="C50" t="str">
            <v>王娇</v>
          </cell>
          <cell r="D50" t="str">
            <v>保底4000</v>
          </cell>
        </row>
        <row r="51">
          <cell r="C51" t="str">
            <v>黎茂婷</v>
          </cell>
          <cell r="D51" t="str">
            <v>3月17日-31日15*60=900元</v>
          </cell>
        </row>
        <row r="52">
          <cell r="C52" t="str">
            <v>凌红玉</v>
          </cell>
          <cell r="D52" t="str">
            <v>上班19天，保底6000/31*19=3677元</v>
          </cell>
        </row>
        <row r="53">
          <cell r="C53" t="str">
            <v>张艳秋</v>
          </cell>
          <cell r="D53">
            <v>0</v>
          </cell>
        </row>
        <row r="54">
          <cell r="C54" t="str">
            <v>李慧琴</v>
          </cell>
          <cell r="D54">
            <v>0</v>
          </cell>
        </row>
        <row r="55">
          <cell r="C55" t="str">
            <v>陈小琴</v>
          </cell>
          <cell r="D55">
            <v>50</v>
          </cell>
        </row>
        <row r="56">
          <cell r="C56" t="str">
            <v>刘恬恬</v>
          </cell>
          <cell r="D56">
            <v>50</v>
          </cell>
        </row>
        <row r="57">
          <cell r="C57" t="str">
            <v>苟小春</v>
          </cell>
          <cell r="D57">
            <v>50</v>
          </cell>
        </row>
        <row r="58">
          <cell r="C58" t="str">
            <v>李燕</v>
          </cell>
          <cell r="D58">
            <v>0</v>
          </cell>
        </row>
        <row r="59">
          <cell r="C59" t="str">
            <v>张小华</v>
          </cell>
          <cell r="D59">
            <v>50</v>
          </cell>
        </row>
        <row r="60">
          <cell r="C60" t="str">
            <v>陈艳</v>
          </cell>
          <cell r="D60">
            <v>0</v>
          </cell>
        </row>
        <row r="61">
          <cell r="C61" t="str">
            <v>张念</v>
          </cell>
          <cell r="D61" t="str">
            <v>正常计算</v>
          </cell>
        </row>
        <row r="62">
          <cell r="C62" t="str">
            <v>陈佳丽</v>
          </cell>
          <cell r="D62">
            <v>50</v>
          </cell>
        </row>
        <row r="63">
          <cell r="C63" t="str">
            <v>康钦</v>
          </cell>
          <cell r="D63">
            <v>0</v>
          </cell>
        </row>
        <row r="64">
          <cell r="C64" t="str">
            <v>聂娟</v>
          </cell>
          <cell r="D64">
            <v>50</v>
          </cell>
        </row>
        <row r="65">
          <cell r="C65" t="str">
            <v>马菁</v>
          </cell>
          <cell r="D65">
            <v>0</v>
          </cell>
        </row>
        <row r="66">
          <cell r="C66" t="str">
            <v>徐睦垚</v>
          </cell>
          <cell r="D66">
            <v>0</v>
          </cell>
        </row>
        <row r="67">
          <cell r="C67" t="str">
            <v>肖艳</v>
          </cell>
          <cell r="D67" t="str">
            <v>正常</v>
          </cell>
        </row>
        <row r="68">
          <cell r="C68" t="str">
            <v>达哇卓玛</v>
          </cell>
          <cell r="D68" t="str">
            <v>保底4000</v>
          </cell>
        </row>
        <row r="69">
          <cell r="C69" t="str">
            <v>曾雨晴</v>
          </cell>
          <cell r="D69">
            <v>0</v>
          </cell>
        </row>
        <row r="70">
          <cell r="C70" t="str">
            <v>但红玉</v>
          </cell>
          <cell r="D70" t="str">
            <v>50，少休1天+20</v>
          </cell>
        </row>
        <row r="71">
          <cell r="C71" t="str">
            <v>梁缘缘</v>
          </cell>
          <cell r="D71">
            <v>50</v>
          </cell>
        </row>
        <row r="72">
          <cell r="C72" t="str">
            <v>贺丽</v>
          </cell>
          <cell r="D72">
            <v>50</v>
          </cell>
        </row>
        <row r="73">
          <cell r="C73" t="str">
            <v>李思忆</v>
          </cell>
          <cell r="D73">
            <v>50</v>
          </cell>
        </row>
        <row r="74">
          <cell r="C74" t="str">
            <v>赵情情</v>
          </cell>
          <cell r="D74">
            <v>0</v>
          </cell>
        </row>
        <row r="75">
          <cell r="C75" t="str">
            <v>曹悦</v>
          </cell>
          <cell r="D75" t="str">
            <v>保底4000</v>
          </cell>
        </row>
        <row r="76">
          <cell r="C76" t="str">
            <v>张小娟</v>
          </cell>
          <cell r="D76">
            <v>0</v>
          </cell>
        </row>
        <row r="77">
          <cell r="C77" t="str">
            <v>刘安琼</v>
          </cell>
          <cell r="D77">
            <v>0</v>
          </cell>
        </row>
        <row r="78">
          <cell r="C78" t="str">
            <v>李巧娇</v>
          </cell>
          <cell r="D78">
            <v>0</v>
          </cell>
        </row>
        <row r="79">
          <cell r="C79" t="str">
            <v>林萍</v>
          </cell>
          <cell r="D79">
            <v>50</v>
          </cell>
        </row>
        <row r="80">
          <cell r="C80" t="str">
            <v>罗雪</v>
          </cell>
          <cell r="D80" t="str">
            <v>少休1天+20</v>
          </cell>
        </row>
        <row r="81">
          <cell r="C81" t="str">
            <v>唐宇欣</v>
          </cell>
          <cell r="D81">
            <v>0</v>
          </cell>
        </row>
        <row r="82">
          <cell r="C82" t="str">
            <v>王如意</v>
          </cell>
          <cell r="D82" t="str">
            <v>正常计算</v>
          </cell>
        </row>
        <row r="83">
          <cell r="C83" t="str">
            <v>柳全菊</v>
          </cell>
          <cell r="D83" t="str">
            <v>3月13日-25日13*60=780元，26日-31日正常薪资计算</v>
          </cell>
        </row>
        <row r="84">
          <cell r="C84" t="str">
            <v>黄昌红</v>
          </cell>
          <cell r="D84" t="str">
            <v>上班10天正常计算</v>
          </cell>
        </row>
        <row r="85">
          <cell r="C85" t="str">
            <v>何琼华</v>
          </cell>
          <cell r="D85">
            <v>0</v>
          </cell>
        </row>
        <row r="86">
          <cell r="C86" t="str">
            <v>蒋圆圆</v>
          </cell>
          <cell r="D86">
            <v>50</v>
          </cell>
        </row>
        <row r="87">
          <cell r="C87" t="str">
            <v>顾红艳</v>
          </cell>
          <cell r="D87">
            <v>0</v>
          </cell>
        </row>
        <row r="88">
          <cell r="C88" t="str">
            <v>李萱君</v>
          </cell>
          <cell r="D88">
            <v>0</v>
          </cell>
        </row>
        <row r="89">
          <cell r="C89" t="str">
            <v>郭小丽</v>
          </cell>
          <cell r="D89">
            <v>50</v>
          </cell>
        </row>
        <row r="90">
          <cell r="C90" t="str">
            <v>梁婷</v>
          </cell>
          <cell r="D90" t="str">
            <v>保底4000/31*29=3742元</v>
          </cell>
        </row>
        <row r="91">
          <cell r="C91" t="str">
            <v>雷娜婷</v>
          </cell>
          <cell r="D91" t="str">
            <v>保底4000</v>
          </cell>
        </row>
        <row r="92">
          <cell r="C92" t="str">
            <v>刘心怡</v>
          </cell>
          <cell r="D92" t="str">
            <v>3月1日-2日2*60=120元，3日-31日保底3000/31*29=2806，合计2926</v>
          </cell>
        </row>
        <row r="93">
          <cell r="C93" t="str">
            <v>叶美霞</v>
          </cell>
          <cell r="D93" t="str">
            <v>3月16日-31日上班13天13*60=780元</v>
          </cell>
        </row>
        <row r="94">
          <cell r="C94" t="str">
            <v>夏萍</v>
          </cell>
          <cell r="D94">
            <v>0</v>
          </cell>
        </row>
        <row r="95">
          <cell r="C95" t="str">
            <v>王方贤</v>
          </cell>
          <cell r="D95">
            <v>0</v>
          </cell>
        </row>
        <row r="96">
          <cell r="C96" t="str">
            <v>杨琴</v>
          </cell>
          <cell r="D96">
            <v>0</v>
          </cell>
        </row>
        <row r="97">
          <cell r="C97" t="str">
            <v>赵美艳</v>
          </cell>
          <cell r="D97">
            <v>0</v>
          </cell>
        </row>
        <row r="98">
          <cell r="C98" t="str">
            <v>邹盼</v>
          </cell>
          <cell r="D98">
            <v>0</v>
          </cell>
        </row>
        <row r="99">
          <cell r="C99" t="str">
            <v>郭兰</v>
          </cell>
          <cell r="D99">
            <v>0</v>
          </cell>
        </row>
        <row r="100">
          <cell r="C100" t="str">
            <v>戴林</v>
          </cell>
          <cell r="D100">
            <v>0</v>
          </cell>
        </row>
        <row r="101">
          <cell r="C101" t="str">
            <v>周柏燚</v>
          </cell>
          <cell r="D101" t="str">
            <v>上班22天正常薪资计算</v>
          </cell>
        </row>
        <row r="102">
          <cell r="C102" t="str">
            <v>蒲俊峰</v>
          </cell>
          <cell r="D102">
            <v>0</v>
          </cell>
        </row>
        <row r="103">
          <cell r="C103" t="str">
            <v>张雪颖</v>
          </cell>
          <cell r="D103">
            <v>0</v>
          </cell>
        </row>
        <row r="104">
          <cell r="C104" t="str">
            <v>张雨露</v>
          </cell>
          <cell r="D104" t="str">
            <v>少休1天+20</v>
          </cell>
        </row>
        <row r="105">
          <cell r="C105" t="str">
            <v>刘祖红</v>
          </cell>
          <cell r="D105">
            <v>0</v>
          </cell>
        </row>
        <row r="106">
          <cell r="C106" t="str">
            <v>谢宗富</v>
          </cell>
          <cell r="D106">
            <v>0</v>
          </cell>
        </row>
        <row r="107">
          <cell r="C107" t="str">
            <v>马松梅</v>
          </cell>
          <cell r="D107">
            <v>50</v>
          </cell>
        </row>
        <row r="108">
          <cell r="C108" t="str">
            <v>王洪武</v>
          </cell>
          <cell r="D108">
            <v>0</v>
          </cell>
        </row>
        <row r="109">
          <cell r="C109" t="str">
            <v>熊美</v>
          </cell>
          <cell r="D109" t="str">
            <v>7*80=560+上班1天100=660元（加手工费）</v>
          </cell>
        </row>
        <row r="110">
          <cell r="C110" t="str">
            <v>秦娜</v>
          </cell>
          <cell r="D110">
            <v>0</v>
          </cell>
        </row>
        <row r="111">
          <cell r="C111" t="str">
            <v>牟光燕</v>
          </cell>
          <cell r="D111">
            <v>0</v>
          </cell>
        </row>
        <row r="112">
          <cell r="C112" t="str">
            <v>王萍</v>
          </cell>
          <cell r="D112">
            <v>50</v>
          </cell>
        </row>
        <row r="113">
          <cell r="C113" t="str">
            <v>胡红琳</v>
          </cell>
          <cell r="D113">
            <v>50</v>
          </cell>
        </row>
        <row r="114">
          <cell r="C114" t="str">
            <v>吴馨蕊</v>
          </cell>
          <cell r="D114">
            <v>50</v>
          </cell>
        </row>
        <row r="115">
          <cell r="C115" t="str">
            <v>谢娟</v>
          </cell>
          <cell r="D115" t="str">
            <v>保底4000</v>
          </cell>
        </row>
        <row r="116">
          <cell r="C116" t="str">
            <v>许莎莎</v>
          </cell>
          <cell r="D116" t="str">
            <v>保底4000</v>
          </cell>
        </row>
        <row r="117">
          <cell r="C117" t="str">
            <v>陈美合</v>
          </cell>
          <cell r="D117" t="str">
            <v>保底3500</v>
          </cell>
        </row>
        <row r="118">
          <cell r="C118" t="str">
            <v>邓丽莉</v>
          </cell>
          <cell r="D118" t="str">
            <v>少休2天+40</v>
          </cell>
        </row>
        <row r="119">
          <cell r="C119" t="str">
            <v>张明艳</v>
          </cell>
          <cell r="D119">
            <v>50</v>
          </cell>
        </row>
        <row r="120">
          <cell r="C120" t="str">
            <v>马宏梅</v>
          </cell>
          <cell r="D120" t="str">
            <v>少休1天+20</v>
          </cell>
        </row>
        <row r="121">
          <cell r="C121" t="str">
            <v>陈洁</v>
          </cell>
          <cell r="D121">
            <v>0</v>
          </cell>
        </row>
        <row r="122">
          <cell r="C122" t="str">
            <v>竹艳梅</v>
          </cell>
          <cell r="D122" t="str">
            <v>少休2天+40</v>
          </cell>
        </row>
        <row r="123">
          <cell r="C123" t="str">
            <v>郑加焕</v>
          </cell>
          <cell r="D123">
            <v>50</v>
          </cell>
        </row>
        <row r="124">
          <cell r="C124" t="str">
            <v>曾珊珊</v>
          </cell>
          <cell r="D124" t="str">
            <v>保底5000</v>
          </cell>
        </row>
        <row r="125">
          <cell r="C125" t="str">
            <v>侯英</v>
          </cell>
          <cell r="D125" t="str">
            <v>保底5000</v>
          </cell>
        </row>
        <row r="126">
          <cell r="C126" t="str">
            <v>蒲草</v>
          </cell>
          <cell r="D126">
            <v>0</v>
          </cell>
        </row>
        <row r="127">
          <cell r="C127" t="str">
            <v>李茂</v>
          </cell>
          <cell r="D127">
            <v>0</v>
          </cell>
        </row>
        <row r="128">
          <cell r="C128" t="str">
            <v>孙红梅</v>
          </cell>
          <cell r="D128">
            <v>0</v>
          </cell>
        </row>
        <row r="129">
          <cell r="C129" t="str">
            <v>黎红花</v>
          </cell>
          <cell r="D129" t="str">
            <v>少休2天+40</v>
          </cell>
        </row>
        <row r="130">
          <cell r="C130" t="str">
            <v>刘凤</v>
          </cell>
          <cell r="D130">
            <v>0</v>
          </cell>
        </row>
        <row r="131">
          <cell r="C131" t="str">
            <v>何子怡</v>
          </cell>
          <cell r="D131">
            <v>0</v>
          </cell>
        </row>
        <row r="132">
          <cell r="C132" t="str">
            <v>周洪丽</v>
          </cell>
          <cell r="D132" t="str">
            <v>上班10天正常计算</v>
          </cell>
        </row>
        <row r="133">
          <cell r="C133" t="str">
            <v>蒲艳婷</v>
          </cell>
          <cell r="D133" t="str">
            <v>2月24日-3月2日7*60=420元，3月3日下店保底4000/31*29=3742元</v>
          </cell>
        </row>
        <row r="134">
          <cell r="C134" t="str">
            <v>肖静梅</v>
          </cell>
          <cell r="D134">
            <v>0</v>
          </cell>
        </row>
        <row r="135">
          <cell r="C135" t="str">
            <v>王晓琳</v>
          </cell>
          <cell r="D135">
            <v>0</v>
          </cell>
        </row>
        <row r="136">
          <cell r="C136" t="str">
            <v>彭措志玛</v>
          </cell>
          <cell r="D136" t="str">
            <v>+2月上班4天</v>
          </cell>
        </row>
        <row r="137">
          <cell r="C137" t="str">
            <v>李彩华</v>
          </cell>
          <cell r="D137">
            <v>0</v>
          </cell>
        </row>
        <row r="138">
          <cell r="C138" t="str">
            <v>冉芳霞</v>
          </cell>
          <cell r="D138">
            <v>50</v>
          </cell>
        </row>
        <row r="139">
          <cell r="C139" t="str">
            <v>夏雪梅</v>
          </cell>
          <cell r="D139" t="str">
            <v>50，少休1天+20</v>
          </cell>
        </row>
        <row r="140">
          <cell r="C140" t="str">
            <v>谭萍</v>
          </cell>
          <cell r="D140">
            <v>0</v>
          </cell>
        </row>
        <row r="141">
          <cell r="C141" t="str">
            <v>周蕊</v>
          </cell>
          <cell r="D141" t="str">
            <v>3月1号—3月6号正常计算</v>
          </cell>
        </row>
        <row r="142">
          <cell r="C142" t="str">
            <v>何红梅</v>
          </cell>
          <cell r="D142" t="str">
            <v>3月6号—3月11号正常计算</v>
          </cell>
        </row>
        <row r="143">
          <cell r="C143" t="str">
            <v>唐玉芳</v>
          </cell>
          <cell r="D143">
            <v>0</v>
          </cell>
        </row>
        <row r="144">
          <cell r="C144" t="str">
            <v>王新华</v>
          </cell>
          <cell r="D144">
            <v>50</v>
          </cell>
        </row>
        <row r="145">
          <cell r="C145" t="str">
            <v>雷怡</v>
          </cell>
          <cell r="D145">
            <v>0</v>
          </cell>
        </row>
        <row r="146">
          <cell r="C146" t="str">
            <v>龙巧云</v>
          </cell>
          <cell r="D146" t="str">
            <v>保底4000</v>
          </cell>
        </row>
        <row r="147">
          <cell r="C147" t="str">
            <v>张勤</v>
          </cell>
          <cell r="D147" t="str">
            <v>2月26日-3月5日80*7=560元，（保底）
6000给她无责保底
6500给她15万的独立跟单目标，
7000给她25万的独立跟单目标</v>
          </cell>
        </row>
        <row r="148">
          <cell r="C148" t="str">
            <v>刘裕琼</v>
          </cell>
          <cell r="D148" t="str">
            <v>3月1日-2日2*60=120元，3日-31日保底4000/31*29=3742，合计3862元</v>
          </cell>
        </row>
        <row r="149">
          <cell r="C149" t="str">
            <v>唐施语</v>
          </cell>
          <cell r="D149" t="str">
            <v>3月1日-12日60*12=720元，13日-31日正常薪资计算</v>
          </cell>
        </row>
        <row r="150">
          <cell r="C150" t="str">
            <v>刘金凤</v>
          </cell>
          <cell r="D150" t="str">
            <v>少休1天+20</v>
          </cell>
        </row>
        <row r="151">
          <cell r="C151" t="str">
            <v>郑华跃</v>
          </cell>
        </row>
        <row r="152">
          <cell r="C152" t="str">
            <v>陈嘉仪</v>
          </cell>
          <cell r="D152">
            <v>0</v>
          </cell>
        </row>
        <row r="153">
          <cell r="C153" t="str">
            <v>王红</v>
          </cell>
          <cell r="D153">
            <v>0</v>
          </cell>
        </row>
        <row r="154">
          <cell r="C154" t="str">
            <v>冷忠翠</v>
          </cell>
          <cell r="D154" t="str">
            <v>少休2天+40</v>
          </cell>
        </row>
        <row r="155">
          <cell r="C155" t="str">
            <v>李萌</v>
          </cell>
          <cell r="D155">
            <v>0</v>
          </cell>
        </row>
        <row r="156">
          <cell r="C156" t="str">
            <v>李欣</v>
          </cell>
          <cell r="D156">
            <v>50</v>
          </cell>
        </row>
        <row r="157">
          <cell r="C157" t="str">
            <v>糜清云</v>
          </cell>
          <cell r="D157" t="str">
            <v>少休1天+20，保底</v>
          </cell>
        </row>
        <row r="158">
          <cell r="C158" t="str">
            <v>向陈洁</v>
          </cell>
          <cell r="D158" t="str">
            <v>保底4000</v>
          </cell>
        </row>
        <row r="159">
          <cell r="C159" t="str">
            <v>邓雪莉</v>
          </cell>
          <cell r="D159" t="str">
            <v>上班15天正常薪资计算</v>
          </cell>
        </row>
        <row r="160">
          <cell r="C160" t="str">
            <v>包竹梅</v>
          </cell>
          <cell r="D160" t="str">
            <v>50，少休2天+40</v>
          </cell>
        </row>
        <row r="161">
          <cell r="C161" t="str">
            <v>吴杰</v>
          </cell>
          <cell r="D161">
            <v>50</v>
          </cell>
        </row>
        <row r="162">
          <cell r="C162" t="str">
            <v>欧迎春</v>
          </cell>
          <cell r="D162">
            <v>50</v>
          </cell>
        </row>
        <row r="163">
          <cell r="C163" t="str">
            <v>谭芙蓉</v>
          </cell>
          <cell r="D163" t="str">
            <v>少休1天+20</v>
          </cell>
        </row>
        <row r="164">
          <cell r="C164" t="str">
            <v>曾玉莲</v>
          </cell>
          <cell r="D164">
            <v>0</v>
          </cell>
        </row>
        <row r="165">
          <cell r="C165" t="str">
            <v>彭兰钦</v>
          </cell>
          <cell r="D165">
            <v>50</v>
          </cell>
        </row>
        <row r="166">
          <cell r="C166" t="str">
            <v>刘婵琴</v>
          </cell>
          <cell r="D166" t="str">
            <v>保底4000</v>
          </cell>
        </row>
        <row r="167">
          <cell r="C167" t="str">
            <v>王杰</v>
          </cell>
          <cell r="D167" t="str">
            <v>上班18天正常薪资计算</v>
          </cell>
        </row>
        <row r="168">
          <cell r="C168" t="str">
            <v>白丽</v>
          </cell>
          <cell r="D168">
            <v>0</v>
          </cell>
        </row>
        <row r="169">
          <cell r="C169" t="str">
            <v>郑巧玲</v>
          </cell>
          <cell r="D169">
            <v>50</v>
          </cell>
        </row>
        <row r="170">
          <cell r="C170" t="str">
            <v>张廷妍</v>
          </cell>
          <cell r="D170">
            <v>50</v>
          </cell>
        </row>
        <row r="171">
          <cell r="C171" t="str">
            <v>杜兰兰</v>
          </cell>
          <cell r="D171">
            <v>50</v>
          </cell>
        </row>
        <row r="172">
          <cell r="C172" t="str">
            <v>王显珍</v>
          </cell>
          <cell r="D172">
            <v>50</v>
          </cell>
        </row>
        <row r="173">
          <cell r="C173" t="str">
            <v>吴雨欣</v>
          </cell>
          <cell r="D173">
            <v>50</v>
          </cell>
        </row>
        <row r="174">
          <cell r="C174" t="str">
            <v>张敏</v>
          </cell>
          <cell r="D174">
            <v>0</v>
          </cell>
        </row>
        <row r="175">
          <cell r="C175" t="str">
            <v>谢珂欣</v>
          </cell>
          <cell r="D175">
            <v>0</v>
          </cell>
        </row>
        <row r="176">
          <cell r="C176" t="str">
            <v>刘霞</v>
          </cell>
          <cell r="D176">
            <v>50</v>
          </cell>
        </row>
        <row r="177">
          <cell r="C177" t="str">
            <v>尧丹丹</v>
          </cell>
          <cell r="D177">
            <v>0</v>
          </cell>
        </row>
        <row r="178">
          <cell r="C178" t="str">
            <v>李科</v>
          </cell>
          <cell r="D178">
            <v>50</v>
          </cell>
        </row>
        <row r="179">
          <cell r="C179" t="str">
            <v>石海力</v>
          </cell>
          <cell r="D179">
            <v>50</v>
          </cell>
        </row>
        <row r="180">
          <cell r="C180" t="str">
            <v>付薪燕</v>
          </cell>
          <cell r="D180" t="str">
            <v>保底4000</v>
          </cell>
        </row>
        <row r="181">
          <cell r="C181" t="str">
            <v>陈定坤</v>
          </cell>
          <cell r="D181" t="str">
            <v>2月23日-28日60*6=360元，交补40*5=200元，3月保底4000，合计4560元</v>
          </cell>
        </row>
        <row r="182">
          <cell r="C182" t="str">
            <v>王桂明</v>
          </cell>
          <cell r="D182">
            <v>0</v>
          </cell>
        </row>
        <row r="183">
          <cell r="C183" t="str">
            <v>关晓燕</v>
          </cell>
          <cell r="D183">
            <v>0</v>
          </cell>
        </row>
        <row r="184">
          <cell r="C184" t="str">
            <v>唐尹</v>
          </cell>
          <cell r="D184" t="str">
            <v>少休1天+20</v>
          </cell>
        </row>
        <row r="185">
          <cell r="C185" t="str">
            <v>贺慧</v>
          </cell>
          <cell r="D185" t="str">
            <v>50，少休1天+20</v>
          </cell>
        </row>
        <row r="186">
          <cell r="C186" t="str">
            <v>任艺</v>
          </cell>
          <cell r="D186">
            <v>50</v>
          </cell>
        </row>
        <row r="187">
          <cell r="C187" t="str">
            <v>李红梅</v>
          </cell>
          <cell r="D187">
            <v>0</v>
          </cell>
        </row>
        <row r="188">
          <cell r="C188" t="str">
            <v>龚艳</v>
          </cell>
          <cell r="D188" t="str">
            <v>保底5000</v>
          </cell>
        </row>
        <row r="189">
          <cell r="C189" t="str">
            <v>余姣姣</v>
          </cell>
          <cell r="D189" t="str">
            <v>3月1日-2日2*60=120元，3日-31日保底4000/31*29=3742，合计3862元</v>
          </cell>
        </row>
        <row r="190">
          <cell r="C190" t="str">
            <v>喻容</v>
          </cell>
          <cell r="D190">
            <v>50</v>
          </cell>
        </row>
        <row r="191">
          <cell r="C191" t="str">
            <v>魏柯</v>
          </cell>
          <cell r="D191">
            <v>0</v>
          </cell>
        </row>
        <row r="192">
          <cell r="C192" t="str">
            <v>徐文平</v>
          </cell>
          <cell r="D192">
            <v>0</v>
          </cell>
        </row>
        <row r="193">
          <cell r="C193" t="str">
            <v>张欣</v>
          </cell>
          <cell r="D193">
            <v>0</v>
          </cell>
        </row>
        <row r="194">
          <cell r="C194" t="str">
            <v>梅姐</v>
          </cell>
          <cell r="D194" t="str">
            <v>上班8天正常计算</v>
          </cell>
        </row>
        <row r="195">
          <cell r="C195" t="str">
            <v>叶璐璐</v>
          </cell>
          <cell r="D195">
            <v>0</v>
          </cell>
        </row>
        <row r="196">
          <cell r="C196" t="str">
            <v>周倩</v>
          </cell>
          <cell r="D196" t="str">
            <v>正常</v>
          </cell>
        </row>
        <row r="197">
          <cell r="C197" t="str">
            <v>周文慧</v>
          </cell>
          <cell r="D197" t="str">
            <v>正常计算</v>
          </cell>
        </row>
        <row r="198">
          <cell r="C198" t="str">
            <v>张白金</v>
          </cell>
          <cell r="D198" t="str">
            <v>保底4000</v>
          </cell>
        </row>
        <row r="199">
          <cell r="C199" t="str">
            <v>贺丹</v>
          </cell>
          <cell r="D199" t="str">
            <v>3月1日-7日7*80=560元，3月8日-4月8日正常计算</v>
          </cell>
        </row>
        <row r="200">
          <cell r="C200" t="str">
            <v>龚茜</v>
          </cell>
          <cell r="D200">
            <v>0</v>
          </cell>
        </row>
        <row r="201">
          <cell r="C201" t="str">
            <v>廖妍</v>
          </cell>
          <cell r="D201">
            <v>0</v>
          </cell>
        </row>
        <row r="202">
          <cell r="C202" t="str">
            <v>刘九招</v>
          </cell>
          <cell r="D202">
            <v>0</v>
          </cell>
        </row>
        <row r="203">
          <cell r="C203" t="str">
            <v>朱羽</v>
          </cell>
          <cell r="D203">
            <v>0</v>
          </cell>
        </row>
        <row r="204">
          <cell r="C204" t="str">
            <v>郝中南</v>
          </cell>
          <cell r="D204">
            <v>0</v>
          </cell>
        </row>
        <row r="205">
          <cell r="C205" t="str">
            <v>杨君</v>
          </cell>
          <cell r="D205" t="str">
            <v>上班27天</v>
          </cell>
        </row>
        <row r="206">
          <cell r="C206" t="str">
            <v>张心雨</v>
          </cell>
          <cell r="D206" t="str">
            <v>保底4000</v>
          </cell>
        </row>
        <row r="207">
          <cell r="C207" t="str">
            <v>袁冬梅</v>
          </cell>
          <cell r="D207" t="str">
            <v>保底4000</v>
          </cell>
        </row>
        <row r="208">
          <cell r="C208" t="str">
            <v>高琴</v>
          </cell>
          <cell r="D208" t="str">
            <v>3月15日-24日10*60=600元，交通8*40=320元，大源（3月25-28）南湖（3月29-31）正常计算</v>
          </cell>
        </row>
        <row r="209">
          <cell r="C209" t="str">
            <v>袁玉</v>
          </cell>
          <cell r="D209">
            <v>0</v>
          </cell>
        </row>
        <row r="210">
          <cell r="C210" t="str">
            <v>赵静</v>
          </cell>
          <cell r="D210">
            <v>0</v>
          </cell>
        </row>
        <row r="211">
          <cell r="C211" t="str">
            <v>赵晴亮</v>
          </cell>
          <cell r="D211">
            <v>50</v>
          </cell>
        </row>
        <row r="212">
          <cell r="C212" t="str">
            <v>赵忠芬</v>
          </cell>
          <cell r="D212" t="str">
            <v>少休1天+20</v>
          </cell>
        </row>
        <row r="213">
          <cell r="C213" t="str">
            <v>郑丹</v>
          </cell>
          <cell r="D213">
            <v>0</v>
          </cell>
        </row>
        <row r="214">
          <cell r="C214" t="str">
            <v>林锶莹</v>
          </cell>
          <cell r="D214">
            <v>50</v>
          </cell>
        </row>
        <row r="215">
          <cell r="C215" t="str">
            <v>胡钦秀</v>
          </cell>
          <cell r="D215" t="str">
            <v>保底3500</v>
          </cell>
        </row>
        <row r="216">
          <cell r="C216" t="str">
            <v>高红艳</v>
          </cell>
          <cell r="D216" t="str">
            <v>3月4日-10日80*7=560元，3月11日-31日保底    无责6000    3万医美业绩就6500
5万医美业绩就7000</v>
          </cell>
        </row>
        <row r="217">
          <cell r="C217" t="str">
            <v>张清华</v>
          </cell>
          <cell r="D217">
            <v>0</v>
          </cell>
        </row>
        <row r="218">
          <cell r="C218" t="str">
            <v>彭鑫</v>
          </cell>
          <cell r="D218">
            <v>0</v>
          </cell>
        </row>
        <row r="219">
          <cell r="C219" t="str">
            <v>李维</v>
          </cell>
          <cell r="D219">
            <v>0</v>
          </cell>
        </row>
        <row r="220">
          <cell r="C220" t="str">
            <v>贾琳</v>
          </cell>
          <cell r="D220">
            <v>0</v>
          </cell>
        </row>
        <row r="221">
          <cell r="C221" t="str">
            <v>王智慧</v>
          </cell>
          <cell r="D221">
            <v>0</v>
          </cell>
        </row>
        <row r="222">
          <cell r="C222" t="str">
            <v>邓笑</v>
          </cell>
          <cell r="D222">
            <v>0</v>
          </cell>
        </row>
        <row r="223">
          <cell r="C223" t="str">
            <v>殷小燕</v>
          </cell>
          <cell r="D223">
            <v>0</v>
          </cell>
        </row>
        <row r="224">
          <cell r="C224" t="str">
            <v>刘香</v>
          </cell>
          <cell r="D224">
            <v>0</v>
          </cell>
        </row>
        <row r="225">
          <cell r="C225" t="str">
            <v>周林</v>
          </cell>
          <cell r="D225" t="str">
            <v>50，少休1天+20</v>
          </cell>
        </row>
        <row r="226">
          <cell r="C226" t="str">
            <v>钟秦</v>
          </cell>
          <cell r="D226">
            <v>0</v>
          </cell>
        </row>
        <row r="227">
          <cell r="C227" t="str">
            <v>徐富香</v>
          </cell>
          <cell r="D227" t="str">
            <v>上班25天正常薪资计算</v>
          </cell>
        </row>
        <row r="228">
          <cell r="C228" t="str">
            <v>张红霞</v>
          </cell>
          <cell r="D228">
            <v>0</v>
          </cell>
        </row>
        <row r="229">
          <cell r="C229" t="str">
            <v>李燕1</v>
          </cell>
          <cell r="D229" t="str">
            <v>保底4000</v>
          </cell>
        </row>
        <row r="230">
          <cell r="C230" t="str">
            <v>王彩</v>
          </cell>
          <cell r="D230" t="str">
            <v>3月1日-10日10*60=600,交通补助40*6=240元，11日-31日保底3500/31*21=2371元，合计3211元</v>
          </cell>
        </row>
        <row r="231">
          <cell r="C231" t="str">
            <v>田江琴</v>
          </cell>
          <cell r="D231" t="str">
            <v>3月8日-14日7*60=420元，3500/31*17=1919元，合计2339元</v>
          </cell>
        </row>
        <row r="232">
          <cell r="C232" t="str">
            <v>宋林琳</v>
          </cell>
          <cell r="D232">
            <v>0</v>
          </cell>
        </row>
        <row r="233">
          <cell r="C233" t="str">
            <v>马丽亚</v>
          </cell>
          <cell r="D233">
            <v>0</v>
          </cell>
        </row>
        <row r="234">
          <cell r="C234" t="str">
            <v>阿衣尔扎</v>
          </cell>
          <cell r="D234">
            <v>0</v>
          </cell>
        </row>
        <row r="235">
          <cell r="C235" t="str">
            <v>张霞</v>
          </cell>
          <cell r="D235" t="str">
            <v>保底6500</v>
          </cell>
        </row>
        <row r="236">
          <cell r="C236" t="str">
            <v>谢双叶</v>
          </cell>
          <cell r="D236" t="str">
            <v>保底3500</v>
          </cell>
        </row>
        <row r="237">
          <cell r="C237" t="str">
            <v>阳慧</v>
          </cell>
          <cell r="D237" t="str">
            <v>正常</v>
          </cell>
        </row>
        <row r="238">
          <cell r="C238" t="str">
            <v>蒙亦锌</v>
          </cell>
          <cell r="D238" t="str">
            <v>保底6500</v>
          </cell>
        </row>
        <row r="239">
          <cell r="C239" t="str">
            <v>刘憬</v>
          </cell>
          <cell r="D239" t="str">
            <v>上班48天18*100=1800元</v>
          </cell>
        </row>
        <row r="240">
          <cell r="C240" t="str">
            <v>罗林芳</v>
          </cell>
          <cell r="D240">
            <v>0</v>
          </cell>
        </row>
        <row r="241">
          <cell r="C241" t="str">
            <v>龚丝莹</v>
          </cell>
          <cell r="D241" t="str">
            <v>2月20日-25日6*60=360元，26-28日3500/28*3=375元，3月6*60=360元，100*27=2700元</v>
          </cell>
        </row>
        <row r="242">
          <cell r="C242" t="str">
            <v>汪丽娟</v>
          </cell>
          <cell r="D242" t="str">
            <v>保底3500</v>
          </cell>
        </row>
        <row r="243">
          <cell r="C243" t="str">
            <v>陈琼</v>
          </cell>
          <cell r="D243" t="str">
            <v>2月28日-3月18日19*60=1140元，19日-31日正常计算</v>
          </cell>
        </row>
        <row r="244">
          <cell r="C244" t="str">
            <v>王利蓉</v>
          </cell>
          <cell r="D244" t="str">
            <v>2月21日-27日学习期60*7=420元，3月1日-6日大丰店，7日-18日60*12=720元，19日-31日保利店</v>
          </cell>
        </row>
        <row r="245">
          <cell r="C245" t="str">
            <v>谭言希</v>
          </cell>
          <cell r="D245" t="str">
            <v>3月3日-18日16*60=960元，19日-31日正常计算</v>
          </cell>
        </row>
        <row r="246">
          <cell r="C246" t="str">
            <v>黄江</v>
          </cell>
          <cell r="D246" t="str">
            <v>3月10日-18日9*60=540元，19日-31日正常计算</v>
          </cell>
        </row>
        <row r="247">
          <cell r="C247" t="str">
            <v>米琪</v>
          </cell>
          <cell r="D247" t="str">
            <v>3月10日-18日9*60=540元，19日-31日正常计算</v>
          </cell>
        </row>
        <row r="248">
          <cell r="C248" t="str">
            <v>陈思雨</v>
          </cell>
          <cell r="D248" t="str">
            <v>3月11日-27日17*60=1020元，28日-31日正常薪资计算</v>
          </cell>
        </row>
        <row r="249">
          <cell r="C249" t="str">
            <v>朱芬</v>
          </cell>
          <cell r="D249" t="str">
            <v>3月1日-7日7*80=560元，8日-31日保底7000/31*23=5194元</v>
          </cell>
        </row>
        <row r="250">
          <cell r="C250" t="str">
            <v>刘又萍</v>
          </cell>
          <cell r="D250" t="str">
            <v>3月1日-13日13*60=780元，交通补助11*40=440元，14日-19日红光正常计算，20-31日60*12=720元</v>
          </cell>
        </row>
        <row r="251">
          <cell r="C251" t="str">
            <v>钟心悦</v>
          </cell>
          <cell r="D251" t="str">
            <v>3月1日-11日11*60=660元，交通补助9*40=360,12日-19日犀浦正常计算，20-31日60*12=720元</v>
          </cell>
        </row>
        <row r="252">
          <cell r="C252" t="str">
            <v>李洪芳</v>
          </cell>
          <cell r="D252" t="str">
            <v>3月10日-31日22*60=1320元，交通补助12*40=480+川师交通20=500元（+川师店手工费）</v>
          </cell>
        </row>
        <row r="253">
          <cell r="C253" t="str">
            <v>罗晓雪</v>
          </cell>
          <cell r="D253" t="str">
            <v>3月13日-31日上班18天18*60=1080元</v>
          </cell>
        </row>
        <row r="254">
          <cell r="C254" t="str">
            <v>谢金梅</v>
          </cell>
          <cell r="D254" t="str">
            <v>3月12日-31日20*60=1200元</v>
          </cell>
        </row>
        <row r="255">
          <cell r="C255" t="str">
            <v>姚仕萍</v>
          </cell>
          <cell r="D255" t="str">
            <v>7*60=420元</v>
          </cell>
        </row>
        <row r="256">
          <cell r="C256" t="str">
            <v>葛敏</v>
          </cell>
          <cell r="D256" t="str">
            <v>50，少休1天+20</v>
          </cell>
        </row>
        <row r="257">
          <cell r="C257" t="str">
            <v>袁小兵</v>
          </cell>
          <cell r="D257">
            <v>50</v>
          </cell>
        </row>
        <row r="258">
          <cell r="C258" t="str">
            <v>徐登毅</v>
          </cell>
          <cell r="D258">
            <v>50</v>
          </cell>
        </row>
        <row r="259">
          <cell r="C259" t="str">
            <v>范时依</v>
          </cell>
          <cell r="D259">
            <v>0</v>
          </cell>
        </row>
        <row r="260">
          <cell r="C260" t="str">
            <v>吴小强</v>
          </cell>
          <cell r="D260">
            <v>50</v>
          </cell>
        </row>
        <row r="261">
          <cell r="C261" t="str">
            <v>张继荣</v>
          </cell>
          <cell r="D261">
            <v>0</v>
          </cell>
        </row>
        <row r="262">
          <cell r="C262" t="str">
            <v>宁燕</v>
          </cell>
          <cell r="D262">
            <v>0</v>
          </cell>
        </row>
        <row r="263">
          <cell r="C263" t="str">
            <v>杨苹</v>
          </cell>
          <cell r="D263">
            <v>0</v>
          </cell>
        </row>
        <row r="264">
          <cell r="C264" t="str">
            <v>赵倩</v>
          </cell>
          <cell r="D264">
            <v>0</v>
          </cell>
        </row>
        <row r="265">
          <cell r="C265" t="str">
            <v>余武</v>
          </cell>
          <cell r="D265" t="str">
            <v>上班28天</v>
          </cell>
        </row>
        <row r="266">
          <cell r="C266" t="str">
            <v>梁诗雨</v>
          </cell>
          <cell r="D266">
            <v>50</v>
          </cell>
        </row>
        <row r="267">
          <cell r="C267" t="str">
            <v>郭思瑞</v>
          </cell>
          <cell r="D267">
            <v>50</v>
          </cell>
        </row>
        <row r="268">
          <cell r="C268" t="str">
            <v>文倩</v>
          </cell>
          <cell r="D268">
            <v>50</v>
          </cell>
        </row>
        <row r="269">
          <cell r="C269" t="str">
            <v>刘佳</v>
          </cell>
          <cell r="D269" t="str">
            <v>3月3日-9日，学习期80*7=560元，保底12000/31*22=8516元</v>
          </cell>
        </row>
        <row r="270">
          <cell r="C270" t="str">
            <v>杨磊</v>
          </cell>
          <cell r="D270">
            <v>0</v>
          </cell>
        </row>
        <row r="271">
          <cell r="C271" t="str">
            <v>钱园</v>
          </cell>
          <cell r="D271" t="str">
            <v>3月6日-12日7*80=560元，13日-31日7000/31*17=3838元，合计4390</v>
          </cell>
        </row>
        <row r="272">
          <cell r="C272" t="str">
            <v>李吉原</v>
          </cell>
          <cell r="D272">
            <v>0</v>
          </cell>
        </row>
        <row r="273">
          <cell r="C273" t="str">
            <v>黄桂琴</v>
          </cell>
          <cell r="D273">
            <v>0</v>
          </cell>
        </row>
        <row r="274">
          <cell r="C274" t="str">
            <v>詹芳英</v>
          </cell>
          <cell r="D274">
            <v>0</v>
          </cell>
        </row>
        <row r="275">
          <cell r="C275" t="str">
            <v>陈思思</v>
          </cell>
          <cell r="D275">
            <v>0</v>
          </cell>
        </row>
        <row r="276">
          <cell r="C276" t="str">
            <v>李洁</v>
          </cell>
          <cell r="D276">
            <v>0</v>
          </cell>
        </row>
        <row r="277">
          <cell r="C277" t="str">
            <v>马小英</v>
          </cell>
          <cell r="D277">
            <v>0</v>
          </cell>
        </row>
        <row r="278">
          <cell r="C278" t="str">
            <v>欧阳敏</v>
          </cell>
          <cell r="D278">
            <v>0</v>
          </cell>
        </row>
        <row r="279">
          <cell r="C279" t="str">
            <v>程燕</v>
          </cell>
          <cell r="D279" t="str">
            <v>50，少休1天+20</v>
          </cell>
        </row>
        <row r="280">
          <cell r="C280" t="str">
            <v>肖倩</v>
          </cell>
          <cell r="D280">
            <v>0</v>
          </cell>
        </row>
        <row r="281">
          <cell r="C281" t="str">
            <v>王丽娟</v>
          </cell>
          <cell r="D281">
            <v>0</v>
          </cell>
        </row>
        <row r="282">
          <cell r="C282" t="str">
            <v>蓝海英</v>
          </cell>
          <cell r="D282" t="str">
            <v>保底7000</v>
          </cell>
        </row>
        <row r="283">
          <cell r="C283" t="str">
            <v>王国英</v>
          </cell>
          <cell r="D283" t="str">
            <v>5*150=750</v>
          </cell>
        </row>
        <row r="284">
          <cell r="C284" t="str">
            <v>周莉</v>
          </cell>
          <cell r="D284" t="str">
            <v>1400/31*31=1400</v>
          </cell>
        </row>
        <row r="285">
          <cell r="C285" t="str">
            <v>吴斌</v>
          </cell>
          <cell r="D285">
            <v>2300</v>
          </cell>
        </row>
        <row r="286">
          <cell r="C286" t="str">
            <v>陈昌菊</v>
          </cell>
          <cell r="D286" t="str">
            <v>1300/31*31=1300</v>
          </cell>
        </row>
        <row r="287">
          <cell r="C287" t="str">
            <v>肖云贵</v>
          </cell>
          <cell r="D287" t="str">
            <v>1600/31*29=1497元</v>
          </cell>
        </row>
        <row r="288">
          <cell r="C288" t="str">
            <v>刘期秀</v>
          </cell>
          <cell r="D288" t="str">
            <v>50*29=1450元</v>
          </cell>
        </row>
        <row r="289">
          <cell r="C289" t="str">
            <v>林玉琼</v>
          </cell>
          <cell r="D289" t="str">
            <v>1200/31*28=1084元</v>
          </cell>
        </row>
        <row r="290">
          <cell r="C290" t="str">
            <v>王秀华</v>
          </cell>
          <cell r="D290" t="str">
            <v>1200/31*31=1200元</v>
          </cell>
        </row>
        <row r="291">
          <cell r="C291" t="str">
            <v>刘陈秀</v>
          </cell>
          <cell r="D291" t="str">
            <v>1300/31*30=1258元</v>
          </cell>
        </row>
        <row r="292">
          <cell r="C292" t="str">
            <v>郑竹兰</v>
          </cell>
          <cell r="D292" t="str">
            <v>40*30=1200元</v>
          </cell>
        </row>
        <row r="293">
          <cell r="C293" t="str">
            <v>唐术清</v>
          </cell>
          <cell r="D293" t="str">
            <v>1200/31*26=1006元</v>
          </cell>
        </row>
        <row r="294">
          <cell r="C294" t="str">
            <v>陈明秀</v>
          </cell>
          <cell r="D294" t="str">
            <v>1200/31*31=1200元</v>
          </cell>
        </row>
        <row r="295">
          <cell r="C295" t="str">
            <v>许开会</v>
          </cell>
          <cell r="D295" t="str">
            <v>1300/31*31=1300</v>
          </cell>
        </row>
        <row r="296">
          <cell r="C296" t="str">
            <v>蒋治琼</v>
          </cell>
          <cell r="D296" t="str">
            <v>1200/31*31=1200元</v>
          </cell>
        </row>
        <row r="297">
          <cell r="C297" t="str">
            <v>曾志芬</v>
          </cell>
          <cell r="D297" t="str">
            <v>1200/31*31=1200元</v>
          </cell>
        </row>
        <row r="298">
          <cell r="C298" t="str">
            <v>江学容</v>
          </cell>
          <cell r="D298" t="str">
            <v>1200/31*17=658元</v>
          </cell>
        </row>
        <row r="299">
          <cell r="C299" t="str">
            <v>何先会</v>
          </cell>
          <cell r="D299" t="str">
            <v>1500/31*31=1500</v>
          </cell>
        </row>
        <row r="300">
          <cell r="C300" t="str">
            <v>陈德芳</v>
          </cell>
          <cell r="D300" t="str">
            <v>1400/31*31=1400元</v>
          </cell>
        </row>
        <row r="301">
          <cell r="C301" t="str">
            <v>邓成分</v>
          </cell>
          <cell r="D301" t="str">
            <v>1300/31*30=1258元</v>
          </cell>
        </row>
        <row r="302">
          <cell r="C302" t="str">
            <v>刘胜琼</v>
          </cell>
          <cell r="D302" t="str">
            <v>1200/31*31=1200元</v>
          </cell>
        </row>
        <row r="303">
          <cell r="C303" t="str">
            <v>陈文先</v>
          </cell>
          <cell r="D303" t="str">
            <v>1100/31*31=1100元</v>
          </cell>
        </row>
        <row r="304">
          <cell r="C304" t="str">
            <v>杨则琼</v>
          </cell>
          <cell r="D304" t="str">
            <v>1400/31*31=1400元</v>
          </cell>
        </row>
        <row r="305">
          <cell r="C305" t="str">
            <v>李培英</v>
          </cell>
          <cell r="D305" t="str">
            <v>1400/31*28=1265元</v>
          </cell>
        </row>
        <row r="306">
          <cell r="C306" t="str">
            <v>陈永秀</v>
          </cell>
          <cell r="D306" t="str">
            <v>1200/31*31=1200元</v>
          </cell>
        </row>
        <row r="307">
          <cell r="C307" t="str">
            <v>李大英</v>
          </cell>
          <cell r="D307" t="str">
            <v>2月23日-25日3*50=150元，1200/31*34=1316，合计1466元</v>
          </cell>
        </row>
        <row r="308">
          <cell r="C308" t="str">
            <v>范世琼</v>
          </cell>
          <cell r="D308" t="str">
            <v>1100/31*10=355元</v>
          </cell>
        </row>
        <row r="309">
          <cell r="C309" t="str">
            <v>倪巧琼</v>
          </cell>
          <cell r="D309" t="str">
            <v>1300/31*31=1300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工资核对的全字段"/>
      <sheetName val="呈现的样式"/>
      <sheetName val="呈现字段"/>
      <sheetName val="Sheet1"/>
    </sheetNames>
    <sheetDataSet>
      <sheetData sheetId="0">
        <row r="2">
          <cell r="C2" t="str">
            <v>花名册</v>
          </cell>
        </row>
        <row r="3">
          <cell r="C3" t="str">
            <v>A-a-②</v>
          </cell>
        </row>
        <row r="6">
          <cell r="CW6">
            <v>1459891.2460751613</v>
          </cell>
        </row>
        <row r="7">
          <cell r="C7" t="str">
            <v>姓名</v>
          </cell>
          <cell r="CW7" t="str">
            <v>当月支付总额</v>
          </cell>
        </row>
        <row r="8">
          <cell r="C8" t="str">
            <v>易春梅</v>
          </cell>
          <cell r="CW8">
            <v>8054.0121999999992</v>
          </cell>
        </row>
        <row r="9">
          <cell r="C9" t="str">
            <v>江玲</v>
          </cell>
          <cell r="CW9">
            <v>3707.2491999999997</v>
          </cell>
        </row>
        <row r="10">
          <cell r="C10" t="str">
            <v>王瑞琳</v>
          </cell>
          <cell r="CW10">
            <v>6286.5662499999999</v>
          </cell>
        </row>
        <row r="11">
          <cell r="C11" t="str">
            <v>黄小燕</v>
          </cell>
          <cell r="CW11">
            <v>7312.6102499999997</v>
          </cell>
        </row>
        <row r="12">
          <cell r="C12" t="str">
            <v>赵玉晓</v>
          </cell>
          <cell r="CW12">
            <v>5206.01325</v>
          </cell>
        </row>
        <row r="13">
          <cell r="C13" t="str">
            <v>雷朝霞</v>
          </cell>
          <cell r="CW13">
            <v>3740</v>
          </cell>
        </row>
        <row r="14">
          <cell r="C14" t="str">
            <v>陈雪莲</v>
          </cell>
          <cell r="CW14">
            <v>5508</v>
          </cell>
        </row>
        <row r="15">
          <cell r="C15" t="str">
            <v>饶秋华</v>
          </cell>
          <cell r="CW15">
            <v>10838.4771</v>
          </cell>
        </row>
        <row r="16">
          <cell r="C16" t="str">
            <v>莫志英</v>
          </cell>
          <cell r="CW16">
            <v>20028.916949999999</v>
          </cell>
        </row>
        <row r="17">
          <cell r="C17" t="str">
            <v>刘巧艳</v>
          </cell>
          <cell r="CW17">
            <v>9330.5218499999992</v>
          </cell>
        </row>
        <row r="18">
          <cell r="C18" t="str">
            <v>康红梅</v>
          </cell>
          <cell r="CW18">
            <v>12176.817800000001</v>
          </cell>
        </row>
        <row r="19">
          <cell r="C19" t="str">
            <v>唐银春</v>
          </cell>
          <cell r="CW19">
            <v>10511.003150000002</v>
          </cell>
        </row>
        <row r="20">
          <cell r="C20" t="str">
            <v>刘晓丽</v>
          </cell>
          <cell r="CW20">
            <v>5934.5543500000003</v>
          </cell>
        </row>
        <row r="21">
          <cell r="C21" t="str">
            <v>熊艳</v>
          </cell>
          <cell r="CW21">
            <v>8080.6532000000007</v>
          </cell>
        </row>
        <row r="22">
          <cell r="C22" t="str">
            <v>任静</v>
          </cell>
          <cell r="CW22">
            <v>4073.0969999999998</v>
          </cell>
        </row>
        <row r="23">
          <cell r="C23" t="str">
            <v>吴琴</v>
          </cell>
          <cell r="CW23">
            <v>5786.5360000000001</v>
          </cell>
        </row>
        <row r="24">
          <cell r="C24" t="str">
            <v>陈红霞</v>
          </cell>
          <cell r="CW24">
            <v>5099.8374750000003</v>
          </cell>
        </row>
        <row r="25">
          <cell r="C25" t="str">
            <v>廖增珍</v>
          </cell>
          <cell r="CW25">
            <v>2207.6345548387098</v>
          </cell>
        </row>
        <row r="26">
          <cell r="C26" t="str">
            <v>李春华</v>
          </cell>
          <cell r="CW26">
            <v>13566.489250000001</v>
          </cell>
        </row>
        <row r="27">
          <cell r="C27" t="str">
            <v>张候敏</v>
          </cell>
          <cell r="CW27">
            <v>7453.0709999999999</v>
          </cell>
        </row>
        <row r="28">
          <cell r="C28" t="str">
            <v>赵小红</v>
          </cell>
          <cell r="CW28">
            <v>4420.8919999999998</v>
          </cell>
        </row>
        <row r="29">
          <cell r="C29" t="str">
            <v>彭龙惠</v>
          </cell>
          <cell r="CW29">
            <v>8481.8587000000007</v>
          </cell>
        </row>
        <row r="30">
          <cell r="C30" t="str">
            <v>邓雪梅</v>
          </cell>
          <cell r="CW30">
            <v>7417.2884999999997</v>
          </cell>
        </row>
        <row r="31">
          <cell r="C31" t="str">
            <v>高雪</v>
          </cell>
          <cell r="CW31">
            <v>4272.2150000000001</v>
          </cell>
        </row>
        <row r="32">
          <cell r="C32" t="str">
            <v>何婷</v>
          </cell>
          <cell r="CW32">
            <v>5651.8019999999997</v>
          </cell>
        </row>
        <row r="33">
          <cell r="C33" t="str">
            <v>刘慧</v>
          </cell>
          <cell r="CW33">
            <v>5872.9340000000002</v>
          </cell>
        </row>
        <row r="34">
          <cell r="C34" t="str">
            <v>秦亚平</v>
          </cell>
          <cell r="CW34">
            <v>9720.5614000000005</v>
          </cell>
        </row>
        <row r="35">
          <cell r="C35" t="str">
            <v>谭莹</v>
          </cell>
          <cell r="CW35">
            <v>4104.1639999999998</v>
          </cell>
        </row>
        <row r="36">
          <cell r="C36" t="str">
            <v>张芮</v>
          </cell>
          <cell r="CW36">
            <v>6376.2960000000003</v>
          </cell>
        </row>
        <row r="37">
          <cell r="C37" t="str">
            <v>张元琼</v>
          </cell>
          <cell r="CW37">
            <v>5957.4670000000006</v>
          </cell>
        </row>
        <row r="38">
          <cell r="C38" t="str">
            <v>王依蕊</v>
          </cell>
          <cell r="CW38">
            <v>3730.4717258064516</v>
          </cell>
        </row>
        <row r="39">
          <cell r="C39" t="str">
            <v>向郑瑶</v>
          </cell>
          <cell r="CW39">
            <v>8190.4092000000001</v>
          </cell>
        </row>
        <row r="40">
          <cell r="C40" t="str">
            <v>唐容</v>
          </cell>
          <cell r="CW40">
            <v>6235.6922500000001</v>
          </cell>
        </row>
        <row r="41">
          <cell r="C41" t="str">
            <v>叶文娟</v>
          </cell>
          <cell r="CW41">
            <v>3424.3712500000001</v>
          </cell>
        </row>
        <row r="42">
          <cell r="C42" t="str">
            <v>邹福贞</v>
          </cell>
          <cell r="CW42">
            <v>10384.9372</v>
          </cell>
        </row>
        <row r="43">
          <cell r="C43" t="str">
            <v>陈怡名</v>
          </cell>
          <cell r="CW43">
            <v>16088.429200000004</v>
          </cell>
        </row>
        <row r="44">
          <cell r="C44" t="str">
            <v>张丽</v>
          </cell>
          <cell r="CW44">
            <v>14722.434999999999</v>
          </cell>
        </row>
        <row r="45">
          <cell r="C45" t="str">
            <v>杨金花</v>
          </cell>
          <cell r="CW45">
            <v>6038.1554000000006</v>
          </cell>
        </row>
        <row r="46">
          <cell r="C46" t="str">
            <v>樊琳</v>
          </cell>
          <cell r="CW46">
            <v>5561.5270399999999</v>
          </cell>
        </row>
        <row r="47">
          <cell r="C47" t="str">
            <v>董顺秀</v>
          </cell>
          <cell r="CW47">
            <v>10429.4349</v>
          </cell>
        </row>
        <row r="48">
          <cell r="C48" t="str">
            <v>陈建蓉</v>
          </cell>
          <cell r="CW48">
            <v>5391.7669999999998</v>
          </cell>
        </row>
        <row r="49">
          <cell r="C49" t="str">
            <v>王娇</v>
          </cell>
          <cell r="CW49">
            <v>4302.7329499999996</v>
          </cell>
        </row>
        <row r="50">
          <cell r="C50" t="str">
            <v>黎茂婷</v>
          </cell>
          <cell r="CW50">
            <v>5587.4399000000003</v>
          </cell>
        </row>
        <row r="51">
          <cell r="C51" t="str">
            <v>张艳秋</v>
          </cell>
          <cell r="CW51">
            <v>8275.199700000001</v>
          </cell>
        </row>
        <row r="52">
          <cell r="C52" t="str">
            <v>陈小琴</v>
          </cell>
          <cell r="CW52">
            <v>5658.6075000000001</v>
          </cell>
        </row>
        <row r="53">
          <cell r="C53" t="str">
            <v>刘恬恬</v>
          </cell>
          <cell r="CW53">
            <v>4386.0680000000002</v>
          </cell>
        </row>
        <row r="54">
          <cell r="C54" t="str">
            <v>苟小春</v>
          </cell>
          <cell r="CW54">
            <v>4355.7061250000006</v>
          </cell>
        </row>
        <row r="55">
          <cell r="C55" t="str">
            <v>李燕</v>
          </cell>
          <cell r="CW55">
            <v>5322.51</v>
          </cell>
        </row>
        <row r="56">
          <cell r="C56" t="str">
            <v>张小华</v>
          </cell>
          <cell r="CW56">
            <v>6665.2332999999999</v>
          </cell>
        </row>
        <row r="57">
          <cell r="C57" t="str">
            <v>王任燕</v>
          </cell>
          <cell r="CW57">
            <v>4111.18</v>
          </cell>
        </row>
        <row r="58">
          <cell r="C58" t="str">
            <v>陈萍</v>
          </cell>
          <cell r="CW58">
            <v>4016.7039999999997</v>
          </cell>
        </row>
        <row r="59">
          <cell r="C59" t="str">
            <v>吴敏</v>
          </cell>
          <cell r="CW59">
            <v>5940</v>
          </cell>
        </row>
        <row r="60">
          <cell r="C60" t="str">
            <v>陈佳丽</v>
          </cell>
          <cell r="CW60">
            <v>3453.6040000000003</v>
          </cell>
        </row>
        <row r="61">
          <cell r="C61" t="str">
            <v>康钦</v>
          </cell>
          <cell r="CW61">
            <v>6189.5640000000003</v>
          </cell>
        </row>
        <row r="62">
          <cell r="C62" t="str">
            <v>聂娟</v>
          </cell>
          <cell r="CW62">
            <v>6638.3420000000006</v>
          </cell>
        </row>
        <row r="63">
          <cell r="C63" t="str">
            <v>马菁</v>
          </cell>
          <cell r="CW63">
            <v>5389.8109999999997</v>
          </cell>
        </row>
        <row r="64">
          <cell r="C64" t="str">
            <v>徐睦垚</v>
          </cell>
          <cell r="CW64">
            <v>7248.5643500000006</v>
          </cell>
        </row>
        <row r="65">
          <cell r="C65" t="str">
            <v>达哇卓玛</v>
          </cell>
          <cell r="CW65">
            <v>3590.329741935484</v>
          </cell>
        </row>
        <row r="66">
          <cell r="C66" t="str">
            <v>曾雨晴</v>
          </cell>
          <cell r="CW66">
            <v>7521.011849999999</v>
          </cell>
        </row>
        <row r="67">
          <cell r="C67" t="str">
            <v>但红玉</v>
          </cell>
          <cell r="CW67">
            <v>3423.9659999999999</v>
          </cell>
        </row>
        <row r="68">
          <cell r="C68" t="str">
            <v>梁缘缘</v>
          </cell>
          <cell r="CW68">
            <v>6238.5605000000005</v>
          </cell>
        </row>
        <row r="69">
          <cell r="C69" t="str">
            <v>李萱君</v>
          </cell>
          <cell r="CW69">
            <v>5507.2912500000002</v>
          </cell>
        </row>
        <row r="70">
          <cell r="C70" t="str">
            <v>李思忆</v>
          </cell>
          <cell r="CW70">
            <v>4272.1746000000003</v>
          </cell>
        </row>
        <row r="71">
          <cell r="C71" t="str">
            <v>赵情情</v>
          </cell>
          <cell r="CW71">
            <v>4057.2759999999998</v>
          </cell>
        </row>
        <row r="72">
          <cell r="C72" t="str">
            <v>曹悦</v>
          </cell>
          <cell r="CW72">
            <v>5070.2224999999999</v>
          </cell>
        </row>
        <row r="73">
          <cell r="C73" t="str">
            <v>吴飞雁</v>
          </cell>
          <cell r="CW73">
            <v>3360</v>
          </cell>
        </row>
        <row r="74">
          <cell r="C74" t="str">
            <v>尹桂香</v>
          </cell>
          <cell r="CW74">
            <v>3910</v>
          </cell>
        </row>
        <row r="75">
          <cell r="C75" t="str">
            <v>张小娟</v>
          </cell>
          <cell r="CW75">
            <v>7059.6610000000001</v>
          </cell>
        </row>
        <row r="76">
          <cell r="C76" t="str">
            <v>刘安琼</v>
          </cell>
          <cell r="CW76">
            <v>8791.3029000000006</v>
          </cell>
        </row>
        <row r="77">
          <cell r="C77" t="str">
            <v>刘晓林</v>
          </cell>
          <cell r="CW77">
            <v>4440</v>
          </cell>
        </row>
        <row r="78">
          <cell r="C78" t="str">
            <v>李巧娇</v>
          </cell>
          <cell r="CW78">
            <v>5291.3781250000002</v>
          </cell>
        </row>
        <row r="79">
          <cell r="C79" t="str">
            <v>林萍</v>
          </cell>
          <cell r="CW79">
            <v>3789.6860000000001</v>
          </cell>
        </row>
        <row r="80">
          <cell r="C80" t="str">
            <v>罗雪</v>
          </cell>
          <cell r="CW80">
            <v>7603.9092999999993</v>
          </cell>
        </row>
        <row r="81">
          <cell r="C81" t="str">
            <v>唐宇欣</v>
          </cell>
          <cell r="CW81">
            <v>5595.0955999999996</v>
          </cell>
        </row>
        <row r="82">
          <cell r="C82" t="str">
            <v>李萌</v>
          </cell>
          <cell r="CW82">
            <v>3432.4324999999999</v>
          </cell>
        </row>
        <row r="83">
          <cell r="C83" t="str">
            <v>王如意</v>
          </cell>
          <cell r="CW83">
            <v>3425.5479999999998</v>
          </cell>
        </row>
        <row r="84">
          <cell r="C84" t="str">
            <v>柳全菊</v>
          </cell>
          <cell r="CW84">
            <v>4298.7141250000004</v>
          </cell>
        </row>
        <row r="85">
          <cell r="C85" t="str">
            <v>何琼华</v>
          </cell>
          <cell r="CW85">
            <v>6170.8328000000001</v>
          </cell>
        </row>
        <row r="86">
          <cell r="C86" t="str">
            <v>蒋圆圆</v>
          </cell>
          <cell r="CW86">
            <v>3995.0680000000002</v>
          </cell>
        </row>
        <row r="87">
          <cell r="C87" t="str">
            <v>顾红艳</v>
          </cell>
          <cell r="CW87">
            <v>4578.6409999999996</v>
          </cell>
        </row>
        <row r="88">
          <cell r="C88" t="str">
            <v>郭小丽</v>
          </cell>
          <cell r="CW88">
            <v>4681.8807999999999</v>
          </cell>
        </row>
        <row r="89">
          <cell r="C89" t="str">
            <v>梁婷</v>
          </cell>
          <cell r="CW89">
            <v>4203.0298000000003</v>
          </cell>
        </row>
        <row r="90">
          <cell r="C90" t="str">
            <v>雷娜婷</v>
          </cell>
          <cell r="CW90">
            <v>4460.9194000000007</v>
          </cell>
        </row>
        <row r="91">
          <cell r="C91" t="str">
            <v>叶美霞</v>
          </cell>
          <cell r="CW91">
            <v>872.74193548387098</v>
          </cell>
        </row>
        <row r="92">
          <cell r="C92" t="str">
            <v>秦娜</v>
          </cell>
          <cell r="CW92">
            <v>7946.0486064516135</v>
          </cell>
        </row>
        <row r="93">
          <cell r="C93" t="str">
            <v>牟光燕</v>
          </cell>
          <cell r="CW93">
            <v>3379.0416</v>
          </cell>
        </row>
        <row r="94">
          <cell r="C94" t="str">
            <v>王萍</v>
          </cell>
          <cell r="CW94">
            <v>6662.8595999999998</v>
          </cell>
        </row>
        <row r="95">
          <cell r="C95" t="str">
            <v>胡红琳</v>
          </cell>
          <cell r="CW95">
            <v>4492.3667500000001</v>
          </cell>
        </row>
        <row r="96">
          <cell r="C96" t="str">
            <v>谢娟</v>
          </cell>
          <cell r="CW96">
            <v>6115.18</v>
          </cell>
        </row>
        <row r="97">
          <cell r="C97" t="str">
            <v>陈美合</v>
          </cell>
          <cell r="CW97">
            <v>3690.5362500000001</v>
          </cell>
        </row>
        <row r="98">
          <cell r="C98" t="str">
            <v>郝莉娜</v>
          </cell>
          <cell r="CW98">
            <v>3480</v>
          </cell>
        </row>
        <row r="99">
          <cell r="C99" t="str">
            <v>邓丽莉</v>
          </cell>
          <cell r="CW99">
            <v>9625.6616000000013</v>
          </cell>
        </row>
        <row r="100">
          <cell r="C100" t="str">
            <v>张明艳</v>
          </cell>
          <cell r="CW100">
            <v>3591.3880000000004</v>
          </cell>
        </row>
        <row r="101">
          <cell r="C101" t="str">
            <v>马宏梅</v>
          </cell>
          <cell r="CW101">
            <v>4435.3744999999999</v>
          </cell>
        </row>
        <row r="102">
          <cell r="C102" t="str">
            <v>陈洁</v>
          </cell>
          <cell r="CW102">
            <v>7501.5830000000005</v>
          </cell>
        </row>
        <row r="103">
          <cell r="C103" t="str">
            <v>郑加焕</v>
          </cell>
          <cell r="CW103">
            <v>6277.6869999999999</v>
          </cell>
        </row>
        <row r="104">
          <cell r="C104" t="str">
            <v>侯英</v>
          </cell>
          <cell r="CW104">
            <v>3786.5855000000001</v>
          </cell>
        </row>
        <row r="105">
          <cell r="C105" t="str">
            <v>谢德芳</v>
          </cell>
          <cell r="CW105">
            <v>3291.85</v>
          </cell>
        </row>
        <row r="106">
          <cell r="C106" t="str">
            <v>蒲草</v>
          </cell>
          <cell r="CW106">
            <v>8385.5505000000012</v>
          </cell>
        </row>
        <row r="107">
          <cell r="C107" t="str">
            <v>郑华跃</v>
          </cell>
          <cell r="CW107">
            <v>3511.5422000000003</v>
          </cell>
        </row>
        <row r="108">
          <cell r="C108" t="str">
            <v>李茂</v>
          </cell>
          <cell r="CW108">
            <v>9206.2824000000019</v>
          </cell>
        </row>
        <row r="109">
          <cell r="C109" t="str">
            <v>孙红梅</v>
          </cell>
          <cell r="CW109">
            <v>9451.5098999999991</v>
          </cell>
        </row>
        <row r="110">
          <cell r="C110" t="str">
            <v>黎红花</v>
          </cell>
          <cell r="CW110">
            <v>5869.9222000000009</v>
          </cell>
        </row>
        <row r="111">
          <cell r="C111" t="str">
            <v>蒲艳婷</v>
          </cell>
          <cell r="CW111">
            <v>6943.0518999999995</v>
          </cell>
        </row>
        <row r="112">
          <cell r="C112" t="str">
            <v>刘帆</v>
          </cell>
          <cell r="CW112">
            <v>3760.4272000000001</v>
          </cell>
        </row>
        <row r="113">
          <cell r="C113" t="str">
            <v>杨艳</v>
          </cell>
          <cell r="CW113">
            <v>2379.5619999999999</v>
          </cell>
        </row>
        <row r="114">
          <cell r="C114" t="str">
            <v>肖静梅</v>
          </cell>
          <cell r="CW114">
            <v>7341.2262500000006</v>
          </cell>
        </row>
        <row r="115">
          <cell r="C115" t="str">
            <v>王晓琳</v>
          </cell>
          <cell r="CW115">
            <v>12840.070800000001</v>
          </cell>
        </row>
        <row r="116">
          <cell r="C116" t="str">
            <v>彭措志玛</v>
          </cell>
          <cell r="CW116">
            <v>5365.6514999999999</v>
          </cell>
        </row>
        <row r="117">
          <cell r="C117" t="str">
            <v>郝中南</v>
          </cell>
          <cell r="CW117">
            <v>8937.0174999999999</v>
          </cell>
        </row>
        <row r="118">
          <cell r="C118" t="str">
            <v>冉芳霞</v>
          </cell>
          <cell r="CW118">
            <v>9500.843499999999</v>
          </cell>
        </row>
        <row r="119">
          <cell r="C119" t="str">
            <v>谭萍</v>
          </cell>
          <cell r="CW119">
            <v>6526.9067500000001</v>
          </cell>
        </row>
        <row r="120">
          <cell r="C120" t="str">
            <v>陈琳</v>
          </cell>
          <cell r="CW120">
            <v>2417.409290322581</v>
          </cell>
        </row>
        <row r="121">
          <cell r="C121" t="str">
            <v>罗湘湘</v>
          </cell>
          <cell r="CW121">
            <v>3880</v>
          </cell>
        </row>
        <row r="122">
          <cell r="C122" t="str">
            <v>唐玉芳</v>
          </cell>
          <cell r="CW122">
            <v>6089.1574999999993</v>
          </cell>
        </row>
        <row r="123">
          <cell r="C123" t="str">
            <v>雷怡</v>
          </cell>
          <cell r="CW123">
            <v>3984.5320000000002</v>
          </cell>
        </row>
        <row r="124">
          <cell r="C124" t="str">
            <v>龙巧云</v>
          </cell>
          <cell r="CW124">
            <v>3946.5263999999997</v>
          </cell>
        </row>
        <row r="125">
          <cell r="C125" t="str">
            <v>张勤</v>
          </cell>
          <cell r="CW125">
            <v>7552.1053999999995</v>
          </cell>
        </row>
        <row r="126">
          <cell r="C126" t="str">
            <v>刘裕琼</v>
          </cell>
          <cell r="CW126">
            <v>4341.5470000000005</v>
          </cell>
        </row>
        <row r="127">
          <cell r="C127" t="str">
            <v>唐施语</v>
          </cell>
          <cell r="CW127">
            <v>4069.8381250000002</v>
          </cell>
        </row>
        <row r="128">
          <cell r="C128" t="str">
            <v>谭福英</v>
          </cell>
          <cell r="CW128">
            <v>3880</v>
          </cell>
        </row>
        <row r="129">
          <cell r="C129" t="str">
            <v>李凤</v>
          </cell>
          <cell r="CW129">
            <v>3920</v>
          </cell>
        </row>
        <row r="130">
          <cell r="C130" t="str">
            <v>陈嘉仪</v>
          </cell>
          <cell r="CW130">
            <v>4099.4840000000004</v>
          </cell>
        </row>
        <row r="131">
          <cell r="C131" t="str">
            <v>王红</v>
          </cell>
          <cell r="CW131">
            <v>4566.2540000000008</v>
          </cell>
        </row>
        <row r="132">
          <cell r="C132" t="str">
            <v>冷忠翠</v>
          </cell>
          <cell r="CW132">
            <v>5248.4680000000008</v>
          </cell>
        </row>
        <row r="133">
          <cell r="C133" t="str">
            <v>糜清云</v>
          </cell>
          <cell r="CW133">
            <v>5766.681006451613</v>
          </cell>
        </row>
        <row r="134">
          <cell r="C134" t="str">
            <v>贺金云</v>
          </cell>
          <cell r="CW134">
            <v>1657.8064516129034</v>
          </cell>
        </row>
        <row r="135">
          <cell r="C135" t="str">
            <v>舒许芳</v>
          </cell>
          <cell r="CW135">
            <v>3347.0967741935483</v>
          </cell>
        </row>
        <row r="136">
          <cell r="C136" t="str">
            <v>包竹梅</v>
          </cell>
          <cell r="CW136">
            <v>7282.2651999999998</v>
          </cell>
        </row>
        <row r="137">
          <cell r="C137" t="str">
            <v>欧迎春</v>
          </cell>
          <cell r="CW137">
            <v>4575.9750000000004</v>
          </cell>
        </row>
        <row r="138">
          <cell r="C138" t="str">
            <v>谭芙蓉</v>
          </cell>
          <cell r="CW138">
            <v>3979.0904999999998</v>
          </cell>
        </row>
        <row r="139">
          <cell r="C139" t="str">
            <v>曾玉莲</v>
          </cell>
          <cell r="CW139">
            <v>5464.2196500000009</v>
          </cell>
        </row>
        <row r="140">
          <cell r="C140" t="str">
            <v>彭兰钦</v>
          </cell>
          <cell r="CW140">
            <v>3450</v>
          </cell>
        </row>
        <row r="141">
          <cell r="C141" t="str">
            <v>刘婵琴</v>
          </cell>
          <cell r="CW141">
            <v>4591.5604999999996</v>
          </cell>
        </row>
        <row r="142">
          <cell r="C142" t="str">
            <v>泽仁拉姆</v>
          </cell>
          <cell r="CW142">
            <v>3615.2655</v>
          </cell>
        </row>
        <row r="143">
          <cell r="C143" t="str">
            <v>舒阳</v>
          </cell>
          <cell r="CW143">
            <v>3800</v>
          </cell>
        </row>
        <row r="144">
          <cell r="C144" t="str">
            <v>白丽</v>
          </cell>
          <cell r="CW144">
            <v>8654.1796000000013</v>
          </cell>
        </row>
        <row r="145">
          <cell r="C145" t="str">
            <v>郑巧玲</v>
          </cell>
          <cell r="CW145">
            <v>3412.6059999999998</v>
          </cell>
        </row>
        <row r="146">
          <cell r="C146" t="str">
            <v>张廷妍</v>
          </cell>
          <cell r="CW146">
            <v>5259.7610000000004</v>
          </cell>
        </row>
        <row r="147">
          <cell r="C147" t="str">
            <v>杜兰兰</v>
          </cell>
          <cell r="CW147">
            <v>5143.0550000000003</v>
          </cell>
        </row>
        <row r="148">
          <cell r="C148" t="str">
            <v>王显珍</v>
          </cell>
          <cell r="CW148">
            <v>3985.9648750000001</v>
          </cell>
        </row>
        <row r="149">
          <cell r="C149" t="str">
            <v>马冬梅</v>
          </cell>
          <cell r="CW149">
            <v>4000</v>
          </cell>
        </row>
        <row r="150">
          <cell r="C150" t="str">
            <v>彭莉群</v>
          </cell>
          <cell r="CW150">
            <v>3380</v>
          </cell>
        </row>
        <row r="151">
          <cell r="C151" t="str">
            <v>刘金凤</v>
          </cell>
          <cell r="CW151">
            <v>4979.6322500000006</v>
          </cell>
        </row>
        <row r="152">
          <cell r="C152" t="str">
            <v>谢珂欣</v>
          </cell>
          <cell r="CW152">
            <v>2805.7933548387091</v>
          </cell>
        </row>
        <row r="153">
          <cell r="C153" t="str">
            <v>刘霞</v>
          </cell>
          <cell r="CW153">
            <v>3294.5452999999998</v>
          </cell>
        </row>
        <row r="154">
          <cell r="C154" t="str">
            <v>尧丹丹</v>
          </cell>
          <cell r="CW154">
            <v>8033.5769500000006</v>
          </cell>
        </row>
        <row r="155">
          <cell r="C155" t="str">
            <v>李科</v>
          </cell>
          <cell r="CW155">
            <v>6230.0779999999995</v>
          </cell>
        </row>
        <row r="156">
          <cell r="C156" t="str">
            <v>石海力</v>
          </cell>
          <cell r="CW156">
            <v>0</v>
          </cell>
        </row>
        <row r="157">
          <cell r="C157" t="str">
            <v>付薪燕</v>
          </cell>
          <cell r="CW157">
            <v>4192.7314999999999</v>
          </cell>
        </row>
        <row r="158">
          <cell r="C158" t="str">
            <v>陈定坤</v>
          </cell>
          <cell r="CW158">
            <v>3687.4965999999999</v>
          </cell>
        </row>
        <row r="159">
          <cell r="C159" t="str">
            <v>王桂明</v>
          </cell>
          <cell r="CW159">
            <v>8968.62435</v>
          </cell>
        </row>
        <row r="160">
          <cell r="C160" t="str">
            <v>关晓燕</v>
          </cell>
          <cell r="CW160">
            <v>7852.8560000000016</v>
          </cell>
        </row>
        <row r="161">
          <cell r="C161" t="str">
            <v>唐尹</v>
          </cell>
          <cell r="CW161">
            <v>5433.4059999999999</v>
          </cell>
        </row>
        <row r="162">
          <cell r="C162" t="str">
            <v>贺慧</v>
          </cell>
          <cell r="CW162">
            <v>3008.364</v>
          </cell>
        </row>
        <row r="163">
          <cell r="C163" t="str">
            <v>李红梅</v>
          </cell>
          <cell r="CW163">
            <v>5368.8343999999997</v>
          </cell>
        </row>
        <row r="164">
          <cell r="C164" t="str">
            <v>龚艳</v>
          </cell>
          <cell r="CW164">
            <v>4628.6311999999998</v>
          </cell>
        </row>
        <row r="165">
          <cell r="C165" t="str">
            <v>余姣姣</v>
          </cell>
          <cell r="CW165">
            <v>4189.4310000000005</v>
          </cell>
        </row>
        <row r="166">
          <cell r="C166" t="str">
            <v>竹艳梅</v>
          </cell>
          <cell r="CW166">
            <v>4533.9378000000006</v>
          </cell>
        </row>
        <row r="167">
          <cell r="C167" t="str">
            <v>叶朝春</v>
          </cell>
          <cell r="CW167">
            <v>4000</v>
          </cell>
        </row>
        <row r="168">
          <cell r="C168" t="str">
            <v>喻容</v>
          </cell>
          <cell r="CW168">
            <v>5199.9852499999997</v>
          </cell>
        </row>
        <row r="169">
          <cell r="C169" t="str">
            <v>魏柯</v>
          </cell>
          <cell r="CW169">
            <v>8128.3371000000006</v>
          </cell>
        </row>
        <row r="170">
          <cell r="C170" t="str">
            <v>徐文平</v>
          </cell>
          <cell r="CW170">
            <v>6837.8055000000004</v>
          </cell>
        </row>
        <row r="171">
          <cell r="C171" t="str">
            <v>张欣</v>
          </cell>
          <cell r="CW171">
            <v>137.05590322580645</v>
          </cell>
        </row>
        <row r="172">
          <cell r="C172" t="str">
            <v>叶璐璐</v>
          </cell>
          <cell r="CW172">
            <v>3233.0907999999999</v>
          </cell>
        </row>
        <row r="173">
          <cell r="C173" t="str">
            <v>周文慧</v>
          </cell>
          <cell r="CW173">
            <v>3605.4389999999999</v>
          </cell>
        </row>
        <row r="174">
          <cell r="C174" t="str">
            <v>张白金</v>
          </cell>
          <cell r="CW174">
            <v>3592.8352500000001</v>
          </cell>
        </row>
        <row r="175">
          <cell r="C175" t="str">
            <v>郑美函</v>
          </cell>
          <cell r="CW175">
            <v>3309.3317499999998</v>
          </cell>
        </row>
        <row r="176">
          <cell r="C176" t="str">
            <v>龚茜</v>
          </cell>
          <cell r="CW176">
            <v>5993.7101000000002</v>
          </cell>
        </row>
        <row r="177">
          <cell r="C177" t="str">
            <v>廖妍</v>
          </cell>
          <cell r="CW177">
            <v>4190.1476000000002</v>
          </cell>
        </row>
        <row r="178">
          <cell r="C178" t="str">
            <v>李彩华</v>
          </cell>
          <cell r="CW178">
            <v>4899.0581999999995</v>
          </cell>
        </row>
        <row r="179">
          <cell r="C179" t="str">
            <v>刘九招</v>
          </cell>
          <cell r="CW179">
            <v>4329.0858000000007</v>
          </cell>
        </row>
        <row r="180">
          <cell r="C180" t="str">
            <v>朱羽</v>
          </cell>
          <cell r="CW180">
            <v>3440.7031999999999</v>
          </cell>
        </row>
        <row r="181">
          <cell r="C181" t="str">
            <v>施凤皎</v>
          </cell>
          <cell r="CW181">
            <v>3956.0879999999997</v>
          </cell>
        </row>
        <row r="182">
          <cell r="C182" t="str">
            <v>高琴</v>
          </cell>
          <cell r="CW182">
            <v>3770.2905000000001</v>
          </cell>
        </row>
        <row r="183">
          <cell r="C183" t="str">
            <v>达卓措</v>
          </cell>
          <cell r="CW183">
            <v>3230</v>
          </cell>
        </row>
        <row r="184">
          <cell r="C184" t="str">
            <v>袁玉</v>
          </cell>
          <cell r="CW184">
            <v>5972.3506999999991</v>
          </cell>
        </row>
        <row r="185">
          <cell r="C185" t="str">
            <v>赵晴亮</v>
          </cell>
          <cell r="CW185">
            <v>5588.3784999999998</v>
          </cell>
        </row>
        <row r="186">
          <cell r="C186" t="str">
            <v>赵忠芬</v>
          </cell>
          <cell r="CW186">
            <v>8497.7440000000006</v>
          </cell>
        </row>
        <row r="187">
          <cell r="C187" t="str">
            <v>郑丹</v>
          </cell>
          <cell r="CW187">
            <v>4605.7595999999994</v>
          </cell>
        </row>
        <row r="188">
          <cell r="C188" t="str">
            <v>林锶莹</v>
          </cell>
          <cell r="CW188">
            <v>4167.7919999999995</v>
          </cell>
        </row>
        <row r="189">
          <cell r="C189" t="str">
            <v>胡钦秀</v>
          </cell>
          <cell r="CW189">
            <v>3105.8850000000002</v>
          </cell>
        </row>
        <row r="190">
          <cell r="C190" t="str">
            <v>高红艳</v>
          </cell>
          <cell r="CW190">
            <v>6532.4449999999997</v>
          </cell>
        </row>
        <row r="191">
          <cell r="C191" t="str">
            <v>曾怡</v>
          </cell>
          <cell r="CW191">
            <v>3430</v>
          </cell>
        </row>
        <row r="192">
          <cell r="C192" t="str">
            <v>张清华</v>
          </cell>
          <cell r="CW192">
            <v>8609.5768000000007</v>
          </cell>
        </row>
        <row r="193">
          <cell r="C193" t="str">
            <v>彭鑫</v>
          </cell>
          <cell r="CW193">
            <v>4733.2022500000003</v>
          </cell>
        </row>
        <row r="194">
          <cell r="C194" t="str">
            <v>李维</v>
          </cell>
          <cell r="CW194">
            <v>6324.3101999999999</v>
          </cell>
        </row>
        <row r="195">
          <cell r="C195" t="str">
            <v>贾琳</v>
          </cell>
          <cell r="CW195">
            <v>4920.0619999999999</v>
          </cell>
        </row>
        <row r="196">
          <cell r="C196" t="str">
            <v>王智慧</v>
          </cell>
          <cell r="CW196">
            <v>4858.59</v>
          </cell>
        </row>
        <row r="197">
          <cell r="C197" t="str">
            <v>邓笑</v>
          </cell>
          <cell r="CW197">
            <v>4420.348</v>
          </cell>
        </row>
        <row r="198">
          <cell r="C198" t="str">
            <v>刘香</v>
          </cell>
          <cell r="CW198">
            <v>4364.8719999999994</v>
          </cell>
        </row>
        <row r="199">
          <cell r="C199" t="str">
            <v>刘丽华</v>
          </cell>
          <cell r="CW199">
            <v>4000</v>
          </cell>
        </row>
        <row r="200">
          <cell r="C200" t="str">
            <v>周林</v>
          </cell>
          <cell r="CW200">
            <v>3744.2293400000003</v>
          </cell>
        </row>
        <row r="201">
          <cell r="C201" t="str">
            <v>钟秦</v>
          </cell>
          <cell r="CW201">
            <v>4186.3432000000003</v>
          </cell>
        </row>
        <row r="202">
          <cell r="C202" t="str">
            <v>张红霞</v>
          </cell>
          <cell r="CW202">
            <v>7326.7977000000001</v>
          </cell>
        </row>
        <row r="203">
          <cell r="C203" t="str">
            <v>李燕1</v>
          </cell>
          <cell r="CW203">
            <v>5285.7325300000002</v>
          </cell>
        </row>
        <row r="204">
          <cell r="C204" t="str">
            <v>陈世琳</v>
          </cell>
          <cell r="CW204">
            <v>4827.8757800000003</v>
          </cell>
        </row>
        <row r="205">
          <cell r="C205" t="str">
            <v>张林英</v>
          </cell>
          <cell r="CW205">
            <v>88.064516129032256</v>
          </cell>
        </row>
        <row r="206">
          <cell r="C206" t="str">
            <v>陈燕辉</v>
          </cell>
          <cell r="CW206">
            <v>3900</v>
          </cell>
        </row>
        <row r="207">
          <cell r="C207" t="str">
            <v>宋林琳</v>
          </cell>
          <cell r="CW207">
            <v>12981.523400000002</v>
          </cell>
        </row>
        <row r="208">
          <cell r="C208" t="str">
            <v>马丽亚</v>
          </cell>
          <cell r="CW208">
            <v>7699.88454</v>
          </cell>
        </row>
        <row r="209">
          <cell r="C209" t="str">
            <v>阿衣尔扎</v>
          </cell>
          <cell r="CW209">
            <v>3657.4848999999999</v>
          </cell>
        </row>
        <row r="210">
          <cell r="C210" t="str">
            <v>张霞</v>
          </cell>
          <cell r="CW210">
            <v>4269.0349999999999</v>
          </cell>
        </row>
        <row r="211">
          <cell r="C211" t="str">
            <v>谢双叶</v>
          </cell>
          <cell r="CW211">
            <v>4918.4692800000003</v>
          </cell>
        </row>
        <row r="212">
          <cell r="C212" t="str">
            <v>蒙亦锌</v>
          </cell>
          <cell r="CW212">
            <v>5053.1636199999994</v>
          </cell>
        </row>
        <row r="213">
          <cell r="C213" t="str">
            <v>刘梦蓝</v>
          </cell>
          <cell r="CW213">
            <v>3796.0007999999998</v>
          </cell>
        </row>
        <row r="214">
          <cell r="C214" t="str">
            <v>罗林芳</v>
          </cell>
          <cell r="CW214">
            <v>5516.3904000000002</v>
          </cell>
        </row>
        <row r="215">
          <cell r="C215" t="str">
            <v>汪丽娟</v>
          </cell>
          <cell r="CW215">
            <v>4030.1879799999997</v>
          </cell>
        </row>
        <row r="216">
          <cell r="C216" t="str">
            <v>谭言希</v>
          </cell>
          <cell r="CW216">
            <v>4412.38825</v>
          </cell>
        </row>
        <row r="217">
          <cell r="C217" t="str">
            <v>黄江</v>
          </cell>
          <cell r="CW217">
            <v>6038.58</v>
          </cell>
        </row>
        <row r="218">
          <cell r="C218" t="str">
            <v>陈琼</v>
          </cell>
          <cell r="CW218">
            <v>5967.9668099999999</v>
          </cell>
        </row>
        <row r="219">
          <cell r="C219" t="str">
            <v>米琪</v>
          </cell>
          <cell r="CW219">
            <v>3401.7192500000001</v>
          </cell>
        </row>
        <row r="220">
          <cell r="C220" t="str">
            <v>尚杨</v>
          </cell>
          <cell r="CW220">
            <v>3349.6990000000001</v>
          </cell>
        </row>
        <row r="221">
          <cell r="C221" t="str">
            <v>钟心悦</v>
          </cell>
          <cell r="CW221">
            <v>1155.17</v>
          </cell>
        </row>
        <row r="222">
          <cell r="C222" t="str">
            <v>胡祝曲</v>
          </cell>
          <cell r="CW222">
            <v>3660.0092800000002</v>
          </cell>
        </row>
        <row r="223">
          <cell r="C223" t="str">
            <v>谢金梅</v>
          </cell>
          <cell r="CW223">
            <v>539.68499999999995</v>
          </cell>
        </row>
        <row r="224">
          <cell r="C224" t="str">
            <v>李洪芳</v>
          </cell>
          <cell r="CW224">
            <v>6073.6152600000005</v>
          </cell>
        </row>
        <row r="225">
          <cell r="C225" t="str">
            <v>王维</v>
          </cell>
          <cell r="CW225">
            <v>4561.9065000000001</v>
          </cell>
        </row>
        <row r="226">
          <cell r="C226" t="str">
            <v>罗文文</v>
          </cell>
          <cell r="CW226">
            <v>3687.4327199999998</v>
          </cell>
        </row>
        <row r="227">
          <cell r="C227" t="str">
            <v>任艺</v>
          </cell>
          <cell r="CW227">
            <v>4909.6468000000004</v>
          </cell>
        </row>
        <row r="228">
          <cell r="C228" t="str">
            <v>贺丽</v>
          </cell>
          <cell r="CW228">
            <v>3595.748</v>
          </cell>
        </row>
        <row r="229">
          <cell r="C229" t="str">
            <v>殷小燕</v>
          </cell>
          <cell r="CW229">
            <v>3752.2864</v>
          </cell>
        </row>
        <row r="230">
          <cell r="C230" t="str">
            <v>李海瑛</v>
          </cell>
          <cell r="CW230">
            <v>4920</v>
          </cell>
        </row>
        <row r="231">
          <cell r="C231" t="str">
            <v>邹孟君</v>
          </cell>
          <cell r="CW231">
            <v>3900</v>
          </cell>
        </row>
        <row r="232">
          <cell r="C232" t="str">
            <v>彭羽佳</v>
          </cell>
          <cell r="CW232">
            <v>3920</v>
          </cell>
        </row>
        <row r="233">
          <cell r="C233" t="str">
            <v>朱成芳</v>
          </cell>
          <cell r="CW233">
            <v>5323</v>
          </cell>
        </row>
        <row r="234">
          <cell r="C234" t="str">
            <v>翁玲</v>
          </cell>
          <cell r="CW234">
            <v>5830</v>
          </cell>
        </row>
        <row r="235">
          <cell r="C235" t="str">
            <v>王能琴</v>
          </cell>
          <cell r="CW235">
            <v>5000</v>
          </cell>
        </row>
        <row r="236">
          <cell r="C236" t="str">
            <v>涂莹丹</v>
          </cell>
          <cell r="CW236">
            <v>3500</v>
          </cell>
        </row>
        <row r="237">
          <cell r="C237" t="str">
            <v>葛敏</v>
          </cell>
          <cell r="CW237">
            <v>-590.55999999999995</v>
          </cell>
        </row>
        <row r="238">
          <cell r="C238" t="str">
            <v>袁小兵</v>
          </cell>
          <cell r="CW238">
            <v>-640.55999999999995</v>
          </cell>
        </row>
        <row r="239">
          <cell r="C239" t="str">
            <v>徐登毅</v>
          </cell>
          <cell r="CW239">
            <v>-644.16800000000001</v>
          </cell>
        </row>
        <row r="240">
          <cell r="C240" t="str">
            <v>范时依</v>
          </cell>
          <cell r="CW240">
            <v>-644.16800000000001</v>
          </cell>
        </row>
        <row r="241">
          <cell r="C241" t="str">
            <v>吴小强</v>
          </cell>
          <cell r="CW241">
            <v>-644.16800000000001</v>
          </cell>
        </row>
        <row r="242">
          <cell r="C242" t="str">
            <v>宁燕</v>
          </cell>
          <cell r="CW242">
            <v>-644.16800000000001</v>
          </cell>
        </row>
        <row r="243">
          <cell r="C243" t="str">
            <v>杨苹</v>
          </cell>
          <cell r="CW243">
            <v>0</v>
          </cell>
        </row>
        <row r="244">
          <cell r="C244" t="str">
            <v>赵倩</v>
          </cell>
          <cell r="CW244">
            <v>-640.55999999999995</v>
          </cell>
        </row>
        <row r="245">
          <cell r="C245" t="str">
            <v>梁诗雨</v>
          </cell>
          <cell r="CW245">
            <v>0</v>
          </cell>
        </row>
        <row r="246">
          <cell r="C246" t="str">
            <v>郭思瑞</v>
          </cell>
          <cell r="CW246">
            <v>-654.16800000000001</v>
          </cell>
        </row>
        <row r="247">
          <cell r="C247" t="str">
            <v>文倩</v>
          </cell>
          <cell r="CW247">
            <v>-638.75599999999997</v>
          </cell>
        </row>
        <row r="248">
          <cell r="C248" t="str">
            <v>刘佳</v>
          </cell>
          <cell r="CW248">
            <v>0</v>
          </cell>
        </row>
        <row r="249">
          <cell r="C249" t="str">
            <v>杨磊</v>
          </cell>
          <cell r="CW249">
            <v>0</v>
          </cell>
        </row>
        <row r="250">
          <cell r="C250" t="str">
            <v>李吉原</v>
          </cell>
          <cell r="CW250">
            <v>-100</v>
          </cell>
        </row>
        <row r="251">
          <cell r="C251" t="str">
            <v>黄桂琴</v>
          </cell>
          <cell r="CW251">
            <v>9754.93</v>
          </cell>
        </row>
        <row r="252">
          <cell r="C252" t="str">
            <v>詹芳英</v>
          </cell>
          <cell r="CW252">
            <v>2742.9287741935482</v>
          </cell>
        </row>
        <row r="253">
          <cell r="C253" t="str">
            <v>陈思思</v>
          </cell>
          <cell r="CW253">
            <v>2335.8319999999999</v>
          </cell>
        </row>
        <row r="254">
          <cell r="C254" t="str">
            <v>李洁</v>
          </cell>
          <cell r="CW254">
            <v>3070</v>
          </cell>
        </row>
        <row r="255">
          <cell r="C255" t="str">
            <v>马小英</v>
          </cell>
          <cell r="CW255">
            <v>-664.16800000000001</v>
          </cell>
        </row>
        <row r="256">
          <cell r="C256" t="str">
            <v>欧阳敏</v>
          </cell>
          <cell r="CW256">
            <v>-650.55999999999995</v>
          </cell>
        </row>
        <row r="257">
          <cell r="C257" t="str">
            <v>程燕</v>
          </cell>
          <cell r="CW257">
            <v>-640.55999999999995</v>
          </cell>
        </row>
        <row r="258">
          <cell r="C258" t="str">
            <v>肖倩</v>
          </cell>
          <cell r="CW258">
            <v>-570.55999999999995</v>
          </cell>
        </row>
        <row r="259">
          <cell r="C259" t="str">
            <v>王丽娟</v>
          </cell>
          <cell r="CW259">
            <v>0</v>
          </cell>
        </row>
        <row r="260">
          <cell r="C260" t="str">
            <v>蓝海英</v>
          </cell>
          <cell r="CW260">
            <v>-664.16800000000001</v>
          </cell>
        </row>
        <row r="261">
          <cell r="C261" t="str">
            <v>夏萍</v>
          </cell>
          <cell r="CW261">
            <v>13558.432000000001</v>
          </cell>
        </row>
        <row r="262">
          <cell r="C262" t="str">
            <v>王方贤</v>
          </cell>
          <cell r="CW262">
            <v>14828.5465</v>
          </cell>
        </row>
        <row r="263">
          <cell r="C263" t="str">
            <v>杨琴</v>
          </cell>
          <cell r="CW263">
            <v>7190.2750387096767</v>
          </cell>
        </row>
        <row r="264">
          <cell r="C264" t="str">
            <v>赵美艳</v>
          </cell>
          <cell r="CW264">
            <v>7663.6664500000006</v>
          </cell>
        </row>
        <row r="265">
          <cell r="C265" t="str">
            <v>郭兰</v>
          </cell>
          <cell r="CW265">
            <v>7598.123450000001</v>
          </cell>
        </row>
        <row r="266">
          <cell r="C266" t="str">
            <v>戴林</v>
          </cell>
          <cell r="CW266">
            <v>8326.032650000001</v>
          </cell>
        </row>
        <row r="267">
          <cell r="C267" t="str">
            <v>蒲俊峰</v>
          </cell>
          <cell r="CW267">
            <v>10670.205900000001</v>
          </cell>
        </row>
        <row r="268">
          <cell r="C268" t="str">
            <v>张雪颖</v>
          </cell>
          <cell r="CW268">
            <v>8701.7300000000014</v>
          </cell>
        </row>
        <row r="269">
          <cell r="C269" t="str">
            <v>张雨露</v>
          </cell>
          <cell r="CW269">
            <v>10191.593000000001</v>
          </cell>
        </row>
        <row r="270">
          <cell r="C270" t="str">
            <v>刘祖红</v>
          </cell>
          <cell r="CW270">
            <v>5055.401100000001</v>
          </cell>
        </row>
        <row r="271">
          <cell r="C271" t="str">
            <v>谢宗富</v>
          </cell>
          <cell r="CW271">
            <v>8199.7998500000012</v>
          </cell>
        </row>
        <row r="272">
          <cell r="C272" t="str">
            <v>余文</v>
          </cell>
          <cell r="CW272">
            <v>6985.0447000000004</v>
          </cell>
        </row>
        <row r="273">
          <cell r="C273" t="str">
            <v>王洪武</v>
          </cell>
          <cell r="CW273">
            <v>8887.3333500000008</v>
          </cell>
        </row>
        <row r="274">
          <cell r="C274" t="str">
            <v>王国英</v>
          </cell>
          <cell r="CW274">
            <v>600</v>
          </cell>
        </row>
        <row r="275">
          <cell r="C275" t="str">
            <v>周莉</v>
          </cell>
          <cell r="CW275">
            <v>1400</v>
          </cell>
        </row>
        <row r="276">
          <cell r="C276" t="str">
            <v>吴斌1</v>
          </cell>
          <cell r="CW276">
            <v>1000</v>
          </cell>
        </row>
        <row r="277">
          <cell r="C277" t="str">
            <v>吴斌2</v>
          </cell>
          <cell r="CW277">
            <v>1200</v>
          </cell>
        </row>
        <row r="278">
          <cell r="C278" t="str">
            <v>杨汉玉</v>
          </cell>
          <cell r="CW278">
            <v>3200</v>
          </cell>
        </row>
        <row r="279">
          <cell r="C279" t="str">
            <v>杨润琼</v>
          </cell>
          <cell r="CW279">
            <v>3200</v>
          </cell>
        </row>
        <row r="280">
          <cell r="C280" t="str">
            <v>林玉琼</v>
          </cell>
          <cell r="CW280">
            <v>1200</v>
          </cell>
        </row>
        <row r="281">
          <cell r="C281" t="str">
            <v>王秀华</v>
          </cell>
          <cell r="CW281">
            <v>1200</v>
          </cell>
        </row>
        <row r="282">
          <cell r="C282" t="str">
            <v>刘陈秀</v>
          </cell>
          <cell r="CW282">
            <v>1300</v>
          </cell>
        </row>
        <row r="283">
          <cell r="C283" t="str">
            <v>钟术群</v>
          </cell>
          <cell r="CW283">
            <v>1000</v>
          </cell>
        </row>
        <row r="284">
          <cell r="C284" t="str">
            <v>郑竹兰</v>
          </cell>
          <cell r="CW284">
            <v>320</v>
          </cell>
        </row>
        <row r="285">
          <cell r="C285" t="str">
            <v>陈春蓉</v>
          </cell>
          <cell r="CW285">
            <v>2903.22580645161</v>
          </cell>
        </row>
        <row r="286">
          <cell r="C286" t="str">
            <v>陈明秀</v>
          </cell>
          <cell r="CW286">
            <v>1200</v>
          </cell>
        </row>
        <row r="287">
          <cell r="C287" t="str">
            <v>许开会</v>
          </cell>
          <cell r="CW287">
            <v>1300</v>
          </cell>
        </row>
        <row r="288">
          <cell r="C288" t="str">
            <v>蒋治琼</v>
          </cell>
          <cell r="CW288">
            <v>1200</v>
          </cell>
        </row>
        <row r="289">
          <cell r="C289" t="str">
            <v>曾志芬</v>
          </cell>
          <cell r="CW289">
            <v>1200</v>
          </cell>
        </row>
        <row r="290">
          <cell r="C290" t="str">
            <v>罗广秀</v>
          </cell>
          <cell r="CW290">
            <v>1400</v>
          </cell>
        </row>
        <row r="291">
          <cell r="C291" t="str">
            <v>何先会</v>
          </cell>
          <cell r="CW291">
            <v>1500</v>
          </cell>
        </row>
        <row r="292">
          <cell r="C292" t="str">
            <v>陈德芳</v>
          </cell>
          <cell r="CW292">
            <v>1400</v>
          </cell>
        </row>
        <row r="293">
          <cell r="C293" t="str">
            <v>邓成分</v>
          </cell>
          <cell r="CW293">
            <v>1300</v>
          </cell>
        </row>
        <row r="294">
          <cell r="C294" t="str">
            <v>刘胜琼</v>
          </cell>
          <cell r="CW294">
            <v>1200</v>
          </cell>
        </row>
        <row r="295">
          <cell r="C295" t="str">
            <v>陈文先</v>
          </cell>
          <cell r="CW295">
            <v>1100</v>
          </cell>
        </row>
        <row r="296">
          <cell r="C296" t="str">
            <v>杨则琼</v>
          </cell>
          <cell r="CW296">
            <v>1400</v>
          </cell>
        </row>
        <row r="297">
          <cell r="C297" t="str">
            <v>李培英</v>
          </cell>
          <cell r="CW297">
            <v>1445.16129032258</v>
          </cell>
        </row>
        <row r="298">
          <cell r="C298" t="str">
            <v>陈永秀</v>
          </cell>
          <cell r="CW298">
            <v>1200</v>
          </cell>
        </row>
        <row r="299">
          <cell r="C299" t="str">
            <v>李大英</v>
          </cell>
          <cell r="CW299">
            <v>1161.2903225806499</v>
          </cell>
        </row>
        <row r="300">
          <cell r="C300" t="str">
            <v>范世琼</v>
          </cell>
          <cell r="CW300">
            <v>1064.5161290322601</v>
          </cell>
        </row>
        <row r="301">
          <cell r="C301" t="str">
            <v>倪巧琼</v>
          </cell>
          <cell r="CW301">
            <v>1300</v>
          </cell>
        </row>
        <row r="302">
          <cell r="C302" t="str">
            <v>颜香兰</v>
          </cell>
          <cell r="CW302">
            <v>1200</v>
          </cell>
        </row>
        <row r="303">
          <cell r="C303" t="str">
            <v>刘治菊</v>
          </cell>
          <cell r="CW303">
            <v>3000</v>
          </cell>
        </row>
        <row r="304">
          <cell r="C304" t="str">
            <v>陈珊珊</v>
          </cell>
          <cell r="CW304">
            <v>2727.8671048387096</v>
          </cell>
        </row>
        <row r="305">
          <cell r="C305" t="str">
            <v>安家晴</v>
          </cell>
          <cell r="CW305">
            <v>2108.1612903225805</v>
          </cell>
        </row>
        <row r="306">
          <cell r="C306" t="str">
            <v>刘雨佳</v>
          </cell>
          <cell r="CW306">
            <v>2096.4516129032299</v>
          </cell>
        </row>
        <row r="307">
          <cell r="C307" t="str">
            <v>谢翠华</v>
          </cell>
          <cell r="CW307">
            <v>1827.2217096774193</v>
          </cell>
        </row>
        <row r="308">
          <cell r="C308" t="str">
            <v>袁晓梅</v>
          </cell>
          <cell r="CW308">
            <v>1700.9677419354839</v>
          </cell>
        </row>
        <row r="309">
          <cell r="C309" t="str">
            <v>孙鲜</v>
          </cell>
          <cell r="CW309">
            <v>1595.1612903225805</v>
          </cell>
        </row>
        <row r="310">
          <cell r="C310" t="str">
            <v>陈春秀</v>
          </cell>
          <cell r="CW310">
            <v>1215.5806451612902</v>
          </cell>
        </row>
        <row r="311">
          <cell r="C311" t="str">
            <v>郑晓芳</v>
          </cell>
          <cell r="CW311">
            <v>1187.516129032258</v>
          </cell>
        </row>
        <row r="312">
          <cell r="C312" t="str">
            <v>曾小凤</v>
          </cell>
          <cell r="CW312">
            <v>3043.8709677419401</v>
          </cell>
        </row>
        <row r="313">
          <cell r="C313" t="str">
            <v>邹奇圻</v>
          </cell>
          <cell r="CW313">
            <v>1386.17</v>
          </cell>
        </row>
        <row r="314">
          <cell r="C314" t="str">
            <v>路平</v>
          </cell>
          <cell r="CW314">
            <v>628.64516129032256</v>
          </cell>
        </row>
        <row r="315">
          <cell r="C315" t="str">
            <v>康丹</v>
          </cell>
          <cell r="CW315">
            <v>3118.2356</v>
          </cell>
        </row>
        <row r="316">
          <cell r="C316" t="str">
            <v>尹佩佩</v>
          </cell>
          <cell r="CW316">
            <v>2334.1935483871002</v>
          </cell>
        </row>
        <row r="317">
          <cell r="C317" t="str">
            <v>周柏燚</v>
          </cell>
          <cell r="CW317">
            <v>5858.8606451612904</v>
          </cell>
        </row>
        <row r="318">
          <cell r="C318" t="str">
            <v>李文龙</v>
          </cell>
          <cell r="CW318">
            <v>0</v>
          </cell>
        </row>
        <row r="319">
          <cell r="C319" t="str">
            <v>张文卓</v>
          </cell>
          <cell r="CW319">
            <v>2818.0645161290299</v>
          </cell>
        </row>
        <row r="320">
          <cell r="C320" t="str">
            <v>曹煦菡</v>
          </cell>
          <cell r="CW320">
            <v>1424.8387096774193</v>
          </cell>
        </row>
        <row r="321">
          <cell r="C321" t="str">
            <v>蹇雨珊</v>
          </cell>
          <cell r="CW321">
            <v>0</v>
          </cell>
        </row>
        <row r="322">
          <cell r="C322" t="str">
            <v>赵圆缘</v>
          </cell>
          <cell r="CW322">
            <v>0</v>
          </cell>
        </row>
        <row r="323">
          <cell r="C323" t="str">
            <v>李从丽</v>
          </cell>
          <cell r="CW323">
            <v>0</v>
          </cell>
        </row>
        <row r="324">
          <cell r="C324" t="str">
            <v>杨慧琳</v>
          </cell>
          <cell r="CW324">
            <v>0</v>
          </cell>
        </row>
        <row r="325">
          <cell r="C325" t="str">
            <v>袁琳育</v>
          </cell>
          <cell r="CW325">
            <v>0</v>
          </cell>
        </row>
        <row r="326">
          <cell r="C326" t="str">
            <v>蒲敏</v>
          </cell>
          <cell r="CW326">
            <v>0</v>
          </cell>
        </row>
        <row r="327">
          <cell r="C327" t="str">
            <v>黄芬</v>
          </cell>
          <cell r="CW327">
            <v>0</v>
          </cell>
        </row>
        <row r="328">
          <cell r="C328" t="str">
            <v>杨娇</v>
          </cell>
          <cell r="CW328">
            <v>0</v>
          </cell>
        </row>
        <row r="329">
          <cell r="C329" t="str">
            <v>郭芬</v>
          </cell>
          <cell r="CW329">
            <v>0</v>
          </cell>
        </row>
        <row r="330">
          <cell r="C330" t="str">
            <v>陈丽</v>
          </cell>
          <cell r="CW330">
            <v>0</v>
          </cell>
        </row>
        <row r="331">
          <cell r="C331" t="str">
            <v>沙河+门店T区</v>
          </cell>
          <cell r="CW331">
            <v>376.73500000000007</v>
          </cell>
        </row>
        <row r="332">
          <cell r="C332" t="str">
            <v>涌泉+门店T区</v>
          </cell>
          <cell r="CW332">
            <v>424.08000000000004</v>
          </cell>
        </row>
        <row r="333">
          <cell r="C333" t="str">
            <v>中和+门店T区</v>
          </cell>
          <cell r="CW333">
            <v>376.05500000000006</v>
          </cell>
        </row>
        <row r="334">
          <cell r="C334" t="str">
            <v>川音+门店T区</v>
          </cell>
          <cell r="CW334">
            <v>433.22650000000004</v>
          </cell>
        </row>
        <row r="335">
          <cell r="C335" t="str">
            <v>光华+门店T区</v>
          </cell>
          <cell r="CW335">
            <v>338.97500000000002</v>
          </cell>
        </row>
        <row r="336">
          <cell r="C336" t="str">
            <v>龙湖+门店T区</v>
          </cell>
          <cell r="CW336">
            <v>550.55750000000012</v>
          </cell>
        </row>
        <row r="337">
          <cell r="C337" t="str">
            <v>鹭岛+门店T区</v>
          </cell>
          <cell r="CW337">
            <v>278.16750000000002</v>
          </cell>
        </row>
        <row r="338">
          <cell r="C338" t="str">
            <v>南湖+门店T区</v>
          </cell>
          <cell r="CW338">
            <v>347.55500000000006</v>
          </cell>
        </row>
        <row r="339">
          <cell r="C339" t="str">
            <v>荣华北路+门店T区</v>
          </cell>
          <cell r="CW339">
            <v>384.87650000000008</v>
          </cell>
        </row>
        <row r="340">
          <cell r="C340" t="str">
            <v>紫荆+门店T区</v>
          </cell>
          <cell r="CW340">
            <v>1306.8900000000003</v>
          </cell>
        </row>
        <row r="341">
          <cell r="C341" t="str">
            <v>双流+门店T区</v>
          </cell>
          <cell r="CW341">
            <v>777.7700000000001</v>
          </cell>
        </row>
        <row r="342">
          <cell r="C342" t="str">
            <v>亚洲湾+门店T区</v>
          </cell>
          <cell r="CW342">
            <v>359.39250000000004</v>
          </cell>
        </row>
        <row r="343">
          <cell r="C343" t="str">
            <v>川师+门店T区</v>
          </cell>
          <cell r="CW343">
            <v>512.60250000000008</v>
          </cell>
        </row>
        <row r="344">
          <cell r="C344" t="str">
            <v>明信+门店T区</v>
          </cell>
          <cell r="CW344">
            <v>230.92750000000001</v>
          </cell>
        </row>
        <row r="345">
          <cell r="C345" t="str">
            <v>千禧+门店T区</v>
          </cell>
          <cell r="CW345">
            <v>377.82250000000005</v>
          </cell>
        </row>
        <row r="346">
          <cell r="C346" t="str">
            <v>大丰+门店T区</v>
          </cell>
          <cell r="CW346">
            <v>500.12425000000007</v>
          </cell>
        </row>
        <row r="347">
          <cell r="C347" t="str">
            <v>凤凰山+门店T区</v>
          </cell>
          <cell r="CW347">
            <v>450.76949999999999</v>
          </cell>
        </row>
        <row r="348">
          <cell r="C348" t="str">
            <v>科技一部+门店T区</v>
          </cell>
          <cell r="CW348">
            <v>120.3</v>
          </cell>
        </row>
        <row r="349">
          <cell r="C349" t="str">
            <v>科技二部+门店T区</v>
          </cell>
          <cell r="CW349">
            <v>1246.3399999999999</v>
          </cell>
        </row>
        <row r="350">
          <cell r="C350" t="str">
            <v>468+门店T区</v>
          </cell>
          <cell r="CW350">
            <v>350.73750000000001</v>
          </cell>
        </row>
        <row r="351">
          <cell r="C351" t="str">
            <v>华润+门店T区</v>
          </cell>
          <cell r="CW351">
            <v>504.88075000000003</v>
          </cell>
        </row>
        <row r="352">
          <cell r="C352" t="str">
            <v>静居寺+门店T区</v>
          </cell>
          <cell r="CW352">
            <v>1018.7254750000001</v>
          </cell>
        </row>
        <row r="353">
          <cell r="C353" t="str">
            <v>红光+门店T区</v>
          </cell>
          <cell r="CW353">
            <v>649.36220000000003</v>
          </cell>
        </row>
        <row r="354">
          <cell r="C354" t="str">
            <v>犀浦+门店T区</v>
          </cell>
          <cell r="CW354">
            <v>252.33500000000004</v>
          </cell>
        </row>
        <row r="355">
          <cell r="C355" t="str">
            <v>龙城国际+门店T区</v>
          </cell>
          <cell r="CW355">
            <v>333.33720000000005</v>
          </cell>
        </row>
        <row r="356">
          <cell r="C356" t="str">
            <v>优品道+门店T区</v>
          </cell>
          <cell r="CW356">
            <v>402.03000000000003</v>
          </cell>
        </row>
        <row r="357">
          <cell r="C357" t="str">
            <v>大源+门店T区</v>
          </cell>
          <cell r="CW357">
            <v>302.37400000000002</v>
          </cell>
        </row>
        <row r="358">
          <cell r="C358" t="str">
            <v>保利+门店T区</v>
          </cell>
          <cell r="CW358">
            <v>375.07832500000001</v>
          </cell>
        </row>
        <row r="359">
          <cell r="C359" t="str">
            <v>骑士郡+门店T区</v>
          </cell>
          <cell r="CW359">
            <v>396.58250000000004</v>
          </cell>
        </row>
        <row r="360">
          <cell r="C360" t="str">
            <v>荣华南路+门店T区</v>
          </cell>
          <cell r="CW360">
            <v>450.06000000000006</v>
          </cell>
        </row>
        <row r="361">
          <cell r="C361" t="str">
            <v>融创+门店T区</v>
          </cell>
          <cell r="CW361">
            <v>381.05250000000001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232"/>
  <sheetViews>
    <sheetView workbookViewId="0">
      <pane xSplit="5" topLeftCell="T1" activePane="topRight" state="frozen"/>
      <selection pane="topRight" activeCell="AP216" sqref="AP1:AP1048576"/>
    </sheetView>
  </sheetViews>
  <sheetFormatPr defaultColWidth="9" defaultRowHeight="16.5" x14ac:dyDescent="0.15"/>
  <cols>
    <col min="3" max="3" width="10.875" customWidth="1"/>
    <col min="5" max="5" width="18.125" customWidth="1"/>
    <col min="6" max="7" width="9.25" customWidth="1"/>
    <col min="8" max="10" width="9" customWidth="1"/>
    <col min="11" max="11" width="9" style="12" customWidth="1"/>
    <col min="12" max="13" width="9" style="52" customWidth="1"/>
    <col min="14" max="18" width="9" style="51" customWidth="1"/>
    <col min="19" max="19" width="9" style="12" customWidth="1"/>
    <col min="20" max="20" width="9" style="51" customWidth="1"/>
    <col min="21" max="21" width="10.375" style="53" customWidth="1"/>
    <col min="22" max="22" width="9" style="12" customWidth="1"/>
    <col min="23" max="25" width="9" style="12" hidden="1" customWidth="1"/>
    <col min="26" max="26" width="13.875" style="12" hidden="1" customWidth="1"/>
    <col min="27" max="27" width="9.25" style="51" customWidth="1"/>
    <col min="28" max="30" width="9" style="12" hidden="1" customWidth="1"/>
    <col min="31" max="31" width="9.25" style="53" hidden="1" customWidth="1"/>
    <col min="32" max="32" width="9" style="12" hidden="1" customWidth="1"/>
    <col min="33" max="33" width="9" style="53" hidden="1" customWidth="1"/>
    <col min="34" max="34" width="10.875" style="12" hidden="1" customWidth="1"/>
    <col min="35" max="35" width="9" style="12" hidden="1" customWidth="1"/>
    <col min="36" max="37" width="9" style="53" hidden="1" customWidth="1"/>
    <col min="38" max="38" width="9" style="76" customWidth="1"/>
    <col min="39" max="39" width="10.375" style="51" customWidth="1"/>
    <col min="40" max="40" width="15.25" style="12"/>
    <col min="41" max="41" width="11.125" customWidth="1"/>
    <col min="42" max="42" width="12.875" style="142"/>
  </cols>
  <sheetData>
    <row r="1" spans="1:43" s="12" customFormat="1" ht="30" x14ac:dyDescent="0.15">
      <c r="A1" s="7" t="s">
        <v>0</v>
      </c>
      <c r="B1" s="7" t="s">
        <v>1</v>
      </c>
      <c r="C1" s="7" t="s">
        <v>2</v>
      </c>
      <c r="D1" s="7" t="s">
        <v>3</v>
      </c>
      <c r="E1" s="77" t="s">
        <v>4</v>
      </c>
      <c r="F1" s="78" t="s">
        <v>5</v>
      </c>
      <c r="G1" s="78" t="s">
        <v>6</v>
      </c>
      <c r="H1" s="78" t="s">
        <v>7</v>
      </c>
      <c r="I1" s="78" t="s">
        <v>8</v>
      </c>
      <c r="J1" s="78" t="s">
        <v>9</v>
      </c>
      <c r="K1" s="85" t="s">
        <v>10</v>
      </c>
      <c r="L1" s="86" t="s">
        <v>11</v>
      </c>
      <c r="M1" s="87" t="s">
        <v>12</v>
      </c>
      <c r="N1" s="88" t="s">
        <v>13</v>
      </c>
      <c r="O1" s="88" t="s">
        <v>14</v>
      </c>
      <c r="P1" s="88" t="s">
        <v>15</v>
      </c>
      <c r="Q1" s="88" t="s">
        <v>16</v>
      </c>
      <c r="R1" s="88" t="s">
        <v>17</v>
      </c>
      <c r="S1" s="89" t="s">
        <v>18</v>
      </c>
      <c r="T1" s="89" t="s">
        <v>19</v>
      </c>
      <c r="U1" s="89" t="s">
        <v>20</v>
      </c>
      <c r="V1" s="89" t="s">
        <v>21</v>
      </c>
      <c r="W1" s="89" t="s">
        <v>22</v>
      </c>
      <c r="X1" s="90" t="s">
        <v>23</v>
      </c>
      <c r="Y1" s="90" t="s">
        <v>24</v>
      </c>
      <c r="Z1" s="90" t="s">
        <v>25</v>
      </c>
      <c r="AA1" s="91" t="s">
        <v>26</v>
      </c>
      <c r="AB1" s="92" t="s">
        <v>27</v>
      </c>
      <c r="AC1" s="92" t="s">
        <v>28</v>
      </c>
      <c r="AD1" s="90" t="s">
        <v>29</v>
      </c>
      <c r="AE1" s="92" t="s">
        <v>30</v>
      </c>
      <c r="AF1" s="90" t="s">
        <v>31</v>
      </c>
      <c r="AG1" s="93" t="s">
        <v>32</v>
      </c>
      <c r="AH1" s="94" t="s">
        <v>33</v>
      </c>
      <c r="AI1" s="90" t="s">
        <v>34</v>
      </c>
      <c r="AJ1" s="90" t="s">
        <v>35</v>
      </c>
      <c r="AK1" s="90" t="s">
        <v>36</v>
      </c>
      <c r="AL1" s="94" t="s">
        <v>37</v>
      </c>
      <c r="AM1" s="91" t="s">
        <v>38</v>
      </c>
      <c r="AN1" s="95" t="s">
        <v>39</v>
      </c>
      <c r="AO1" s="93" t="s">
        <v>40</v>
      </c>
      <c r="AP1" s="141"/>
    </row>
    <row r="2" spans="1:43" x14ac:dyDescent="0.15">
      <c r="A2" s="55" t="s">
        <v>41</v>
      </c>
      <c r="B2" s="62">
        <v>468</v>
      </c>
      <c r="C2" s="57" t="s">
        <v>42</v>
      </c>
      <c r="D2" s="58" t="s">
        <v>43</v>
      </c>
      <c r="E2" s="58" t="s">
        <v>44</v>
      </c>
      <c r="F2" s="11">
        <f t="shared" ref="F2:F65" si="0">G2+H2+I2</f>
        <v>18015</v>
      </c>
      <c r="G2" s="11">
        <v>16127</v>
      </c>
      <c r="H2" s="11">
        <v>1000</v>
      </c>
      <c r="I2" s="11">
        <v>888</v>
      </c>
      <c r="J2" s="67"/>
      <c r="K2" s="11"/>
      <c r="L2" s="68">
        <f>F2/$K$5</f>
        <v>0.27054424220580287</v>
      </c>
      <c r="M2" s="68">
        <v>0.04</v>
      </c>
      <c r="N2" s="45">
        <f>G2*0.95*M2</f>
        <v>612.82600000000002</v>
      </c>
      <c r="O2" s="45">
        <f>H2*0.65*0.95*M2</f>
        <v>24.7</v>
      </c>
      <c r="P2" s="45">
        <f>K5*0.008</f>
        <v>532.70400000000006</v>
      </c>
      <c r="Q2" s="45"/>
      <c r="R2" s="45">
        <f>N2+O2+P2+Q2</f>
        <v>1170.23</v>
      </c>
      <c r="S2" s="11">
        <f>_xlfn.XLOOKUP(E:E,'[1]②7月-汇总'!$D:$D,'[1]②7月-汇总'!$AP:$AP)</f>
        <v>31</v>
      </c>
      <c r="T2" s="45">
        <v>2200</v>
      </c>
      <c r="U2" s="11">
        <f>_xlfn.XLOOKUP(E:E,'[2]手工、项目数、消耗'!$C:$C,'[2]手工、项目数、消耗'!$E:$E)</f>
        <v>25060.39</v>
      </c>
      <c r="V2" s="11">
        <f>_xlfn.XLOOKUP(E:E,'[2]手工、项目数、消耗'!$C:$C,'[2]手工、项目数、消耗'!$D:$D)</f>
        <v>128</v>
      </c>
      <c r="W2" s="11">
        <f>_xlfn.XLOOKUP(E:E,'[2]手工、项目数、消耗'!$C:$C,'[2]手工、项目数、消耗'!$H:$H)</f>
        <v>1660</v>
      </c>
      <c r="X2" s="11">
        <f>_xlfn.XLOOKUP(E:E,'[1]②7月-汇总'!$D:$D,'[1]②7月-汇总'!$W:$W)</f>
        <v>0</v>
      </c>
      <c r="Y2" s="11">
        <f>_xlfn.XLOOKUP(E:E,'[1]②7月-汇总'!$D:$D,'[1]②7月-汇总'!$Z:$Z)</f>
        <v>0</v>
      </c>
      <c r="Z2" s="11">
        <f>_xlfn.XLOOKUP(E:E,'[1]②7月-汇总'!$D:$D,'[1]②7月-汇总'!$AI:$AI)</f>
        <v>0</v>
      </c>
      <c r="AA2" s="45">
        <f>R2+T2+W2+X2+Y2+Z2</f>
        <v>5030.2299999999996</v>
      </c>
      <c r="AB2" s="11"/>
      <c r="AC2" s="67"/>
      <c r="AD2" s="11">
        <f>_xlfn.XLOOKUP(E:E,'[1]②7月-汇总'!$D:$D,'[1]②7月-汇总'!$AC:$AC)</f>
        <v>0</v>
      </c>
      <c r="AE2" s="11">
        <f>_xlfn.XLOOKUP(E:E,[3]Sheet1!$B:$B,[3]Sheet1!$L:$L)</f>
        <v>644.16800000000001</v>
      </c>
      <c r="AF2" s="11">
        <f>_xlfn.XLOOKUP(E:E,'[1]②7月-汇总'!$D:$D,'[1]②7月-汇总'!$AD:$AD)</f>
        <v>0</v>
      </c>
      <c r="AG2" s="11">
        <f>_xlfn.XLOOKUP(E:E,'[1]②7月-汇总'!$D:$D,'[1]②7月-汇总'!$Y:$Y)</f>
        <v>0</v>
      </c>
      <c r="AH2" s="11">
        <f>_xlfn.XLOOKUP(E:E,'[1]②7月-汇总'!$D:$D,'[1]②7月-汇总'!$L:$L)</f>
        <v>0</v>
      </c>
      <c r="AI2" s="11">
        <f>_xlfn.XLOOKUP(E:E,'[1]②7月-汇总'!$D:$D,'[1]②7月-汇总'!$X:$X)</f>
        <v>0</v>
      </c>
      <c r="AJ2" s="11">
        <f>_xlfn.XLOOKUP(E:E,'[1]②7月-汇总'!$D:$D,'[1]②7月-汇总'!$AB:$AB)</f>
        <v>0</v>
      </c>
      <c r="AK2" s="11">
        <f>_xlfn.XLOOKUP(E:E,'[1]②7月-汇总'!$D:$D,'[1]②7月-汇总'!$AE:$AE)</f>
        <v>0</v>
      </c>
      <c r="AL2" s="96"/>
      <c r="AM2" s="45">
        <f>AA2+AB2-AC2-AD2-AE2-AF2-AG2-AI2-AJ2+AK2+AL2</f>
        <v>4386.0619999999999</v>
      </c>
      <c r="AN2" s="11">
        <f>_xlfn.XLOOKUP(E:E,'[1]①7月-花名册'!$E:$E,'[1]①7月-花名册'!$T:$T)</f>
        <v>0</v>
      </c>
      <c r="AO2" s="67"/>
      <c r="AP2" s="142">
        <f>_xlfn.XLOOKUP(E2,[9]工资核对的全字段!$C:$C,[9]工资核对的全字段!$CW:$CW,0)</f>
        <v>4386.0680000000002</v>
      </c>
      <c r="AQ2" s="36">
        <f>AP2-AM2</f>
        <v>6.0000000003128662E-3</v>
      </c>
    </row>
    <row r="3" spans="1:43" x14ac:dyDescent="0.15">
      <c r="A3" s="55" t="s">
        <v>41</v>
      </c>
      <c r="B3" s="62">
        <v>468</v>
      </c>
      <c r="C3" s="57" t="s">
        <v>42</v>
      </c>
      <c r="D3" s="58" t="s">
        <v>4</v>
      </c>
      <c r="E3" s="58" t="s">
        <v>45</v>
      </c>
      <c r="F3" s="11">
        <f t="shared" si="0"/>
        <v>40265</v>
      </c>
      <c r="G3" s="11">
        <v>40265</v>
      </c>
      <c r="H3" s="11">
        <v>0</v>
      </c>
      <c r="I3" s="11">
        <v>0</v>
      </c>
      <c r="J3" s="67"/>
      <c r="K3" s="11"/>
      <c r="L3" s="68">
        <f>F3/$K$5</f>
        <v>0.60468853246831256</v>
      </c>
      <c r="M3" s="68">
        <v>0.04</v>
      </c>
      <c r="N3" s="45">
        <f t="shared" ref="N3:N66" si="1">G3*0.95*M3</f>
        <v>1530.07</v>
      </c>
      <c r="O3" s="45">
        <f t="shared" ref="O3:O66" si="2">H3*0.65*0.95*M3</f>
        <v>0</v>
      </c>
      <c r="P3" s="45"/>
      <c r="Q3" s="45"/>
      <c r="R3" s="45">
        <f t="shared" ref="R3:R66" si="3">N3+O3+P3+Q3</f>
        <v>1530.07</v>
      </c>
      <c r="S3" s="11">
        <f>_xlfn.XLOOKUP(E:E,'[1]②7月-汇总'!$D:$D,'[1]②7月-汇总'!$AP:$AP)</f>
        <v>31</v>
      </c>
      <c r="T3" s="45">
        <v>2200</v>
      </c>
      <c r="U3" s="11">
        <f>_xlfn.XLOOKUP(E:E,'[2]手工、项目数、消耗'!$C:$C,'[2]手工、项目数、消耗'!$E:$E)</f>
        <v>48303.1</v>
      </c>
      <c r="V3" s="11">
        <f>_xlfn.XLOOKUP(E:E,'[2]手工、项目数、消耗'!$C:$C,'[2]手工、项目数、消耗'!$D:$D)</f>
        <v>127</v>
      </c>
      <c r="W3" s="11">
        <f>_xlfn.XLOOKUP(E:E,'[2]手工、项目数、消耗'!$C:$C,'[2]手工、项目数、消耗'!$H:$H)</f>
        <v>1683</v>
      </c>
      <c r="X3" s="11">
        <f>_xlfn.XLOOKUP(E:E,'[1]②7月-汇总'!$D:$D,'[1]②7月-汇总'!$W:$W)</f>
        <v>0</v>
      </c>
      <c r="Y3" s="11">
        <f>_xlfn.XLOOKUP(E:E,'[1]②7月-汇总'!$D:$D,'[1]②7月-汇总'!$Z:$Z)</f>
        <v>50</v>
      </c>
      <c r="Z3" s="11">
        <f>_xlfn.XLOOKUP(E:E,'[1]②7月-汇总'!$D:$D,'[1]②7月-汇总'!$AI:$AI)</f>
        <v>0</v>
      </c>
      <c r="AA3" s="45">
        <f t="shared" ref="AA3:AA66" si="4">R3+T3+W3+X3+Y3+Z3</f>
        <v>5463.07</v>
      </c>
      <c r="AB3" s="11">
        <v>500</v>
      </c>
      <c r="AC3" s="67"/>
      <c r="AD3" s="11">
        <f>_xlfn.XLOOKUP(E:E,'[1]②7月-汇总'!$D:$D,'[1]②7月-汇总'!$AC:$AC)</f>
        <v>0</v>
      </c>
      <c r="AE3" s="11">
        <f>_xlfn.XLOOKUP(E:E,[3]Sheet1!$B:$B,[3]Sheet1!$L:$L)</f>
        <v>640.55999999999995</v>
      </c>
      <c r="AF3" s="11">
        <f>_xlfn.XLOOKUP(E:E,'[1]②7月-汇总'!$D:$D,'[1]②7月-汇总'!$AD:$AD)</f>
        <v>0</v>
      </c>
      <c r="AG3" s="11">
        <f>_xlfn.XLOOKUP(E:E,'[1]②7月-汇总'!$D:$D,'[1]②7月-汇总'!$Y:$Y)</f>
        <v>0</v>
      </c>
      <c r="AH3" s="11">
        <f>_xlfn.XLOOKUP(E:E,'[1]②7月-汇总'!$D:$D,'[1]②7月-汇总'!$L:$L)</f>
        <v>0</v>
      </c>
      <c r="AI3" s="11">
        <f>_xlfn.XLOOKUP(E:E,'[1]②7月-汇总'!$D:$D,'[1]②7月-汇总'!$X:$X)</f>
        <v>0</v>
      </c>
      <c r="AJ3" s="11">
        <f>_xlfn.XLOOKUP(E:E,'[1]②7月-汇总'!$D:$D,'[1]②7月-汇总'!$AB:$AB)</f>
        <v>0</v>
      </c>
      <c r="AK3" s="11">
        <f>_xlfn.XLOOKUP(E:E,'[1]②7月-汇总'!$D:$D,'[1]②7月-汇总'!$AE:$AE)</f>
        <v>0</v>
      </c>
      <c r="AL3" s="96"/>
      <c r="AM3" s="45">
        <f t="shared" ref="AM3:AM15" si="5">AA3+AB3-AC3-AD3-AE3-AF3-AG3-AI3-AJ3+AK3+AL3</f>
        <v>5322.51</v>
      </c>
      <c r="AN3" s="11">
        <f>_xlfn.XLOOKUP(E:E,'[1]①7月-花名册'!$E:$E,'[1]①7月-花名册'!$T:$T)</f>
        <v>0</v>
      </c>
      <c r="AO3" s="67"/>
      <c r="AP3" s="142">
        <f>_xlfn.XLOOKUP(E3,[9]工资核对的全字段!$C:$C,[9]工资核对的全字段!$CW:$CW,0)</f>
        <v>5322.51</v>
      </c>
      <c r="AQ3" s="36">
        <f t="shared" ref="AQ3:AQ66" si="6">AP3-AM3</f>
        <v>0</v>
      </c>
    </row>
    <row r="4" spans="1:43" x14ac:dyDescent="0.15">
      <c r="A4" s="55" t="s">
        <v>41</v>
      </c>
      <c r="B4" s="62">
        <v>468</v>
      </c>
      <c r="C4" s="57" t="s">
        <v>42</v>
      </c>
      <c r="D4" s="58" t="s">
        <v>4</v>
      </c>
      <c r="E4" s="58" t="s">
        <v>46</v>
      </c>
      <c r="F4" s="11">
        <f t="shared" si="0"/>
        <v>8308</v>
      </c>
      <c r="G4" s="11">
        <v>8308</v>
      </c>
      <c r="H4" s="11">
        <v>0</v>
      </c>
      <c r="I4" s="11">
        <v>0</v>
      </c>
      <c r="J4" s="67"/>
      <c r="K4" s="11"/>
      <c r="L4" s="68">
        <f>F4/$K$5</f>
        <v>0.12476722532588454</v>
      </c>
      <c r="M4" s="68">
        <v>0.04</v>
      </c>
      <c r="N4" s="45">
        <f t="shared" si="1"/>
        <v>315.70400000000001</v>
      </c>
      <c r="O4" s="45">
        <f t="shared" si="2"/>
        <v>0</v>
      </c>
      <c r="P4" s="45"/>
      <c r="Q4" s="45"/>
      <c r="R4" s="45">
        <f t="shared" si="3"/>
        <v>315.70400000000001</v>
      </c>
      <c r="S4" s="11">
        <f>_xlfn.XLOOKUP(E:E,'[1]②7月-汇总'!$D:$D,'[1]②7月-汇总'!$AP:$AP)</f>
        <v>31</v>
      </c>
      <c r="T4" s="45">
        <v>2000</v>
      </c>
      <c r="U4" s="11">
        <f>_xlfn.XLOOKUP(E:E,'[2]手工、项目数、消耗'!$C:$C,'[2]手工、项目数、消耗'!$E:$E)</f>
        <v>14604.05</v>
      </c>
      <c r="V4" s="11">
        <f>_xlfn.XLOOKUP(E:E,'[2]手工、项目数、消耗'!$C:$C,'[2]手工、项目数、消耗'!$D:$D)</f>
        <v>116</v>
      </c>
      <c r="W4" s="11">
        <f>_xlfn.XLOOKUP(E:E,'[2]手工、项目数、消耗'!$C:$C,'[2]手工、项目数、消耗'!$H:$H)</f>
        <v>1651</v>
      </c>
      <c r="X4" s="11">
        <f>_xlfn.XLOOKUP(E:E,'[1]②7月-汇总'!$D:$D,'[1]②7月-汇总'!$W:$W)</f>
        <v>0</v>
      </c>
      <c r="Y4" s="11">
        <f>_xlfn.XLOOKUP(E:E,'[1]②7月-汇总'!$D:$D,'[1]②7月-汇总'!$Z:$Z)</f>
        <v>50</v>
      </c>
      <c r="Z4" s="11">
        <f>_xlfn.XLOOKUP(E:E,'[1]②7月-汇总'!$D:$D,'[1]②7月-汇总'!$AI:$AI)</f>
        <v>0</v>
      </c>
      <c r="AA4" s="45">
        <f t="shared" si="4"/>
        <v>4016.7040000000002</v>
      </c>
      <c r="AB4" s="11"/>
      <c r="AC4" s="67"/>
      <c r="AD4" s="11">
        <f>_xlfn.XLOOKUP(E:E,'[1]②7月-汇总'!$D:$D,'[1]②7月-汇总'!$AC:$AC)</f>
        <v>0</v>
      </c>
      <c r="AE4" s="11"/>
      <c r="AF4" s="11">
        <f>_xlfn.XLOOKUP(E:E,'[1]②7月-汇总'!$D:$D,'[1]②7月-汇总'!$AD:$AD)</f>
        <v>0</v>
      </c>
      <c r="AG4" s="11">
        <f>_xlfn.XLOOKUP(E:E,'[1]②7月-汇总'!$D:$D,'[1]②7月-汇总'!$Y:$Y)</f>
        <v>0</v>
      </c>
      <c r="AH4" s="11">
        <f>_xlfn.XLOOKUP(E:E,'[1]②7月-汇总'!$D:$D,'[1]②7月-汇总'!$L:$L)</f>
        <v>0</v>
      </c>
      <c r="AI4" s="11">
        <f>_xlfn.XLOOKUP(E:E,'[1]②7月-汇总'!$D:$D,'[1]②7月-汇总'!$X:$X)</f>
        <v>0</v>
      </c>
      <c r="AJ4" s="11">
        <f>_xlfn.XLOOKUP(E:E,'[1]②7月-汇总'!$D:$D,'[1]②7月-汇总'!$AB:$AB)</f>
        <v>0</v>
      </c>
      <c r="AK4" s="11">
        <f>_xlfn.XLOOKUP(E:E,'[1]②7月-汇总'!$D:$D,'[1]②7月-汇总'!$AE:$AE)</f>
        <v>0</v>
      </c>
      <c r="AL4" s="96"/>
      <c r="AM4" s="45">
        <f t="shared" si="5"/>
        <v>4016.7040000000002</v>
      </c>
      <c r="AN4" s="11">
        <f>_xlfn.XLOOKUP(E:E,'[1]①7月-花名册'!$E:$E,'[1]①7月-花名册'!$T:$T)</f>
        <v>4000</v>
      </c>
      <c r="AO4" s="67"/>
      <c r="AP4" s="142">
        <f>_xlfn.XLOOKUP(E4,[9]工资核对的全字段!$C:$C,[9]工资核对的全字段!$CW:$CW,0)</f>
        <v>4016.7039999999997</v>
      </c>
      <c r="AQ4" s="36">
        <f t="shared" si="6"/>
        <v>0</v>
      </c>
    </row>
    <row r="5" spans="1:43" x14ac:dyDescent="0.15">
      <c r="A5" s="55" t="s">
        <v>41</v>
      </c>
      <c r="B5" s="62">
        <f t="shared" ref="B5:B9" si="7">B4</f>
        <v>468</v>
      </c>
      <c r="C5" s="57" t="s">
        <v>47</v>
      </c>
      <c r="D5" s="58" t="s">
        <v>47</v>
      </c>
      <c r="E5" s="58" t="s">
        <v>47</v>
      </c>
      <c r="F5" s="11">
        <f t="shared" si="0"/>
        <v>0</v>
      </c>
      <c r="G5" s="11">
        <v>0</v>
      </c>
      <c r="H5" s="11">
        <v>0</v>
      </c>
      <c r="I5" s="11">
        <v>0</v>
      </c>
      <c r="J5" s="67"/>
      <c r="K5" s="11">
        <v>66588</v>
      </c>
      <c r="L5" s="68"/>
      <c r="M5" s="68"/>
      <c r="N5" s="45">
        <f t="shared" si="1"/>
        <v>0</v>
      </c>
      <c r="O5" s="45">
        <f t="shared" si="2"/>
        <v>0</v>
      </c>
      <c r="P5" s="45"/>
      <c r="Q5" s="45"/>
      <c r="R5" s="45">
        <f t="shared" si="3"/>
        <v>0</v>
      </c>
      <c r="S5" s="11"/>
      <c r="T5" s="45"/>
      <c r="U5" s="11"/>
      <c r="V5" s="11"/>
      <c r="W5" s="11"/>
      <c r="X5" s="11"/>
      <c r="Y5" s="11"/>
      <c r="Z5" s="11"/>
      <c r="AA5" s="45">
        <f t="shared" si="4"/>
        <v>0</v>
      </c>
      <c r="AB5" s="11"/>
      <c r="AC5" s="67"/>
      <c r="AD5" s="11"/>
      <c r="AE5" s="11"/>
      <c r="AF5" s="11"/>
      <c r="AG5" s="11"/>
      <c r="AH5" s="11"/>
      <c r="AI5" s="11"/>
      <c r="AJ5" s="11"/>
      <c r="AK5" s="11"/>
      <c r="AL5" s="96"/>
      <c r="AM5" s="45">
        <f t="shared" si="5"/>
        <v>0</v>
      </c>
      <c r="AN5" s="11"/>
      <c r="AO5" s="67"/>
      <c r="AP5" s="142">
        <f>_xlfn.XLOOKUP(E5,[9]工资核对的全字段!$C:$C,[9]工资核对的全字段!$CW:$CW,0)</f>
        <v>0</v>
      </c>
      <c r="AQ5" s="36">
        <f t="shared" si="6"/>
        <v>0</v>
      </c>
    </row>
    <row r="6" spans="1:43" x14ac:dyDescent="0.15">
      <c r="A6" s="55" t="s">
        <v>41</v>
      </c>
      <c r="B6" s="62">
        <v>468</v>
      </c>
      <c r="C6" s="57" t="s">
        <v>48</v>
      </c>
      <c r="D6" s="58" t="s">
        <v>43</v>
      </c>
      <c r="E6" s="58" t="s">
        <v>49</v>
      </c>
      <c r="F6" s="11">
        <f t="shared" si="0"/>
        <v>40735</v>
      </c>
      <c r="G6" s="11">
        <v>29735</v>
      </c>
      <c r="H6" s="11">
        <v>11000</v>
      </c>
      <c r="I6" s="11">
        <v>0</v>
      </c>
      <c r="J6" s="67"/>
      <c r="K6" s="11"/>
      <c r="L6" s="68">
        <f>F6/$K$8</f>
        <v>0.63941168160484718</v>
      </c>
      <c r="M6" s="68">
        <v>0.05</v>
      </c>
      <c r="N6" s="45">
        <f t="shared" si="1"/>
        <v>1412.4125000000001</v>
      </c>
      <c r="O6" s="45">
        <f t="shared" si="2"/>
        <v>339.625</v>
      </c>
      <c r="P6" s="45">
        <f>K8*0.003</f>
        <v>191.12100000000001</v>
      </c>
      <c r="Q6" s="45"/>
      <c r="R6" s="45">
        <f t="shared" si="3"/>
        <v>1943.1585000000002</v>
      </c>
      <c r="S6" s="11">
        <f>_xlfn.XLOOKUP(E:E,'[1]②7月-汇总'!$D:$D,'[1]②7月-汇总'!$AP:$AP)</f>
        <v>31</v>
      </c>
      <c r="T6" s="45">
        <v>2200</v>
      </c>
      <c r="U6" s="11">
        <f>_xlfn.XLOOKUP(E:E,'[2]手工、项目数、消耗'!$C:$C,'[2]手工、项目数、消耗'!$E:$E)</f>
        <v>65626.87</v>
      </c>
      <c r="V6" s="11">
        <f>_xlfn.XLOOKUP(E:E,'[2]手工、项目数、消耗'!$C:$C,'[2]手工、项目数、消耗'!$D:$D)</f>
        <v>142</v>
      </c>
      <c r="W6" s="11">
        <f>_xlfn.XLOOKUP(E:E,'[2]手工、项目数、消耗'!$C:$C,'[2]手工、项目数、消耗'!$H:$H)</f>
        <v>2166</v>
      </c>
      <c r="X6" s="11">
        <f>_xlfn.XLOOKUP(E:E,'[1]②7月-汇总'!$D:$D,'[1]②7月-汇总'!$W:$W)</f>
        <v>0</v>
      </c>
      <c r="Y6" s="11">
        <f>_xlfn.XLOOKUP(E:E,'[1]②7月-汇总'!$D:$D,'[1]②7月-汇总'!$Z:$Z)</f>
        <v>0</v>
      </c>
      <c r="Z6" s="11">
        <f>_xlfn.XLOOKUP(E:E,'[1]②7月-汇总'!$D:$D,'[1]②7月-汇总'!$AI:$AI)</f>
        <v>0</v>
      </c>
      <c r="AA6" s="45">
        <f t="shared" si="4"/>
        <v>6309.1585000000005</v>
      </c>
      <c r="AB6" s="11"/>
      <c r="AC6" s="67"/>
      <c r="AD6" s="11">
        <f>_xlfn.XLOOKUP(E:E,'[1]②7月-汇总'!$D:$D,'[1]②7月-汇总'!$AC:$AC)</f>
        <v>0</v>
      </c>
      <c r="AE6" s="11">
        <f>_xlfn.XLOOKUP(E:E,[3]Sheet1!$B:$B,[3]Sheet1!$L:$L)</f>
        <v>640.55999999999995</v>
      </c>
      <c r="AF6" s="11">
        <f>_xlfn.XLOOKUP(E:E,'[1]②7月-汇总'!$D:$D,'[1]②7月-汇总'!$AD:$AD)</f>
        <v>0</v>
      </c>
      <c r="AG6" s="11">
        <f>_xlfn.XLOOKUP(E:E,'[1]②7月-汇总'!$D:$D,'[1]②7月-汇总'!$Y:$Y)</f>
        <v>0</v>
      </c>
      <c r="AH6" s="11">
        <f>_xlfn.XLOOKUP(E:E,'[1]②7月-汇总'!$D:$D,'[1]②7月-汇总'!$L:$L)</f>
        <v>0</v>
      </c>
      <c r="AI6" s="11">
        <f>_xlfn.XLOOKUP(E:E,'[1]②7月-汇总'!$D:$D,'[1]②7月-汇总'!$X:$X)</f>
        <v>10</v>
      </c>
      <c r="AJ6" s="11">
        <f>_xlfn.XLOOKUP(E:E,'[1]②7月-汇总'!$D:$D,'[1]②7月-汇总'!$AB:$AB)</f>
        <v>0</v>
      </c>
      <c r="AK6" s="11">
        <f>_xlfn.XLOOKUP(E:E,'[1]②7月-汇总'!$D:$D,'[1]②7月-汇总'!$AE:$AE)</f>
        <v>0</v>
      </c>
      <c r="AL6" s="96"/>
      <c r="AM6" s="45">
        <f t="shared" si="5"/>
        <v>5658.5985000000001</v>
      </c>
      <c r="AN6" s="11">
        <f>_xlfn.XLOOKUP(E:E,'[1]①7月-花名册'!$E:$E,'[1]①7月-花名册'!$T:$T)</f>
        <v>0</v>
      </c>
      <c r="AO6" s="67"/>
      <c r="AP6" s="142">
        <f>_xlfn.XLOOKUP(E6,[9]工资核对的全字段!$C:$C,[9]工资核对的全字段!$CW:$CW,0)</f>
        <v>5658.6075000000001</v>
      </c>
      <c r="AQ6" s="36">
        <f t="shared" si="6"/>
        <v>9.0000000000145519E-3</v>
      </c>
    </row>
    <row r="7" spans="1:43" x14ac:dyDescent="0.15">
      <c r="A7" s="55" t="s">
        <v>41</v>
      </c>
      <c r="B7" s="62">
        <v>468</v>
      </c>
      <c r="C7" s="57" t="s">
        <v>48</v>
      </c>
      <c r="D7" s="58" t="s">
        <v>4</v>
      </c>
      <c r="E7" s="58" t="s">
        <v>50</v>
      </c>
      <c r="F7" s="11">
        <f t="shared" si="0"/>
        <v>22972</v>
      </c>
      <c r="G7" s="11">
        <v>22473</v>
      </c>
      <c r="H7" s="11">
        <v>499</v>
      </c>
      <c r="I7" s="11">
        <v>0</v>
      </c>
      <c r="J7" s="67"/>
      <c r="K7" s="11"/>
      <c r="L7" s="68">
        <f>F7/$K$8</f>
        <v>0.36058831839515282</v>
      </c>
      <c r="M7" s="68">
        <v>0.05</v>
      </c>
      <c r="N7" s="45">
        <f t="shared" si="1"/>
        <v>1067.4675</v>
      </c>
      <c r="O7" s="45">
        <f t="shared" si="2"/>
        <v>15.406625</v>
      </c>
      <c r="P7" s="45"/>
      <c r="Q7" s="45"/>
      <c r="R7" s="45">
        <f t="shared" si="3"/>
        <v>1082.874125</v>
      </c>
      <c r="S7" s="11">
        <f>_xlfn.XLOOKUP(E:E,'[1]②7月-汇总'!$D:$D,'[1]②7月-汇总'!$AP:$AP)</f>
        <v>31</v>
      </c>
      <c r="T7" s="45">
        <v>2200</v>
      </c>
      <c r="U7" s="11">
        <f>_xlfn.XLOOKUP(E:E,'[2]手工、项目数、消耗'!$C:$C,'[2]手工、项目数、消耗'!$E:$E)</f>
        <v>24362.94</v>
      </c>
      <c r="V7" s="11">
        <f>_xlfn.XLOOKUP(E:E,'[2]手工、项目数、消耗'!$C:$C,'[2]手工、项目数、消耗'!$D:$D)</f>
        <v>129</v>
      </c>
      <c r="W7" s="11">
        <f>_xlfn.XLOOKUP(E:E,'[2]手工、项目数、消耗'!$C:$C,'[2]手工、项目数、消耗'!$H:$H)</f>
        <v>1727</v>
      </c>
      <c r="X7" s="11">
        <f>_xlfn.XLOOKUP(E:E,'[1]②7月-汇总'!$D:$D,'[1]②7月-汇总'!$W:$W)</f>
        <v>0</v>
      </c>
      <c r="Y7" s="11">
        <f>_xlfn.XLOOKUP(E:E,'[1]②7月-汇总'!$D:$D,'[1]②7月-汇总'!$Z:$Z)</f>
        <v>0</v>
      </c>
      <c r="Z7" s="11">
        <f>_xlfn.XLOOKUP(E:E,'[1]②7月-汇总'!$D:$D,'[1]②7月-汇总'!$AI:$AI)</f>
        <v>0</v>
      </c>
      <c r="AA7" s="45">
        <f t="shared" si="4"/>
        <v>5009.8741250000003</v>
      </c>
      <c r="AB7" s="11"/>
      <c r="AC7" s="67"/>
      <c r="AD7" s="11">
        <f>_xlfn.XLOOKUP(E:E,'[1]②7月-汇总'!$D:$D,'[1]②7月-汇总'!$AC:$AC)</f>
        <v>0</v>
      </c>
      <c r="AE7" s="11">
        <f>_xlfn.XLOOKUP(E:E,[3]Sheet1!$B:$B,[3]Sheet1!$L:$L)</f>
        <v>644.16800000000001</v>
      </c>
      <c r="AF7" s="11">
        <f>_xlfn.XLOOKUP(E:E,'[1]②7月-汇总'!$D:$D,'[1]②7月-汇总'!$AD:$AD)</f>
        <v>0</v>
      </c>
      <c r="AG7" s="11">
        <f>_xlfn.XLOOKUP(E:E,'[1]②7月-汇总'!$D:$D,'[1]②7月-汇总'!$Y:$Y)</f>
        <v>0</v>
      </c>
      <c r="AH7" s="11">
        <f>_xlfn.XLOOKUP(E:E,'[1]②7月-汇总'!$D:$D,'[1]②7月-汇总'!$L:$L)</f>
        <v>0</v>
      </c>
      <c r="AI7" s="11">
        <f>_xlfn.XLOOKUP(E:E,'[1]②7月-汇总'!$D:$D,'[1]②7月-汇总'!$X:$X)</f>
        <v>10</v>
      </c>
      <c r="AJ7" s="11">
        <f>_xlfn.XLOOKUP(E:E,'[1]②7月-汇总'!$D:$D,'[1]②7月-汇总'!$AB:$AB)</f>
        <v>0</v>
      </c>
      <c r="AK7" s="11">
        <f>_xlfn.XLOOKUP(E:E,'[1]②7月-汇总'!$D:$D,'[1]②7月-汇总'!$AE:$AE)</f>
        <v>0</v>
      </c>
      <c r="AL7" s="96"/>
      <c r="AM7" s="45">
        <f t="shared" si="5"/>
        <v>4355.7061250000006</v>
      </c>
      <c r="AN7" s="11">
        <f>_xlfn.XLOOKUP(E:E,'[1]①7月-花名册'!$E:$E,'[1]①7月-花名册'!$T:$T)</f>
        <v>0</v>
      </c>
      <c r="AO7" s="67"/>
      <c r="AP7" s="142">
        <f>_xlfn.XLOOKUP(E7,[9]工资核对的全字段!$C:$C,[9]工资核对的全字段!$CW:$CW,0)</f>
        <v>4355.7061250000006</v>
      </c>
      <c r="AQ7" s="36">
        <f t="shared" si="6"/>
        <v>0</v>
      </c>
    </row>
    <row r="8" spans="1:43" x14ac:dyDescent="0.15">
      <c r="A8" s="55" t="s">
        <v>41</v>
      </c>
      <c r="B8" s="62">
        <f t="shared" si="7"/>
        <v>468</v>
      </c>
      <c r="C8" s="57" t="s">
        <v>47</v>
      </c>
      <c r="D8" s="58" t="s">
        <v>47</v>
      </c>
      <c r="E8" s="79" t="s">
        <v>47</v>
      </c>
      <c r="F8" s="11">
        <f t="shared" si="0"/>
        <v>0</v>
      </c>
      <c r="G8" s="11">
        <v>0</v>
      </c>
      <c r="H8" s="11">
        <v>0</v>
      </c>
      <c r="I8" s="11">
        <v>0</v>
      </c>
      <c r="J8" s="67"/>
      <c r="K8" s="11">
        <v>63707</v>
      </c>
      <c r="L8" s="68"/>
      <c r="M8" s="68"/>
      <c r="N8" s="45">
        <f t="shared" si="1"/>
        <v>0</v>
      </c>
      <c r="O8" s="45">
        <f t="shared" si="2"/>
        <v>0</v>
      </c>
      <c r="P8" s="45"/>
      <c r="Q8" s="45"/>
      <c r="R8" s="45">
        <f t="shared" si="3"/>
        <v>0</v>
      </c>
      <c r="S8" s="11"/>
      <c r="T8" s="45"/>
      <c r="U8" s="11"/>
      <c r="V8" s="11"/>
      <c r="W8" s="11"/>
      <c r="X8" s="11"/>
      <c r="Y8" s="11"/>
      <c r="Z8" s="11"/>
      <c r="AA8" s="45">
        <f t="shared" si="4"/>
        <v>0</v>
      </c>
      <c r="AB8" s="11"/>
      <c r="AC8" s="67"/>
      <c r="AD8" s="11"/>
      <c r="AE8" s="11"/>
      <c r="AF8" s="11"/>
      <c r="AG8" s="11"/>
      <c r="AH8" s="11"/>
      <c r="AI8" s="11"/>
      <c r="AJ8" s="11"/>
      <c r="AK8" s="11"/>
      <c r="AL8" s="96"/>
      <c r="AM8" s="45">
        <f t="shared" si="5"/>
        <v>0</v>
      </c>
      <c r="AN8" s="11"/>
      <c r="AO8" s="67"/>
      <c r="AP8" s="142">
        <f>_xlfn.XLOOKUP(E8,[9]工资核对的全字段!$C:$C,[9]工资核对的全字段!$CW:$CW,0)</f>
        <v>0</v>
      </c>
      <c r="AQ8" s="36">
        <f t="shared" si="6"/>
        <v>0</v>
      </c>
    </row>
    <row r="9" spans="1:43" x14ac:dyDescent="0.15">
      <c r="A9" s="55" t="s">
        <v>41</v>
      </c>
      <c r="B9" s="62">
        <f t="shared" si="7"/>
        <v>468</v>
      </c>
      <c r="C9" s="60" t="s">
        <v>9</v>
      </c>
      <c r="D9" s="61" t="s">
        <v>9</v>
      </c>
      <c r="E9" s="61" t="s">
        <v>51</v>
      </c>
      <c r="F9" s="11">
        <f t="shared" si="0"/>
        <v>10000</v>
      </c>
      <c r="G9" s="11">
        <v>10000</v>
      </c>
      <c r="H9" s="11">
        <v>0</v>
      </c>
      <c r="I9" s="11">
        <v>0</v>
      </c>
      <c r="J9" s="67"/>
      <c r="K9" s="11"/>
      <c r="L9" s="68"/>
      <c r="M9" s="68"/>
      <c r="N9" s="45">
        <f t="shared" si="1"/>
        <v>0</v>
      </c>
      <c r="O9" s="45">
        <f t="shared" si="2"/>
        <v>0</v>
      </c>
      <c r="P9" s="45"/>
      <c r="Q9" s="45">
        <v>351</v>
      </c>
      <c r="R9" s="45">
        <f t="shared" si="3"/>
        <v>351</v>
      </c>
      <c r="S9" s="11"/>
      <c r="T9" s="45"/>
      <c r="U9" s="11"/>
      <c r="V9" s="11"/>
      <c r="W9" s="11"/>
      <c r="X9" s="11"/>
      <c r="Y9" s="11"/>
      <c r="Z9" s="11"/>
      <c r="AA9" s="45">
        <f t="shared" si="4"/>
        <v>351</v>
      </c>
      <c r="AB9" s="11"/>
      <c r="AC9" s="67"/>
      <c r="AD9" s="11"/>
      <c r="AE9" s="11"/>
      <c r="AF9" s="11"/>
      <c r="AG9" s="11"/>
      <c r="AH9" s="11"/>
      <c r="AI9" s="11"/>
      <c r="AJ9" s="11"/>
      <c r="AK9" s="11"/>
      <c r="AL9" s="96"/>
      <c r="AM9" s="45">
        <f t="shared" si="5"/>
        <v>351</v>
      </c>
      <c r="AN9" s="11"/>
      <c r="AO9" s="67"/>
      <c r="AP9" s="142">
        <f>_xlfn.XLOOKUP(E9,[9]工资核对的全字段!$C:$C,[9]工资核对的全字段!$CW:$CW,0)</f>
        <v>350.73750000000001</v>
      </c>
      <c r="AQ9" s="36">
        <f t="shared" si="6"/>
        <v>-0.26249999999998863</v>
      </c>
    </row>
    <row r="10" spans="1:43" x14ac:dyDescent="0.15">
      <c r="A10" s="55" t="s">
        <v>41</v>
      </c>
      <c r="B10" s="62" t="s">
        <v>52</v>
      </c>
      <c r="C10" s="57" t="s">
        <v>53</v>
      </c>
      <c r="D10" s="58" t="s">
        <v>43</v>
      </c>
      <c r="E10" s="58" t="s">
        <v>54</v>
      </c>
      <c r="F10" s="11">
        <f t="shared" si="0"/>
        <v>50682.5</v>
      </c>
      <c r="G10" s="11">
        <v>44516.5</v>
      </c>
      <c r="H10" s="11">
        <v>5500</v>
      </c>
      <c r="I10" s="11">
        <v>666</v>
      </c>
      <c r="J10" s="67"/>
      <c r="K10" s="11"/>
      <c r="L10" s="68">
        <f>F10/$K$13</f>
        <v>0.51930280786743888</v>
      </c>
      <c r="M10" s="68">
        <v>0.05</v>
      </c>
      <c r="N10" s="45">
        <f t="shared" si="1"/>
        <v>2114.5337500000001</v>
      </c>
      <c r="O10" s="45">
        <f t="shared" si="2"/>
        <v>169.8125</v>
      </c>
      <c r="P10" s="45">
        <f>K13*0.008</f>
        <v>780.77760000000001</v>
      </c>
      <c r="Q10" s="45"/>
      <c r="R10" s="45">
        <f t="shared" si="3"/>
        <v>3065.1238499999999</v>
      </c>
      <c r="S10" s="11">
        <f>_xlfn.XLOOKUP(E:E,'[1]②7月-汇总'!$D:$D,'[1]②7月-汇总'!$AP:$AP)</f>
        <v>31</v>
      </c>
      <c r="T10" s="45">
        <v>2000</v>
      </c>
      <c r="U10" s="11">
        <f>_xlfn.XLOOKUP(E:E,'[2]手工、项目数、消耗'!$C:$C,'[2]手工、项目数、消耗'!$E:$E)</f>
        <v>48340.47</v>
      </c>
      <c r="V10" s="11">
        <f>_xlfn.XLOOKUP(E:E,'[2]手工、项目数、消耗'!$C:$C,'[2]手工、项目数、消耗'!$D:$D)</f>
        <v>116</v>
      </c>
      <c r="W10" s="11">
        <f>_xlfn.XLOOKUP(E:E,'[2]手工、项目数、消耗'!$C:$C,'[2]手工、项目数、消耗'!$H:$H)</f>
        <v>1882</v>
      </c>
      <c r="X10" s="11">
        <f>_xlfn.XLOOKUP(E:E,'[1]②7月-汇总'!$D:$D,'[1]②7月-汇总'!$W:$W)</f>
        <v>0</v>
      </c>
      <c r="Y10" s="11">
        <f>_xlfn.XLOOKUP(E:E,'[1]②7月-汇总'!$D:$D,'[1]②7月-汇总'!$Z:$Z)</f>
        <v>0</v>
      </c>
      <c r="Z10" s="11">
        <f>_xlfn.XLOOKUP(E:E,'[1]②7月-汇总'!$D:$D,'[1]②7月-汇总'!$AI:$AI)</f>
        <v>0</v>
      </c>
      <c r="AA10" s="45">
        <f t="shared" si="4"/>
        <v>6947.1238499999999</v>
      </c>
      <c r="AB10" s="11"/>
      <c r="AC10" s="67"/>
      <c r="AD10" s="11">
        <f>_xlfn.XLOOKUP(E:E,'[1]②7月-汇总'!$D:$D,'[1]②7月-汇总'!$AC:$AC)</f>
        <v>0</v>
      </c>
      <c r="AE10" s="11">
        <f>_xlfn.XLOOKUP(E:E,[3]Sheet1!$B:$B,[3]Sheet1!$L:$L)</f>
        <v>640.55999999999995</v>
      </c>
      <c r="AF10" s="11">
        <f>_xlfn.XLOOKUP(E:E,'[1]②7月-汇总'!$D:$D,'[1]②7月-汇总'!$AD:$AD)</f>
        <v>0</v>
      </c>
      <c r="AG10" s="11">
        <f>_xlfn.XLOOKUP(E:E,'[1]②7月-汇总'!$D:$D,'[1]②7月-汇总'!$Y:$Y)</f>
        <v>0</v>
      </c>
      <c r="AH10" s="11">
        <f>_xlfn.XLOOKUP(E:E,'[1]②7月-汇总'!$D:$D,'[1]②7月-汇总'!$L:$L)</f>
        <v>0</v>
      </c>
      <c r="AI10" s="11">
        <f>_xlfn.XLOOKUP(E:E,'[1]②7月-汇总'!$D:$D,'[1]②7月-汇总'!$X:$X)</f>
        <v>20</v>
      </c>
      <c r="AJ10" s="11">
        <f>_xlfn.XLOOKUP(E:E,'[1]②7月-汇总'!$D:$D,'[1]②7月-汇总'!$AB:$AB)</f>
        <v>0</v>
      </c>
      <c r="AK10" s="11">
        <f>_xlfn.XLOOKUP(E:E,'[1]②7月-汇总'!$D:$D,'[1]②7月-汇总'!$AE:$AE)</f>
        <v>0</v>
      </c>
      <c r="AL10" s="96"/>
      <c r="AM10" s="45">
        <f t="shared" si="5"/>
        <v>6286.5638500000005</v>
      </c>
      <c r="AN10" s="11">
        <f>_xlfn.XLOOKUP(E:E,'[1]①7月-花名册'!$E:$E,'[1]①7月-花名册'!$T:$T)</f>
        <v>0</v>
      </c>
      <c r="AO10" s="67"/>
      <c r="AP10" s="142">
        <f>_xlfn.XLOOKUP(E10,[9]工资核对的全字段!$C:$C,[9]工资核对的全字段!$CW:$CW,0)</f>
        <v>6286.5662499999999</v>
      </c>
      <c r="AQ10" s="36">
        <f t="shared" si="6"/>
        <v>2.3999999993975507E-3</v>
      </c>
    </row>
    <row r="11" spans="1:43" x14ac:dyDescent="0.15">
      <c r="A11" s="55" t="s">
        <v>41</v>
      </c>
      <c r="B11" s="62" t="s">
        <v>52</v>
      </c>
      <c r="C11" s="57" t="s">
        <v>53</v>
      </c>
      <c r="D11" s="58" t="s">
        <v>4</v>
      </c>
      <c r="E11" s="58" t="s">
        <v>55</v>
      </c>
      <c r="F11" s="11">
        <f t="shared" si="0"/>
        <v>11021</v>
      </c>
      <c r="G11" s="11">
        <v>11021</v>
      </c>
      <c r="H11" s="11">
        <v>0</v>
      </c>
      <c r="I11" s="11">
        <v>0</v>
      </c>
      <c r="J11" s="67"/>
      <c r="K11" s="11"/>
      <c r="L11" s="68">
        <f>F11/$K$13</f>
        <v>0.1129233215707008</v>
      </c>
      <c r="M11" s="68">
        <v>0.05</v>
      </c>
      <c r="N11" s="45">
        <f t="shared" si="1"/>
        <v>523.49749999999995</v>
      </c>
      <c r="O11" s="45">
        <f t="shared" si="2"/>
        <v>0</v>
      </c>
      <c r="P11" s="45"/>
      <c r="Q11" s="45"/>
      <c r="R11" s="45">
        <f t="shared" si="3"/>
        <v>523.49749999999995</v>
      </c>
      <c r="S11" s="11">
        <f>_xlfn.XLOOKUP(E:E,'[1]②7月-汇总'!$D:$D,'[1]②7月-汇总'!$AP:$AP)</f>
        <v>31</v>
      </c>
      <c r="T11" s="45">
        <v>2000</v>
      </c>
      <c r="U11" s="11">
        <f>_xlfn.XLOOKUP(E:E,'[2]手工、项目数、消耗'!$C:$C,'[2]手工、项目数、消耗'!$E:$E)</f>
        <v>10407.49</v>
      </c>
      <c r="V11" s="11">
        <f>_xlfn.XLOOKUP(E:E,'[2]手工、项目数、消耗'!$C:$C,'[2]手工、项目数、消耗'!$D:$D)</f>
        <v>77</v>
      </c>
      <c r="W11" s="11">
        <f>_xlfn.XLOOKUP(E:E,'[2]手工、项目数、消耗'!$C:$C,'[2]手工、项目数、消耗'!$H:$H)</f>
        <v>1134</v>
      </c>
      <c r="X11" s="11">
        <f>_xlfn.XLOOKUP(E:E,'[1]②7月-汇总'!$D:$D,'[1]②7月-汇总'!$W:$W)</f>
        <v>0</v>
      </c>
      <c r="Y11" s="11">
        <f>_xlfn.XLOOKUP(E:E,'[1]②7月-汇总'!$D:$D,'[1]②7月-汇总'!$Z:$Z)</f>
        <v>0</v>
      </c>
      <c r="Z11" s="11">
        <f>_xlfn.XLOOKUP(E:E,'[1]②7月-汇总'!$D:$D,'[1]②7月-汇总'!$AI:$AI)</f>
        <v>0</v>
      </c>
      <c r="AA11" s="45">
        <f t="shared" si="4"/>
        <v>3657.4974999999999</v>
      </c>
      <c r="AB11" s="11"/>
      <c r="AC11" s="11">
        <v>160</v>
      </c>
      <c r="AD11" s="11">
        <f>_xlfn.XLOOKUP(E:E,'[1]②7月-汇总'!$D:$D,'[1]②7月-汇总'!$AC:$AC)</f>
        <v>100</v>
      </c>
      <c r="AE11" s="11"/>
      <c r="AF11" s="11">
        <f>_xlfn.XLOOKUP(E:E,'[1]②7月-汇总'!$D:$D,'[1]②7月-汇总'!$AD:$AD)</f>
        <v>0</v>
      </c>
      <c r="AG11" s="11">
        <f>_xlfn.XLOOKUP(E:E,'[1]②7月-汇总'!$D:$D,'[1]②7月-汇总'!$Y:$Y)</f>
        <v>0</v>
      </c>
      <c r="AH11" s="11">
        <f>_xlfn.XLOOKUP(E:E,'[1]②7月-汇总'!$D:$D,'[1]②7月-汇总'!$L:$L)</f>
        <v>0</v>
      </c>
      <c r="AI11" s="11">
        <f>_xlfn.XLOOKUP(E:E,'[1]②7月-汇总'!$D:$D,'[1]②7月-汇总'!$X:$X)</f>
        <v>0</v>
      </c>
      <c r="AJ11" s="11">
        <f>_xlfn.XLOOKUP(E:E,'[1]②7月-汇总'!$D:$D,'[1]②7月-汇总'!$AB:$AB)</f>
        <v>0</v>
      </c>
      <c r="AK11" s="11">
        <f>_xlfn.XLOOKUP(E:E,'[1]②7月-汇总'!$D:$D,'[1]②7月-汇总'!$AE:$AE)</f>
        <v>0</v>
      </c>
      <c r="AL11" s="96">
        <v>343</v>
      </c>
      <c r="AM11" s="45">
        <f t="shared" si="5"/>
        <v>3740.4974999999999</v>
      </c>
      <c r="AN11" s="11">
        <f>_xlfn.XLOOKUP(E:E,'[1]①7月-花名册'!$E:$E,'[1]①7月-花名册'!$T:$T)</f>
        <v>4000</v>
      </c>
      <c r="AO11" s="67"/>
      <c r="AP11" s="142">
        <f>_xlfn.XLOOKUP(E11,[9]工资核对的全字段!$C:$C,[9]工资核对的全字段!$CW:$CW,0)</f>
        <v>3740</v>
      </c>
      <c r="AQ11" s="36">
        <f t="shared" si="6"/>
        <v>-0.49749999999994543</v>
      </c>
    </row>
    <row r="12" spans="1:43" x14ac:dyDescent="0.15">
      <c r="A12" s="55" t="s">
        <v>41</v>
      </c>
      <c r="B12" s="62" t="s">
        <v>52</v>
      </c>
      <c r="C12" s="57" t="s">
        <v>53</v>
      </c>
      <c r="D12" s="58" t="s">
        <v>4</v>
      </c>
      <c r="E12" s="58" t="s">
        <v>56</v>
      </c>
      <c r="F12" s="11">
        <f t="shared" si="0"/>
        <v>35893.699999999997</v>
      </c>
      <c r="G12" s="11">
        <v>34393.699999999997</v>
      </c>
      <c r="H12" s="11">
        <v>1500</v>
      </c>
      <c r="I12" s="11">
        <v>0</v>
      </c>
      <c r="J12" s="67"/>
      <c r="K12" s="11"/>
      <c r="L12" s="68">
        <f>F12/$K$13</f>
        <v>0.36777387056186034</v>
      </c>
      <c r="M12" s="68">
        <v>0.05</v>
      </c>
      <c r="N12" s="45">
        <f t="shared" si="1"/>
        <v>1633.70075</v>
      </c>
      <c r="O12" s="45">
        <f t="shared" si="2"/>
        <v>46.3125</v>
      </c>
      <c r="P12" s="45"/>
      <c r="Q12" s="45"/>
      <c r="R12" s="45">
        <f t="shared" si="3"/>
        <v>1680.01325</v>
      </c>
      <c r="S12" s="11">
        <f>_xlfn.XLOOKUP(E:E,'[1]②7月-汇总'!$D:$D,'[1]②7月-汇总'!$AP:$AP)</f>
        <v>31</v>
      </c>
      <c r="T12" s="45">
        <v>2000</v>
      </c>
      <c r="U12" s="11">
        <f>_xlfn.XLOOKUP(E:E,'[2]手工、项目数、消耗'!$C:$C,'[2]手工、项目数、消耗'!$E:$E)</f>
        <v>14652.31</v>
      </c>
      <c r="V12" s="11">
        <f>_xlfn.XLOOKUP(E:E,'[2]手工、项目数、消耗'!$C:$C,'[2]手工、项目数、消耗'!$D:$D)</f>
        <v>82</v>
      </c>
      <c r="W12" s="11">
        <f>_xlfn.XLOOKUP(E:E,'[2]手工、项目数、消耗'!$C:$C,'[2]手工、项目数、消耗'!$H:$H)</f>
        <v>1026</v>
      </c>
      <c r="X12" s="11">
        <f>_xlfn.XLOOKUP(E:E,'[1]②7月-汇总'!$D:$D,'[1]②7月-汇总'!$W:$W)</f>
        <v>0</v>
      </c>
      <c r="Y12" s="11">
        <f>_xlfn.XLOOKUP(E:E,'[1]②7月-汇总'!$D:$D,'[1]②7月-汇总'!$Z:$Z)</f>
        <v>0</v>
      </c>
      <c r="Z12" s="11">
        <f>_xlfn.XLOOKUP(E:E,'[1]②7月-汇总'!$D:$D,'[1]②7月-汇总'!$AI:$AI)</f>
        <v>0</v>
      </c>
      <c r="AA12" s="45">
        <f t="shared" si="4"/>
        <v>4706.01325</v>
      </c>
      <c r="AB12" s="11">
        <v>500</v>
      </c>
      <c r="AC12" s="67"/>
      <c r="AD12" s="11">
        <f>_xlfn.XLOOKUP(E:E,'[1]②7月-汇总'!$D:$D,'[1]②7月-汇总'!$AC:$AC)</f>
        <v>0</v>
      </c>
      <c r="AE12" s="11"/>
      <c r="AF12" s="11">
        <f>_xlfn.XLOOKUP(E:E,'[1]②7月-汇总'!$D:$D,'[1]②7月-汇总'!$AD:$AD)</f>
        <v>0</v>
      </c>
      <c r="AG12" s="11">
        <f>_xlfn.XLOOKUP(E:E,'[1]②7月-汇总'!$D:$D,'[1]②7月-汇总'!$Y:$Y)</f>
        <v>0</v>
      </c>
      <c r="AH12" s="11">
        <f>_xlfn.XLOOKUP(E:E,'[1]②7月-汇总'!$D:$D,'[1]②7月-汇总'!$L:$L)</f>
        <v>0</v>
      </c>
      <c r="AI12" s="11">
        <f>_xlfn.XLOOKUP(E:E,'[1]②7月-汇总'!$D:$D,'[1]②7月-汇总'!$X:$X)</f>
        <v>0</v>
      </c>
      <c r="AJ12" s="11">
        <f>_xlfn.XLOOKUP(E:E,'[1]②7月-汇总'!$D:$D,'[1]②7月-汇总'!$AB:$AB)</f>
        <v>0</v>
      </c>
      <c r="AK12" s="11">
        <f>_xlfn.XLOOKUP(E:E,'[1]②7月-汇总'!$D:$D,'[1]②7月-汇总'!$AE:$AE)</f>
        <v>0</v>
      </c>
      <c r="AL12" s="96"/>
      <c r="AM12" s="45">
        <f t="shared" si="5"/>
        <v>5206.01325</v>
      </c>
      <c r="AN12" s="11">
        <f>_xlfn.XLOOKUP(E:E,'[1]①7月-花名册'!$E:$E,'[1]①7月-花名册'!$T:$T)</f>
        <v>0</v>
      </c>
      <c r="AO12" s="67"/>
      <c r="AP12" s="142">
        <f>_xlfn.XLOOKUP(E12,[9]工资核对的全字段!$C:$C,[9]工资核对的全字段!$CW:$CW,0)</f>
        <v>5206.01325</v>
      </c>
      <c r="AQ12" s="36">
        <f t="shared" si="6"/>
        <v>0</v>
      </c>
    </row>
    <row r="13" spans="1:43" x14ac:dyDescent="0.15">
      <c r="A13" s="55" t="s">
        <v>41</v>
      </c>
      <c r="B13" s="62" t="str">
        <f>B11</f>
        <v>华润</v>
      </c>
      <c r="C13" s="57" t="s">
        <v>47</v>
      </c>
      <c r="D13" s="58" t="s">
        <v>47</v>
      </c>
      <c r="E13" s="58" t="s">
        <v>47</v>
      </c>
      <c r="F13" s="11">
        <f t="shared" si="0"/>
        <v>0</v>
      </c>
      <c r="G13" s="11">
        <v>0</v>
      </c>
      <c r="H13" s="11">
        <v>0</v>
      </c>
      <c r="I13" s="11">
        <v>0</v>
      </c>
      <c r="J13" s="67"/>
      <c r="K13" s="11">
        <v>97597.2</v>
      </c>
      <c r="L13" s="68"/>
      <c r="M13" s="68"/>
      <c r="N13" s="45">
        <f t="shared" si="1"/>
        <v>0</v>
      </c>
      <c r="O13" s="45">
        <f t="shared" si="2"/>
        <v>0</v>
      </c>
      <c r="P13" s="45"/>
      <c r="Q13" s="45"/>
      <c r="R13" s="45">
        <f t="shared" si="3"/>
        <v>0</v>
      </c>
      <c r="S13" s="11"/>
      <c r="T13" s="45"/>
      <c r="U13" s="11"/>
      <c r="V13" s="11"/>
      <c r="W13" s="11"/>
      <c r="X13" s="11"/>
      <c r="Y13" s="11"/>
      <c r="Z13" s="11"/>
      <c r="AA13" s="45">
        <f t="shared" si="4"/>
        <v>0</v>
      </c>
      <c r="AB13" s="11"/>
      <c r="AC13" s="67"/>
      <c r="AD13" s="11"/>
      <c r="AE13" s="11"/>
      <c r="AF13" s="11"/>
      <c r="AG13" s="11"/>
      <c r="AH13" s="11"/>
      <c r="AI13" s="11"/>
      <c r="AJ13" s="11"/>
      <c r="AK13" s="11"/>
      <c r="AL13" s="96"/>
      <c r="AM13" s="45">
        <f t="shared" si="5"/>
        <v>0</v>
      </c>
      <c r="AN13" s="11"/>
      <c r="AO13" s="67"/>
      <c r="AP13" s="142">
        <f>_xlfn.XLOOKUP(E13,[9]工资核对的全字段!$C:$C,[9]工资核对的全字段!$CW:$CW,0)</f>
        <v>0</v>
      </c>
      <c r="AQ13" s="36">
        <f t="shared" si="6"/>
        <v>0</v>
      </c>
    </row>
    <row r="14" spans="1:43" x14ac:dyDescent="0.15">
      <c r="A14" s="55" t="s">
        <v>41</v>
      </c>
      <c r="B14" s="62" t="s">
        <v>52</v>
      </c>
      <c r="C14" s="57" t="s">
        <v>57</v>
      </c>
      <c r="D14" s="58" t="s">
        <v>43</v>
      </c>
      <c r="E14" s="58" t="s">
        <v>58</v>
      </c>
      <c r="F14" s="11">
        <f t="shared" si="0"/>
        <v>69858.899999999994</v>
      </c>
      <c r="G14" s="11">
        <v>66358.899999999994</v>
      </c>
      <c r="H14" s="11">
        <v>3500</v>
      </c>
      <c r="I14" s="11">
        <v>0</v>
      </c>
      <c r="J14" s="67"/>
      <c r="K14" s="11"/>
      <c r="L14" s="68">
        <f>F14/$K$17</f>
        <v>0.66923693717254917</v>
      </c>
      <c r="M14" s="68">
        <v>0.05</v>
      </c>
      <c r="N14" s="45">
        <f t="shared" si="1"/>
        <v>3152.0477499999997</v>
      </c>
      <c r="O14" s="45">
        <f t="shared" si="2"/>
        <v>108.0625</v>
      </c>
      <c r="P14" s="45">
        <v>0</v>
      </c>
      <c r="Q14" s="45"/>
      <c r="R14" s="45">
        <f t="shared" si="3"/>
        <v>3260.1102499999997</v>
      </c>
      <c r="S14" s="11">
        <f>_xlfn.XLOOKUP(E:E,'[1]②7月-汇总'!$D:$D,'[1]②7月-汇总'!$AP:$AP)</f>
        <v>31</v>
      </c>
      <c r="T14" s="45">
        <v>2000</v>
      </c>
      <c r="U14" s="11">
        <f>_xlfn.XLOOKUP(E:E,'[2]手工、项目数、消耗'!$C:$C,'[2]手工、项目数、消耗'!$E:$E)</f>
        <v>56864.800000000003</v>
      </c>
      <c r="V14" s="11">
        <f>_xlfn.XLOOKUP(E:E,'[2]手工、项目数、消耗'!$C:$C,'[2]手工、项目数、消耗'!$D:$D)</f>
        <v>124</v>
      </c>
      <c r="W14" s="11">
        <f>_xlfn.XLOOKUP(E:E,'[2]手工、项目数、消耗'!$C:$C,'[2]手工、项目数、消耗'!$H:$H)</f>
        <v>2002.5</v>
      </c>
      <c r="X14" s="11">
        <f>_xlfn.XLOOKUP(E:E,'[1]②7月-汇总'!$D:$D,'[1]②7月-汇总'!$W:$W)</f>
        <v>0</v>
      </c>
      <c r="Y14" s="11">
        <f>_xlfn.XLOOKUP(E:E,'[1]②7月-汇总'!$D:$D,'[1]②7月-汇总'!$Z:$Z)</f>
        <v>50</v>
      </c>
      <c r="Z14" s="11">
        <f>_xlfn.XLOOKUP(E:E,'[1]②7月-汇总'!$D:$D,'[1]②7月-汇总'!$AI:$AI)</f>
        <v>0</v>
      </c>
      <c r="AA14" s="45">
        <f t="shared" si="4"/>
        <v>7312.6102499999997</v>
      </c>
      <c r="AB14" s="11"/>
      <c r="AC14" s="67"/>
      <c r="AD14" s="11">
        <f>_xlfn.XLOOKUP(E:E,'[1]②7月-汇总'!$D:$D,'[1]②7月-汇总'!$AC:$AC)</f>
        <v>0</v>
      </c>
      <c r="AE14" s="11"/>
      <c r="AF14" s="11">
        <f>_xlfn.XLOOKUP(E:E,'[1]②7月-汇总'!$D:$D,'[1]②7月-汇总'!$AD:$AD)</f>
        <v>0</v>
      </c>
      <c r="AG14" s="11">
        <f>_xlfn.XLOOKUP(E:E,'[1]②7月-汇总'!$D:$D,'[1]②7月-汇总'!$Y:$Y)</f>
        <v>0</v>
      </c>
      <c r="AH14" s="11">
        <f>_xlfn.XLOOKUP(E:E,'[1]②7月-汇总'!$D:$D,'[1]②7月-汇总'!$L:$L)</f>
        <v>0</v>
      </c>
      <c r="AI14" s="11">
        <f>_xlfn.XLOOKUP(E:E,'[1]②7月-汇总'!$D:$D,'[1]②7月-汇总'!$X:$X)</f>
        <v>0</v>
      </c>
      <c r="AJ14" s="11">
        <f>_xlfn.XLOOKUP(E:E,'[1]②7月-汇总'!$D:$D,'[1]②7月-汇总'!$AB:$AB)</f>
        <v>0</v>
      </c>
      <c r="AK14" s="11">
        <f>_xlfn.XLOOKUP(E:E,'[1]②7月-汇总'!$D:$D,'[1]②7月-汇总'!$AE:$AE)</f>
        <v>0</v>
      </c>
      <c r="AL14" s="96"/>
      <c r="AM14" s="45">
        <f t="shared" si="5"/>
        <v>7312.6102499999997</v>
      </c>
      <c r="AN14" s="11">
        <f>_xlfn.XLOOKUP(E:E,'[1]①7月-花名册'!$E:$E,'[1]①7月-花名册'!$T:$T)</f>
        <v>0</v>
      </c>
      <c r="AO14" s="67"/>
      <c r="AP14" s="142">
        <f>_xlfn.XLOOKUP(E14,[9]工资核对的全字段!$C:$C,[9]工资核对的全字段!$CW:$CW,0)</f>
        <v>7312.6102499999997</v>
      </c>
      <c r="AQ14" s="36">
        <f t="shared" si="6"/>
        <v>0</v>
      </c>
    </row>
    <row r="15" spans="1:43" x14ac:dyDescent="0.15">
      <c r="A15" s="55" t="s">
        <v>41</v>
      </c>
      <c r="B15" s="62" t="s">
        <v>52</v>
      </c>
      <c r="C15" s="80" t="s">
        <v>57</v>
      </c>
      <c r="D15" s="81" t="s">
        <v>4</v>
      </c>
      <c r="E15" s="81" t="s">
        <v>59</v>
      </c>
      <c r="F15" s="11">
        <f t="shared" si="0"/>
        <v>12376.3</v>
      </c>
      <c r="G15" s="11">
        <v>8206.2999999999993</v>
      </c>
      <c r="H15" s="11">
        <v>4170</v>
      </c>
      <c r="I15" s="11">
        <v>0</v>
      </c>
      <c r="J15" s="67"/>
      <c r="K15" s="11"/>
      <c r="L15" s="68">
        <f>F15/$K$17</f>
        <v>0.1185629476777994</v>
      </c>
      <c r="M15" s="68">
        <v>0.05</v>
      </c>
      <c r="N15" s="45">
        <f t="shared" si="1"/>
        <v>389.79924999999997</v>
      </c>
      <c r="O15" s="45">
        <f t="shared" si="2"/>
        <v>128.74875</v>
      </c>
      <c r="P15" s="45"/>
      <c r="Q15" s="45"/>
      <c r="R15" s="45">
        <f t="shared" si="3"/>
        <v>518.548</v>
      </c>
      <c r="S15" s="11">
        <f>_xlfn.XLOOKUP(E:E,'[1]②7月-汇总'!$D:$D,'[1]②7月-汇总'!$AP:$AP)</f>
        <v>31</v>
      </c>
      <c r="T15" s="45">
        <v>2000</v>
      </c>
      <c r="U15" s="11">
        <f>_xlfn.XLOOKUP(E:E,'[2]手工、项目数、消耗'!$C:$C,'[2]手工、项目数、消耗'!$E:$E)</f>
        <v>15179.01</v>
      </c>
      <c r="V15" s="11">
        <f>_xlfn.XLOOKUP(E:E,'[2]手工、项目数、消耗'!$C:$C,'[2]手工、项目数、消耗'!$D:$D)</f>
        <v>77</v>
      </c>
      <c r="W15" s="11">
        <f>_xlfn.XLOOKUP(E:E,'[2]手工、项目数、消耗'!$C:$C,'[2]手工、项目数、消耗'!$H:$H)</f>
        <v>1007</v>
      </c>
      <c r="X15" s="11">
        <f>_xlfn.XLOOKUP(E:E,'[1]②7月-汇总'!$D:$D,'[1]②7月-汇总'!$W:$W)</f>
        <v>0</v>
      </c>
      <c r="Y15" s="11">
        <f>_xlfn.XLOOKUP(E:E,'[1]②7月-汇总'!$D:$D,'[1]②7月-汇总'!$Z:$Z)</f>
        <v>0</v>
      </c>
      <c r="Z15" s="11">
        <f>_xlfn.XLOOKUP(E:E,'[1]②7月-汇总'!$D:$D,'[1]②7月-汇总'!$AI:$AI)</f>
        <v>0</v>
      </c>
      <c r="AA15" s="45">
        <f t="shared" si="4"/>
        <v>3525.5479999999998</v>
      </c>
      <c r="AB15" s="11"/>
      <c r="AC15" s="67"/>
      <c r="AD15" s="11">
        <f>_xlfn.XLOOKUP(E:E,'[1]②7月-汇总'!$D:$D,'[1]②7月-汇总'!$AC:$AC)</f>
        <v>100</v>
      </c>
      <c r="AE15" s="11"/>
      <c r="AF15" s="11">
        <f>_xlfn.XLOOKUP(E:E,'[1]②7月-汇总'!$D:$D,'[1]②7月-汇总'!$AD:$AD)</f>
        <v>0</v>
      </c>
      <c r="AG15" s="11">
        <f>_xlfn.XLOOKUP(E:E,'[1]②7月-汇总'!$D:$D,'[1]②7月-汇总'!$Y:$Y)</f>
        <v>0</v>
      </c>
      <c r="AH15" s="11">
        <f>_xlfn.XLOOKUP(E:E,'[1]②7月-汇总'!$D:$D,'[1]②7月-汇总'!$L:$L)</f>
        <v>0</v>
      </c>
      <c r="AI15" s="11">
        <f>_xlfn.XLOOKUP(E:E,'[1]②7月-汇总'!$D:$D,'[1]②7月-汇总'!$X:$X)</f>
        <v>0</v>
      </c>
      <c r="AJ15" s="11">
        <f>_xlfn.XLOOKUP(E:E,'[1]②7月-汇总'!$D:$D,'[1]②7月-汇总'!$AB:$AB)</f>
        <v>0</v>
      </c>
      <c r="AK15" s="11">
        <f>_xlfn.XLOOKUP(E:E,'[1]②7月-汇总'!$D:$D,'[1]②7月-汇总'!$AE:$AE)</f>
        <v>0</v>
      </c>
      <c r="AL15" s="96"/>
      <c r="AM15" s="45">
        <f t="shared" si="5"/>
        <v>3425.5479999999998</v>
      </c>
      <c r="AN15" s="11">
        <f>_xlfn.XLOOKUP(E:E,'[1]①7月-花名册'!$E:$E,'[1]①7月-花名册'!$T:$T)</f>
        <v>0</v>
      </c>
      <c r="AO15" s="67"/>
      <c r="AP15" s="142">
        <f>_xlfn.XLOOKUP(E15,[9]工资核对的全字段!$C:$C,[9]工资核对的全字段!$CW:$CW,0)</f>
        <v>3425.5479999999998</v>
      </c>
      <c r="AQ15" s="36">
        <f t="shared" si="6"/>
        <v>0</v>
      </c>
    </row>
    <row r="16" spans="1:43" x14ac:dyDescent="0.15">
      <c r="A16" s="55" t="s">
        <v>41</v>
      </c>
      <c r="B16" s="62" t="s">
        <v>52</v>
      </c>
      <c r="C16" s="80" t="s">
        <v>57</v>
      </c>
      <c r="D16" s="81" t="s">
        <v>4</v>
      </c>
      <c r="E16" s="81" t="s">
        <v>60</v>
      </c>
      <c r="F16" s="11">
        <f t="shared" si="0"/>
        <v>22150.7</v>
      </c>
      <c r="G16" s="11">
        <v>21400.7</v>
      </c>
      <c r="H16" s="11">
        <v>750</v>
      </c>
      <c r="I16" s="11">
        <v>0</v>
      </c>
      <c r="J16" s="67"/>
      <c r="K16" s="11"/>
      <c r="L16" s="68">
        <f>F16/$K$17</f>
        <v>0.21220011514965145</v>
      </c>
      <c r="M16" s="68">
        <v>0.05</v>
      </c>
      <c r="N16" s="45">
        <f t="shared" si="1"/>
        <v>1016.5332500000001</v>
      </c>
      <c r="O16" s="45">
        <f t="shared" si="2"/>
        <v>23.15625</v>
      </c>
      <c r="P16" s="45"/>
      <c r="Q16" s="45"/>
      <c r="R16" s="45">
        <f t="shared" si="3"/>
        <v>1039.6895</v>
      </c>
      <c r="S16" s="11">
        <f>_xlfn.XLOOKUP(E:E,'[1]②7月-汇总'!$D:$D,'[1]②7月-汇总'!$AP:$AP)</f>
        <v>31</v>
      </c>
      <c r="T16" s="45">
        <v>2000</v>
      </c>
      <c r="U16" s="11">
        <f>_xlfn.XLOOKUP(E:E,'[2]手工、项目数、消耗'!$C:$C,'[2]手工、项目数、消耗'!$E:$E)</f>
        <v>20974.32</v>
      </c>
      <c r="V16" s="11">
        <f>_xlfn.XLOOKUP(E:E,'[2]手工、项目数、消耗'!$C:$C,'[2]手工、项目数、消耗'!$D:$D)</f>
        <v>102</v>
      </c>
      <c r="W16" s="11">
        <f>_xlfn.XLOOKUP(E:E,'[2]手工、项目数、消耗'!$C:$C,'[2]手工、项目数、消耗'!$H:$H)</f>
        <v>1238.5</v>
      </c>
      <c r="X16" s="11">
        <f>_xlfn.XLOOKUP(E:E,'[1]②7月-汇总'!$D:$D,'[1]②7月-汇总'!$W:$W)</f>
        <v>0</v>
      </c>
      <c r="Y16" s="11">
        <f>_xlfn.XLOOKUP(E:E,'[1]②7月-汇总'!$D:$D,'[1]②7月-汇总'!$Z:$Z)</f>
        <v>0</v>
      </c>
      <c r="Z16" s="11">
        <f>_xlfn.XLOOKUP(E:E,'[1]②7月-汇总'!$D:$D,'[1]②7月-汇总'!$AI:$AI)</f>
        <v>0</v>
      </c>
      <c r="AA16" s="45">
        <f t="shared" si="4"/>
        <v>4278.1895000000004</v>
      </c>
      <c r="AB16" s="11"/>
      <c r="AC16" s="11">
        <v>140</v>
      </c>
      <c r="AD16" s="11">
        <f>_xlfn.XLOOKUP(E:E,'[1]②7月-汇总'!$D:$D,'[1]②7月-汇总'!$AC:$AC)</f>
        <v>0</v>
      </c>
      <c r="AE16" s="11"/>
      <c r="AF16" s="11">
        <f>_xlfn.XLOOKUP(E:E,'[1]②7月-汇总'!$D:$D,'[1]②7月-汇总'!$AD:$AD)</f>
        <v>130</v>
      </c>
      <c r="AG16" s="11">
        <f>_xlfn.XLOOKUP(E:E,'[1]②7月-汇总'!$D:$D,'[1]②7月-汇总'!$Y:$Y)</f>
        <v>0</v>
      </c>
      <c r="AH16" s="11">
        <f>_xlfn.XLOOKUP(E:E,'[1]②7月-汇总'!$D:$D,'[1]②7月-汇总'!$L:$L)</f>
        <v>0</v>
      </c>
      <c r="AI16" s="11">
        <f>_xlfn.XLOOKUP(E:E,'[1]②7月-汇总'!$D:$D,'[1]②7月-汇总'!$X:$X)</f>
        <v>0</v>
      </c>
      <c r="AJ16" s="11">
        <f>_xlfn.XLOOKUP(E:E,'[1]②7月-汇总'!$D:$D,'[1]②7月-汇总'!$AB:$AB)</f>
        <v>0</v>
      </c>
      <c r="AK16" s="11">
        <f>_xlfn.XLOOKUP(E:E,'[1]②7月-汇总'!$D:$D,'[1]②7月-汇总'!$AE:$AE)</f>
        <v>0</v>
      </c>
      <c r="AL16" s="96">
        <v>722</v>
      </c>
      <c r="AM16" s="97">
        <f>AA16+AB16-AC16-AD16-AE16-AF16-AG16-AI16-AJ16+AK16+AL16+778</f>
        <v>5508.1895000000004</v>
      </c>
      <c r="AN16" s="11">
        <f>_xlfn.XLOOKUP(E:E,'[1]①7月-花名册'!$E:$E,'[1]①7月-花名册'!$T:$T)</f>
        <v>5000</v>
      </c>
      <c r="AO16" s="67" t="s">
        <v>61</v>
      </c>
      <c r="AP16" s="142">
        <f>_xlfn.XLOOKUP(E16,[9]工资核对的全字段!$C:$C,[9]工资核对的全字段!$CW:$CW,0)</f>
        <v>5508</v>
      </c>
      <c r="AQ16" s="36">
        <f t="shared" si="6"/>
        <v>-0.18950000000040745</v>
      </c>
    </row>
    <row r="17" spans="1:43" x14ac:dyDescent="0.15">
      <c r="A17" s="55" t="s">
        <v>41</v>
      </c>
      <c r="B17" s="62" t="s">
        <v>52</v>
      </c>
      <c r="C17" s="57" t="s">
        <v>47</v>
      </c>
      <c r="D17" s="58" t="s">
        <v>47</v>
      </c>
      <c r="E17" s="58" t="s">
        <v>47</v>
      </c>
      <c r="F17" s="11">
        <f t="shared" si="0"/>
        <v>0</v>
      </c>
      <c r="G17" s="11">
        <v>0</v>
      </c>
      <c r="H17" s="11">
        <v>0</v>
      </c>
      <c r="I17" s="11">
        <v>0</v>
      </c>
      <c r="J17" s="67"/>
      <c r="K17" s="11">
        <v>104385.9</v>
      </c>
      <c r="L17" s="68"/>
      <c r="M17" s="68"/>
      <c r="N17" s="45">
        <f t="shared" si="1"/>
        <v>0</v>
      </c>
      <c r="O17" s="45">
        <f t="shared" si="2"/>
        <v>0</v>
      </c>
      <c r="P17" s="45"/>
      <c r="Q17" s="45"/>
      <c r="R17" s="45">
        <f t="shared" si="3"/>
        <v>0</v>
      </c>
      <c r="S17" s="11"/>
      <c r="T17" s="45"/>
      <c r="U17" s="11"/>
      <c r="V17" s="11"/>
      <c r="W17" s="11"/>
      <c r="X17" s="11"/>
      <c r="Y17" s="11"/>
      <c r="Z17" s="11"/>
      <c r="AA17" s="45">
        <f t="shared" si="4"/>
        <v>0</v>
      </c>
      <c r="AB17" s="11"/>
      <c r="AC17" s="67"/>
      <c r="AD17" s="11"/>
      <c r="AE17" s="11"/>
      <c r="AF17" s="11"/>
      <c r="AG17" s="11"/>
      <c r="AH17" s="11"/>
      <c r="AI17" s="11"/>
      <c r="AJ17" s="11"/>
      <c r="AK17" s="11"/>
      <c r="AL17" s="96"/>
      <c r="AM17" s="45">
        <f t="shared" ref="AM17:AM66" si="8">AA17+AB17-AC17-AD17-AE17-AF17-AG17-AI17-AJ17+AK17+AL17</f>
        <v>0</v>
      </c>
      <c r="AN17" s="11"/>
      <c r="AO17" s="67"/>
      <c r="AP17" s="142">
        <f>_xlfn.XLOOKUP(E17,[9]工资核对的全字段!$C:$C,[9]工资核对的全字段!$CW:$CW,0)</f>
        <v>0</v>
      </c>
      <c r="AQ17" s="36">
        <f t="shared" si="6"/>
        <v>0</v>
      </c>
    </row>
    <row r="18" spans="1:43" x14ac:dyDescent="0.15">
      <c r="A18" s="55" t="s">
        <v>41</v>
      </c>
      <c r="B18" s="62" t="s">
        <v>52</v>
      </c>
      <c r="C18" s="60" t="s">
        <v>9</v>
      </c>
      <c r="D18" s="61" t="s">
        <v>9</v>
      </c>
      <c r="E18" s="61" t="s">
        <v>62</v>
      </c>
      <c r="F18" s="11">
        <f t="shared" si="0"/>
        <v>-30.7</v>
      </c>
      <c r="G18" s="11">
        <v>-30.7</v>
      </c>
      <c r="H18" s="11">
        <v>0</v>
      </c>
      <c r="I18" s="11">
        <v>0</v>
      </c>
      <c r="J18" s="67"/>
      <c r="K18" s="11"/>
      <c r="L18" s="68"/>
      <c r="M18" s="68"/>
      <c r="N18" s="45">
        <f t="shared" si="1"/>
        <v>0</v>
      </c>
      <c r="O18" s="45">
        <f t="shared" si="2"/>
        <v>0</v>
      </c>
      <c r="P18" s="45"/>
      <c r="Q18" s="45">
        <v>505</v>
      </c>
      <c r="R18" s="45">
        <f t="shared" si="3"/>
        <v>505</v>
      </c>
      <c r="S18" s="11"/>
      <c r="T18" s="45"/>
      <c r="U18" s="11"/>
      <c r="V18" s="11"/>
      <c r="W18" s="11"/>
      <c r="X18" s="11"/>
      <c r="Y18" s="11"/>
      <c r="Z18" s="11"/>
      <c r="AA18" s="45">
        <f t="shared" si="4"/>
        <v>505</v>
      </c>
      <c r="AB18" s="11"/>
      <c r="AC18" s="67"/>
      <c r="AD18" s="11"/>
      <c r="AE18" s="11"/>
      <c r="AF18" s="11"/>
      <c r="AG18" s="11"/>
      <c r="AH18" s="11"/>
      <c r="AI18" s="11"/>
      <c r="AJ18" s="11"/>
      <c r="AK18" s="11"/>
      <c r="AL18" s="96"/>
      <c r="AM18" s="45">
        <f t="shared" si="8"/>
        <v>505</v>
      </c>
      <c r="AN18" s="11"/>
      <c r="AO18" s="67"/>
      <c r="AP18" s="142">
        <f>_xlfn.XLOOKUP(E18,[9]工资核对的全字段!$C:$C,[9]工资核对的全字段!$CW:$CW,0)</f>
        <v>504.88075000000003</v>
      </c>
      <c r="AQ18" s="36">
        <f t="shared" si="6"/>
        <v>-0.11924999999996544</v>
      </c>
    </row>
    <row r="19" spans="1:43" x14ac:dyDescent="0.15">
      <c r="A19" s="55" t="s">
        <v>41</v>
      </c>
      <c r="B19" s="62" t="s">
        <v>63</v>
      </c>
      <c r="C19" s="57" t="s">
        <v>64</v>
      </c>
      <c r="D19" s="58" t="s">
        <v>43</v>
      </c>
      <c r="E19" s="58" t="s">
        <v>65</v>
      </c>
      <c r="F19" s="11">
        <f t="shared" si="0"/>
        <v>182287</v>
      </c>
      <c r="G19" s="11">
        <v>121987</v>
      </c>
      <c r="H19" s="11">
        <v>60300</v>
      </c>
      <c r="I19" s="11">
        <v>0</v>
      </c>
      <c r="J19" s="67"/>
      <c r="K19" s="11"/>
      <c r="L19" s="68">
        <f>F19/$K$22</f>
        <v>0.78542427784717217</v>
      </c>
      <c r="M19" s="68">
        <v>7.0000000000000007E-2</v>
      </c>
      <c r="N19" s="45">
        <f t="shared" si="1"/>
        <v>8112.1355000000003</v>
      </c>
      <c r="O19" s="45">
        <f t="shared" si="2"/>
        <v>2606.4675000000002</v>
      </c>
      <c r="P19" s="45">
        <v>0</v>
      </c>
      <c r="Q19" s="45"/>
      <c r="R19" s="45">
        <f t="shared" si="3"/>
        <v>10718.603000000001</v>
      </c>
      <c r="S19" s="11">
        <f>_xlfn.XLOOKUP(E:E,'[1]②7月-汇总'!$D:$D,'[1]②7月-汇总'!$AP:$AP)</f>
        <v>31</v>
      </c>
      <c r="T19" s="45">
        <v>2200</v>
      </c>
      <c r="U19" s="11">
        <f>_xlfn.XLOOKUP(E:E,'[2]手工、项目数、消耗'!$C:$C,'[2]手工、项目数、消耗'!$E:$E)</f>
        <v>86403.54</v>
      </c>
      <c r="V19" s="11">
        <f>_xlfn.XLOOKUP(E:E,'[2]手工、项目数、消耗'!$C:$C,'[2]手工、项目数、消耗'!$D:$D)</f>
        <v>128</v>
      </c>
      <c r="W19" s="11">
        <f>_xlfn.XLOOKUP(E:E,'[2]手工、项目数、消耗'!$C:$C,'[2]手工、项目数、消耗'!$H:$H)</f>
        <v>1948</v>
      </c>
      <c r="X19" s="11">
        <f>_xlfn.XLOOKUP(E:E,'[1]②7月-汇总'!$D:$D,'[1]②7月-汇总'!$W:$W)</f>
        <v>0</v>
      </c>
      <c r="Y19" s="11">
        <f>_xlfn.XLOOKUP(E:E,'[1]②7月-汇总'!$D:$D,'[1]②7月-汇总'!$Z:$Z)</f>
        <v>0</v>
      </c>
      <c r="Z19" s="11">
        <f>_xlfn.XLOOKUP(E:E,'[1]②7月-汇总'!$D:$D,'[1]②7月-汇总'!$AI:$AI)</f>
        <v>0</v>
      </c>
      <c r="AA19" s="45">
        <f t="shared" si="4"/>
        <v>14866.603000000001</v>
      </c>
      <c r="AB19" s="11">
        <v>500</v>
      </c>
      <c r="AC19" s="67"/>
      <c r="AD19" s="11">
        <f>_xlfn.XLOOKUP(E:E,'[1]②7月-汇总'!$D:$D,'[1]②7月-汇总'!$AC:$AC)</f>
        <v>0</v>
      </c>
      <c r="AE19" s="11">
        <f>_xlfn.XLOOKUP(E:E,[3]Sheet1!$B:$B,[3]Sheet1!$L:$L)</f>
        <v>644.16800000000001</v>
      </c>
      <c r="AF19" s="11">
        <f>_xlfn.XLOOKUP(E:E,'[1]②7月-汇总'!$D:$D,'[1]②7月-汇总'!$AD:$AD)</f>
        <v>0</v>
      </c>
      <c r="AG19" s="11">
        <f>_xlfn.XLOOKUP(E:E,'[1]②7月-汇总'!$D:$D,'[1]②7月-汇总'!$Y:$Y)</f>
        <v>0</v>
      </c>
      <c r="AH19" s="11">
        <f>_xlfn.XLOOKUP(E:E,'[1]②7月-汇总'!$D:$D,'[1]②7月-汇总'!$L:$L)</f>
        <v>0</v>
      </c>
      <c r="AI19" s="11">
        <f>_xlfn.XLOOKUP(E:E,'[1]②7月-汇总'!$D:$D,'[1]②7月-汇总'!$X:$X)</f>
        <v>0</v>
      </c>
      <c r="AJ19" s="11">
        <f>_xlfn.XLOOKUP(E:E,'[1]②7月-汇总'!$D:$D,'[1]②7月-汇总'!$AB:$AB)</f>
        <v>0</v>
      </c>
      <c r="AK19" s="11">
        <f>_xlfn.XLOOKUP(E:E,'[1]②7月-汇总'!$D:$D,'[1]②7月-汇总'!$AE:$AE)</f>
        <v>0</v>
      </c>
      <c r="AL19" s="96"/>
      <c r="AM19" s="45">
        <f t="shared" si="8"/>
        <v>14722.435000000001</v>
      </c>
      <c r="AN19" s="11">
        <f>_xlfn.XLOOKUP(E:E,'[1]①7月-花名册'!$E:$E,'[1]①7月-花名册'!$T:$T)</f>
        <v>0</v>
      </c>
      <c r="AO19" s="67"/>
      <c r="AP19" s="142">
        <f>_xlfn.XLOOKUP(E19,[9]工资核对的全字段!$C:$C,[9]工资核对的全字段!$CW:$CW,0)</f>
        <v>14722.434999999999</v>
      </c>
      <c r="AQ19" s="36">
        <f t="shared" si="6"/>
        <v>0</v>
      </c>
    </row>
    <row r="20" spans="1:43" x14ac:dyDescent="0.15">
      <c r="A20" s="55" t="s">
        <v>41</v>
      </c>
      <c r="B20" s="62" t="s">
        <v>63</v>
      </c>
      <c r="C20" s="57" t="s">
        <v>64</v>
      </c>
      <c r="D20" s="58" t="s">
        <v>4</v>
      </c>
      <c r="E20" s="58" t="s">
        <v>66</v>
      </c>
      <c r="F20" s="11">
        <f t="shared" si="0"/>
        <v>16522.3</v>
      </c>
      <c r="G20" s="11">
        <v>16522.3</v>
      </c>
      <c r="H20" s="11">
        <v>0</v>
      </c>
      <c r="I20" s="11">
        <v>0</v>
      </c>
      <c r="J20" s="67"/>
      <c r="K20" s="11"/>
      <c r="L20" s="68">
        <f>F20/$K$22</f>
        <v>7.1190022030503175E-2</v>
      </c>
      <c r="M20" s="68">
        <v>7.0000000000000007E-2</v>
      </c>
      <c r="N20" s="45">
        <f t="shared" si="1"/>
        <v>1098.7329499999998</v>
      </c>
      <c r="O20" s="45">
        <f t="shared" si="2"/>
        <v>0</v>
      </c>
      <c r="P20" s="45"/>
      <c r="Q20" s="45"/>
      <c r="R20" s="45">
        <f t="shared" si="3"/>
        <v>1098.7329499999998</v>
      </c>
      <c r="S20" s="11">
        <f>_xlfn.XLOOKUP(E:E,'[1]②7月-汇总'!$D:$D,'[1]②7月-汇总'!$AP:$AP)</f>
        <v>31</v>
      </c>
      <c r="T20" s="45">
        <v>2000</v>
      </c>
      <c r="U20" s="11">
        <f>_xlfn.XLOOKUP(E:E,'[2]手工、项目数、消耗'!$C:$C,'[2]手工、项目数、消耗'!$E:$E)</f>
        <v>32374.69</v>
      </c>
      <c r="V20" s="11">
        <f>_xlfn.XLOOKUP(E:E,'[2]手工、项目数、消耗'!$C:$C,'[2]手工、项目数、消耗'!$D:$D)</f>
        <v>119</v>
      </c>
      <c r="W20" s="11">
        <f>_xlfn.XLOOKUP(E:E,'[2]手工、项目数、消耗'!$C:$C,'[2]手工、项目数、消耗'!$H:$H)</f>
        <v>1254</v>
      </c>
      <c r="X20" s="11">
        <f>_xlfn.XLOOKUP(E:E,'[1]②7月-汇总'!$D:$D,'[1]②7月-汇总'!$W:$W)</f>
        <v>0</v>
      </c>
      <c r="Y20" s="11">
        <f>_xlfn.XLOOKUP(E:E,'[1]②7月-汇总'!$D:$D,'[1]②7月-汇总'!$Z:$Z)</f>
        <v>50</v>
      </c>
      <c r="Z20" s="11">
        <f>_xlfn.XLOOKUP(E:E,'[1]②7月-汇总'!$D:$D,'[1]②7月-汇总'!$AI:$AI)</f>
        <v>0</v>
      </c>
      <c r="AA20" s="45">
        <f t="shared" si="4"/>
        <v>4402.7329499999996</v>
      </c>
      <c r="AB20" s="11"/>
      <c r="AC20" s="67"/>
      <c r="AD20" s="11">
        <f>_xlfn.XLOOKUP(E:E,'[1]②7月-汇总'!$D:$D,'[1]②7月-汇总'!$AC:$AC)</f>
        <v>100</v>
      </c>
      <c r="AE20" s="11"/>
      <c r="AF20" s="11">
        <f>_xlfn.XLOOKUP(E:E,'[1]②7月-汇总'!$D:$D,'[1]②7月-汇总'!$AD:$AD)</f>
        <v>0</v>
      </c>
      <c r="AG20" s="11">
        <f>_xlfn.XLOOKUP(E:E,'[1]②7月-汇总'!$D:$D,'[1]②7月-汇总'!$Y:$Y)</f>
        <v>0</v>
      </c>
      <c r="AH20" s="11">
        <f>_xlfn.XLOOKUP(E:E,'[1]②7月-汇总'!$D:$D,'[1]②7月-汇总'!$L:$L)</f>
        <v>0</v>
      </c>
      <c r="AI20" s="11">
        <f>_xlfn.XLOOKUP(E:E,'[1]②7月-汇总'!$D:$D,'[1]②7月-汇总'!$X:$X)</f>
        <v>0</v>
      </c>
      <c r="AJ20" s="11">
        <f>_xlfn.XLOOKUP(E:E,'[1]②7月-汇总'!$D:$D,'[1]②7月-汇总'!$AB:$AB)</f>
        <v>0</v>
      </c>
      <c r="AK20" s="11">
        <f>_xlfn.XLOOKUP(E:E,'[1]②7月-汇总'!$D:$D,'[1]②7月-汇总'!$AE:$AE)</f>
        <v>0</v>
      </c>
      <c r="AL20" s="96"/>
      <c r="AM20" s="45">
        <f t="shared" si="8"/>
        <v>4302.7329499999996</v>
      </c>
      <c r="AN20" s="11">
        <f>_xlfn.XLOOKUP(E:E,'[1]①7月-花名册'!$E:$E,'[1]①7月-花名册'!$T:$T)</f>
        <v>0</v>
      </c>
      <c r="AO20" s="67"/>
      <c r="AP20" s="142">
        <f>_xlfn.XLOOKUP(E20,[9]工资核对的全字段!$C:$C,[9]工资核对的全字段!$CW:$CW,0)</f>
        <v>4302.7329499999996</v>
      </c>
      <c r="AQ20" s="36">
        <f t="shared" si="6"/>
        <v>0</v>
      </c>
    </row>
    <row r="21" spans="1:43" x14ac:dyDescent="0.15">
      <c r="A21" s="55" t="s">
        <v>41</v>
      </c>
      <c r="B21" s="62" t="s">
        <v>63</v>
      </c>
      <c r="C21" s="57" t="s">
        <v>64</v>
      </c>
      <c r="D21" s="58" t="s">
        <v>4</v>
      </c>
      <c r="E21" s="58" t="s">
        <v>67</v>
      </c>
      <c r="F21" s="11">
        <f t="shared" si="0"/>
        <v>33278</v>
      </c>
      <c r="G21" s="11">
        <v>32390</v>
      </c>
      <c r="H21" s="11">
        <v>0</v>
      </c>
      <c r="I21" s="11">
        <v>888</v>
      </c>
      <c r="J21" s="67"/>
      <c r="K21" s="11"/>
      <c r="L21" s="68">
        <f>F21/$K$22</f>
        <v>0.14338570012232466</v>
      </c>
      <c r="M21" s="68">
        <v>7.0000000000000007E-2</v>
      </c>
      <c r="N21" s="45">
        <f t="shared" si="1"/>
        <v>2153.9350000000004</v>
      </c>
      <c r="O21" s="45">
        <f t="shared" si="2"/>
        <v>0</v>
      </c>
      <c r="P21" s="45"/>
      <c r="Q21" s="45"/>
      <c r="R21" s="45">
        <f t="shared" si="3"/>
        <v>2153.9350000000004</v>
      </c>
      <c r="S21" s="11">
        <f>_xlfn.XLOOKUP(E:E,'[1]②7月-汇总'!$D:$D,'[1]②7月-汇总'!$AP:$AP)</f>
        <v>31</v>
      </c>
      <c r="T21" s="45">
        <v>2200</v>
      </c>
      <c r="U21" s="11">
        <f>_xlfn.XLOOKUP(E:E,'[2]手工、项目数、消耗'!$C:$C,'[2]手工、项目数、消耗'!$E:$E)</f>
        <v>28777.7</v>
      </c>
      <c r="V21" s="11">
        <f>_xlfn.XLOOKUP(E:E,'[2]手工、项目数、消耗'!$C:$C,'[2]手工、项目数、消耗'!$D:$D)</f>
        <v>138</v>
      </c>
      <c r="W21" s="11">
        <f>_xlfn.XLOOKUP(E:E,'[2]手工、项目数、消耗'!$C:$C,'[2]手工、项目数、消耗'!$H:$H)</f>
        <v>1692</v>
      </c>
      <c r="X21" s="11">
        <f>_xlfn.XLOOKUP(E:E,'[1]②7月-汇总'!$D:$D,'[1]②7月-汇总'!$W:$W)</f>
        <v>0</v>
      </c>
      <c r="Y21" s="11">
        <f>_xlfn.XLOOKUP(E:E,'[1]②7月-汇总'!$D:$D,'[1]②7月-汇总'!$Z:$Z)</f>
        <v>0</v>
      </c>
      <c r="Z21" s="11">
        <f>_xlfn.XLOOKUP(E:E,'[1]②7月-汇总'!$D:$D,'[1]②7月-汇总'!$AI:$AI)</f>
        <v>0</v>
      </c>
      <c r="AA21" s="45">
        <f t="shared" si="4"/>
        <v>6045.9350000000004</v>
      </c>
      <c r="AB21" s="11"/>
      <c r="AC21" s="67"/>
      <c r="AD21" s="11">
        <f>_xlfn.XLOOKUP(E:E,'[1]②7月-汇总'!$D:$D,'[1]②7月-汇总'!$AC:$AC)</f>
        <v>0</v>
      </c>
      <c r="AE21" s="11">
        <f>_xlfn.XLOOKUP(E:E,[3]Sheet1!$B:$B,[3]Sheet1!$L:$L)</f>
        <v>644.16800000000001</v>
      </c>
      <c r="AF21" s="11">
        <f>_xlfn.XLOOKUP(E:E,'[1]②7月-汇总'!$D:$D,'[1]②7月-汇总'!$AD:$AD)</f>
        <v>0</v>
      </c>
      <c r="AG21" s="11">
        <f>_xlfn.XLOOKUP(E:E,'[1]②7月-汇总'!$D:$D,'[1]②7月-汇总'!$Y:$Y)</f>
        <v>0</v>
      </c>
      <c r="AH21" s="11">
        <f>_xlfn.XLOOKUP(E:E,'[1]②7月-汇总'!$D:$D,'[1]②7月-汇总'!$L:$L)</f>
        <v>0</v>
      </c>
      <c r="AI21" s="11">
        <f>_xlfn.XLOOKUP(E:E,'[1]②7月-汇总'!$D:$D,'[1]②7月-汇总'!$X:$X)</f>
        <v>10</v>
      </c>
      <c r="AJ21" s="11">
        <f>_xlfn.XLOOKUP(E:E,'[1]②7月-汇总'!$D:$D,'[1]②7月-汇总'!$AB:$AB)</f>
        <v>0</v>
      </c>
      <c r="AK21" s="11">
        <f>_xlfn.XLOOKUP(E:E,'[1]②7月-汇总'!$D:$D,'[1]②7月-汇总'!$AE:$AE)</f>
        <v>0</v>
      </c>
      <c r="AL21" s="96"/>
      <c r="AM21" s="45">
        <f t="shared" si="8"/>
        <v>5391.7670000000007</v>
      </c>
      <c r="AN21" s="11">
        <f>_xlfn.XLOOKUP(E:E,'[1]①7月-花名册'!$E:$E,'[1]①7月-花名册'!$T:$T)</f>
        <v>0</v>
      </c>
      <c r="AO21" s="67"/>
      <c r="AP21" s="142">
        <f>_xlfn.XLOOKUP(E21,[9]工资核对的全字段!$C:$C,[9]工资核对的全字段!$CW:$CW,0)</f>
        <v>5391.7669999999998</v>
      </c>
      <c r="AQ21" s="36">
        <f t="shared" si="6"/>
        <v>0</v>
      </c>
    </row>
    <row r="22" spans="1:43" x14ac:dyDescent="0.15">
      <c r="A22" s="55" t="s">
        <v>41</v>
      </c>
      <c r="B22" s="62" t="str">
        <f>B21</f>
        <v>静居寺</v>
      </c>
      <c r="C22" s="57" t="s">
        <v>47</v>
      </c>
      <c r="D22" s="58" t="s">
        <v>47</v>
      </c>
      <c r="E22" s="58" t="s">
        <v>47</v>
      </c>
      <c r="F22" s="11">
        <f t="shared" si="0"/>
        <v>0</v>
      </c>
      <c r="G22" s="11">
        <v>0</v>
      </c>
      <c r="H22" s="11">
        <v>0</v>
      </c>
      <c r="I22" s="11">
        <v>0</v>
      </c>
      <c r="J22" s="67"/>
      <c r="K22" s="11">
        <v>232087.3</v>
      </c>
      <c r="L22" s="68"/>
      <c r="M22" s="68"/>
      <c r="N22" s="45">
        <f t="shared" si="1"/>
        <v>0</v>
      </c>
      <c r="O22" s="45">
        <f t="shared" si="2"/>
        <v>0</v>
      </c>
      <c r="P22" s="45"/>
      <c r="Q22" s="45"/>
      <c r="R22" s="45">
        <f t="shared" si="3"/>
        <v>0</v>
      </c>
      <c r="S22" s="11"/>
      <c r="T22" s="45"/>
      <c r="U22" s="11"/>
      <c r="V22" s="11"/>
      <c r="W22" s="11"/>
      <c r="X22" s="11"/>
      <c r="Y22" s="11"/>
      <c r="Z22" s="11"/>
      <c r="AA22" s="45">
        <f t="shared" si="4"/>
        <v>0</v>
      </c>
      <c r="AB22" s="11"/>
      <c r="AC22" s="67"/>
      <c r="AD22" s="11"/>
      <c r="AE22" s="11"/>
      <c r="AF22" s="11"/>
      <c r="AG22" s="11"/>
      <c r="AH22" s="11"/>
      <c r="AI22" s="11"/>
      <c r="AJ22" s="11"/>
      <c r="AK22" s="11"/>
      <c r="AL22" s="96"/>
      <c r="AM22" s="45">
        <f t="shared" si="8"/>
        <v>0</v>
      </c>
      <c r="AN22" s="11"/>
      <c r="AO22" s="67"/>
      <c r="AP22" s="142">
        <f>_xlfn.XLOOKUP(E22,[9]工资核对的全字段!$C:$C,[9]工资核对的全字段!$CW:$CW,0)</f>
        <v>0</v>
      </c>
      <c r="AQ22" s="36">
        <f t="shared" si="6"/>
        <v>0</v>
      </c>
    </row>
    <row r="23" spans="1:43" x14ac:dyDescent="0.15">
      <c r="A23" s="55" t="s">
        <v>41</v>
      </c>
      <c r="B23" s="62" t="s">
        <v>63</v>
      </c>
      <c r="C23" s="57" t="s">
        <v>68</v>
      </c>
      <c r="D23" s="58" t="s">
        <v>43</v>
      </c>
      <c r="E23" s="58" t="s">
        <v>69</v>
      </c>
      <c r="F23" s="11">
        <f t="shared" si="0"/>
        <v>116254.6</v>
      </c>
      <c r="G23" s="11">
        <v>61766.6</v>
      </c>
      <c r="H23" s="11">
        <v>53600</v>
      </c>
      <c r="I23" s="11">
        <v>888</v>
      </c>
      <c r="J23" s="67"/>
      <c r="K23" s="11"/>
      <c r="L23" s="68">
        <f>F23/$K$26</f>
        <v>0.66278645494826771</v>
      </c>
      <c r="M23" s="68">
        <v>7.0000000000000007E-2</v>
      </c>
      <c r="N23" s="45">
        <f t="shared" si="1"/>
        <v>4107.4789000000001</v>
      </c>
      <c r="O23" s="45">
        <f t="shared" si="2"/>
        <v>2316.86</v>
      </c>
      <c r="P23" s="45">
        <v>0</v>
      </c>
      <c r="Q23" s="45"/>
      <c r="R23" s="45">
        <f t="shared" si="3"/>
        <v>6424.3389000000006</v>
      </c>
      <c r="S23" s="11">
        <f>_xlfn.XLOOKUP(E:E,'[1]②7月-汇总'!$D:$D,'[1]②7月-汇总'!$AP:$AP)</f>
        <v>31</v>
      </c>
      <c r="T23" s="45">
        <v>2200</v>
      </c>
      <c r="U23" s="11">
        <f>_xlfn.XLOOKUP(E:E,'[2]手工、项目数、消耗'!$C:$C,'[2]手工、项目数、消耗'!$E:$E)</f>
        <v>86891.64</v>
      </c>
      <c r="V23" s="11">
        <f>_xlfn.XLOOKUP(E:E,'[2]手工、项目数、消耗'!$C:$C,'[2]手工、项目数、消耗'!$D:$D)</f>
        <v>126</v>
      </c>
      <c r="W23" s="11">
        <f>_xlfn.XLOOKUP(E:E,'[2]手工、项目数、消耗'!$C:$C,'[2]手工、项目数、消耗'!$H:$H)</f>
        <v>1768</v>
      </c>
      <c r="X23" s="11">
        <f>_xlfn.XLOOKUP(E:E,'[1]②7月-汇总'!$D:$D,'[1]②7月-汇总'!$W:$W)</f>
        <v>0</v>
      </c>
      <c r="Y23" s="11">
        <f>_xlfn.XLOOKUP(E:E,'[1]②7月-汇总'!$D:$D,'[1]②7月-汇总'!$Z:$Z)</f>
        <v>0</v>
      </c>
      <c r="Z23" s="11">
        <f>_xlfn.XLOOKUP(E:E,'[1]②7月-汇总'!$D:$D,'[1]②7月-汇总'!$AI:$AI)</f>
        <v>0</v>
      </c>
      <c r="AA23" s="45">
        <f t="shared" si="4"/>
        <v>10392.338900000001</v>
      </c>
      <c r="AB23" s="11">
        <v>500</v>
      </c>
      <c r="AC23" s="67"/>
      <c r="AD23" s="11">
        <f>_xlfn.XLOOKUP(E:E,'[1]②7月-汇总'!$D:$D,'[1]②7月-汇总'!$AC:$AC)</f>
        <v>0</v>
      </c>
      <c r="AE23" s="11">
        <f>_xlfn.XLOOKUP(E:E,[3]Sheet1!$B:$B,[3]Sheet1!$L:$L)</f>
        <v>452.904</v>
      </c>
      <c r="AF23" s="11">
        <f>_xlfn.XLOOKUP(E:E,'[1]②7月-汇总'!$D:$D,'[1]②7月-汇总'!$AD:$AD)</f>
        <v>0</v>
      </c>
      <c r="AG23" s="11">
        <f>_xlfn.XLOOKUP(E:E,'[1]②7月-汇总'!$D:$D,'[1]②7月-汇总'!$Y:$Y)</f>
        <v>0</v>
      </c>
      <c r="AH23" s="11">
        <f>_xlfn.XLOOKUP(E:E,'[1]②7月-汇总'!$D:$D,'[1]②7月-汇总'!$L:$L)</f>
        <v>0</v>
      </c>
      <c r="AI23" s="11">
        <f>_xlfn.XLOOKUP(E:E,'[1]②7月-汇总'!$D:$D,'[1]②7月-汇总'!$X:$X)</f>
        <v>10</v>
      </c>
      <c r="AJ23" s="11">
        <f>_xlfn.XLOOKUP(E:E,'[1]②7月-汇总'!$D:$D,'[1]②7月-汇总'!$AB:$AB)</f>
        <v>0</v>
      </c>
      <c r="AK23" s="11">
        <f>_xlfn.XLOOKUP(E:E,'[1]②7月-汇总'!$D:$D,'[1]②7月-汇总'!$AE:$AE)</f>
        <v>0</v>
      </c>
      <c r="AL23" s="96"/>
      <c r="AM23" s="45">
        <f t="shared" si="8"/>
        <v>10429.4349</v>
      </c>
      <c r="AN23" s="11">
        <f>_xlfn.XLOOKUP(E:E,'[1]①7月-花名册'!$E:$E,'[1]①7月-花名册'!$T:$T)</f>
        <v>0</v>
      </c>
      <c r="AO23" s="67"/>
      <c r="AP23" s="142">
        <f>_xlfn.XLOOKUP(E23,[9]工资核对的全字段!$C:$C,[9]工资核对的全字段!$CW:$CW,0)</f>
        <v>10429.4349</v>
      </c>
      <c r="AQ23" s="36">
        <f t="shared" si="6"/>
        <v>0</v>
      </c>
    </row>
    <row r="24" spans="1:43" x14ac:dyDescent="0.15">
      <c r="A24" s="55" t="s">
        <v>41</v>
      </c>
      <c r="B24" s="62" t="s">
        <v>63</v>
      </c>
      <c r="C24" s="57" t="s">
        <v>68</v>
      </c>
      <c r="D24" s="58" t="s">
        <v>4</v>
      </c>
      <c r="E24" s="58" t="s">
        <v>70</v>
      </c>
      <c r="F24" s="11">
        <f t="shared" si="0"/>
        <v>37547.599999999999</v>
      </c>
      <c r="G24" s="11">
        <v>36659.599999999999</v>
      </c>
      <c r="H24" s="11">
        <v>0</v>
      </c>
      <c r="I24" s="11">
        <v>888</v>
      </c>
      <c r="J24" s="67"/>
      <c r="K24" s="11"/>
      <c r="L24" s="68">
        <f>F24/$K$26</f>
        <v>0.21406499782215563</v>
      </c>
      <c r="M24" s="68">
        <v>7.0000000000000007E-2</v>
      </c>
      <c r="N24" s="45">
        <f t="shared" si="1"/>
        <v>2437.8633999999997</v>
      </c>
      <c r="O24" s="45">
        <f t="shared" si="2"/>
        <v>0</v>
      </c>
      <c r="P24" s="45"/>
      <c r="Q24" s="45"/>
      <c r="R24" s="45">
        <f t="shared" si="3"/>
        <v>2437.8633999999997</v>
      </c>
      <c r="S24" s="11">
        <f>_xlfn.XLOOKUP(E:E,'[1]②7月-汇总'!$D:$D,'[1]②7月-汇总'!$AP:$AP)</f>
        <v>31</v>
      </c>
      <c r="T24" s="45">
        <v>2200</v>
      </c>
      <c r="U24" s="11">
        <f>_xlfn.XLOOKUP(E:E,'[2]手工、项目数、消耗'!$C:$C,'[2]手工、项目数、消耗'!$E:$E)</f>
        <v>55759.65</v>
      </c>
      <c r="V24" s="11">
        <f>_xlfn.XLOOKUP(E:E,'[2]手工、项目数、消耗'!$C:$C,'[2]手工、项目数、消耗'!$D:$D)</f>
        <v>141</v>
      </c>
      <c r="W24" s="11">
        <f>_xlfn.XLOOKUP(E:E,'[2]手工、项目数、消耗'!$C:$C,'[2]手工、项目数、消耗'!$H:$H)</f>
        <v>1805</v>
      </c>
      <c r="X24" s="11">
        <f>_xlfn.XLOOKUP(E:E,'[1]②7月-汇总'!$D:$D,'[1]②7月-汇总'!$W:$W)</f>
        <v>0</v>
      </c>
      <c r="Y24" s="11">
        <f>_xlfn.XLOOKUP(E:E,'[1]②7月-汇总'!$D:$D,'[1]②7月-汇总'!$Z:$Z)</f>
        <v>50</v>
      </c>
      <c r="Z24" s="11">
        <f>_xlfn.XLOOKUP(E:E,'[1]②7月-汇总'!$D:$D,'[1]②7月-汇总'!$AI:$AI)</f>
        <v>0</v>
      </c>
      <c r="AA24" s="45">
        <f t="shared" si="4"/>
        <v>6492.8634000000002</v>
      </c>
      <c r="AB24" s="11"/>
      <c r="AC24" s="67"/>
      <c r="AD24" s="11">
        <f>_xlfn.XLOOKUP(E:E,'[1]②7月-汇总'!$D:$D,'[1]②7月-汇总'!$AC:$AC)</f>
        <v>0</v>
      </c>
      <c r="AE24" s="11">
        <f>_xlfn.XLOOKUP(E:E,[3]Sheet1!$B:$B,[3]Sheet1!$L:$L)</f>
        <v>454.70800000000003</v>
      </c>
      <c r="AF24" s="11">
        <f>_xlfn.XLOOKUP(E:E,'[1]②7月-汇总'!$D:$D,'[1]②7月-汇总'!$AD:$AD)</f>
        <v>0</v>
      </c>
      <c r="AG24" s="11">
        <f>_xlfn.XLOOKUP(E:E,'[1]②7月-汇总'!$D:$D,'[1]②7月-汇总'!$Y:$Y)</f>
        <v>0</v>
      </c>
      <c r="AH24" s="11">
        <f>_xlfn.XLOOKUP(E:E,'[1]②7月-汇总'!$D:$D,'[1]②7月-汇总'!$L:$L)</f>
        <v>0</v>
      </c>
      <c r="AI24" s="11">
        <f>_xlfn.XLOOKUP(E:E,'[1]②7月-汇总'!$D:$D,'[1]②7月-汇总'!$X:$X)</f>
        <v>0</v>
      </c>
      <c r="AJ24" s="11">
        <f>_xlfn.XLOOKUP(E:E,'[1]②7月-汇总'!$D:$D,'[1]②7月-汇总'!$AB:$AB)</f>
        <v>0</v>
      </c>
      <c r="AK24" s="11">
        <f>_xlfn.XLOOKUP(E:E,'[1]②7月-汇总'!$D:$D,'[1]②7月-汇总'!$AE:$AE)</f>
        <v>0</v>
      </c>
      <c r="AL24" s="96"/>
      <c r="AM24" s="45">
        <f t="shared" si="8"/>
        <v>6038.1554000000006</v>
      </c>
      <c r="AN24" s="11">
        <f>_xlfn.XLOOKUP(E:E,'[1]①7月-花名册'!$E:$E,'[1]①7月-花名册'!$T:$T)</f>
        <v>0</v>
      </c>
      <c r="AO24" s="67"/>
      <c r="AP24" s="142">
        <f>_xlfn.XLOOKUP(E24,[9]工资核对的全字段!$C:$C,[9]工资核对的全字段!$CW:$CW,0)</f>
        <v>6038.1554000000006</v>
      </c>
      <c r="AQ24" s="36">
        <f t="shared" si="6"/>
        <v>0</v>
      </c>
    </row>
    <row r="25" spans="1:43" x14ac:dyDescent="0.15">
      <c r="A25" s="55" t="s">
        <v>41</v>
      </c>
      <c r="B25" s="62" t="s">
        <v>63</v>
      </c>
      <c r="C25" s="57" t="s">
        <v>68</v>
      </c>
      <c r="D25" s="58" t="s">
        <v>4</v>
      </c>
      <c r="E25" s="58" t="s">
        <v>71</v>
      </c>
      <c r="F25" s="11">
        <f t="shared" si="0"/>
        <v>21600.6</v>
      </c>
      <c r="G25" s="11">
        <v>21600.6</v>
      </c>
      <c r="H25" s="11">
        <v>0</v>
      </c>
      <c r="I25" s="11">
        <v>0</v>
      </c>
      <c r="J25" s="67"/>
      <c r="K25" s="11"/>
      <c r="L25" s="68">
        <f>F25/$K$26</f>
        <v>0.12314854722957672</v>
      </c>
      <c r="M25" s="68">
        <v>7.0000000000000007E-2</v>
      </c>
      <c r="N25" s="45">
        <f t="shared" si="1"/>
        <v>1436.4398999999999</v>
      </c>
      <c r="O25" s="45">
        <f t="shared" si="2"/>
        <v>0</v>
      </c>
      <c r="P25" s="45"/>
      <c r="Q25" s="45"/>
      <c r="R25" s="45">
        <f t="shared" si="3"/>
        <v>1436.4398999999999</v>
      </c>
      <c r="S25" s="11">
        <f>_xlfn.XLOOKUP(E:E,'[1]②7月-汇总'!$D:$D,'[1]②7月-汇总'!$AP:$AP)</f>
        <v>31</v>
      </c>
      <c r="T25" s="45">
        <v>2200</v>
      </c>
      <c r="U25" s="11">
        <f>_xlfn.XLOOKUP(E:E,'[2]手工、项目数、消耗'!$C:$C,'[2]手工、项目数、消耗'!$E:$E)</f>
        <v>46794.41</v>
      </c>
      <c r="V25" s="11">
        <f>_xlfn.XLOOKUP(E:E,'[2]手工、项目数、消耗'!$C:$C,'[2]手工、项目数、消耗'!$D:$D)</f>
        <v>141</v>
      </c>
      <c r="W25" s="11">
        <f>_xlfn.XLOOKUP(E:E,'[2]手工、项目数、消耗'!$C:$C,'[2]手工、项目数、消耗'!$H:$H)</f>
        <v>1901</v>
      </c>
      <c r="X25" s="11">
        <f>_xlfn.XLOOKUP(E:E,'[1]②7月-汇总'!$D:$D,'[1]②7月-汇总'!$W:$W)</f>
        <v>0</v>
      </c>
      <c r="Y25" s="11">
        <f>_xlfn.XLOOKUP(E:E,'[1]②7月-汇总'!$D:$D,'[1]②7月-汇总'!$Z:$Z)</f>
        <v>50</v>
      </c>
      <c r="Z25" s="11">
        <f>_xlfn.XLOOKUP(E:E,'[1]②7月-汇总'!$D:$D,'[1]②7月-汇总'!$AI:$AI)</f>
        <v>0</v>
      </c>
      <c r="AA25" s="45">
        <f t="shared" si="4"/>
        <v>5587.4398999999994</v>
      </c>
      <c r="AB25" s="11"/>
      <c r="AC25" s="67"/>
      <c r="AD25" s="11">
        <f>_xlfn.XLOOKUP(E:E,'[1]②7月-汇总'!$D:$D,'[1]②7月-汇总'!$AC:$AC)</f>
        <v>0</v>
      </c>
      <c r="AE25" s="11"/>
      <c r="AF25" s="11">
        <f>_xlfn.XLOOKUP(E:E,'[1]②7月-汇总'!$D:$D,'[1]②7月-汇总'!$AD:$AD)</f>
        <v>0</v>
      </c>
      <c r="AG25" s="11">
        <f>_xlfn.XLOOKUP(E:E,'[1]②7月-汇总'!$D:$D,'[1]②7月-汇总'!$Y:$Y)</f>
        <v>0</v>
      </c>
      <c r="AH25" s="11">
        <f>_xlfn.XLOOKUP(E:E,'[1]②7月-汇总'!$D:$D,'[1]②7月-汇总'!$L:$L)</f>
        <v>0</v>
      </c>
      <c r="AI25" s="11">
        <f>_xlfn.XLOOKUP(E:E,'[1]②7月-汇总'!$D:$D,'[1]②7月-汇总'!$X:$X)</f>
        <v>0</v>
      </c>
      <c r="AJ25" s="11">
        <f>_xlfn.XLOOKUP(E:E,'[1]②7月-汇总'!$D:$D,'[1]②7月-汇总'!$AB:$AB)</f>
        <v>0</v>
      </c>
      <c r="AK25" s="11">
        <f>_xlfn.XLOOKUP(E:E,'[1]②7月-汇总'!$D:$D,'[1]②7月-汇总'!$AE:$AE)</f>
        <v>0</v>
      </c>
      <c r="AL25" s="96"/>
      <c r="AM25" s="45">
        <f t="shared" si="8"/>
        <v>5587.4398999999994</v>
      </c>
      <c r="AN25" s="11">
        <f>_xlfn.XLOOKUP(E:E,'[1]①7月-花名册'!$E:$E,'[1]①7月-花名册'!$T:$T)</f>
        <v>0</v>
      </c>
      <c r="AO25" s="67"/>
      <c r="AP25" s="142">
        <f>_xlfn.XLOOKUP(E25,[9]工资核对的全字段!$C:$C,[9]工资核对的全字段!$CW:$CW,0)</f>
        <v>5587.4399000000003</v>
      </c>
      <c r="AQ25" s="36">
        <f t="shared" si="6"/>
        <v>0</v>
      </c>
    </row>
    <row r="26" spans="1:43" x14ac:dyDescent="0.15">
      <c r="A26" s="55" t="s">
        <v>41</v>
      </c>
      <c r="B26" s="62" t="str">
        <f>B25</f>
        <v>静居寺</v>
      </c>
      <c r="C26" s="57" t="s">
        <v>47</v>
      </c>
      <c r="D26" s="58" t="s">
        <v>47</v>
      </c>
      <c r="E26" s="58" t="s">
        <v>47</v>
      </c>
      <c r="F26" s="11">
        <f t="shared" si="0"/>
        <v>0</v>
      </c>
      <c r="G26" s="11">
        <v>0</v>
      </c>
      <c r="H26" s="11">
        <v>0</v>
      </c>
      <c r="I26" s="11">
        <v>0</v>
      </c>
      <c r="J26" s="67"/>
      <c r="K26" s="11">
        <v>175402.8</v>
      </c>
      <c r="L26" s="68"/>
      <c r="M26" s="68"/>
      <c r="N26" s="45">
        <f t="shared" si="1"/>
        <v>0</v>
      </c>
      <c r="O26" s="45">
        <f t="shared" si="2"/>
        <v>0</v>
      </c>
      <c r="P26" s="45"/>
      <c r="Q26" s="45"/>
      <c r="R26" s="45">
        <f t="shared" si="3"/>
        <v>0</v>
      </c>
      <c r="S26" s="11"/>
      <c r="T26" s="45"/>
      <c r="U26" s="11"/>
      <c r="V26" s="11"/>
      <c r="W26" s="11"/>
      <c r="X26" s="11"/>
      <c r="Y26" s="11"/>
      <c r="Z26" s="11"/>
      <c r="AA26" s="45">
        <f t="shared" si="4"/>
        <v>0</v>
      </c>
      <c r="AB26" s="11"/>
      <c r="AC26" s="67"/>
      <c r="AD26" s="11"/>
      <c r="AE26" s="11"/>
      <c r="AF26" s="11"/>
      <c r="AG26" s="11"/>
      <c r="AH26" s="11"/>
      <c r="AI26" s="11"/>
      <c r="AJ26" s="11"/>
      <c r="AK26" s="11"/>
      <c r="AL26" s="96"/>
      <c r="AM26" s="45">
        <f t="shared" si="8"/>
        <v>0</v>
      </c>
      <c r="AN26" s="11"/>
      <c r="AO26" s="67"/>
      <c r="AP26" s="142">
        <f>_xlfn.XLOOKUP(E26,[9]工资核对的全字段!$C:$C,[9]工资核对的全字段!$CW:$CW,0)</f>
        <v>0</v>
      </c>
      <c r="AQ26" s="36">
        <f t="shared" si="6"/>
        <v>0</v>
      </c>
    </row>
    <row r="27" spans="1:43" x14ac:dyDescent="0.15">
      <c r="A27" s="55" t="s">
        <v>41</v>
      </c>
      <c r="B27" s="62" t="s">
        <v>63</v>
      </c>
      <c r="C27" s="60" t="s">
        <v>9</v>
      </c>
      <c r="D27" s="61" t="s">
        <v>9</v>
      </c>
      <c r="E27" s="61" t="s">
        <v>72</v>
      </c>
      <c r="F27" s="11">
        <f t="shared" si="0"/>
        <v>0</v>
      </c>
      <c r="G27" s="11">
        <v>0</v>
      </c>
      <c r="H27" s="11">
        <v>0</v>
      </c>
      <c r="I27" s="11">
        <v>0</v>
      </c>
      <c r="J27" s="67"/>
      <c r="K27" s="11"/>
      <c r="L27" s="68"/>
      <c r="M27" s="68"/>
      <c r="N27" s="45">
        <f t="shared" si="1"/>
        <v>0</v>
      </c>
      <c r="O27" s="45">
        <f t="shared" si="2"/>
        <v>0</v>
      </c>
      <c r="P27" s="45"/>
      <c r="Q27" s="45">
        <v>1019</v>
      </c>
      <c r="R27" s="45">
        <f t="shared" si="3"/>
        <v>1019</v>
      </c>
      <c r="S27" s="11"/>
      <c r="T27" s="45"/>
      <c r="U27" s="11"/>
      <c r="V27" s="11"/>
      <c r="W27" s="11"/>
      <c r="X27" s="11"/>
      <c r="Y27" s="11"/>
      <c r="Z27" s="11"/>
      <c r="AA27" s="45">
        <f t="shared" si="4"/>
        <v>1019</v>
      </c>
      <c r="AB27" s="11"/>
      <c r="AC27" s="67"/>
      <c r="AD27" s="11"/>
      <c r="AE27" s="11"/>
      <c r="AF27" s="11"/>
      <c r="AG27" s="11"/>
      <c r="AH27" s="11"/>
      <c r="AI27" s="11"/>
      <c r="AJ27" s="11"/>
      <c r="AK27" s="11"/>
      <c r="AL27" s="96"/>
      <c r="AM27" s="45">
        <f t="shared" si="8"/>
        <v>1019</v>
      </c>
      <c r="AN27" s="11"/>
      <c r="AO27" s="67"/>
      <c r="AP27" s="142">
        <f>_xlfn.XLOOKUP(E27,[9]工资核对的全字段!$C:$C,[9]工资核对的全字段!$CW:$CW,0)</f>
        <v>1018.7254750000001</v>
      </c>
      <c r="AQ27" s="36">
        <f t="shared" si="6"/>
        <v>-0.27452499999992597</v>
      </c>
    </row>
    <row r="28" spans="1:43" x14ac:dyDescent="0.15">
      <c r="A28" s="55" t="s">
        <v>41</v>
      </c>
      <c r="B28" s="82" t="s">
        <v>73</v>
      </c>
      <c r="C28" s="57" t="s">
        <v>74</v>
      </c>
      <c r="D28" s="58" t="s">
        <v>43</v>
      </c>
      <c r="E28" s="58" t="s">
        <v>75</v>
      </c>
      <c r="F28" s="11">
        <f t="shared" si="0"/>
        <v>97081.22</v>
      </c>
      <c r="G28" s="11">
        <v>31981.22</v>
      </c>
      <c r="H28" s="11">
        <v>65100</v>
      </c>
      <c r="I28" s="11">
        <v>0</v>
      </c>
      <c r="J28" s="67"/>
      <c r="K28" s="11"/>
      <c r="L28" s="68">
        <f>F28/$K$30</f>
        <v>0.82639039628615907</v>
      </c>
      <c r="M28" s="68">
        <v>0.06</v>
      </c>
      <c r="N28" s="45">
        <f t="shared" si="1"/>
        <v>1822.9295399999999</v>
      </c>
      <c r="O28" s="45">
        <f t="shared" si="2"/>
        <v>2411.9549999999999</v>
      </c>
      <c r="P28" s="45">
        <v>0</v>
      </c>
      <c r="Q28" s="45"/>
      <c r="R28" s="45">
        <f t="shared" si="3"/>
        <v>4234.88454</v>
      </c>
      <c r="S28" s="11">
        <f>_xlfn.XLOOKUP(E:E,'[1]②7月-汇总'!$D:$D,'[1]②7月-汇总'!$AP:$AP)</f>
        <v>31</v>
      </c>
      <c r="T28" s="45">
        <v>2000</v>
      </c>
      <c r="U28" s="11">
        <f>_xlfn.XLOOKUP(E:E,'[2]手工、项目数、消耗'!$C:$C,'[2]手工、项目数、消耗'!$E:$E)</f>
        <v>15611.31</v>
      </c>
      <c r="V28" s="11">
        <f>_xlfn.XLOOKUP(E:E,'[2]手工、项目数、消耗'!$C:$C,'[2]手工、项目数、消耗'!$D:$D)</f>
        <v>99</v>
      </c>
      <c r="W28" s="11">
        <f>_xlfn.XLOOKUP(E:E,'[2]手工、项目数、消耗'!$C:$C,'[2]手工、项目数、消耗'!$H:$H)</f>
        <v>1565</v>
      </c>
      <c r="X28" s="11">
        <f>_xlfn.XLOOKUP(E:E,'[1]②7月-汇总'!$D:$D,'[1]②7月-汇总'!$W:$W)</f>
        <v>0</v>
      </c>
      <c r="Y28" s="11">
        <f>_xlfn.XLOOKUP(E:E,'[1]②7月-汇总'!$D:$D,'[1]②7月-汇总'!$Z:$Z)</f>
        <v>0</v>
      </c>
      <c r="Z28" s="11">
        <f>_xlfn.XLOOKUP(E:E,'[1]②7月-汇总'!$D:$D,'[1]②7月-汇总'!$AI:$AI)</f>
        <v>0</v>
      </c>
      <c r="AA28" s="45">
        <f t="shared" si="4"/>
        <v>7799.88454</v>
      </c>
      <c r="AB28" s="11"/>
      <c r="AC28" s="67"/>
      <c r="AD28" s="11">
        <f>_xlfn.XLOOKUP(E:E,'[1]②7月-汇总'!$D:$D,'[1]②7月-汇总'!$AC:$AC)</f>
        <v>100</v>
      </c>
      <c r="AE28" s="11"/>
      <c r="AF28" s="11">
        <f>_xlfn.XLOOKUP(E:E,'[1]②7月-汇总'!$D:$D,'[1]②7月-汇总'!$AD:$AD)</f>
        <v>0</v>
      </c>
      <c r="AG28" s="11">
        <f>_xlfn.XLOOKUP(E:E,'[1]②7月-汇总'!$D:$D,'[1]②7月-汇总'!$Y:$Y)</f>
        <v>0</v>
      </c>
      <c r="AH28" s="11">
        <f>_xlfn.XLOOKUP(E:E,'[1]②7月-汇总'!$D:$D,'[1]②7月-汇总'!$L:$L)</f>
        <v>0</v>
      </c>
      <c r="AI28" s="11">
        <f>_xlfn.XLOOKUP(E:E,'[1]②7月-汇总'!$D:$D,'[1]②7月-汇总'!$X:$X)</f>
        <v>0</v>
      </c>
      <c r="AJ28" s="11">
        <f>_xlfn.XLOOKUP(E:E,'[1]②7月-汇总'!$D:$D,'[1]②7月-汇总'!$AB:$AB)</f>
        <v>0</v>
      </c>
      <c r="AK28" s="11">
        <f>_xlfn.XLOOKUP(E:E,'[1]②7月-汇总'!$D:$D,'[1]②7月-汇总'!$AE:$AE)</f>
        <v>0</v>
      </c>
      <c r="AL28" s="96"/>
      <c r="AM28" s="45">
        <f t="shared" si="8"/>
        <v>7699.88454</v>
      </c>
      <c r="AN28" s="11">
        <f>_xlfn.XLOOKUP(E:E,'[1]①7月-花名册'!$E:$E,'[1]①7月-花名册'!$T:$T)</f>
        <v>0</v>
      </c>
      <c r="AO28" s="67"/>
      <c r="AP28" s="142">
        <f>_xlfn.XLOOKUP(E28,[9]工资核对的全字段!$C:$C,[9]工资核对的全字段!$CW:$CW,0)</f>
        <v>7699.88454</v>
      </c>
      <c r="AQ28" s="36">
        <f t="shared" si="6"/>
        <v>0</v>
      </c>
    </row>
    <row r="29" spans="1:43" x14ac:dyDescent="0.15">
      <c r="A29" s="55" t="s">
        <v>41</v>
      </c>
      <c r="B29" s="82" t="s">
        <v>73</v>
      </c>
      <c r="C29" s="57" t="s">
        <v>74</v>
      </c>
      <c r="D29" s="58" t="s">
        <v>4</v>
      </c>
      <c r="E29" s="58" t="s">
        <v>76</v>
      </c>
      <c r="F29" s="11">
        <f t="shared" si="0"/>
        <v>20395</v>
      </c>
      <c r="G29" s="11">
        <v>19997</v>
      </c>
      <c r="H29" s="11">
        <v>398</v>
      </c>
      <c r="I29" s="11">
        <v>0</v>
      </c>
      <c r="J29" s="67"/>
      <c r="K29" s="11"/>
      <c r="L29" s="68">
        <f>F29/$K$30</f>
        <v>0.17360960371384099</v>
      </c>
      <c r="M29" s="68">
        <v>0.06</v>
      </c>
      <c r="N29" s="45">
        <f t="shared" si="1"/>
        <v>1139.8289999999997</v>
      </c>
      <c r="O29" s="45">
        <f t="shared" si="2"/>
        <v>14.745899999999999</v>
      </c>
      <c r="P29" s="45"/>
      <c r="Q29" s="45"/>
      <c r="R29" s="45">
        <f t="shared" si="3"/>
        <v>1154.5748999999996</v>
      </c>
      <c r="S29" s="11">
        <f>_xlfn.XLOOKUP(E:E,'[1]②7月-汇总'!$D:$D,'[1]②7月-汇总'!$AP:$AP)</f>
        <v>25</v>
      </c>
      <c r="T29" s="45">
        <f>2000/31*25</f>
        <v>1612.9032258064501</v>
      </c>
      <c r="U29" s="11">
        <f>_xlfn.XLOOKUP(E:E,'[2]手工、项目数、消耗'!$C:$C,'[2]手工、项目数、消耗'!$E:$E)</f>
        <v>3537.89</v>
      </c>
      <c r="V29" s="11">
        <f>_xlfn.XLOOKUP(E:E,'[2]手工、项目数、消耗'!$C:$C,'[2]手工、项目数、消耗'!$D:$D)</f>
        <v>64</v>
      </c>
      <c r="W29" s="11">
        <f>_xlfn.XLOOKUP(E:E,'[2]手工、项目数、消耗'!$C:$C,'[2]手工、项目数、消耗'!$H:$H)</f>
        <v>890</v>
      </c>
      <c r="X29" s="11">
        <f>_xlfn.XLOOKUP(E:E,'[1]②7月-汇总'!$D:$D,'[1]②7月-汇总'!$W:$W)</f>
        <v>0</v>
      </c>
      <c r="Y29" s="11">
        <f>_xlfn.XLOOKUP(E:E,'[1]②7月-汇总'!$D:$D,'[1]②7月-汇总'!$Z:$Z)</f>
        <v>0</v>
      </c>
      <c r="Z29" s="11">
        <f>_xlfn.XLOOKUP(E:E,'[1]②7月-汇总'!$D:$D,'[1]②7月-汇总'!$AI:$AI)</f>
        <v>0</v>
      </c>
      <c r="AA29" s="45">
        <f t="shared" si="4"/>
        <v>3657.4781258064495</v>
      </c>
      <c r="AB29" s="11"/>
      <c r="AC29" s="67"/>
      <c r="AD29" s="11">
        <f>_xlfn.XLOOKUP(E:E,'[1]②7月-汇总'!$D:$D,'[1]②7月-汇总'!$AC:$AC)</f>
        <v>0</v>
      </c>
      <c r="AE29" s="11"/>
      <c r="AF29" s="11">
        <f>_xlfn.XLOOKUP(E:E,'[1]②7月-汇总'!$D:$D,'[1]②7月-汇总'!$AD:$AD)</f>
        <v>0</v>
      </c>
      <c r="AG29" s="11">
        <f>_xlfn.XLOOKUP(E:E,'[1]②7月-汇总'!$D:$D,'[1]②7月-汇总'!$Y:$Y)</f>
        <v>0</v>
      </c>
      <c r="AH29" s="11">
        <f>_xlfn.XLOOKUP(E:E,'[1]②7月-汇总'!$D:$D,'[1]②7月-汇总'!$L:$L)</f>
        <v>6</v>
      </c>
      <c r="AI29" s="11">
        <f>_xlfn.XLOOKUP(E:E,'[1]②7月-汇总'!$D:$D,'[1]②7月-汇总'!$X:$X)</f>
        <v>0</v>
      </c>
      <c r="AJ29" s="11">
        <f>_xlfn.XLOOKUP(E:E,'[1]②7月-汇总'!$D:$D,'[1]②7月-汇总'!$AB:$AB)</f>
        <v>0</v>
      </c>
      <c r="AK29" s="11">
        <f>_xlfn.XLOOKUP(E:E,'[1]②7月-汇总'!$D:$D,'[1]②7月-汇总'!$AE:$AE)</f>
        <v>0</v>
      </c>
      <c r="AL29" s="96"/>
      <c r="AM29" s="45">
        <f t="shared" si="8"/>
        <v>3657.4781258064495</v>
      </c>
      <c r="AN29" s="11">
        <f>_xlfn.XLOOKUP(E:E,'[1]①7月-花名册'!$E:$E,'[1]①7月-花名册'!$T:$T)</f>
        <v>0</v>
      </c>
      <c r="AO29" s="67"/>
      <c r="AP29" s="142">
        <f>_xlfn.XLOOKUP(E29,[9]工资核对的全字段!$C:$C,[9]工资核对的全字段!$CW:$CW,0)</f>
        <v>3657.4848999999999</v>
      </c>
      <c r="AQ29" s="36">
        <f t="shared" si="6"/>
        <v>6.7741935504272988E-3</v>
      </c>
    </row>
    <row r="30" spans="1:43" x14ac:dyDescent="0.15">
      <c r="A30" s="55" t="s">
        <v>41</v>
      </c>
      <c r="B30" s="62" t="str">
        <f>B35</f>
        <v>红光</v>
      </c>
      <c r="C30" s="57" t="s">
        <v>47</v>
      </c>
      <c r="D30" s="58" t="s">
        <v>47</v>
      </c>
      <c r="E30" s="58" t="s">
        <v>47</v>
      </c>
      <c r="F30" s="11">
        <f t="shared" si="0"/>
        <v>0</v>
      </c>
      <c r="G30" s="11">
        <v>0</v>
      </c>
      <c r="H30" s="11">
        <v>0</v>
      </c>
      <c r="I30" s="11">
        <v>0</v>
      </c>
      <c r="J30" s="67"/>
      <c r="K30" s="11">
        <v>117476.22</v>
      </c>
      <c r="L30" s="68"/>
      <c r="M30" s="68"/>
      <c r="N30" s="45">
        <f t="shared" si="1"/>
        <v>0</v>
      </c>
      <c r="O30" s="45">
        <f t="shared" si="2"/>
        <v>0</v>
      </c>
      <c r="P30" s="45"/>
      <c r="Q30" s="45"/>
      <c r="R30" s="45">
        <f t="shared" si="3"/>
        <v>0</v>
      </c>
      <c r="S30" s="11"/>
      <c r="T30" s="45"/>
      <c r="U30" s="11"/>
      <c r="V30" s="11"/>
      <c r="W30" s="11"/>
      <c r="X30" s="11"/>
      <c r="Y30" s="11"/>
      <c r="Z30" s="11"/>
      <c r="AA30" s="45">
        <f t="shared" si="4"/>
        <v>0</v>
      </c>
      <c r="AB30" s="11"/>
      <c r="AC30" s="67"/>
      <c r="AD30" s="11"/>
      <c r="AE30" s="11"/>
      <c r="AF30" s="11"/>
      <c r="AG30" s="11"/>
      <c r="AH30" s="11"/>
      <c r="AI30" s="11"/>
      <c r="AJ30" s="11"/>
      <c r="AK30" s="11"/>
      <c r="AL30" s="96"/>
      <c r="AM30" s="45">
        <f t="shared" si="8"/>
        <v>0</v>
      </c>
      <c r="AN30" s="11"/>
      <c r="AO30" s="67"/>
      <c r="AP30" s="142">
        <f>_xlfn.XLOOKUP(E30,[9]工资核对的全字段!$C:$C,[9]工资核对的全字段!$CW:$CW,0)</f>
        <v>0</v>
      </c>
      <c r="AQ30" s="36">
        <f t="shared" si="6"/>
        <v>0</v>
      </c>
    </row>
    <row r="31" spans="1:43" x14ac:dyDescent="0.15">
      <c r="A31" s="55" t="s">
        <v>41</v>
      </c>
      <c r="B31" s="82" t="s">
        <v>73</v>
      </c>
      <c r="C31" s="57" t="s">
        <v>77</v>
      </c>
      <c r="D31" s="58" t="s">
        <v>43</v>
      </c>
      <c r="E31" s="58" t="s">
        <v>78</v>
      </c>
      <c r="F31" s="11">
        <f t="shared" si="0"/>
        <v>67361.600000000006</v>
      </c>
      <c r="G31" s="11">
        <v>40081.599999999999</v>
      </c>
      <c r="H31" s="11">
        <v>26040</v>
      </c>
      <c r="I31" s="11">
        <v>1240</v>
      </c>
      <c r="J31" s="67"/>
      <c r="K31" s="11"/>
      <c r="L31" s="68">
        <f>F31/$K$34</f>
        <v>0.53980545988714046</v>
      </c>
      <c r="M31" s="68">
        <v>0.06</v>
      </c>
      <c r="N31" s="45">
        <f t="shared" si="1"/>
        <v>2284.6511999999998</v>
      </c>
      <c r="O31" s="45">
        <f t="shared" si="2"/>
        <v>964.78199999999993</v>
      </c>
      <c r="P31" s="45">
        <v>0</v>
      </c>
      <c r="Q31" s="45"/>
      <c r="R31" s="45">
        <f t="shared" si="3"/>
        <v>3249.4331999999995</v>
      </c>
      <c r="S31" s="11">
        <f>_xlfn.XLOOKUP(E:E,'[1]②7月-汇总'!$D:$D,'[1]②7月-汇总'!$AP:$AP)</f>
        <v>31</v>
      </c>
      <c r="T31" s="45">
        <v>2000</v>
      </c>
      <c r="U31" s="11">
        <f>_xlfn.XLOOKUP(E:E,'[2]手工、项目数、消耗'!$C:$C,'[2]手工、项目数、消耗'!$E:$E)</f>
        <v>14051.89</v>
      </c>
      <c r="V31" s="11">
        <f>_xlfn.XLOOKUP(E:E,'[2]手工、项目数、消耗'!$C:$C,'[2]手工、项目数、消耗'!$D:$D)</f>
        <v>124</v>
      </c>
      <c r="W31" s="11">
        <f>_xlfn.XLOOKUP(E:E,'[2]手工、项目数、消耗'!$C:$C,'[2]手工、项目数、消耗'!$H:$H)</f>
        <v>2177</v>
      </c>
      <c r="X31" s="11">
        <f>_xlfn.XLOOKUP(E:E,'[1]②7月-汇总'!$D:$D,'[1]②7月-汇总'!$W:$W)</f>
        <v>0</v>
      </c>
      <c r="Y31" s="11">
        <f>_xlfn.XLOOKUP(E:E,'[1]②7月-汇总'!$D:$D,'[1]②7月-汇总'!$Z:$Z)</f>
        <v>0</v>
      </c>
      <c r="Z31" s="11">
        <f>_xlfn.XLOOKUP(E:E,'[1]②7月-汇总'!$D:$D,'[1]②7月-汇总'!$AI:$AI)</f>
        <v>0</v>
      </c>
      <c r="AA31" s="45">
        <f t="shared" si="4"/>
        <v>7426.4331999999995</v>
      </c>
      <c r="AB31" s="11">
        <v>500</v>
      </c>
      <c r="AC31" s="67"/>
      <c r="AD31" s="11">
        <f>_xlfn.XLOOKUP(E:E,'[1]②7月-汇总'!$D:$D,'[1]②7月-汇总'!$AC:$AC)</f>
        <v>0</v>
      </c>
      <c r="AE31" s="11">
        <f>_xlfn.XLOOKUP(E:E,[3]Sheet1!$B:$B,[3]Sheet1!$L:$L)</f>
        <v>644.16800000000001</v>
      </c>
      <c r="AF31" s="11">
        <f>_xlfn.XLOOKUP(E:E,'[1]②7月-汇总'!$D:$D,'[1]②7月-汇总'!$AD:$AD)</f>
        <v>0</v>
      </c>
      <c r="AG31" s="11">
        <f>_xlfn.XLOOKUP(E:E,'[1]②7月-汇总'!$D:$D,'[1]②7月-汇总'!$Y:$Y)</f>
        <v>0</v>
      </c>
      <c r="AH31" s="11">
        <f>_xlfn.XLOOKUP(E:E,'[1]②7月-汇总'!$D:$D,'[1]②7月-汇总'!$L:$L)</f>
        <v>0</v>
      </c>
      <c r="AI31" s="11">
        <f>_xlfn.XLOOKUP(E:E,'[1]②7月-汇总'!$D:$D,'[1]②7月-汇总'!$X:$X)</f>
        <v>0</v>
      </c>
      <c r="AJ31" s="11">
        <f>_xlfn.XLOOKUP(E:E,'[1]②7月-汇总'!$D:$D,'[1]②7月-汇总'!$AB:$AB)</f>
        <v>0</v>
      </c>
      <c r="AK31" s="11">
        <f>_xlfn.XLOOKUP(E:E,'[1]②7月-汇总'!$D:$D,'[1]②7月-汇总'!$AE:$AE)</f>
        <v>0</v>
      </c>
      <c r="AL31" s="96"/>
      <c r="AM31" s="45">
        <f t="shared" si="8"/>
        <v>7282.2651999999998</v>
      </c>
      <c r="AN31" s="11">
        <f>_xlfn.XLOOKUP(E:E,'[1]①7月-花名册'!$E:$E,'[1]①7月-花名册'!$T:$T)</f>
        <v>0</v>
      </c>
      <c r="AO31" s="67"/>
      <c r="AP31" s="142">
        <f>_xlfn.XLOOKUP(E31,[9]工资核对的全字段!$C:$C,[9]工资核对的全字段!$CW:$CW,0)</f>
        <v>7282.2651999999998</v>
      </c>
      <c r="AQ31" s="36">
        <f t="shared" si="6"/>
        <v>0</v>
      </c>
    </row>
    <row r="32" spans="1:43" x14ac:dyDescent="0.15">
      <c r="A32" s="55" t="s">
        <v>41</v>
      </c>
      <c r="B32" s="82" t="s">
        <v>73</v>
      </c>
      <c r="C32" s="57" t="s">
        <v>77</v>
      </c>
      <c r="D32" s="58" t="s">
        <v>4</v>
      </c>
      <c r="E32" s="58" t="s">
        <v>79</v>
      </c>
      <c r="F32" s="11">
        <f t="shared" si="0"/>
        <v>43052.66</v>
      </c>
      <c r="G32" s="11">
        <v>16392.66</v>
      </c>
      <c r="H32" s="11">
        <v>26040</v>
      </c>
      <c r="I32" s="11">
        <v>620</v>
      </c>
      <c r="J32" s="67"/>
      <c r="K32" s="11"/>
      <c r="L32" s="68">
        <f>F32/$K$34</f>
        <v>0.34500458615390217</v>
      </c>
      <c r="M32" s="68">
        <v>0.06</v>
      </c>
      <c r="N32" s="45">
        <f t="shared" si="1"/>
        <v>934.38161999999988</v>
      </c>
      <c r="O32" s="45">
        <f t="shared" si="2"/>
        <v>964.78199999999993</v>
      </c>
      <c r="P32" s="45"/>
      <c r="Q32" s="45"/>
      <c r="R32" s="45">
        <f t="shared" si="3"/>
        <v>1899.1636199999998</v>
      </c>
      <c r="S32" s="11">
        <f>_xlfn.XLOOKUP(E:E,'[1]②7月-汇总'!$D:$D,'[1]②7月-汇总'!$AP:$AP)</f>
        <v>31</v>
      </c>
      <c r="T32" s="45">
        <v>2000</v>
      </c>
      <c r="U32" s="11">
        <f>_xlfn.XLOOKUP(E:E,'[2]手工、项目数、消耗'!$C:$C,'[2]手工、项目数、消耗'!$E:$E)</f>
        <v>10460.950000000001</v>
      </c>
      <c r="V32" s="11">
        <f>_xlfn.XLOOKUP(E:E,'[2]手工、项目数、消耗'!$C:$C,'[2]手工、项目数、消耗'!$D:$D)</f>
        <v>96</v>
      </c>
      <c r="W32" s="11">
        <f>_xlfn.XLOOKUP(E:E,'[2]手工、项目数、消耗'!$C:$C,'[2]手工、项目数、消耗'!$H:$H)</f>
        <v>1154</v>
      </c>
      <c r="X32" s="11">
        <f>_xlfn.XLOOKUP(E:E,'[1]②7月-汇总'!$D:$D,'[1]②7月-汇总'!$W:$W)</f>
        <v>0</v>
      </c>
      <c r="Y32" s="11">
        <f>_xlfn.XLOOKUP(E:E,'[1]②7月-汇总'!$D:$D,'[1]②7月-汇总'!$Z:$Z)</f>
        <v>0</v>
      </c>
      <c r="Z32" s="11">
        <f>_xlfn.XLOOKUP(E:E,'[1]②7月-汇总'!$D:$D,'[1]②7月-汇总'!$AI:$AI)</f>
        <v>0</v>
      </c>
      <c r="AA32" s="45">
        <f t="shared" si="4"/>
        <v>5053.1636199999994</v>
      </c>
      <c r="AB32" s="11"/>
      <c r="AC32" s="67"/>
      <c r="AD32" s="11">
        <f>_xlfn.XLOOKUP(E:E,'[1]②7月-汇总'!$D:$D,'[1]②7月-汇总'!$AC:$AC)</f>
        <v>0</v>
      </c>
      <c r="AE32" s="11"/>
      <c r="AF32" s="11">
        <f>_xlfn.XLOOKUP(E:E,'[1]②7月-汇总'!$D:$D,'[1]②7月-汇总'!$AD:$AD)</f>
        <v>0</v>
      </c>
      <c r="AG32" s="11">
        <f>_xlfn.XLOOKUP(E:E,'[1]②7月-汇总'!$D:$D,'[1]②7月-汇总'!$Y:$Y)</f>
        <v>0</v>
      </c>
      <c r="AH32" s="11">
        <f>_xlfn.XLOOKUP(E:E,'[1]②7月-汇总'!$D:$D,'[1]②7月-汇总'!$L:$L)</f>
        <v>0</v>
      </c>
      <c r="AI32" s="11">
        <f>_xlfn.XLOOKUP(E:E,'[1]②7月-汇总'!$D:$D,'[1]②7月-汇总'!$X:$X)</f>
        <v>0</v>
      </c>
      <c r="AJ32" s="11">
        <f>_xlfn.XLOOKUP(E:E,'[1]②7月-汇总'!$D:$D,'[1]②7月-汇总'!$AB:$AB)</f>
        <v>0</v>
      </c>
      <c r="AK32" s="11">
        <f>_xlfn.XLOOKUP(E:E,'[1]②7月-汇总'!$D:$D,'[1]②7月-汇总'!$AE:$AE)</f>
        <v>0</v>
      </c>
      <c r="AL32" s="96"/>
      <c r="AM32" s="45">
        <f t="shared" si="8"/>
        <v>5053.1636199999994</v>
      </c>
      <c r="AN32" s="11">
        <f>_xlfn.XLOOKUP(E:E,'[1]①7月-花名册'!$E:$E,'[1]①7月-花名册'!$T:$T)</f>
        <v>0</v>
      </c>
      <c r="AO32" s="67"/>
      <c r="AP32" s="142">
        <f>_xlfn.XLOOKUP(E32,[9]工资核对的全字段!$C:$C,[9]工资核对的全字段!$CW:$CW,0)</f>
        <v>5053.1636199999994</v>
      </c>
      <c r="AQ32" s="36">
        <f t="shared" si="6"/>
        <v>0</v>
      </c>
    </row>
    <row r="33" spans="1:43" x14ac:dyDescent="0.15">
      <c r="A33" s="55" t="s">
        <v>41</v>
      </c>
      <c r="B33" s="82" t="s">
        <v>73</v>
      </c>
      <c r="C33" s="57" t="s">
        <v>77</v>
      </c>
      <c r="D33" s="58" t="s">
        <v>4</v>
      </c>
      <c r="E33" s="58" t="s">
        <v>80</v>
      </c>
      <c r="F33" s="11">
        <f t="shared" si="0"/>
        <v>14374.4</v>
      </c>
      <c r="G33" s="11">
        <v>13754.4</v>
      </c>
      <c r="H33" s="11">
        <v>0</v>
      </c>
      <c r="I33" s="11">
        <v>620</v>
      </c>
      <c r="J33" s="67"/>
      <c r="K33" s="11"/>
      <c r="L33" s="68">
        <f>F33/$K$34</f>
        <v>0.11518995395895748</v>
      </c>
      <c r="M33" s="68">
        <v>0.06</v>
      </c>
      <c r="N33" s="45">
        <f t="shared" si="1"/>
        <v>784.00079999999991</v>
      </c>
      <c r="O33" s="45">
        <f t="shared" si="2"/>
        <v>0</v>
      </c>
      <c r="P33" s="45"/>
      <c r="Q33" s="45"/>
      <c r="R33" s="45">
        <f t="shared" si="3"/>
        <v>784.00079999999991</v>
      </c>
      <c r="S33" s="11">
        <f>_xlfn.XLOOKUP(E:E,'[1]②7月-汇总'!$D:$D,'[1]②7月-汇总'!$AP:$AP)</f>
        <v>31</v>
      </c>
      <c r="T33" s="45">
        <v>2000</v>
      </c>
      <c r="U33" s="11">
        <f>_xlfn.XLOOKUP(E:E,'[2]手工、项目数、消耗'!$C:$C,'[2]手工、项目数、消耗'!$E:$E)</f>
        <v>6609.12</v>
      </c>
      <c r="V33" s="11">
        <f>_xlfn.XLOOKUP(E:E,'[2]手工、项目数、消耗'!$C:$C,'[2]手工、项目数、消耗'!$D:$D)</f>
        <v>77</v>
      </c>
      <c r="W33" s="11">
        <f>_xlfn.XLOOKUP(E:E,'[2]手工、项目数、消耗'!$C:$C,'[2]手工、项目数、消耗'!$H:$H)</f>
        <v>1062</v>
      </c>
      <c r="X33" s="11">
        <f>_xlfn.XLOOKUP(E:E,'[1]②7月-汇总'!$D:$D,'[1]②7月-汇总'!$W:$W)</f>
        <v>0</v>
      </c>
      <c r="Y33" s="11">
        <f>_xlfn.XLOOKUP(E:E,'[1]②7月-汇总'!$D:$D,'[1]②7月-汇总'!$Z:$Z)</f>
        <v>50</v>
      </c>
      <c r="Z33" s="11">
        <f>_xlfn.XLOOKUP(E:E,'[1]②7月-汇总'!$D:$D,'[1]②7月-汇总'!$AI:$AI)</f>
        <v>0</v>
      </c>
      <c r="AA33" s="45">
        <f t="shared" si="4"/>
        <v>3896.0007999999998</v>
      </c>
      <c r="AB33" s="11"/>
      <c r="AC33" s="67"/>
      <c r="AD33" s="11">
        <f>_xlfn.XLOOKUP(E:E,'[1]②7月-汇总'!$D:$D,'[1]②7月-汇总'!$AC:$AC)</f>
        <v>100</v>
      </c>
      <c r="AE33" s="11"/>
      <c r="AF33" s="11">
        <f>_xlfn.XLOOKUP(E:E,'[1]②7月-汇总'!$D:$D,'[1]②7月-汇总'!$AD:$AD)</f>
        <v>0</v>
      </c>
      <c r="AG33" s="11">
        <f>_xlfn.XLOOKUP(E:E,'[1]②7月-汇总'!$D:$D,'[1]②7月-汇总'!$Y:$Y)</f>
        <v>0</v>
      </c>
      <c r="AH33" s="11">
        <f>_xlfn.XLOOKUP(E:E,'[1]②7月-汇总'!$D:$D,'[1]②7月-汇总'!$L:$L)</f>
        <v>0</v>
      </c>
      <c r="AI33" s="11">
        <f>_xlfn.XLOOKUP(E:E,'[1]②7月-汇总'!$D:$D,'[1]②7月-汇总'!$X:$X)</f>
        <v>0</v>
      </c>
      <c r="AJ33" s="11">
        <f>_xlfn.XLOOKUP(E:E,'[1]②7月-汇总'!$D:$D,'[1]②7月-汇总'!$AB:$AB)</f>
        <v>0</v>
      </c>
      <c r="AK33" s="11">
        <f>_xlfn.XLOOKUP(E:E,'[1]②7月-汇总'!$D:$D,'[1]②7月-汇总'!$AE:$AE)</f>
        <v>0</v>
      </c>
      <c r="AL33" s="96"/>
      <c r="AM33" s="45">
        <f t="shared" si="8"/>
        <v>3796.0007999999998</v>
      </c>
      <c r="AN33" s="11">
        <f>_xlfn.XLOOKUP(E:E,'[1]①7月-花名册'!$E:$E,'[1]①7月-花名册'!$T:$T)</f>
        <v>0</v>
      </c>
      <c r="AO33" s="67"/>
      <c r="AP33" s="142">
        <f>_xlfn.XLOOKUP(E33,[9]工资核对的全字段!$C:$C,[9]工资核对的全字段!$CW:$CW,0)</f>
        <v>3796.0007999999998</v>
      </c>
      <c r="AQ33" s="36">
        <f t="shared" si="6"/>
        <v>0</v>
      </c>
    </row>
    <row r="34" spans="1:43" x14ac:dyDescent="0.15">
      <c r="A34" s="55" t="s">
        <v>41</v>
      </c>
      <c r="B34" s="82" t="s">
        <v>73</v>
      </c>
      <c r="C34" s="57" t="s">
        <v>47</v>
      </c>
      <c r="D34" s="58" t="s">
        <v>47</v>
      </c>
      <c r="E34" s="58" t="s">
        <v>47</v>
      </c>
      <c r="F34" s="11">
        <f t="shared" si="0"/>
        <v>0</v>
      </c>
      <c r="G34" s="11">
        <v>0</v>
      </c>
      <c r="H34" s="11">
        <v>0</v>
      </c>
      <c r="I34" s="11">
        <v>0</v>
      </c>
      <c r="J34" s="67"/>
      <c r="K34" s="11">
        <v>124788.66</v>
      </c>
      <c r="L34" s="68"/>
      <c r="M34" s="68"/>
      <c r="N34" s="45">
        <f t="shared" si="1"/>
        <v>0</v>
      </c>
      <c r="O34" s="45">
        <f t="shared" si="2"/>
        <v>0</v>
      </c>
      <c r="P34" s="45"/>
      <c r="Q34" s="45"/>
      <c r="R34" s="45">
        <f t="shared" si="3"/>
        <v>0</v>
      </c>
      <c r="S34" s="11"/>
      <c r="T34" s="45"/>
      <c r="U34" s="11"/>
      <c r="V34" s="11"/>
      <c r="W34" s="11"/>
      <c r="X34" s="11"/>
      <c r="Y34" s="11"/>
      <c r="Z34" s="11"/>
      <c r="AA34" s="45">
        <f t="shared" si="4"/>
        <v>0</v>
      </c>
      <c r="AB34" s="11"/>
      <c r="AC34" s="67"/>
      <c r="AD34" s="11"/>
      <c r="AE34" s="11"/>
      <c r="AF34" s="11"/>
      <c r="AG34" s="11"/>
      <c r="AH34" s="11"/>
      <c r="AI34" s="11"/>
      <c r="AJ34" s="11"/>
      <c r="AK34" s="11"/>
      <c r="AL34" s="96"/>
      <c r="AM34" s="45">
        <f t="shared" si="8"/>
        <v>0</v>
      </c>
      <c r="AN34" s="11"/>
      <c r="AO34" s="67"/>
      <c r="AP34" s="142">
        <f>_xlfn.XLOOKUP(E34,[9]工资核对的全字段!$C:$C,[9]工资核对的全字段!$CW:$CW,0)</f>
        <v>0</v>
      </c>
      <c r="AQ34" s="36">
        <f t="shared" si="6"/>
        <v>0</v>
      </c>
    </row>
    <row r="35" spans="1:43" x14ac:dyDescent="0.15">
      <c r="A35" s="55" t="s">
        <v>41</v>
      </c>
      <c r="B35" s="82" t="s">
        <v>73</v>
      </c>
      <c r="C35" s="60" t="s">
        <v>9</v>
      </c>
      <c r="D35" s="61" t="s">
        <v>9</v>
      </c>
      <c r="E35" s="61" t="s">
        <v>81</v>
      </c>
      <c r="F35" s="11">
        <f t="shared" si="0"/>
        <v>17480</v>
      </c>
      <c r="G35" s="11">
        <v>4460</v>
      </c>
      <c r="H35" s="11">
        <v>13020</v>
      </c>
      <c r="I35" s="11">
        <v>0</v>
      </c>
      <c r="J35" s="67"/>
      <c r="K35" s="11"/>
      <c r="L35" s="68"/>
      <c r="M35" s="68"/>
      <c r="N35" s="45">
        <f t="shared" si="1"/>
        <v>0</v>
      </c>
      <c r="O35" s="45">
        <f t="shared" si="2"/>
        <v>0</v>
      </c>
      <c r="P35" s="45"/>
      <c r="Q35" s="45">
        <v>649</v>
      </c>
      <c r="R35" s="45">
        <f t="shared" si="3"/>
        <v>649</v>
      </c>
      <c r="S35" s="11"/>
      <c r="T35" s="45"/>
      <c r="U35" s="11"/>
      <c r="V35" s="11"/>
      <c r="W35" s="11"/>
      <c r="X35" s="11"/>
      <c r="Y35" s="11"/>
      <c r="Z35" s="11"/>
      <c r="AA35" s="45">
        <f t="shared" si="4"/>
        <v>649</v>
      </c>
      <c r="AB35" s="11"/>
      <c r="AC35" s="67"/>
      <c r="AD35" s="11"/>
      <c r="AE35" s="11"/>
      <c r="AF35" s="11"/>
      <c r="AG35" s="11"/>
      <c r="AH35" s="11"/>
      <c r="AI35" s="11"/>
      <c r="AJ35" s="11"/>
      <c r="AK35" s="11"/>
      <c r="AL35" s="96"/>
      <c r="AM35" s="45">
        <f t="shared" si="8"/>
        <v>649</v>
      </c>
      <c r="AN35" s="11"/>
      <c r="AO35" s="67"/>
      <c r="AP35" s="142">
        <f>_xlfn.XLOOKUP(E35,[9]工资核对的全字段!$C:$C,[9]工资核对的全字段!$CW:$CW,0)</f>
        <v>649.36220000000003</v>
      </c>
      <c r="AQ35" s="36">
        <f t="shared" si="6"/>
        <v>0.36220000000002983</v>
      </c>
    </row>
    <row r="36" spans="1:43" x14ac:dyDescent="0.15">
      <c r="A36" s="55" t="s">
        <v>41</v>
      </c>
      <c r="B36" s="62" t="s">
        <v>82</v>
      </c>
      <c r="C36" s="57" t="s">
        <v>83</v>
      </c>
      <c r="D36" s="58" t="s">
        <v>43</v>
      </c>
      <c r="E36" s="58" t="s">
        <v>84</v>
      </c>
      <c r="F36" s="11">
        <f t="shared" si="0"/>
        <v>33786</v>
      </c>
      <c r="G36" s="11">
        <v>33198</v>
      </c>
      <c r="H36" s="11">
        <v>0</v>
      </c>
      <c r="I36" s="11">
        <v>588</v>
      </c>
      <c r="J36" s="67"/>
      <c r="K36" s="11"/>
      <c r="L36" s="68">
        <f>F36/$K$39</f>
        <v>0.76072321167225809</v>
      </c>
      <c r="M36" s="68">
        <v>0.03</v>
      </c>
      <c r="N36" s="45">
        <f t="shared" si="1"/>
        <v>946.14299999999992</v>
      </c>
      <c r="O36" s="45">
        <f t="shared" si="2"/>
        <v>0</v>
      </c>
      <c r="P36" s="45">
        <v>0</v>
      </c>
      <c r="Q36" s="45"/>
      <c r="R36" s="45">
        <f t="shared" si="3"/>
        <v>946.14299999999992</v>
      </c>
      <c r="S36" s="11">
        <f>_xlfn.XLOOKUP(E:E,'[1]②7月-汇总'!$D:$D,'[1]②7月-汇总'!$AP:$AP)</f>
        <v>31</v>
      </c>
      <c r="T36" s="45">
        <v>2200</v>
      </c>
      <c r="U36" s="11">
        <f>_xlfn.XLOOKUP(E:E,'[2]手工、项目数、消耗'!$C:$C,'[2]手工、项目数、消耗'!$E:$E)</f>
        <v>48184.25</v>
      </c>
      <c r="V36" s="11">
        <f>_xlfn.XLOOKUP(E:E,'[2]手工、项目数、消耗'!$C:$C,'[2]手工、项目数、消耗'!$D:$D)</f>
        <v>129</v>
      </c>
      <c r="W36" s="11">
        <f>_xlfn.XLOOKUP(E:E,'[2]手工、项目数、消耗'!$C:$C,'[2]手工、项目数、消耗'!$H:$H)</f>
        <v>2164</v>
      </c>
      <c r="X36" s="11">
        <f>_xlfn.XLOOKUP(E:E,'[1]②7月-汇总'!$D:$D,'[1]②7月-汇总'!$W:$W)</f>
        <v>0</v>
      </c>
      <c r="Y36" s="11">
        <f>_xlfn.XLOOKUP(E:E,'[1]②7月-汇总'!$D:$D,'[1]②7月-汇总'!$Z:$Z)</f>
        <v>0</v>
      </c>
      <c r="Z36" s="11">
        <f>_xlfn.XLOOKUP(E:E,'[1]②7月-汇总'!$D:$D,'[1]②7月-汇总'!$AI:$AI)</f>
        <v>0</v>
      </c>
      <c r="AA36" s="45">
        <f t="shared" si="4"/>
        <v>5310.143</v>
      </c>
      <c r="AB36" s="11"/>
      <c r="AC36" s="67"/>
      <c r="AD36" s="11">
        <f>_xlfn.XLOOKUP(E:E,'[1]②7月-汇总'!$D:$D,'[1]②7月-汇总'!$AC:$AC)</f>
        <v>0</v>
      </c>
      <c r="AE36" s="11">
        <f>_xlfn.XLOOKUP(E:E,[3]Sheet1!$B:$B,[3]Sheet1!$L:$L)</f>
        <v>644.16800000000001</v>
      </c>
      <c r="AF36" s="11">
        <f>_xlfn.XLOOKUP(E:E,'[1]②7月-汇总'!$D:$D,'[1]②7月-汇总'!$AD:$AD)</f>
        <v>0</v>
      </c>
      <c r="AG36" s="11">
        <f>_xlfn.XLOOKUP(E:E,'[1]②7月-汇总'!$D:$D,'[1]②7月-汇总'!$Y:$Y)</f>
        <v>0</v>
      </c>
      <c r="AH36" s="11">
        <f>_xlfn.XLOOKUP(E:E,'[1]②7月-汇总'!$D:$D,'[1]②7月-汇总'!$L:$L)</f>
        <v>0</v>
      </c>
      <c r="AI36" s="11">
        <f>_xlfn.XLOOKUP(E:E,'[1]②7月-汇总'!$D:$D,'[1]②7月-汇总'!$X:$X)</f>
        <v>90</v>
      </c>
      <c r="AJ36" s="11">
        <f>_xlfn.XLOOKUP(E:E,'[1]②7月-汇总'!$D:$D,'[1]②7月-汇总'!$AB:$AB)</f>
        <v>0</v>
      </c>
      <c r="AK36" s="11">
        <f>_xlfn.XLOOKUP(E:E,'[1]②7月-汇总'!$D:$D,'[1]②7月-汇总'!$AE:$AE)</f>
        <v>0</v>
      </c>
      <c r="AL36" s="96"/>
      <c r="AM36" s="45">
        <f t="shared" si="8"/>
        <v>4575.9750000000004</v>
      </c>
      <c r="AN36" s="11">
        <f>_xlfn.XLOOKUP(E:E,'[1]①7月-花名册'!$E:$E,'[1]①7月-花名册'!$T:$T)</f>
        <v>0</v>
      </c>
      <c r="AO36" s="67"/>
      <c r="AP36" s="142">
        <f>_xlfn.XLOOKUP(E36,[9]工资核对的全字段!$C:$C,[9]工资核对的全字段!$CW:$CW,0)</f>
        <v>4575.9750000000004</v>
      </c>
      <c r="AQ36" s="36">
        <f t="shared" si="6"/>
        <v>0</v>
      </c>
    </row>
    <row r="37" spans="1:43" x14ac:dyDescent="0.15">
      <c r="A37" s="55" t="s">
        <v>41</v>
      </c>
      <c r="B37" s="62" t="s">
        <v>82</v>
      </c>
      <c r="C37" s="57" t="s">
        <v>83</v>
      </c>
      <c r="D37" s="58" t="s">
        <v>4</v>
      </c>
      <c r="E37" s="58" t="s">
        <v>85</v>
      </c>
      <c r="F37" s="11">
        <f t="shared" si="0"/>
        <v>7483</v>
      </c>
      <c r="G37" s="11">
        <v>7483</v>
      </c>
      <c r="H37" s="11">
        <v>0</v>
      </c>
      <c r="I37" s="11">
        <v>0</v>
      </c>
      <c r="J37" s="67"/>
      <c r="K37" s="11"/>
      <c r="L37" s="68">
        <f>F37/$K$39</f>
        <v>0.16848670434332291</v>
      </c>
      <c r="M37" s="68">
        <v>0.03</v>
      </c>
      <c r="N37" s="45">
        <f t="shared" si="1"/>
        <v>213.26549999999997</v>
      </c>
      <c r="O37" s="45">
        <f t="shared" si="2"/>
        <v>0</v>
      </c>
      <c r="P37" s="45"/>
      <c r="Q37" s="45"/>
      <c r="R37" s="45">
        <f t="shared" si="3"/>
        <v>213.26549999999997</v>
      </c>
      <c r="S37" s="11">
        <f>_xlfn.XLOOKUP(E:E,'[1]②7月-汇总'!$D:$D,'[1]②7月-汇总'!$AP:$AP)</f>
        <v>31</v>
      </c>
      <c r="T37" s="45">
        <v>2000</v>
      </c>
      <c r="U37" s="11">
        <f>_xlfn.XLOOKUP(E:E,'[2]手工、项目数、消耗'!$C:$C,'[2]手工、项目数、消耗'!$E:$E)</f>
        <v>15050.06</v>
      </c>
      <c r="V37" s="11">
        <f>_xlfn.XLOOKUP(E:E,'[2]手工、项目数、消耗'!$C:$C,'[2]手工、项目数、消耗'!$D:$D)</f>
        <v>101</v>
      </c>
      <c r="W37" s="11">
        <f>_xlfn.XLOOKUP(E:E,'[2]手工、项目数、消耗'!$C:$C,'[2]手工、项目数、消耗'!$H:$H)</f>
        <v>1512</v>
      </c>
      <c r="X37" s="11">
        <f>_xlfn.XLOOKUP(E:E,'[1]②7月-汇总'!$D:$D,'[1]②7月-汇总'!$W:$W)</f>
        <v>0</v>
      </c>
      <c r="Y37" s="11">
        <f>_xlfn.XLOOKUP(E:E,'[1]②7月-汇总'!$D:$D,'[1]②7月-汇总'!$Z:$Z)</f>
        <v>0</v>
      </c>
      <c r="Z37" s="11">
        <f>_xlfn.XLOOKUP(E:E,'[1]②7月-汇总'!$D:$D,'[1]②7月-汇总'!$AI:$AI)</f>
        <v>0</v>
      </c>
      <c r="AA37" s="45">
        <f t="shared" si="4"/>
        <v>3725.2655</v>
      </c>
      <c r="AB37" s="11"/>
      <c r="AC37" s="67"/>
      <c r="AD37" s="11">
        <f>_xlfn.XLOOKUP(E:E,'[1]②7月-汇总'!$D:$D,'[1]②7月-汇总'!$AC:$AC)</f>
        <v>100</v>
      </c>
      <c r="AE37" s="11"/>
      <c r="AF37" s="11">
        <f>_xlfn.XLOOKUP(E:E,'[1]②7月-汇总'!$D:$D,'[1]②7月-汇总'!$AD:$AD)</f>
        <v>0</v>
      </c>
      <c r="AG37" s="11">
        <f>_xlfn.XLOOKUP(E:E,'[1]②7月-汇总'!$D:$D,'[1]②7月-汇总'!$Y:$Y)</f>
        <v>0</v>
      </c>
      <c r="AH37" s="11">
        <f>_xlfn.XLOOKUP(E:E,'[1]②7月-汇总'!$D:$D,'[1]②7月-汇总'!$L:$L)</f>
        <v>0</v>
      </c>
      <c r="AI37" s="11">
        <f>_xlfn.XLOOKUP(E:E,'[1]②7月-汇总'!$D:$D,'[1]②7月-汇总'!$X:$X)</f>
        <v>10</v>
      </c>
      <c r="AJ37" s="11">
        <f>_xlfn.XLOOKUP(E:E,'[1]②7月-汇总'!$D:$D,'[1]②7月-汇总'!$AB:$AB)</f>
        <v>0</v>
      </c>
      <c r="AK37" s="11">
        <f>_xlfn.XLOOKUP(E:E,'[1]②7月-汇总'!$D:$D,'[1]②7月-汇总'!$AE:$AE)</f>
        <v>0</v>
      </c>
      <c r="AL37" s="96"/>
      <c r="AM37" s="45">
        <f t="shared" si="8"/>
        <v>3615.2655</v>
      </c>
      <c r="AN37" s="11">
        <f>_xlfn.XLOOKUP(E:E,'[1]①7月-花名册'!$E:$E,'[1]①7月-花名册'!$T:$T)</f>
        <v>0</v>
      </c>
      <c r="AO37" s="67"/>
      <c r="AP37" s="142">
        <f>_xlfn.XLOOKUP(E37,[9]工资核对的全字段!$C:$C,[9]工资核对的全字段!$CW:$CW,0)</f>
        <v>3615.2655</v>
      </c>
      <c r="AQ37" s="36">
        <f t="shared" si="6"/>
        <v>0</v>
      </c>
    </row>
    <row r="38" spans="1:43" x14ac:dyDescent="0.15">
      <c r="A38" s="55" t="s">
        <v>41</v>
      </c>
      <c r="B38" s="62" t="s">
        <v>82</v>
      </c>
      <c r="C38" s="57" t="s">
        <v>83</v>
      </c>
      <c r="D38" s="58" t="s">
        <v>4</v>
      </c>
      <c r="E38" s="58" t="s">
        <v>86</v>
      </c>
      <c r="F38" s="11">
        <f t="shared" si="0"/>
        <v>3144</v>
      </c>
      <c r="G38" s="11">
        <v>3144</v>
      </c>
      <c r="H38" s="11">
        <v>0</v>
      </c>
      <c r="I38" s="11">
        <v>0</v>
      </c>
      <c r="J38" s="67"/>
      <c r="K38" s="11"/>
      <c r="L38" s="68">
        <f>F38/$K$39</f>
        <v>7.0790083984418981E-2</v>
      </c>
      <c r="M38" s="68">
        <v>0.03</v>
      </c>
      <c r="N38" s="45">
        <f t="shared" si="1"/>
        <v>89.603999999999985</v>
      </c>
      <c r="O38" s="45">
        <f t="shared" si="2"/>
        <v>0</v>
      </c>
      <c r="P38" s="45"/>
      <c r="Q38" s="45"/>
      <c r="R38" s="45">
        <f t="shared" si="3"/>
        <v>89.603999999999985</v>
      </c>
      <c r="S38" s="11">
        <f>_xlfn.XLOOKUP(E:E,'[1]②7月-汇总'!$D:$D,'[1]②7月-汇总'!$AP:$AP)</f>
        <v>31</v>
      </c>
      <c r="T38" s="45">
        <v>2000</v>
      </c>
      <c r="U38" s="11">
        <f>_xlfn.XLOOKUP(E:E,'[2]手工、项目数、消耗'!$C:$C,'[2]手工、项目数、消耗'!$E:$E)</f>
        <v>7445.38</v>
      </c>
      <c r="V38" s="11">
        <f>_xlfn.XLOOKUP(E:E,'[2]手工、项目数、消耗'!$C:$C,'[2]手工、项目数、消耗'!$D:$D)</f>
        <v>104</v>
      </c>
      <c r="W38" s="11">
        <f>_xlfn.XLOOKUP(E:E,'[2]手工、项目数、消耗'!$C:$C,'[2]手工、项目数、消耗'!$H:$H)</f>
        <v>1252</v>
      </c>
      <c r="X38" s="11">
        <f>_xlfn.XLOOKUP(E:E,'[1]②7月-汇总'!$D:$D,'[1]②7月-汇总'!$W:$W)</f>
        <v>0</v>
      </c>
      <c r="Y38" s="11">
        <f>_xlfn.XLOOKUP(E:E,'[1]②7月-汇总'!$D:$D,'[1]②7月-汇总'!$Z:$Z)</f>
        <v>50</v>
      </c>
      <c r="Z38" s="11">
        <f>_xlfn.XLOOKUP(E:E,'[1]②7月-汇总'!$D:$D,'[1]②7月-汇总'!$AI:$AI)</f>
        <v>0</v>
      </c>
      <c r="AA38" s="45">
        <f t="shared" si="4"/>
        <v>3391.6039999999998</v>
      </c>
      <c r="AB38" s="11"/>
      <c r="AC38" s="11">
        <v>200</v>
      </c>
      <c r="AD38" s="11">
        <f>_xlfn.XLOOKUP(E:E,'[1]②7月-汇总'!$D:$D,'[1]②7月-汇总'!$AC:$AC)</f>
        <v>0</v>
      </c>
      <c r="AE38" s="11"/>
      <c r="AF38" s="11">
        <f>_xlfn.XLOOKUP(E:E,'[1]②7月-汇总'!$D:$D,'[1]②7月-汇总'!$AD:$AD)</f>
        <v>0</v>
      </c>
      <c r="AG38" s="11">
        <f>_xlfn.XLOOKUP(E:E,'[1]②7月-汇总'!$D:$D,'[1]②7月-汇总'!$Y:$Y)</f>
        <v>0</v>
      </c>
      <c r="AH38" s="11">
        <f>_xlfn.XLOOKUP(E:E,'[1]②7月-汇总'!$D:$D,'[1]②7月-汇总'!$L:$L)</f>
        <v>0</v>
      </c>
      <c r="AI38" s="11">
        <f>_xlfn.XLOOKUP(E:E,'[1]②7月-汇总'!$D:$D,'[1]②7月-汇总'!$X:$X)</f>
        <v>0</v>
      </c>
      <c r="AJ38" s="11">
        <f>_xlfn.XLOOKUP(E:E,'[1]②7月-汇总'!$D:$D,'[1]②7月-汇总'!$AB:$AB)</f>
        <v>0</v>
      </c>
      <c r="AK38" s="11">
        <f>_xlfn.XLOOKUP(E:E,'[1]②7月-汇总'!$D:$D,'[1]②7月-汇总'!$AE:$AE)</f>
        <v>0</v>
      </c>
      <c r="AL38" s="96">
        <v>608</v>
      </c>
      <c r="AM38" s="45">
        <f t="shared" si="8"/>
        <v>3799.6039999999998</v>
      </c>
      <c r="AN38" s="11">
        <f>_xlfn.XLOOKUP(E:E,'[1]①7月-花名册'!$E:$E,'[1]①7月-花名册'!$T:$T)</f>
        <v>4000</v>
      </c>
      <c r="AO38" s="67"/>
      <c r="AP38" s="142">
        <f>_xlfn.XLOOKUP(E38,[9]工资核对的全字段!$C:$C,[9]工资核对的全字段!$CW:$CW,0)</f>
        <v>3800</v>
      </c>
      <c r="AQ38" s="36">
        <f t="shared" si="6"/>
        <v>0.39600000000018554</v>
      </c>
    </row>
    <row r="39" spans="1:43" x14ac:dyDescent="0.15">
      <c r="A39" s="55" t="s">
        <v>41</v>
      </c>
      <c r="B39" s="62" t="str">
        <f>B43</f>
        <v>犀浦</v>
      </c>
      <c r="C39" s="57" t="s">
        <v>47</v>
      </c>
      <c r="D39" s="58" t="s">
        <v>47</v>
      </c>
      <c r="E39" s="58" t="s">
        <v>47</v>
      </c>
      <c r="F39" s="11">
        <f t="shared" si="0"/>
        <v>0</v>
      </c>
      <c r="G39" s="11">
        <v>0</v>
      </c>
      <c r="H39" s="11">
        <v>0</v>
      </c>
      <c r="I39" s="11">
        <v>0</v>
      </c>
      <c r="J39" s="67"/>
      <c r="K39" s="11">
        <v>44413</v>
      </c>
      <c r="L39" s="68"/>
      <c r="M39" s="68"/>
      <c r="N39" s="45">
        <f t="shared" si="1"/>
        <v>0</v>
      </c>
      <c r="O39" s="45">
        <f t="shared" si="2"/>
        <v>0</v>
      </c>
      <c r="P39" s="45"/>
      <c r="Q39" s="45"/>
      <c r="R39" s="45">
        <f t="shared" si="3"/>
        <v>0</v>
      </c>
      <c r="S39" s="11"/>
      <c r="T39" s="45"/>
      <c r="U39" s="11"/>
      <c r="V39" s="11"/>
      <c r="W39" s="11"/>
      <c r="X39" s="11"/>
      <c r="Y39" s="11"/>
      <c r="Z39" s="11"/>
      <c r="AA39" s="45">
        <f t="shared" si="4"/>
        <v>0</v>
      </c>
      <c r="AB39" s="11"/>
      <c r="AC39" s="67"/>
      <c r="AD39" s="11"/>
      <c r="AE39" s="11"/>
      <c r="AF39" s="11"/>
      <c r="AG39" s="11"/>
      <c r="AH39" s="11"/>
      <c r="AI39" s="11"/>
      <c r="AJ39" s="11"/>
      <c r="AK39" s="11"/>
      <c r="AL39" s="96"/>
      <c r="AM39" s="45">
        <f t="shared" si="8"/>
        <v>0</v>
      </c>
      <c r="AN39" s="11"/>
      <c r="AO39" s="67"/>
      <c r="AP39" s="142">
        <f>_xlfn.XLOOKUP(E39,[9]工资核对的全字段!$C:$C,[9]工资核对的全字段!$CW:$CW,0)</f>
        <v>0</v>
      </c>
      <c r="AQ39" s="36">
        <f t="shared" si="6"/>
        <v>0</v>
      </c>
    </row>
    <row r="40" spans="1:43" x14ac:dyDescent="0.15">
      <c r="A40" s="55" t="s">
        <v>41</v>
      </c>
      <c r="B40" s="62" t="s">
        <v>82</v>
      </c>
      <c r="C40" s="57" t="s">
        <v>87</v>
      </c>
      <c r="D40" s="58" t="s">
        <v>43</v>
      </c>
      <c r="E40" s="58" t="s">
        <v>88</v>
      </c>
      <c r="F40" s="11">
        <f t="shared" si="0"/>
        <v>26514.75</v>
      </c>
      <c r="G40" s="11">
        <v>26514.75</v>
      </c>
      <c r="H40" s="11">
        <v>0</v>
      </c>
      <c r="I40" s="11">
        <v>0</v>
      </c>
      <c r="J40" s="67"/>
      <c r="K40" s="11"/>
      <c r="L40" s="68">
        <f>F40/$K$43</f>
        <v>0.42902043590116984</v>
      </c>
      <c r="M40" s="68">
        <v>0.04</v>
      </c>
      <c r="N40" s="45">
        <f t="shared" si="1"/>
        <v>1007.5604999999999</v>
      </c>
      <c r="O40" s="45">
        <f t="shared" si="2"/>
        <v>0</v>
      </c>
      <c r="P40" s="45">
        <v>0</v>
      </c>
      <c r="Q40" s="45"/>
      <c r="R40" s="45">
        <f t="shared" si="3"/>
        <v>1007.5604999999999</v>
      </c>
      <c r="S40" s="11">
        <f>_xlfn.XLOOKUP(E:E,'[1]②7月-汇总'!$D:$D,'[1]②7月-汇总'!$AP:$AP)</f>
        <v>31</v>
      </c>
      <c r="T40" s="45">
        <v>2000</v>
      </c>
      <c r="U40" s="11">
        <f>_xlfn.XLOOKUP(E:E,'[2]手工、项目数、消耗'!$C:$C,'[2]手工、项目数、消耗'!$E:$E)</f>
        <v>16872.439999999999</v>
      </c>
      <c r="V40" s="11">
        <f>_xlfn.XLOOKUP(E:E,'[2]手工、项目数、消耗'!$C:$C,'[2]手工、项目数、消耗'!$D:$D)</f>
        <v>119</v>
      </c>
      <c r="W40" s="11">
        <f>_xlfn.XLOOKUP(E:E,'[2]手工、项目数、消耗'!$C:$C,'[2]手工、项目数、消耗'!$H:$H)</f>
        <v>1584</v>
      </c>
      <c r="X40" s="11">
        <f>_xlfn.XLOOKUP(E:E,'[1]②7月-汇总'!$D:$D,'[1]②7月-汇总'!$W:$W)</f>
        <v>0</v>
      </c>
      <c r="Y40" s="11">
        <f>_xlfn.XLOOKUP(E:E,'[1]②7月-汇总'!$D:$D,'[1]②7月-汇总'!$Z:$Z)</f>
        <v>0</v>
      </c>
      <c r="Z40" s="11">
        <f>_xlfn.XLOOKUP(E:E,'[1]②7月-汇总'!$D:$D,'[1]②7月-汇总'!$AI:$AI)</f>
        <v>0</v>
      </c>
      <c r="AA40" s="45">
        <f t="shared" si="4"/>
        <v>4591.5604999999996</v>
      </c>
      <c r="AB40" s="11"/>
      <c r="AC40" s="67"/>
      <c r="AD40" s="11">
        <f>_xlfn.XLOOKUP(E:E,'[1]②7月-汇总'!$D:$D,'[1]②7月-汇总'!$AC:$AC)</f>
        <v>0</v>
      </c>
      <c r="AE40" s="11"/>
      <c r="AF40" s="11">
        <f>_xlfn.XLOOKUP(E:E,'[1]②7月-汇总'!$D:$D,'[1]②7月-汇总'!$AD:$AD)</f>
        <v>0</v>
      </c>
      <c r="AG40" s="11">
        <f>_xlfn.XLOOKUP(E:E,'[1]②7月-汇总'!$D:$D,'[1]②7月-汇总'!$Y:$Y)</f>
        <v>0</v>
      </c>
      <c r="AH40" s="11">
        <f>_xlfn.XLOOKUP(E:E,'[1]②7月-汇总'!$D:$D,'[1]②7月-汇总'!$L:$L)</f>
        <v>0</v>
      </c>
      <c r="AI40" s="11">
        <f>_xlfn.XLOOKUP(E:E,'[1]②7月-汇总'!$D:$D,'[1]②7月-汇总'!$X:$X)</f>
        <v>0</v>
      </c>
      <c r="AJ40" s="11">
        <f>_xlfn.XLOOKUP(E:E,'[1]②7月-汇总'!$D:$D,'[1]②7月-汇总'!$AB:$AB)</f>
        <v>0</v>
      </c>
      <c r="AK40" s="11">
        <f>_xlfn.XLOOKUP(E:E,'[1]②7月-汇总'!$D:$D,'[1]②7月-汇总'!$AE:$AE)</f>
        <v>0</v>
      </c>
      <c r="AL40" s="96"/>
      <c r="AM40" s="45">
        <f t="shared" si="8"/>
        <v>4591.5604999999996</v>
      </c>
      <c r="AN40" s="11">
        <f>_xlfn.XLOOKUP(E:E,'[1]①7月-花名册'!$E:$E,'[1]①7月-花名册'!$T:$T)</f>
        <v>0</v>
      </c>
      <c r="AO40" s="67"/>
      <c r="AP40" s="142">
        <f>_xlfn.XLOOKUP(E40,[9]工资核对的全字段!$C:$C,[9]工资核对的全字段!$CW:$CW,0)</f>
        <v>4591.5604999999996</v>
      </c>
      <c r="AQ40" s="36">
        <f t="shared" si="6"/>
        <v>0</v>
      </c>
    </row>
    <row r="41" spans="1:43" x14ac:dyDescent="0.15">
      <c r="A41" s="55" t="s">
        <v>41</v>
      </c>
      <c r="B41" s="62" t="s">
        <v>82</v>
      </c>
      <c r="C41" s="57" t="s">
        <v>87</v>
      </c>
      <c r="D41" s="58" t="s">
        <v>4</v>
      </c>
      <c r="E41" s="58" t="s">
        <v>89</v>
      </c>
      <c r="F41" s="11">
        <f t="shared" si="0"/>
        <v>20020.5</v>
      </c>
      <c r="G41" s="11">
        <v>19132.5</v>
      </c>
      <c r="H41" s="11">
        <v>0</v>
      </c>
      <c r="I41" s="11">
        <v>888</v>
      </c>
      <c r="J41" s="67"/>
      <c r="K41" s="11"/>
      <c r="L41" s="68">
        <f>F41/$K$43</f>
        <v>0.32394058540847531</v>
      </c>
      <c r="M41" s="68">
        <v>0.04</v>
      </c>
      <c r="N41" s="45">
        <f t="shared" si="1"/>
        <v>727.03499999999997</v>
      </c>
      <c r="O41" s="45">
        <f t="shared" si="2"/>
        <v>0</v>
      </c>
      <c r="P41" s="45"/>
      <c r="Q41" s="45"/>
      <c r="R41" s="45">
        <f t="shared" si="3"/>
        <v>727.03499999999997</v>
      </c>
      <c r="S41" s="11">
        <f>_xlfn.XLOOKUP(E:E,'[1]②7月-汇总'!$D:$D,'[1]②7月-汇总'!$AP:$AP)</f>
        <v>31</v>
      </c>
      <c r="T41" s="45">
        <v>2000</v>
      </c>
      <c r="U41" s="11">
        <f>_xlfn.XLOOKUP(E:E,'[2]手工、项目数、消耗'!$C:$C,'[2]手工、项目数、消耗'!$E:$E)</f>
        <v>12792.49</v>
      </c>
      <c r="V41" s="11">
        <f>_xlfn.XLOOKUP(E:E,'[2]手工、项目数、消耗'!$C:$C,'[2]手工、项目数、消耗'!$D:$D)</f>
        <v>126</v>
      </c>
      <c r="W41" s="11">
        <f>_xlfn.XLOOKUP(E:E,'[2]手工、项目数、消耗'!$C:$C,'[2]手工、项目数、消耗'!$H:$H)</f>
        <v>1492</v>
      </c>
      <c r="X41" s="11">
        <f>_xlfn.XLOOKUP(E:E,'[1]②7月-汇总'!$D:$D,'[1]②7月-汇总'!$W:$W)</f>
        <v>0</v>
      </c>
      <c r="Y41" s="11">
        <f>_xlfn.XLOOKUP(E:E,'[1]②7月-汇总'!$D:$D,'[1]②7月-汇总'!$Z:$Z)</f>
        <v>50</v>
      </c>
      <c r="Z41" s="11">
        <f>_xlfn.XLOOKUP(E:E,'[1]②7月-汇总'!$D:$D,'[1]②7月-汇总'!$AI:$AI)</f>
        <v>0</v>
      </c>
      <c r="AA41" s="45">
        <f t="shared" si="4"/>
        <v>4269.0349999999999</v>
      </c>
      <c r="AB41" s="11"/>
      <c r="AC41" s="67"/>
      <c r="AD41" s="11">
        <f>_xlfn.XLOOKUP(E:E,'[1]②7月-汇总'!$D:$D,'[1]②7月-汇总'!$AC:$AC)</f>
        <v>0</v>
      </c>
      <c r="AE41" s="11"/>
      <c r="AF41" s="11">
        <f>_xlfn.XLOOKUP(E:E,'[1]②7月-汇总'!$D:$D,'[1]②7月-汇总'!$AD:$AD)</f>
        <v>0</v>
      </c>
      <c r="AG41" s="11">
        <f>_xlfn.XLOOKUP(E:E,'[1]②7月-汇总'!$D:$D,'[1]②7月-汇总'!$Y:$Y)</f>
        <v>0</v>
      </c>
      <c r="AH41" s="11">
        <f>_xlfn.XLOOKUP(E:E,'[1]②7月-汇总'!$D:$D,'[1]②7月-汇总'!$L:$L)</f>
        <v>0</v>
      </c>
      <c r="AI41" s="11">
        <f>_xlfn.XLOOKUP(E:E,'[1]②7月-汇总'!$D:$D,'[1]②7月-汇总'!$X:$X)</f>
        <v>0</v>
      </c>
      <c r="AJ41" s="11">
        <f>_xlfn.XLOOKUP(E:E,'[1]②7月-汇总'!$D:$D,'[1]②7月-汇总'!$AB:$AB)</f>
        <v>0</v>
      </c>
      <c r="AK41" s="11">
        <f>_xlfn.XLOOKUP(E:E,'[1]②7月-汇总'!$D:$D,'[1]②7月-汇总'!$AE:$AE)</f>
        <v>0</v>
      </c>
      <c r="AL41" s="96"/>
      <c r="AM41" s="45">
        <f t="shared" si="8"/>
        <v>4269.0349999999999</v>
      </c>
      <c r="AN41" s="11">
        <f>_xlfn.XLOOKUP(E:E,'[1]①7月-花名册'!$E:$E,'[1]①7月-花名册'!$T:$T)</f>
        <v>0</v>
      </c>
      <c r="AO41" s="67"/>
      <c r="AP41" s="142">
        <f>_xlfn.XLOOKUP(E41,[9]工资核对的全字段!$C:$C,[9]工资核对的全字段!$CW:$CW,0)</f>
        <v>4269.0349999999999</v>
      </c>
      <c r="AQ41" s="36">
        <f t="shared" si="6"/>
        <v>0</v>
      </c>
    </row>
    <row r="42" spans="1:43" x14ac:dyDescent="0.15">
      <c r="A42" s="55" t="s">
        <v>41</v>
      </c>
      <c r="B42" s="62" t="s">
        <v>82</v>
      </c>
      <c r="C42" s="57" t="s">
        <v>87</v>
      </c>
      <c r="D42" s="58" t="s">
        <v>4</v>
      </c>
      <c r="E42" s="58" t="s">
        <v>90</v>
      </c>
      <c r="F42" s="11">
        <f t="shared" si="0"/>
        <v>15267.75</v>
      </c>
      <c r="G42" s="11">
        <v>15787.75</v>
      </c>
      <c r="H42" s="11">
        <v>-520</v>
      </c>
      <c r="I42" s="11">
        <v>0</v>
      </c>
      <c r="J42" s="67"/>
      <c r="K42" s="11"/>
      <c r="L42" s="68">
        <f>F42/$K$43</f>
        <v>0.24703897869035485</v>
      </c>
      <c r="M42" s="68">
        <v>0.04</v>
      </c>
      <c r="N42" s="45">
        <f t="shared" si="1"/>
        <v>599.93449999999996</v>
      </c>
      <c r="O42" s="45">
        <f t="shared" si="2"/>
        <v>-12.843999999999999</v>
      </c>
      <c r="P42" s="45"/>
      <c r="Q42" s="45"/>
      <c r="R42" s="45">
        <f t="shared" si="3"/>
        <v>587.09049999999991</v>
      </c>
      <c r="S42" s="11">
        <f>_xlfn.XLOOKUP(E:E,'[1]②7月-汇总'!$D:$D,'[1]②7月-汇总'!$AP:$AP)</f>
        <v>31</v>
      </c>
      <c r="T42" s="45">
        <v>2000</v>
      </c>
      <c r="U42" s="11">
        <f>_xlfn.XLOOKUP(E:E,'[2]手工、项目数、消耗'!$C:$C,'[2]手工、项目数、消耗'!$E:$E)</f>
        <v>19882.2</v>
      </c>
      <c r="V42" s="11">
        <f>_xlfn.XLOOKUP(E:E,'[2]手工、项目数、消耗'!$C:$C,'[2]手工、项目数、消耗'!$D:$D)</f>
        <v>111</v>
      </c>
      <c r="W42" s="11">
        <f>_xlfn.XLOOKUP(E:E,'[2]手工、项目数、消耗'!$C:$C,'[2]手工、项目数、消耗'!$H:$H)</f>
        <v>1402</v>
      </c>
      <c r="X42" s="11">
        <f>_xlfn.XLOOKUP(E:E,'[1]②7月-汇总'!$D:$D,'[1]②7月-汇总'!$W:$W)</f>
        <v>0</v>
      </c>
      <c r="Y42" s="11">
        <f>_xlfn.XLOOKUP(E:E,'[1]②7月-汇总'!$D:$D,'[1]②7月-汇总'!$Z:$Z)</f>
        <v>0</v>
      </c>
      <c r="Z42" s="11">
        <f>_xlfn.XLOOKUP(E:E,'[1]②7月-汇总'!$D:$D,'[1]②7月-汇总'!$AI:$AI)</f>
        <v>0</v>
      </c>
      <c r="AA42" s="45">
        <f t="shared" si="4"/>
        <v>3989.0904999999998</v>
      </c>
      <c r="AB42" s="11"/>
      <c r="AC42" s="67"/>
      <c r="AD42" s="11">
        <f>_xlfn.XLOOKUP(E:E,'[1]②7月-汇总'!$D:$D,'[1]②7月-汇总'!$AC:$AC)</f>
        <v>0</v>
      </c>
      <c r="AE42" s="11"/>
      <c r="AF42" s="11">
        <f>_xlfn.XLOOKUP(E:E,'[1]②7月-汇总'!$D:$D,'[1]②7月-汇总'!$AD:$AD)</f>
        <v>0</v>
      </c>
      <c r="AG42" s="11">
        <f>_xlfn.XLOOKUP(E:E,'[1]②7月-汇总'!$D:$D,'[1]②7月-汇总'!$Y:$Y)</f>
        <v>0</v>
      </c>
      <c r="AH42" s="11">
        <f>_xlfn.XLOOKUP(E:E,'[1]②7月-汇总'!$D:$D,'[1]②7月-汇总'!$L:$L)</f>
        <v>0</v>
      </c>
      <c r="AI42" s="11">
        <f>_xlfn.XLOOKUP(E:E,'[1]②7月-汇总'!$D:$D,'[1]②7月-汇总'!$X:$X)</f>
        <v>10</v>
      </c>
      <c r="AJ42" s="11">
        <f>_xlfn.XLOOKUP(E:E,'[1]②7月-汇总'!$D:$D,'[1]②7月-汇总'!$AB:$AB)</f>
        <v>0</v>
      </c>
      <c r="AK42" s="11">
        <f>_xlfn.XLOOKUP(E:E,'[1]②7月-汇总'!$D:$D,'[1]②7月-汇总'!$AE:$AE)</f>
        <v>0</v>
      </c>
      <c r="AL42" s="96"/>
      <c r="AM42" s="45">
        <f t="shared" si="8"/>
        <v>3979.0904999999998</v>
      </c>
      <c r="AN42" s="11">
        <f>_xlfn.XLOOKUP(E:E,'[1]①7月-花名册'!$E:$E,'[1]①7月-花名册'!$T:$T)</f>
        <v>0</v>
      </c>
      <c r="AO42" s="67"/>
      <c r="AP42" s="142">
        <f>_xlfn.XLOOKUP(E42,[9]工资核对的全字段!$C:$C,[9]工资核对的全字段!$CW:$CW,0)</f>
        <v>3979.0904999999998</v>
      </c>
      <c r="AQ42" s="36">
        <f t="shared" si="6"/>
        <v>0</v>
      </c>
    </row>
    <row r="43" spans="1:43" x14ac:dyDescent="0.15">
      <c r="A43" s="55" t="s">
        <v>41</v>
      </c>
      <c r="B43" s="62" t="str">
        <f>B37</f>
        <v>犀浦</v>
      </c>
      <c r="C43" s="57" t="s">
        <v>47</v>
      </c>
      <c r="D43" s="58" t="s">
        <v>47</v>
      </c>
      <c r="E43" s="58" t="s">
        <v>47</v>
      </c>
      <c r="F43" s="11">
        <f t="shared" si="0"/>
        <v>0</v>
      </c>
      <c r="G43" s="11">
        <v>0</v>
      </c>
      <c r="H43" s="11">
        <v>0</v>
      </c>
      <c r="I43" s="11">
        <v>0</v>
      </c>
      <c r="J43" s="67"/>
      <c r="K43" s="11">
        <v>61803</v>
      </c>
      <c r="L43" s="68"/>
      <c r="M43" s="68"/>
      <c r="N43" s="45">
        <f t="shared" si="1"/>
        <v>0</v>
      </c>
      <c r="O43" s="45">
        <f t="shared" si="2"/>
        <v>0</v>
      </c>
      <c r="P43" s="45"/>
      <c r="Q43" s="45"/>
      <c r="R43" s="45">
        <f t="shared" si="3"/>
        <v>0</v>
      </c>
      <c r="S43" s="11"/>
      <c r="T43" s="45"/>
      <c r="U43" s="11"/>
      <c r="V43" s="11"/>
      <c r="W43" s="11"/>
      <c r="X43" s="11"/>
      <c r="Y43" s="11"/>
      <c r="Z43" s="11"/>
      <c r="AA43" s="45">
        <f t="shared" si="4"/>
        <v>0</v>
      </c>
      <c r="AB43" s="11"/>
      <c r="AC43" s="67"/>
      <c r="AD43" s="11"/>
      <c r="AE43" s="11"/>
      <c r="AF43" s="11"/>
      <c r="AG43" s="11"/>
      <c r="AH43" s="11"/>
      <c r="AI43" s="11"/>
      <c r="AJ43" s="11"/>
      <c r="AK43" s="11"/>
      <c r="AL43" s="96"/>
      <c r="AM43" s="45">
        <f t="shared" si="8"/>
        <v>0</v>
      </c>
      <c r="AN43" s="11"/>
      <c r="AO43" s="67"/>
      <c r="AP43" s="142">
        <f>_xlfn.XLOOKUP(E43,[9]工资核对的全字段!$C:$C,[9]工资核对的全字段!$CW:$CW,0)</f>
        <v>0</v>
      </c>
      <c r="AQ43" s="36">
        <f t="shared" si="6"/>
        <v>0</v>
      </c>
    </row>
    <row r="44" spans="1:43" x14ac:dyDescent="0.15">
      <c r="A44" s="55" t="s">
        <v>41</v>
      </c>
      <c r="B44" s="62" t="s">
        <v>82</v>
      </c>
      <c r="C44" s="60" t="s">
        <v>9</v>
      </c>
      <c r="D44" s="61" t="s">
        <v>9</v>
      </c>
      <c r="E44" s="61" t="s">
        <v>91</v>
      </c>
      <c r="F44" s="11">
        <f t="shared" si="0"/>
        <v>-5282</v>
      </c>
      <c r="G44" s="11">
        <v>-5282</v>
      </c>
      <c r="H44" s="11">
        <v>0</v>
      </c>
      <c r="I44" s="11">
        <v>0</v>
      </c>
      <c r="J44" s="67"/>
      <c r="K44" s="11"/>
      <c r="L44" s="68"/>
      <c r="M44" s="68"/>
      <c r="N44" s="45">
        <f t="shared" si="1"/>
        <v>0</v>
      </c>
      <c r="O44" s="45">
        <f t="shared" si="2"/>
        <v>0</v>
      </c>
      <c r="P44" s="45"/>
      <c r="Q44" s="45">
        <v>252</v>
      </c>
      <c r="R44" s="45">
        <f t="shared" si="3"/>
        <v>252</v>
      </c>
      <c r="S44" s="11"/>
      <c r="T44" s="45"/>
      <c r="U44" s="11"/>
      <c r="V44" s="11"/>
      <c r="W44" s="11"/>
      <c r="X44" s="11"/>
      <c r="Y44" s="11"/>
      <c r="Z44" s="11"/>
      <c r="AA44" s="45">
        <f t="shared" si="4"/>
        <v>252</v>
      </c>
      <c r="AB44" s="11"/>
      <c r="AC44" s="67"/>
      <c r="AD44" s="11"/>
      <c r="AE44" s="11"/>
      <c r="AF44" s="11"/>
      <c r="AG44" s="11"/>
      <c r="AH44" s="11"/>
      <c r="AI44" s="11"/>
      <c r="AJ44" s="11"/>
      <c r="AK44" s="11"/>
      <c r="AL44" s="96"/>
      <c r="AM44" s="45">
        <f t="shared" si="8"/>
        <v>252</v>
      </c>
      <c r="AN44" s="11"/>
      <c r="AO44" s="67"/>
      <c r="AP44" s="142">
        <f>_xlfn.XLOOKUP(E44,[9]工资核对的全字段!$C:$C,[9]工资核对的全字段!$CW:$CW,0)</f>
        <v>252.33500000000004</v>
      </c>
      <c r="AQ44" s="36">
        <f t="shared" si="6"/>
        <v>0.33500000000003638</v>
      </c>
    </row>
    <row r="45" spans="1:43" x14ac:dyDescent="0.15">
      <c r="A45" s="55" t="s">
        <v>41</v>
      </c>
      <c r="B45" s="83" t="s">
        <v>92</v>
      </c>
      <c r="C45" s="84" t="s">
        <v>93</v>
      </c>
      <c r="D45" s="58" t="s">
        <v>43</v>
      </c>
      <c r="E45" s="11" t="s">
        <v>94</v>
      </c>
      <c r="F45" s="11">
        <f t="shared" si="0"/>
        <v>48088.9</v>
      </c>
      <c r="G45" s="11">
        <v>45888.9</v>
      </c>
      <c r="H45" s="11">
        <v>1000</v>
      </c>
      <c r="I45" s="11">
        <v>1200</v>
      </c>
      <c r="J45" s="67"/>
      <c r="K45" s="11"/>
      <c r="L45" s="68">
        <f>F45/$K$48</f>
        <v>0.69267510648196839</v>
      </c>
      <c r="M45" s="68">
        <v>0.04</v>
      </c>
      <c r="N45" s="45">
        <f t="shared" si="1"/>
        <v>1743.7782000000002</v>
      </c>
      <c r="O45" s="45">
        <f t="shared" si="2"/>
        <v>24.7</v>
      </c>
      <c r="P45" s="45">
        <v>0</v>
      </c>
      <c r="Q45" s="45"/>
      <c r="R45" s="45">
        <f t="shared" si="3"/>
        <v>1768.4782000000002</v>
      </c>
      <c r="S45" s="11">
        <f>_xlfn.XLOOKUP(E:E,'[1]②7月-汇总'!$D:$D,'[1]②7月-汇总'!$AP:$AP)</f>
        <v>31</v>
      </c>
      <c r="T45" s="45">
        <v>2200</v>
      </c>
      <c r="U45" s="11">
        <f>_xlfn.XLOOKUP(E:E,'[2]手工、项目数、消耗'!$C:$C,'[2]手工、项目数、消耗'!$E:$E)</f>
        <v>36278.51</v>
      </c>
      <c r="V45" s="11">
        <f>_xlfn.XLOOKUP(E:E,'[2]手工、项目数、消耗'!$C:$C,'[2]手工、项目数、消耗'!$D:$D)</f>
        <v>136</v>
      </c>
      <c r="W45" s="11">
        <f>_xlfn.XLOOKUP(E:E,'[2]手工、项目数、消耗'!$C:$C,'[2]手工、项目数、消耗'!$H:$H)</f>
        <v>1950</v>
      </c>
      <c r="X45" s="11">
        <f>_xlfn.XLOOKUP(E:E,'[1]②7月-汇总'!$D:$D,'[1]②7月-汇总'!$W:$W)</f>
        <v>0</v>
      </c>
      <c r="Y45" s="11">
        <f>_xlfn.XLOOKUP(E:E,'[1]②7月-汇总'!$D:$D,'[1]②7月-汇总'!$Z:$Z)</f>
        <v>50</v>
      </c>
      <c r="Z45" s="11">
        <f>_xlfn.XLOOKUP(E:E,'[1]②7月-汇总'!$D:$D,'[1]②7月-汇总'!$AI:$AI)</f>
        <v>0</v>
      </c>
      <c r="AA45" s="45">
        <f t="shared" si="4"/>
        <v>5968.4782000000005</v>
      </c>
      <c r="AB45" s="11">
        <v>1000</v>
      </c>
      <c r="AC45" s="67"/>
      <c r="AD45" s="11">
        <f>_xlfn.XLOOKUP(E:E,'[1]②7月-汇总'!$D:$D,'[1]②7月-汇总'!$AC:$AC)</f>
        <v>0</v>
      </c>
      <c r="AE45" s="11">
        <f>_xlfn.XLOOKUP(E:E,[3]Sheet1!$B:$B,[3]Sheet1!$L:$L)</f>
        <v>644.16800000000001</v>
      </c>
      <c r="AF45" s="11">
        <f>_xlfn.XLOOKUP(E:E,'[1]②7月-汇总'!$D:$D,'[1]②7月-汇总'!$AD:$AD)</f>
        <v>0</v>
      </c>
      <c r="AG45" s="11">
        <f>_xlfn.XLOOKUP(E:E,'[1]②7月-汇总'!$D:$D,'[1]②7月-汇总'!$Y:$Y)</f>
        <v>0</v>
      </c>
      <c r="AH45" s="11">
        <f>_xlfn.XLOOKUP(E:E,'[1]②7月-汇总'!$D:$D,'[1]②7月-汇总'!$L:$L)</f>
        <v>0</v>
      </c>
      <c r="AI45" s="11">
        <f>_xlfn.XLOOKUP(E:E,'[1]②7月-汇总'!$D:$D,'[1]②7月-汇总'!$X:$X)</f>
        <v>0</v>
      </c>
      <c r="AJ45" s="11">
        <f>_xlfn.XLOOKUP(E:E,'[1]②7月-汇总'!$D:$D,'[1]②7月-汇总'!$AB:$AB)</f>
        <v>0</v>
      </c>
      <c r="AK45" s="11">
        <f>_xlfn.XLOOKUP(E:E,'[1]②7月-汇总'!$D:$D,'[1]②7月-汇总'!$AE:$AE)</f>
        <v>0</v>
      </c>
      <c r="AL45" s="96"/>
      <c r="AM45" s="45">
        <f t="shared" si="8"/>
        <v>6324.3102000000008</v>
      </c>
      <c r="AN45" s="11">
        <f>_xlfn.XLOOKUP(E:E,'[1]①7月-花名册'!$E:$E,'[1]①7月-花名册'!$T:$T)</f>
        <v>0</v>
      </c>
      <c r="AO45" s="67"/>
      <c r="AP45" s="142">
        <f>_xlfn.XLOOKUP(E45,[9]工资核对的全字段!$C:$C,[9]工资核对的全字段!$CW:$CW,0)</f>
        <v>6324.3101999999999</v>
      </c>
      <c r="AQ45" s="36">
        <f t="shared" si="6"/>
        <v>0</v>
      </c>
    </row>
    <row r="46" spans="1:43" x14ac:dyDescent="0.15">
      <c r="A46" s="55" t="s">
        <v>41</v>
      </c>
      <c r="B46" s="83" t="s">
        <v>92</v>
      </c>
      <c r="C46" s="84" t="s">
        <v>93</v>
      </c>
      <c r="D46" s="58" t="s">
        <v>4</v>
      </c>
      <c r="E46" s="59" t="s">
        <v>95</v>
      </c>
      <c r="F46" s="11">
        <f t="shared" si="0"/>
        <v>16834</v>
      </c>
      <c r="G46" s="11">
        <v>15746</v>
      </c>
      <c r="H46" s="11">
        <v>0</v>
      </c>
      <c r="I46" s="11">
        <v>1088</v>
      </c>
      <c r="J46" s="67"/>
      <c r="K46" s="11"/>
      <c r="L46" s="68">
        <f>F46/$K$48</f>
        <v>0.24247784296412384</v>
      </c>
      <c r="M46" s="68">
        <v>0.04</v>
      </c>
      <c r="N46" s="45">
        <f t="shared" si="1"/>
        <v>598.34799999999996</v>
      </c>
      <c r="O46" s="45">
        <f t="shared" si="2"/>
        <v>0</v>
      </c>
      <c r="P46" s="45"/>
      <c r="Q46" s="45"/>
      <c r="R46" s="45">
        <f t="shared" si="3"/>
        <v>598.34799999999996</v>
      </c>
      <c r="S46" s="11">
        <f>_xlfn.XLOOKUP(E:E,'[1]②7月-汇总'!$D:$D,'[1]②7月-汇总'!$AP:$AP)</f>
        <v>31</v>
      </c>
      <c r="T46" s="45">
        <v>2000</v>
      </c>
      <c r="U46" s="11">
        <f>_xlfn.XLOOKUP(E:E,'[2]手工、项目数、消耗'!$C:$C,'[2]手工、项目数、消耗'!$E:$E)</f>
        <v>19040.330000000002</v>
      </c>
      <c r="V46" s="11">
        <f>_xlfn.XLOOKUP(E:E,'[2]手工、项目数、消耗'!$C:$C,'[2]手工、项目数、消耗'!$D:$D)</f>
        <v>118</v>
      </c>
      <c r="W46" s="11">
        <f>_xlfn.XLOOKUP(E:E,'[2]手工、项目数、消耗'!$C:$C,'[2]手工、项目数、消耗'!$H:$H)</f>
        <v>1832</v>
      </c>
      <c r="X46" s="11">
        <f>_xlfn.XLOOKUP(E:E,'[1]②7月-汇总'!$D:$D,'[1]②7月-汇总'!$W:$W)</f>
        <v>0</v>
      </c>
      <c r="Y46" s="11">
        <f>_xlfn.XLOOKUP(E:E,'[1]②7月-汇总'!$D:$D,'[1]②7月-汇总'!$Z:$Z)</f>
        <v>0</v>
      </c>
      <c r="Z46" s="11">
        <f>_xlfn.XLOOKUP(E:E,'[1]②7月-汇总'!$D:$D,'[1]②7月-汇总'!$AI:$AI)</f>
        <v>0</v>
      </c>
      <c r="AA46" s="45">
        <f t="shared" si="4"/>
        <v>4430.348</v>
      </c>
      <c r="AB46" s="11"/>
      <c r="AC46" s="67"/>
      <c r="AD46" s="11">
        <f>_xlfn.XLOOKUP(E:E,'[1]②7月-汇总'!$D:$D,'[1]②7月-汇总'!$AC:$AC)</f>
        <v>0</v>
      </c>
      <c r="AE46" s="11"/>
      <c r="AF46" s="11">
        <f>_xlfn.XLOOKUP(E:E,'[1]②7月-汇总'!$D:$D,'[1]②7月-汇总'!$AD:$AD)</f>
        <v>0</v>
      </c>
      <c r="AG46" s="11">
        <f>_xlfn.XLOOKUP(E:E,'[1]②7月-汇总'!$D:$D,'[1]②7月-汇总'!$Y:$Y)</f>
        <v>0</v>
      </c>
      <c r="AH46" s="11">
        <f>_xlfn.XLOOKUP(E:E,'[1]②7月-汇总'!$D:$D,'[1]②7月-汇总'!$L:$L)</f>
        <v>0</v>
      </c>
      <c r="AI46" s="11">
        <f>_xlfn.XLOOKUP(E:E,'[1]②7月-汇总'!$D:$D,'[1]②7月-汇总'!$X:$X)</f>
        <v>10</v>
      </c>
      <c r="AJ46" s="11">
        <f>_xlfn.XLOOKUP(E:E,'[1]②7月-汇总'!$D:$D,'[1]②7月-汇总'!$AB:$AB)</f>
        <v>0</v>
      </c>
      <c r="AK46" s="11">
        <f>_xlfn.XLOOKUP(E:E,'[1]②7月-汇总'!$D:$D,'[1]②7月-汇总'!$AE:$AE)</f>
        <v>0</v>
      </c>
      <c r="AL46" s="96"/>
      <c r="AM46" s="45">
        <f t="shared" si="8"/>
        <v>4420.348</v>
      </c>
      <c r="AN46" s="11">
        <f>_xlfn.XLOOKUP(E:E,'[1]①7月-花名册'!$E:$E,'[1]①7月-花名册'!$T:$T)</f>
        <v>0</v>
      </c>
      <c r="AO46" s="67"/>
      <c r="AP46" s="142">
        <f>_xlfn.XLOOKUP(E46,[9]工资核对的全字段!$C:$C,[9]工资核对的全字段!$CW:$CW,0)</f>
        <v>4420.348</v>
      </c>
      <c r="AQ46" s="36">
        <f t="shared" si="6"/>
        <v>0</v>
      </c>
    </row>
    <row r="47" spans="1:43" x14ac:dyDescent="0.15">
      <c r="A47" s="55" t="s">
        <v>41</v>
      </c>
      <c r="B47" s="83" t="s">
        <v>92</v>
      </c>
      <c r="C47" s="84" t="s">
        <v>93</v>
      </c>
      <c r="D47" s="58" t="s">
        <v>4</v>
      </c>
      <c r="E47" s="58" t="s">
        <v>96</v>
      </c>
      <c r="F47" s="11">
        <f t="shared" si="0"/>
        <v>4502</v>
      </c>
      <c r="G47" s="11">
        <v>4502</v>
      </c>
      <c r="H47" s="11">
        <v>0</v>
      </c>
      <c r="I47" s="11">
        <v>0</v>
      </c>
      <c r="J47" s="67"/>
      <c r="K47" s="11"/>
      <c r="L47" s="68">
        <f>F47/$K$48</f>
        <v>6.4847050553907895E-2</v>
      </c>
      <c r="M47" s="68">
        <v>0.04</v>
      </c>
      <c r="N47" s="45">
        <f t="shared" si="1"/>
        <v>171.07599999999999</v>
      </c>
      <c r="O47" s="45">
        <f t="shared" si="2"/>
        <v>0</v>
      </c>
      <c r="P47" s="45"/>
      <c r="Q47" s="45"/>
      <c r="R47" s="45">
        <f t="shared" si="3"/>
        <v>171.07599999999999</v>
      </c>
      <c r="S47" s="11">
        <f>_xlfn.XLOOKUP(E:E,'[1]②7月-汇总'!$D:$D,'[1]②7月-汇总'!$AP:$AP)</f>
        <v>31</v>
      </c>
      <c r="T47" s="45">
        <v>2000</v>
      </c>
      <c r="U47" s="11">
        <f>_xlfn.XLOOKUP(E:E,'[2]手工、项目数、消耗'!$C:$C,'[2]手工、项目数、消耗'!$E:$E)</f>
        <v>6417.83</v>
      </c>
      <c r="V47" s="11">
        <f>_xlfn.XLOOKUP(E:E,'[2]手工、项目数、消耗'!$C:$C,'[2]手工、项目数、消耗'!$D:$D)</f>
        <v>102</v>
      </c>
      <c r="W47" s="11">
        <f>_xlfn.XLOOKUP(E:E,'[2]手工、项目数、消耗'!$C:$C,'[2]手工、项目数、消耗'!$H:$H)</f>
        <v>1229</v>
      </c>
      <c r="X47" s="11">
        <f>_xlfn.XLOOKUP(E:E,'[1]②7月-汇总'!$D:$D,'[1]②7月-汇总'!$W:$W)</f>
        <v>0</v>
      </c>
      <c r="Y47" s="11">
        <f>_xlfn.XLOOKUP(E:E,'[1]②7月-汇总'!$D:$D,'[1]②7月-汇总'!$Z:$Z)</f>
        <v>0</v>
      </c>
      <c r="Z47" s="11">
        <f>_xlfn.XLOOKUP(E:E,'[1]②7月-汇总'!$D:$D,'[1]②7月-汇总'!$AI:$AI)</f>
        <v>0</v>
      </c>
      <c r="AA47" s="45">
        <f t="shared" si="4"/>
        <v>3400.076</v>
      </c>
      <c r="AB47" s="11"/>
      <c r="AC47" s="11"/>
      <c r="AD47" s="11">
        <f>_xlfn.XLOOKUP(E:E,'[1]②7月-汇总'!$D:$D,'[1]②7月-汇总'!$AC:$AC)</f>
        <v>0</v>
      </c>
      <c r="AE47" s="11"/>
      <c r="AF47" s="11">
        <f>_xlfn.XLOOKUP(E:E,'[1]②7月-汇总'!$D:$D,'[1]②7月-汇总'!$AD:$AD)</f>
        <v>0</v>
      </c>
      <c r="AG47" s="11">
        <f>_xlfn.XLOOKUP(E:E,'[1]②7月-汇总'!$D:$D,'[1]②7月-汇总'!$Y:$Y)</f>
        <v>0</v>
      </c>
      <c r="AH47" s="11">
        <f>_xlfn.XLOOKUP(E:E,'[1]②7月-汇总'!$D:$D,'[1]②7月-汇总'!$L:$L)</f>
        <v>0</v>
      </c>
      <c r="AI47" s="11">
        <f>_xlfn.XLOOKUP(E:E,'[1]②7月-汇总'!$D:$D,'[1]②7月-汇总'!$X:$X)</f>
        <v>0</v>
      </c>
      <c r="AJ47" s="11">
        <f>_xlfn.XLOOKUP(E:E,'[1]②7月-汇总'!$D:$D,'[1]②7月-汇总'!$AB:$AB)</f>
        <v>0</v>
      </c>
      <c r="AK47" s="11">
        <f>_xlfn.XLOOKUP(E:E,'[1]②7月-汇总'!$D:$D,'[1]②7月-汇总'!$AE:$AE)</f>
        <v>0</v>
      </c>
      <c r="AL47" s="96">
        <v>600</v>
      </c>
      <c r="AM47" s="45">
        <f t="shared" si="8"/>
        <v>4000.076</v>
      </c>
      <c r="AN47" s="11">
        <f>_xlfn.XLOOKUP(E:E,'[1]①7月-花名册'!$E:$E,'[1]①7月-花名册'!$T:$T)</f>
        <v>4000</v>
      </c>
      <c r="AO47" s="67"/>
      <c r="AP47" s="142">
        <f>_xlfn.XLOOKUP(E47,[9]工资核对的全字段!$C:$C,[9]工资核对的全字段!$CW:$CW,0)</f>
        <v>4000</v>
      </c>
      <c r="AQ47" s="36">
        <f t="shared" si="6"/>
        <v>-7.6000000000021828E-2</v>
      </c>
    </row>
    <row r="48" spans="1:43" x14ac:dyDescent="0.15">
      <c r="A48" s="55" t="s">
        <v>41</v>
      </c>
      <c r="B48" s="83" t="s">
        <v>92</v>
      </c>
      <c r="C48" s="57" t="s">
        <v>47</v>
      </c>
      <c r="D48" s="58" t="s">
        <v>47</v>
      </c>
      <c r="E48" s="58" t="s">
        <v>47</v>
      </c>
      <c r="F48" s="11">
        <f t="shared" si="0"/>
        <v>0</v>
      </c>
      <c r="G48" s="11">
        <v>0</v>
      </c>
      <c r="H48" s="11">
        <v>0</v>
      </c>
      <c r="I48" s="11">
        <v>0</v>
      </c>
      <c r="J48" s="67"/>
      <c r="K48" s="11">
        <v>69424.899999999994</v>
      </c>
      <c r="L48" s="68"/>
      <c r="M48" s="68"/>
      <c r="N48" s="45">
        <f t="shared" si="1"/>
        <v>0</v>
      </c>
      <c r="O48" s="45">
        <f t="shared" si="2"/>
        <v>0</v>
      </c>
      <c r="P48" s="45"/>
      <c r="Q48" s="45"/>
      <c r="R48" s="45">
        <f t="shared" si="3"/>
        <v>0</v>
      </c>
      <c r="S48" s="11"/>
      <c r="T48" s="45"/>
      <c r="U48" s="11"/>
      <c r="V48" s="11"/>
      <c r="W48" s="11"/>
      <c r="X48" s="11"/>
      <c r="Y48" s="11"/>
      <c r="Z48" s="11"/>
      <c r="AA48" s="45">
        <f t="shared" si="4"/>
        <v>0</v>
      </c>
      <c r="AB48" s="11"/>
      <c r="AC48" s="67"/>
      <c r="AD48" s="11"/>
      <c r="AE48" s="11"/>
      <c r="AF48" s="11"/>
      <c r="AG48" s="11"/>
      <c r="AH48" s="11"/>
      <c r="AI48" s="11"/>
      <c r="AJ48" s="11"/>
      <c r="AK48" s="11"/>
      <c r="AL48" s="96"/>
      <c r="AM48" s="45">
        <f t="shared" si="8"/>
        <v>0</v>
      </c>
      <c r="AN48" s="11"/>
      <c r="AO48" s="67"/>
      <c r="AP48" s="142">
        <f>_xlfn.XLOOKUP(E48,[9]工资核对的全字段!$C:$C,[9]工资核对的全字段!$CW:$CW,0)</f>
        <v>0</v>
      </c>
      <c r="AQ48" s="36">
        <f t="shared" si="6"/>
        <v>0</v>
      </c>
    </row>
    <row r="49" spans="1:43" x14ac:dyDescent="0.15">
      <c r="A49" s="55" t="s">
        <v>41</v>
      </c>
      <c r="B49" s="83" t="s">
        <v>92</v>
      </c>
      <c r="C49" s="55" t="s">
        <v>97</v>
      </c>
      <c r="D49" s="58" t="s">
        <v>43</v>
      </c>
      <c r="E49" s="59" t="s">
        <v>98</v>
      </c>
      <c r="F49" s="11">
        <f t="shared" si="0"/>
        <v>45081</v>
      </c>
      <c r="G49" s="11">
        <v>27701</v>
      </c>
      <c r="H49" s="11">
        <v>17180</v>
      </c>
      <c r="I49" s="11">
        <v>200</v>
      </c>
      <c r="J49" s="67"/>
      <c r="K49" s="11"/>
      <c r="L49" s="68">
        <f>F49/$K$52</f>
        <v>0.49329719402410183</v>
      </c>
      <c r="M49" s="68">
        <v>0.05</v>
      </c>
      <c r="N49" s="45">
        <f t="shared" si="1"/>
        <v>1315.7974999999999</v>
      </c>
      <c r="O49" s="45">
        <f t="shared" si="2"/>
        <v>530.4325</v>
      </c>
      <c r="P49" s="45">
        <v>0</v>
      </c>
      <c r="Q49" s="45"/>
      <c r="R49" s="45">
        <f t="shared" si="3"/>
        <v>1846.23</v>
      </c>
      <c r="S49" s="11">
        <f>_xlfn.XLOOKUP(E:E,'[1]②7月-汇总'!$D:$D,'[1]②7月-汇总'!$AP:$AP)</f>
        <v>31</v>
      </c>
      <c r="T49" s="45">
        <v>2000</v>
      </c>
      <c r="U49" s="11">
        <f>_xlfn.XLOOKUP(E:E,'[2]手工、项目数、消耗'!$C:$C,'[2]手工、项目数、消耗'!$E:$E)</f>
        <v>15154.56</v>
      </c>
      <c r="V49" s="11">
        <f>_xlfn.XLOOKUP(E:E,'[2]手工、项目数、消耗'!$C:$C,'[2]手工、项目数、消耗'!$D:$D)</f>
        <v>108</v>
      </c>
      <c r="W49" s="11">
        <f>_xlfn.XLOOKUP(E:E,'[2]手工、项目数、消耗'!$C:$C,'[2]手工、项目数、消耗'!$H:$H)</f>
        <v>1718</v>
      </c>
      <c r="X49" s="11">
        <f>_xlfn.XLOOKUP(E:E,'[1]②7月-汇总'!$D:$D,'[1]②7月-汇总'!$W:$W)</f>
        <v>0</v>
      </c>
      <c r="Y49" s="11">
        <f>_xlfn.XLOOKUP(E:E,'[1]②7月-汇总'!$D:$D,'[1]②7月-汇总'!$Z:$Z)</f>
        <v>0</v>
      </c>
      <c r="Z49" s="11">
        <f>_xlfn.XLOOKUP(E:E,'[1]②7月-汇总'!$D:$D,'[1]②7月-汇总'!$AI:$AI)</f>
        <v>0</v>
      </c>
      <c r="AA49" s="45">
        <f t="shared" si="4"/>
        <v>5564.23</v>
      </c>
      <c r="AB49" s="11"/>
      <c r="AC49" s="67"/>
      <c r="AD49" s="11">
        <f>_xlfn.XLOOKUP(E:E,'[1]②7月-汇总'!$D:$D,'[1]②7月-汇总'!$AC:$AC)</f>
        <v>0</v>
      </c>
      <c r="AE49" s="11">
        <f>_xlfn.XLOOKUP(E:E,[3]Sheet1!$B:$B,[3]Sheet1!$L:$L)</f>
        <v>644.16800000000001</v>
      </c>
      <c r="AF49" s="11">
        <f>_xlfn.XLOOKUP(E:E,'[1]②7月-汇总'!$D:$D,'[1]②7月-汇总'!$AD:$AD)</f>
        <v>0</v>
      </c>
      <c r="AG49" s="11">
        <f>_xlfn.XLOOKUP(E:E,'[1]②7月-汇总'!$D:$D,'[1]②7月-汇总'!$Y:$Y)</f>
        <v>0</v>
      </c>
      <c r="AH49" s="11">
        <f>_xlfn.XLOOKUP(E:E,'[1]②7月-汇总'!$D:$D,'[1]②7月-汇总'!$L:$L)</f>
        <v>0</v>
      </c>
      <c r="AI49" s="11">
        <f>_xlfn.XLOOKUP(E:E,'[1]②7月-汇总'!$D:$D,'[1]②7月-汇总'!$X:$X)</f>
        <v>0</v>
      </c>
      <c r="AJ49" s="11">
        <f>_xlfn.XLOOKUP(E:E,'[1]②7月-汇总'!$D:$D,'[1]②7月-汇总'!$AB:$AB)</f>
        <v>0</v>
      </c>
      <c r="AK49" s="11">
        <f>_xlfn.XLOOKUP(E:E,'[1]②7月-汇总'!$D:$D,'[1]②7月-汇总'!$AE:$AE)</f>
        <v>0</v>
      </c>
      <c r="AL49" s="96"/>
      <c r="AM49" s="45">
        <f t="shared" si="8"/>
        <v>4920.0619999999999</v>
      </c>
      <c r="AN49" s="11">
        <f>_xlfn.XLOOKUP(E:E,'[1]①7月-花名册'!$E:$E,'[1]①7月-花名册'!$T:$T)</f>
        <v>0</v>
      </c>
      <c r="AO49" s="67"/>
      <c r="AP49" s="142">
        <f>_xlfn.XLOOKUP(E49,[9]工资核对的全字段!$C:$C,[9]工资核对的全字段!$CW:$CW,0)</f>
        <v>4920.0619999999999</v>
      </c>
      <c r="AQ49" s="36">
        <f t="shared" si="6"/>
        <v>0</v>
      </c>
    </row>
    <row r="50" spans="1:43" x14ac:dyDescent="0.15">
      <c r="A50" s="55" t="s">
        <v>41</v>
      </c>
      <c r="B50" s="83" t="s">
        <v>92</v>
      </c>
      <c r="C50" s="55" t="s">
        <v>97</v>
      </c>
      <c r="D50" s="58" t="s">
        <v>4</v>
      </c>
      <c r="E50" s="59" t="s">
        <v>99</v>
      </c>
      <c r="F50" s="11">
        <f t="shared" si="0"/>
        <v>34917.1</v>
      </c>
      <c r="G50" s="11">
        <v>33141.1</v>
      </c>
      <c r="H50" s="11">
        <v>0</v>
      </c>
      <c r="I50" s="11">
        <v>1776</v>
      </c>
      <c r="J50" s="67"/>
      <c r="K50" s="11"/>
      <c r="L50" s="68">
        <f>F50/$K$52</f>
        <v>0.38207908993720119</v>
      </c>
      <c r="M50" s="68">
        <v>0.05</v>
      </c>
      <c r="N50" s="45">
        <f t="shared" si="1"/>
        <v>1574.20225</v>
      </c>
      <c r="O50" s="45">
        <f t="shared" si="2"/>
        <v>0</v>
      </c>
      <c r="P50" s="45"/>
      <c r="Q50" s="45"/>
      <c r="R50" s="45">
        <f t="shared" si="3"/>
        <v>1574.20225</v>
      </c>
      <c r="S50" s="11">
        <f>_xlfn.XLOOKUP(E:E,'[1]②7月-汇总'!$D:$D,'[1]②7月-汇总'!$AP:$AP)</f>
        <v>31</v>
      </c>
      <c r="T50" s="45">
        <v>2000</v>
      </c>
      <c r="U50" s="11">
        <f>_xlfn.XLOOKUP(E:E,'[2]手工、项目数、消耗'!$C:$C,'[2]手工、项目数、消耗'!$E:$E)</f>
        <v>16263.86</v>
      </c>
      <c r="V50" s="11">
        <f>_xlfn.XLOOKUP(E:E,'[2]手工、项目数、消耗'!$C:$C,'[2]手工、项目数、消耗'!$D:$D)</f>
        <v>104</v>
      </c>
      <c r="W50" s="11">
        <f>_xlfn.XLOOKUP(E:E,'[2]手工、项目数、消耗'!$C:$C,'[2]手工、项目数、消耗'!$H:$H)</f>
        <v>1159</v>
      </c>
      <c r="X50" s="11">
        <f>_xlfn.XLOOKUP(E:E,'[1]②7月-汇总'!$D:$D,'[1]②7月-汇总'!$W:$W)</f>
        <v>0</v>
      </c>
      <c r="Y50" s="11">
        <f>_xlfn.XLOOKUP(E:E,'[1]②7月-汇总'!$D:$D,'[1]②7月-汇总'!$Z:$Z)</f>
        <v>0</v>
      </c>
      <c r="Z50" s="11">
        <f>_xlfn.XLOOKUP(E:E,'[1]②7月-汇总'!$D:$D,'[1]②7月-汇总'!$AI:$AI)</f>
        <v>0</v>
      </c>
      <c r="AA50" s="45">
        <f t="shared" si="4"/>
        <v>4733.2022500000003</v>
      </c>
      <c r="AB50" s="11"/>
      <c r="AC50" s="67"/>
      <c r="AD50" s="11">
        <f>_xlfn.XLOOKUP(E:E,'[1]②7月-汇总'!$D:$D,'[1]②7月-汇总'!$AC:$AC)</f>
        <v>0</v>
      </c>
      <c r="AE50" s="11"/>
      <c r="AF50" s="11">
        <f>_xlfn.XLOOKUP(E:E,'[1]②7月-汇总'!$D:$D,'[1]②7月-汇总'!$AD:$AD)</f>
        <v>0</v>
      </c>
      <c r="AG50" s="11">
        <f>_xlfn.XLOOKUP(E:E,'[1]②7月-汇总'!$D:$D,'[1]②7月-汇总'!$Y:$Y)</f>
        <v>0</v>
      </c>
      <c r="AH50" s="11">
        <f>_xlfn.XLOOKUP(E:E,'[1]②7月-汇总'!$D:$D,'[1]②7月-汇总'!$L:$L)</f>
        <v>0</v>
      </c>
      <c r="AI50" s="11">
        <f>_xlfn.XLOOKUP(E:E,'[1]②7月-汇总'!$D:$D,'[1]②7月-汇总'!$X:$X)</f>
        <v>0</v>
      </c>
      <c r="AJ50" s="11">
        <f>_xlfn.XLOOKUP(E:E,'[1]②7月-汇总'!$D:$D,'[1]②7月-汇总'!$AB:$AB)</f>
        <v>0</v>
      </c>
      <c r="AK50" s="11">
        <f>_xlfn.XLOOKUP(E:E,'[1]②7月-汇总'!$D:$D,'[1]②7月-汇总'!$AE:$AE)</f>
        <v>0</v>
      </c>
      <c r="AL50" s="96"/>
      <c r="AM50" s="45">
        <f t="shared" si="8"/>
        <v>4733.2022500000003</v>
      </c>
      <c r="AN50" s="11">
        <f>_xlfn.XLOOKUP(E:E,'[1]①7月-花名册'!$E:$E,'[1]①7月-花名册'!$T:$T)</f>
        <v>0</v>
      </c>
      <c r="AO50" s="67"/>
      <c r="AP50" s="142">
        <f>_xlfn.XLOOKUP(E50,[9]工资核对的全字段!$C:$C,[9]工资核对的全字段!$CW:$CW,0)</f>
        <v>4733.2022500000003</v>
      </c>
      <c r="AQ50" s="36">
        <f t="shared" si="6"/>
        <v>0</v>
      </c>
    </row>
    <row r="51" spans="1:43" x14ac:dyDescent="0.15">
      <c r="A51" s="55" t="s">
        <v>41</v>
      </c>
      <c r="B51" s="83" t="s">
        <v>92</v>
      </c>
      <c r="C51" s="55" t="s">
        <v>97</v>
      </c>
      <c r="D51" s="58" t="s">
        <v>4</v>
      </c>
      <c r="E51" s="59" t="s">
        <v>100</v>
      </c>
      <c r="F51" s="11">
        <f t="shared" si="0"/>
        <v>11389</v>
      </c>
      <c r="G51" s="11">
        <v>10644</v>
      </c>
      <c r="H51" s="11">
        <v>0</v>
      </c>
      <c r="I51" s="11">
        <v>745</v>
      </c>
      <c r="J51" s="67"/>
      <c r="K51" s="11"/>
      <c r="L51" s="68">
        <f>F51/$K$52</f>
        <v>0.12462371603869692</v>
      </c>
      <c r="M51" s="68">
        <v>0.05</v>
      </c>
      <c r="N51" s="45">
        <f t="shared" si="1"/>
        <v>505.59</v>
      </c>
      <c r="O51" s="45">
        <f t="shared" si="2"/>
        <v>0</v>
      </c>
      <c r="P51" s="45"/>
      <c r="Q51" s="45"/>
      <c r="R51" s="45">
        <f t="shared" si="3"/>
        <v>505.59</v>
      </c>
      <c r="S51" s="11">
        <f>_xlfn.XLOOKUP(E:E,'[1]②7月-汇总'!$D:$D,'[1]②7月-汇总'!$AP:$AP)</f>
        <v>31</v>
      </c>
      <c r="T51" s="45">
        <v>2000</v>
      </c>
      <c r="U51" s="11">
        <f>_xlfn.XLOOKUP(E:E,'[2]手工、项目数、消耗'!$C:$C,'[2]手工、项目数、消耗'!$E:$E)</f>
        <v>13041.74</v>
      </c>
      <c r="V51" s="11">
        <f>_xlfn.XLOOKUP(E:E,'[2]手工、项目数、消耗'!$C:$C,'[2]手工、项目数、消耗'!$D:$D)</f>
        <v>113</v>
      </c>
      <c r="W51" s="11">
        <f>_xlfn.XLOOKUP(E:E,'[2]手工、项目数、消耗'!$C:$C,'[2]手工、项目数、消耗'!$H:$H)</f>
        <v>1608</v>
      </c>
      <c r="X51" s="11">
        <f>_xlfn.XLOOKUP(E:E,'[1]②7月-汇总'!$D:$D,'[1]②7月-汇总'!$W:$W)</f>
        <v>0</v>
      </c>
      <c r="Y51" s="11">
        <f>_xlfn.XLOOKUP(E:E,'[1]②7月-汇总'!$D:$D,'[1]②7月-汇总'!$Z:$Z)</f>
        <v>0</v>
      </c>
      <c r="Z51" s="11">
        <f>_xlfn.XLOOKUP(E:E,'[1]②7月-汇总'!$D:$D,'[1]②7月-汇总'!$AI:$AI)</f>
        <v>0</v>
      </c>
      <c r="AA51" s="45">
        <f t="shared" si="4"/>
        <v>4113.59</v>
      </c>
      <c r="AB51" s="11">
        <v>745</v>
      </c>
      <c r="AC51" s="67"/>
      <c r="AD51" s="11">
        <f>_xlfn.XLOOKUP(E:E,'[1]②7月-汇总'!$D:$D,'[1]②7月-汇总'!$AC:$AC)</f>
        <v>0</v>
      </c>
      <c r="AE51" s="11"/>
      <c r="AF51" s="11">
        <f>_xlfn.XLOOKUP(E:E,'[1]②7月-汇总'!$D:$D,'[1]②7月-汇总'!$AD:$AD)</f>
        <v>0</v>
      </c>
      <c r="AG51" s="11">
        <f>_xlfn.XLOOKUP(E:E,'[1]②7月-汇总'!$D:$D,'[1]②7月-汇总'!$Y:$Y)</f>
        <v>0</v>
      </c>
      <c r="AH51" s="11">
        <f>_xlfn.XLOOKUP(E:E,'[1]②7月-汇总'!$D:$D,'[1]②7月-汇总'!$L:$L)</f>
        <v>0</v>
      </c>
      <c r="AI51" s="11">
        <f>_xlfn.XLOOKUP(E:E,'[1]②7月-汇总'!$D:$D,'[1]②7月-汇总'!$X:$X)</f>
        <v>0</v>
      </c>
      <c r="AJ51" s="11">
        <f>_xlfn.XLOOKUP(E:E,'[1]②7月-汇总'!$D:$D,'[1]②7月-汇总'!$AB:$AB)</f>
        <v>0</v>
      </c>
      <c r="AK51" s="11">
        <f>_xlfn.XLOOKUP(E:E,'[1]②7月-汇总'!$D:$D,'[1]②7月-汇总'!$AE:$AE)</f>
        <v>0</v>
      </c>
      <c r="AL51" s="96"/>
      <c r="AM51" s="45">
        <f t="shared" si="8"/>
        <v>4858.59</v>
      </c>
      <c r="AN51" s="11">
        <f>_xlfn.XLOOKUP(E:E,'[1]①7月-花名册'!$E:$E,'[1]①7月-花名册'!$T:$T)</f>
        <v>0</v>
      </c>
      <c r="AO51" s="67"/>
      <c r="AP51" s="142">
        <f>_xlfn.XLOOKUP(E51,[9]工资核对的全字段!$C:$C,[9]工资核对的全字段!$CW:$CW,0)</f>
        <v>4858.59</v>
      </c>
      <c r="AQ51" s="36">
        <f t="shared" si="6"/>
        <v>0</v>
      </c>
    </row>
    <row r="52" spans="1:43" x14ac:dyDescent="0.15">
      <c r="A52" s="55" t="s">
        <v>41</v>
      </c>
      <c r="B52" s="83" t="s">
        <v>92</v>
      </c>
      <c r="C52" s="57" t="s">
        <v>47</v>
      </c>
      <c r="D52" s="58" t="s">
        <v>47</v>
      </c>
      <c r="E52" s="58" t="s">
        <v>47</v>
      </c>
      <c r="F52" s="11">
        <f t="shared" si="0"/>
        <v>0</v>
      </c>
      <c r="G52" s="11">
        <v>0</v>
      </c>
      <c r="H52" s="11">
        <v>0</v>
      </c>
      <c r="I52" s="11">
        <v>0</v>
      </c>
      <c r="J52" s="67"/>
      <c r="K52" s="11">
        <v>91387.1</v>
      </c>
      <c r="L52" s="68"/>
      <c r="M52" s="68"/>
      <c r="N52" s="45">
        <f t="shared" si="1"/>
        <v>0</v>
      </c>
      <c r="O52" s="45">
        <f t="shared" si="2"/>
        <v>0</v>
      </c>
      <c r="P52" s="45"/>
      <c r="Q52" s="45"/>
      <c r="R52" s="45">
        <f t="shared" si="3"/>
        <v>0</v>
      </c>
      <c r="S52" s="11"/>
      <c r="T52" s="45"/>
      <c r="U52" s="11"/>
      <c r="V52" s="11"/>
      <c r="W52" s="11"/>
      <c r="X52" s="11"/>
      <c r="Y52" s="11"/>
      <c r="Z52" s="11"/>
      <c r="AA52" s="45">
        <f t="shared" si="4"/>
        <v>0</v>
      </c>
      <c r="AB52" s="11"/>
      <c r="AC52" s="67"/>
      <c r="AD52" s="11"/>
      <c r="AE52" s="11"/>
      <c r="AF52" s="11"/>
      <c r="AG52" s="11"/>
      <c r="AH52" s="11"/>
      <c r="AI52" s="11"/>
      <c r="AJ52" s="11"/>
      <c r="AK52" s="11"/>
      <c r="AL52" s="96"/>
      <c r="AM52" s="45">
        <f t="shared" si="8"/>
        <v>0</v>
      </c>
      <c r="AN52" s="11"/>
      <c r="AO52" s="67"/>
      <c r="AP52" s="142">
        <f>_xlfn.XLOOKUP(E52,[9]工资核对的全字段!$C:$C,[9]工资核对的全字段!$CW:$CW,0)</f>
        <v>0</v>
      </c>
      <c r="AQ52" s="36">
        <f t="shared" si="6"/>
        <v>0</v>
      </c>
    </row>
    <row r="53" spans="1:43" x14ac:dyDescent="0.15">
      <c r="A53" s="55" t="s">
        <v>41</v>
      </c>
      <c r="B53" s="83" t="s">
        <v>92</v>
      </c>
      <c r="C53" s="60" t="s">
        <v>9</v>
      </c>
      <c r="D53" s="61" t="s">
        <v>9</v>
      </c>
      <c r="E53" s="61" t="s">
        <v>101</v>
      </c>
      <c r="F53" s="11">
        <f t="shared" si="0"/>
        <v>0</v>
      </c>
      <c r="G53" s="11">
        <v>0</v>
      </c>
      <c r="H53" s="11">
        <v>0</v>
      </c>
      <c r="I53" s="11">
        <v>0</v>
      </c>
      <c r="J53" s="67"/>
      <c r="K53" s="11"/>
      <c r="L53" s="68"/>
      <c r="M53" s="68"/>
      <c r="N53" s="45">
        <f t="shared" si="1"/>
        <v>0</v>
      </c>
      <c r="O53" s="45">
        <f t="shared" si="2"/>
        <v>0</v>
      </c>
      <c r="P53" s="45"/>
      <c r="Q53" s="45">
        <v>402</v>
      </c>
      <c r="R53" s="45">
        <f t="shared" si="3"/>
        <v>402</v>
      </c>
      <c r="S53" s="11"/>
      <c r="T53" s="45"/>
      <c r="U53" s="11"/>
      <c r="V53" s="11"/>
      <c r="W53" s="11"/>
      <c r="X53" s="11"/>
      <c r="Y53" s="11"/>
      <c r="Z53" s="11"/>
      <c r="AA53" s="45">
        <f t="shared" si="4"/>
        <v>402</v>
      </c>
      <c r="AB53" s="11"/>
      <c r="AC53" s="67"/>
      <c r="AD53" s="11"/>
      <c r="AE53" s="11"/>
      <c r="AF53" s="11"/>
      <c r="AG53" s="11"/>
      <c r="AH53" s="11"/>
      <c r="AI53" s="11"/>
      <c r="AJ53" s="11"/>
      <c r="AK53" s="11"/>
      <c r="AL53" s="96"/>
      <c r="AM53" s="45">
        <f t="shared" si="8"/>
        <v>402</v>
      </c>
      <c r="AN53" s="11"/>
      <c r="AO53" s="67"/>
      <c r="AP53" s="142">
        <f>_xlfn.XLOOKUP(E53,[9]工资核对的全字段!$C:$C,[9]工资核对的全字段!$CW:$CW,0)</f>
        <v>402.03000000000003</v>
      </c>
      <c r="AQ53" s="36">
        <f t="shared" si="6"/>
        <v>3.0000000000029559E-2</v>
      </c>
    </row>
    <row r="54" spans="1:43" x14ac:dyDescent="0.15">
      <c r="A54" s="55" t="s">
        <v>41</v>
      </c>
      <c r="B54" s="62" t="s">
        <v>102</v>
      </c>
      <c r="C54" s="57" t="s">
        <v>48</v>
      </c>
      <c r="D54" s="58" t="s">
        <v>43</v>
      </c>
      <c r="E54" s="58" t="s">
        <v>103</v>
      </c>
      <c r="F54" s="11">
        <f t="shared" si="0"/>
        <v>20697.650000000001</v>
      </c>
      <c r="G54" s="11">
        <v>4785.25</v>
      </c>
      <c r="H54" s="11">
        <v>15912.4</v>
      </c>
      <c r="I54" s="11">
        <v>0</v>
      </c>
      <c r="J54" s="67"/>
      <c r="K54" s="11"/>
      <c r="L54" s="68">
        <f>F54/$K$57</f>
        <v>0.31975704974408808</v>
      </c>
      <c r="M54" s="68">
        <v>0.04</v>
      </c>
      <c r="N54" s="45">
        <f t="shared" si="1"/>
        <v>181.83950000000002</v>
      </c>
      <c r="O54" s="45">
        <f t="shared" si="2"/>
        <v>393.03627999999998</v>
      </c>
      <c r="P54" s="45">
        <v>0</v>
      </c>
      <c r="Q54" s="45"/>
      <c r="R54" s="45">
        <f t="shared" si="3"/>
        <v>574.87577999999996</v>
      </c>
      <c r="S54" s="11">
        <f>_xlfn.XLOOKUP(E:E,'[1]②7月-汇总'!$D:$D,'[1]②7月-汇总'!$AP:$AP)</f>
        <v>31</v>
      </c>
      <c r="T54" s="45">
        <v>2000</v>
      </c>
      <c r="U54" s="11">
        <f>_xlfn.XLOOKUP(E:E,'[2]手工、项目数、消耗'!$C:$C,'[2]手工、项目数、消耗'!$E:$E)</f>
        <v>20407.3</v>
      </c>
      <c r="V54" s="11">
        <f>_xlfn.XLOOKUP(E:E,'[2]手工、项目数、消耗'!$C:$C,'[2]手工、项目数、消耗'!$D:$D)</f>
        <v>120</v>
      </c>
      <c r="W54" s="11">
        <f>_xlfn.XLOOKUP(E:E,'[2]手工、项目数、消耗'!$C:$C,'[2]手工、项目数、消耗'!$H:$H)</f>
        <v>2263</v>
      </c>
      <c r="X54" s="11">
        <f>_xlfn.XLOOKUP(E:E,'[1]②7月-汇总'!$D:$D,'[1]②7月-汇总'!$W:$W)</f>
        <v>0</v>
      </c>
      <c r="Y54" s="11">
        <f>_xlfn.XLOOKUP(E:E,'[1]②7月-汇总'!$D:$D,'[1]②7月-汇总'!$Z:$Z)</f>
        <v>0</v>
      </c>
      <c r="Z54" s="11">
        <f>_xlfn.XLOOKUP(E:E,'[1]②7月-汇总'!$D:$D,'[1]②7月-汇总'!$AI:$AI)</f>
        <v>0</v>
      </c>
      <c r="AA54" s="45">
        <f t="shared" si="4"/>
        <v>4837.8757800000003</v>
      </c>
      <c r="AB54" s="11"/>
      <c r="AC54" s="67"/>
      <c r="AD54" s="11">
        <f>_xlfn.XLOOKUP(E:E,'[1]②7月-汇总'!$D:$D,'[1]②7月-汇总'!$AC:$AC)</f>
        <v>0</v>
      </c>
      <c r="AE54" s="11"/>
      <c r="AF54" s="11">
        <f>_xlfn.XLOOKUP(E:E,'[1]②7月-汇总'!$D:$D,'[1]②7月-汇总'!$AD:$AD)</f>
        <v>0</v>
      </c>
      <c r="AG54" s="11">
        <f>_xlfn.XLOOKUP(E:E,'[1]②7月-汇总'!$D:$D,'[1]②7月-汇总'!$Y:$Y)</f>
        <v>0</v>
      </c>
      <c r="AH54" s="11">
        <f>_xlfn.XLOOKUP(E:E,'[1]②7月-汇总'!$D:$D,'[1]②7月-汇总'!$L:$L)</f>
        <v>0</v>
      </c>
      <c r="AI54" s="11">
        <f>_xlfn.XLOOKUP(E:E,'[1]②7月-汇总'!$D:$D,'[1]②7月-汇总'!$X:$X)</f>
        <v>10</v>
      </c>
      <c r="AJ54" s="11">
        <f>_xlfn.XLOOKUP(E:E,'[1]②7月-汇总'!$D:$D,'[1]②7月-汇总'!$AB:$AB)</f>
        <v>0</v>
      </c>
      <c r="AK54" s="11">
        <f>_xlfn.XLOOKUP(E:E,'[1]②7月-汇总'!$D:$D,'[1]②7月-汇总'!$AE:$AE)</f>
        <v>0</v>
      </c>
      <c r="AL54" s="96"/>
      <c r="AM54" s="45">
        <f t="shared" si="8"/>
        <v>4827.8757800000003</v>
      </c>
      <c r="AN54" s="11">
        <f>_xlfn.XLOOKUP(E:E,'[1]①7月-花名册'!$E:$E,'[1]①7月-花名册'!$T:$T)</f>
        <v>0</v>
      </c>
      <c r="AO54" s="67"/>
      <c r="AP54" s="142">
        <f>_xlfn.XLOOKUP(E54,[9]工资核对的全字段!$C:$C,[9]工资核对的全字段!$CW:$CW,0)</f>
        <v>4827.8757800000003</v>
      </c>
      <c r="AQ54" s="36">
        <f t="shared" si="6"/>
        <v>0</v>
      </c>
    </row>
    <row r="55" spans="1:43" x14ac:dyDescent="0.15">
      <c r="A55" s="55" t="s">
        <v>41</v>
      </c>
      <c r="B55" s="62" t="s">
        <v>102</v>
      </c>
      <c r="C55" s="57" t="s">
        <v>48</v>
      </c>
      <c r="D55" s="58" t="s">
        <v>4</v>
      </c>
      <c r="E55" s="58" t="s">
        <v>104</v>
      </c>
      <c r="F55" s="11">
        <f t="shared" si="0"/>
        <v>34659.15</v>
      </c>
      <c r="G55" s="11">
        <v>11154.25</v>
      </c>
      <c r="H55" s="11">
        <v>22504.9</v>
      </c>
      <c r="I55" s="11">
        <v>1000</v>
      </c>
      <c r="J55" s="67"/>
      <c r="K55" s="11"/>
      <c r="L55" s="68">
        <f>F55/$K$57</f>
        <v>0.53544762572745264</v>
      </c>
      <c r="M55" s="68">
        <v>0.04</v>
      </c>
      <c r="N55" s="45">
        <f t="shared" si="1"/>
        <v>423.86150000000004</v>
      </c>
      <c r="O55" s="45">
        <f t="shared" si="2"/>
        <v>555.87103000000002</v>
      </c>
      <c r="P55" s="45"/>
      <c r="Q55" s="45"/>
      <c r="R55" s="45">
        <f t="shared" si="3"/>
        <v>979.73253</v>
      </c>
      <c r="S55" s="11">
        <f>_xlfn.XLOOKUP(E:E,'[1]②7月-汇总'!$D:$D,'[1]②7月-汇总'!$AP:$AP)</f>
        <v>31</v>
      </c>
      <c r="T55" s="45">
        <v>2000</v>
      </c>
      <c r="U55" s="11">
        <f>_xlfn.XLOOKUP(E:E,'[2]手工、项目数、消耗'!$C:$C,'[2]手工、项目数、消耗'!$E:$E)</f>
        <v>5717.98</v>
      </c>
      <c r="V55" s="11">
        <f>_xlfn.XLOOKUP(E:E,'[2]手工、项目数、消耗'!$C:$C,'[2]手工、项目数、消耗'!$D:$D)</f>
        <v>97</v>
      </c>
      <c r="W55" s="11">
        <f>_xlfn.XLOOKUP(E:E,'[2]手工、项目数、消耗'!$C:$C,'[2]手工、项目数、消耗'!$H:$H)</f>
        <v>1306</v>
      </c>
      <c r="X55" s="11">
        <f>_xlfn.XLOOKUP(E:E,'[1]②7月-汇总'!$D:$D,'[1]②7月-汇总'!$W:$W)</f>
        <v>0</v>
      </c>
      <c r="Y55" s="11">
        <f>_xlfn.XLOOKUP(E:E,'[1]②7月-汇总'!$D:$D,'[1]②7月-汇总'!$Z:$Z)</f>
        <v>0</v>
      </c>
      <c r="Z55" s="11">
        <f>_xlfn.XLOOKUP(E:E,'[1]②7月-汇总'!$D:$D,'[1]②7月-汇总'!$AI:$AI)</f>
        <v>0</v>
      </c>
      <c r="AA55" s="45">
        <f t="shared" si="4"/>
        <v>4285.7325300000002</v>
      </c>
      <c r="AB55" s="11">
        <v>1000</v>
      </c>
      <c r="AC55" s="67"/>
      <c r="AD55" s="11">
        <f>_xlfn.XLOOKUP(E:E,'[1]②7月-汇总'!$D:$D,'[1]②7月-汇总'!$AC:$AC)</f>
        <v>0</v>
      </c>
      <c r="AE55" s="11"/>
      <c r="AF55" s="11">
        <f>_xlfn.XLOOKUP(E:E,'[1]②7月-汇总'!$D:$D,'[1]②7月-汇总'!$AD:$AD)</f>
        <v>0</v>
      </c>
      <c r="AG55" s="11">
        <f>_xlfn.XLOOKUP(E:E,'[1]②7月-汇总'!$D:$D,'[1]②7月-汇总'!$Y:$Y)</f>
        <v>0</v>
      </c>
      <c r="AH55" s="11">
        <f>_xlfn.XLOOKUP(E:E,'[1]②7月-汇总'!$D:$D,'[1]②7月-汇总'!$L:$L)</f>
        <v>0</v>
      </c>
      <c r="AI55" s="11">
        <f>_xlfn.XLOOKUP(E:E,'[1]②7月-汇总'!$D:$D,'[1]②7月-汇总'!$X:$X)</f>
        <v>0</v>
      </c>
      <c r="AJ55" s="11">
        <f>_xlfn.XLOOKUP(E:E,'[1]②7月-汇总'!$D:$D,'[1]②7月-汇总'!$AB:$AB)</f>
        <v>0</v>
      </c>
      <c r="AK55" s="11">
        <f>_xlfn.XLOOKUP(E:E,'[1]②7月-汇总'!$D:$D,'[1]②7月-汇总'!$AE:$AE)</f>
        <v>0</v>
      </c>
      <c r="AL55" s="96"/>
      <c r="AM55" s="45">
        <f t="shared" si="8"/>
        <v>5285.7325300000002</v>
      </c>
      <c r="AN55" s="11">
        <f>_xlfn.XLOOKUP(E:E,'[1]①7月-花名册'!$E:$E,'[1]①7月-花名册'!$T:$T)</f>
        <v>0</v>
      </c>
      <c r="AO55" s="67"/>
      <c r="AP55" s="142">
        <f>_xlfn.XLOOKUP(E55,[9]工资核对的全字段!$C:$C,[9]工资核对的全字段!$CW:$CW,0)</f>
        <v>5285.7325300000002</v>
      </c>
      <c r="AQ55" s="36">
        <f t="shared" si="6"/>
        <v>0</v>
      </c>
    </row>
    <row r="56" spans="1:43" x14ac:dyDescent="0.15">
      <c r="A56" s="55" t="s">
        <v>41</v>
      </c>
      <c r="B56" s="62" t="s">
        <v>102</v>
      </c>
      <c r="C56" s="57" t="s">
        <v>48</v>
      </c>
      <c r="D56" s="58" t="s">
        <v>4</v>
      </c>
      <c r="E56" s="58" t="s">
        <v>105</v>
      </c>
      <c r="F56" s="11">
        <f t="shared" si="0"/>
        <v>9372.5</v>
      </c>
      <c r="G56" s="11">
        <v>7590</v>
      </c>
      <c r="H56" s="11">
        <v>1782.5</v>
      </c>
      <c r="I56" s="11">
        <v>0</v>
      </c>
      <c r="J56" s="67"/>
      <c r="K56" s="11"/>
      <c r="L56" s="68">
        <f>F56/$K$57</f>
        <v>0.14479532452845928</v>
      </c>
      <c r="M56" s="68">
        <v>0.04</v>
      </c>
      <c r="N56" s="45">
        <f t="shared" si="1"/>
        <v>288.42</v>
      </c>
      <c r="O56" s="45">
        <f t="shared" si="2"/>
        <v>44.027749999999997</v>
      </c>
      <c r="P56" s="45"/>
      <c r="Q56" s="45"/>
      <c r="R56" s="45">
        <f t="shared" si="3"/>
        <v>332.44775000000004</v>
      </c>
      <c r="S56" s="11">
        <f>_xlfn.XLOOKUP(E:E,'[1]②7月-汇总'!$D:$D,'[1]②7月-汇总'!$AP:$AP)</f>
        <v>22</v>
      </c>
      <c r="T56" s="45">
        <f>1800/31*22</f>
        <v>1277.41935483871</v>
      </c>
      <c r="U56" s="11">
        <f>_xlfn.XLOOKUP(E:E,'[2]手工、项目数、消耗'!$C:$C,'[2]手工、项目数、消耗'!$E:$E)</f>
        <v>1887.22</v>
      </c>
      <c r="V56" s="11">
        <f>_xlfn.XLOOKUP(E:E,'[2]手工、项目数、消耗'!$C:$C,'[2]手工、项目数、消耗'!$D:$D)</f>
        <v>36</v>
      </c>
      <c r="W56" s="11">
        <f>_xlfn.XLOOKUP(E:E,'[2]手工、项目数、消耗'!$C:$C,'[2]手工、项目数、消耗'!$H:$H)</f>
        <v>508</v>
      </c>
      <c r="X56" s="11">
        <f>_xlfn.XLOOKUP(E:E,'[1]②7月-汇总'!$D:$D,'[1]②7月-汇总'!$W:$W)</f>
        <v>80</v>
      </c>
      <c r="Y56" s="11">
        <f>_xlfn.XLOOKUP(E:E,'[1]②7月-汇总'!$D:$D,'[1]②7月-汇总'!$Z:$Z)</f>
        <v>0</v>
      </c>
      <c r="Z56" s="11">
        <f>_xlfn.XLOOKUP(E:E,'[1]②7月-汇总'!$D:$D,'[1]②7月-汇总'!$AI:$AI)</f>
        <v>120</v>
      </c>
      <c r="AA56" s="45">
        <f t="shared" si="4"/>
        <v>2317.86710483871</v>
      </c>
      <c r="AB56" s="11"/>
      <c r="AC56" s="67"/>
      <c r="AD56" s="11">
        <f>_xlfn.XLOOKUP(E:E,'[1]②7月-汇总'!$D:$D,'[1]②7月-汇总'!$AC:$AC)</f>
        <v>0</v>
      </c>
      <c r="AE56" s="11"/>
      <c r="AF56" s="11">
        <f>_xlfn.XLOOKUP(E:E,'[1]②7月-汇总'!$D:$D,'[1]②7月-汇总'!$AD:$AD)</f>
        <v>130</v>
      </c>
      <c r="AG56" s="11">
        <f>_xlfn.XLOOKUP(E:E,'[1]②7月-汇总'!$D:$D,'[1]②7月-汇总'!$Y:$Y)</f>
        <v>0</v>
      </c>
      <c r="AH56" s="11">
        <f>_xlfn.XLOOKUP(E:E,'[1]②7月-汇总'!$D:$D,'[1]②7月-汇总'!$L:$L)</f>
        <v>0</v>
      </c>
      <c r="AI56" s="11">
        <f>_xlfn.XLOOKUP(E:E,'[1]②7月-汇总'!$D:$D,'[1]②7月-汇总'!$X:$X)</f>
        <v>0</v>
      </c>
      <c r="AJ56" s="11">
        <f>_xlfn.XLOOKUP(E:E,'[1]②7月-汇总'!$D:$D,'[1]②7月-汇总'!$AB:$AB)</f>
        <v>0</v>
      </c>
      <c r="AK56" s="11">
        <f>_xlfn.XLOOKUP(E:E,'[1]②7月-汇总'!$D:$D,'[1]②7月-汇总'!$AE:$AE)</f>
        <v>0</v>
      </c>
      <c r="AL56" s="96"/>
      <c r="AM56" s="45">
        <f>AA56+AB56-AC56-AD56-AE56-AF56-AG56-AI56-AJ56+AK56+AL56+540</f>
        <v>2727.86710483871</v>
      </c>
      <c r="AN56" s="11">
        <f>_xlfn.XLOOKUP(E:E,'[1]①7月-花名册'!$E:$E,'[1]①7月-花名册'!$T:$T)</f>
        <v>0</v>
      </c>
      <c r="AO56" s="67" t="s">
        <v>106</v>
      </c>
      <c r="AP56" s="142">
        <f>_xlfn.XLOOKUP(E56,[9]工资核对的全字段!$C:$C,[9]工资核对的全字段!$CW:$CW,0)</f>
        <v>2727.8671048387096</v>
      </c>
      <c r="AQ56" s="36">
        <f t="shared" si="6"/>
        <v>0</v>
      </c>
    </row>
    <row r="57" spans="1:43" x14ac:dyDescent="0.15">
      <c r="A57" s="55" t="s">
        <v>41</v>
      </c>
      <c r="B57" s="62" t="s">
        <v>102</v>
      </c>
      <c r="C57" s="57" t="s">
        <v>47</v>
      </c>
      <c r="D57" s="58" t="s">
        <v>47</v>
      </c>
      <c r="E57" s="58" t="s">
        <v>47</v>
      </c>
      <c r="F57" s="11">
        <f t="shared" si="0"/>
        <v>0</v>
      </c>
      <c r="G57" s="11">
        <v>0</v>
      </c>
      <c r="H57" s="11">
        <v>0</v>
      </c>
      <c r="I57" s="11">
        <v>0</v>
      </c>
      <c r="J57" s="67"/>
      <c r="K57" s="11">
        <v>64729.3</v>
      </c>
      <c r="L57" s="68"/>
      <c r="M57" s="68"/>
      <c r="N57" s="45">
        <f t="shared" si="1"/>
        <v>0</v>
      </c>
      <c r="O57" s="45">
        <f t="shared" si="2"/>
        <v>0</v>
      </c>
      <c r="P57" s="45"/>
      <c r="Q57" s="45"/>
      <c r="R57" s="45">
        <f t="shared" si="3"/>
        <v>0</v>
      </c>
      <c r="S57" s="11"/>
      <c r="T57" s="45"/>
      <c r="U57" s="11"/>
      <c r="V57" s="11"/>
      <c r="W57" s="11"/>
      <c r="X57" s="11"/>
      <c r="Y57" s="11"/>
      <c r="Z57" s="11"/>
      <c r="AA57" s="45">
        <f t="shared" si="4"/>
        <v>0</v>
      </c>
      <c r="AB57" s="11"/>
      <c r="AC57" s="67"/>
      <c r="AD57" s="11"/>
      <c r="AE57" s="11"/>
      <c r="AF57" s="11"/>
      <c r="AG57" s="11"/>
      <c r="AH57" s="11"/>
      <c r="AI57" s="11"/>
      <c r="AJ57" s="11"/>
      <c r="AK57" s="11"/>
      <c r="AL57" s="96"/>
      <c r="AM57" s="45">
        <f t="shared" si="8"/>
        <v>0</v>
      </c>
      <c r="AN57" s="11"/>
      <c r="AO57" s="67"/>
      <c r="AP57" s="142">
        <f>_xlfn.XLOOKUP(E57,[9]工资核对的全字段!$C:$C,[9]工资核对的全字段!$CW:$CW,0)</f>
        <v>0</v>
      </c>
      <c r="AQ57" s="36">
        <f t="shared" si="6"/>
        <v>0</v>
      </c>
    </row>
    <row r="58" spans="1:43" x14ac:dyDescent="0.15">
      <c r="A58" s="55" t="s">
        <v>41</v>
      </c>
      <c r="B58" s="62" t="s">
        <v>102</v>
      </c>
      <c r="C58" s="57" t="s">
        <v>107</v>
      </c>
      <c r="D58" s="58" t="s">
        <v>43</v>
      </c>
      <c r="E58" s="58" t="s">
        <v>108</v>
      </c>
      <c r="F58" s="11">
        <f t="shared" si="0"/>
        <v>33524</v>
      </c>
      <c r="G58" s="11">
        <v>6188</v>
      </c>
      <c r="H58" s="11">
        <v>27336</v>
      </c>
      <c r="I58" s="11">
        <v>0</v>
      </c>
      <c r="J58" s="67"/>
      <c r="K58" s="11"/>
      <c r="L58" s="68">
        <f>F58/$K$60</f>
        <v>0.59618147932108867</v>
      </c>
      <c r="M58" s="68">
        <v>0.04</v>
      </c>
      <c r="N58" s="45">
        <f t="shared" si="1"/>
        <v>235.14399999999998</v>
      </c>
      <c r="O58" s="45">
        <f t="shared" si="2"/>
        <v>675.19920000000002</v>
      </c>
      <c r="P58" s="45">
        <v>0</v>
      </c>
      <c r="Q58" s="45"/>
      <c r="R58" s="45">
        <f t="shared" si="3"/>
        <v>910.34320000000002</v>
      </c>
      <c r="S58" s="11">
        <f>_xlfn.XLOOKUP(E:E,'[1]②7月-汇总'!$D:$D,'[1]②7月-汇总'!$AP:$AP)</f>
        <v>31</v>
      </c>
      <c r="T58" s="45">
        <v>2000</v>
      </c>
      <c r="U58" s="11">
        <f>_xlfn.XLOOKUP(E:E,'[2]手工、项目数、消耗'!$C:$C,'[2]手工、项目数、消耗'!$E:$E)</f>
        <v>9214.99</v>
      </c>
      <c r="V58" s="11">
        <f>_xlfn.XLOOKUP(E:E,'[2]手工、项目数、消耗'!$C:$C,'[2]手工、项目数、消耗'!$D:$D)</f>
        <v>96</v>
      </c>
      <c r="W58" s="11">
        <f>_xlfn.XLOOKUP(E:E,'[2]手工、项目数、消耗'!$C:$C,'[2]手工、项目数、消耗'!$H:$H)</f>
        <v>1276</v>
      </c>
      <c r="X58" s="11">
        <f>_xlfn.XLOOKUP(E:E,'[1]②7月-汇总'!$D:$D,'[1]②7月-汇总'!$W:$W)</f>
        <v>0</v>
      </c>
      <c r="Y58" s="11">
        <f>_xlfn.XLOOKUP(E:E,'[1]②7月-汇总'!$D:$D,'[1]②7月-汇总'!$Z:$Z)</f>
        <v>0</v>
      </c>
      <c r="Z58" s="11">
        <f>_xlfn.XLOOKUP(E:E,'[1]②7月-汇总'!$D:$D,'[1]②7月-汇总'!$AI:$AI)</f>
        <v>0</v>
      </c>
      <c r="AA58" s="45">
        <f t="shared" si="4"/>
        <v>4186.3432000000003</v>
      </c>
      <c r="AB58" s="11"/>
      <c r="AC58" s="67"/>
      <c r="AD58" s="11">
        <f>_xlfn.XLOOKUP(E:E,'[1]②7月-汇总'!$D:$D,'[1]②7月-汇总'!$AC:$AC)</f>
        <v>0</v>
      </c>
      <c r="AE58" s="11"/>
      <c r="AF58" s="11">
        <f>_xlfn.XLOOKUP(E:E,'[1]②7月-汇总'!$D:$D,'[1]②7月-汇总'!$AD:$AD)</f>
        <v>0</v>
      </c>
      <c r="AG58" s="11">
        <f>_xlfn.XLOOKUP(E:E,'[1]②7月-汇总'!$D:$D,'[1]②7月-汇总'!$Y:$Y)</f>
        <v>0</v>
      </c>
      <c r="AH58" s="11">
        <f>_xlfn.XLOOKUP(E:E,'[1]②7月-汇总'!$D:$D,'[1]②7月-汇总'!$L:$L)</f>
        <v>0</v>
      </c>
      <c r="AI58" s="11">
        <f>_xlfn.XLOOKUP(E:E,'[1]②7月-汇总'!$D:$D,'[1]②7月-汇总'!$X:$X)</f>
        <v>0</v>
      </c>
      <c r="AJ58" s="11">
        <f>_xlfn.XLOOKUP(E:E,'[1]②7月-汇总'!$D:$D,'[1]②7月-汇总'!$AB:$AB)</f>
        <v>0</v>
      </c>
      <c r="AK58" s="11">
        <f>_xlfn.XLOOKUP(E:E,'[1]②7月-汇总'!$D:$D,'[1]②7月-汇总'!$AE:$AE)</f>
        <v>0</v>
      </c>
      <c r="AL58" s="96"/>
      <c r="AM58" s="45">
        <f t="shared" si="8"/>
        <v>4186.3432000000003</v>
      </c>
      <c r="AN58" s="11">
        <f>_xlfn.XLOOKUP(E:E,'[1]①7月-花名册'!$E:$E,'[1]①7月-花名册'!$T:$T)</f>
        <v>0</v>
      </c>
      <c r="AO58" s="67"/>
      <c r="AP58" s="142">
        <f>_xlfn.XLOOKUP(E58,[9]工资核对的全字段!$C:$C,[9]工资核对的全字段!$CW:$CW,0)</f>
        <v>4186.3432000000003</v>
      </c>
      <c r="AQ58" s="36">
        <f t="shared" si="6"/>
        <v>0</v>
      </c>
    </row>
    <row r="59" spans="1:43" x14ac:dyDescent="0.15">
      <c r="A59" s="55" t="s">
        <v>41</v>
      </c>
      <c r="B59" s="62" t="s">
        <v>102</v>
      </c>
      <c r="C59" s="57" t="s">
        <v>107</v>
      </c>
      <c r="D59" s="58" t="s">
        <v>4</v>
      </c>
      <c r="E59" s="58" t="s">
        <v>109</v>
      </c>
      <c r="F59" s="11">
        <f t="shared" si="0"/>
        <v>22707.200000000001</v>
      </c>
      <c r="G59" s="11">
        <v>5727</v>
      </c>
      <c r="H59" s="11">
        <v>15472.2</v>
      </c>
      <c r="I59" s="11">
        <v>1508</v>
      </c>
      <c r="J59" s="67"/>
      <c r="K59" s="11"/>
      <c r="L59" s="68">
        <f>F59/$K$60</f>
        <v>0.40381852067891139</v>
      </c>
      <c r="M59" s="68">
        <v>0.04</v>
      </c>
      <c r="N59" s="45">
        <f t="shared" si="1"/>
        <v>217.62599999999998</v>
      </c>
      <c r="O59" s="45">
        <f t="shared" si="2"/>
        <v>382.16334000000006</v>
      </c>
      <c r="P59" s="45"/>
      <c r="Q59" s="45"/>
      <c r="R59" s="45">
        <f t="shared" si="3"/>
        <v>599.78934000000004</v>
      </c>
      <c r="S59" s="11">
        <f>_xlfn.XLOOKUP(E:E,'[1]②7月-汇总'!$D:$D,'[1]②7月-汇总'!$AP:$AP)</f>
        <v>31</v>
      </c>
      <c r="T59" s="45">
        <v>2000</v>
      </c>
      <c r="U59" s="11">
        <f>_xlfn.XLOOKUP(E:E,'[2]手工、项目数、消耗'!$C:$C,'[2]手工、项目数、消耗'!$E:$E)</f>
        <v>14187.07</v>
      </c>
      <c r="V59" s="11">
        <f>_xlfn.XLOOKUP(E:E,'[2]手工、项目数、消耗'!$C:$C,'[2]手工、项目数、消耗'!$D:$D)</f>
        <v>122</v>
      </c>
      <c r="W59" s="11">
        <f>_xlfn.XLOOKUP(E:E,'[2]手工、项目数、消耗'!$C:$C,'[2]手工、项目数、消耗'!$H:$H)</f>
        <v>1735</v>
      </c>
      <c r="X59" s="11">
        <f>_xlfn.XLOOKUP(E:E,'[1]②7月-汇总'!$D:$D,'[1]②7月-汇总'!$W:$W)</f>
        <v>0</v>
      </c>
      <c r="Y59" s="11">
        <f>_xlfn.XLOOKUP(E:E,'[1]②7月-汇总'!$D:$D,'[1]②7月-汇总'!$Z:$Z)</f>
        <v>50</v>
      </c>
      <c r="Z59" s="11">
        <f>_xlfn.XLOOKUP(E:E,'[1]②7月-汇总'!$D:$D,'[1]②7月-汇总'!$AI:$AI)</f>
        <v>0</v>
      </c>
      <c r="AA59" s="45">
        <f t="shared" si="4"/>
        <v>4384.7893400000003</v>
      </c>
      <c r="AB59" s="11"/>
      <c r="AC59" s="67"/>
      <c r="AD59" s="11">
        <f>_xlfn.XLOOKUP(E:E,'[1]②7月-汇总'!$D:$D,'[1]②7月-汇总'!$AC:$AC)</f>
        <v>0</v>
      </c>
      <c r="AE59" s="11">
        <f>_xlfn.XLOOKUP(E:E,[3]Sheet1!$B:$B,[3]Sheet1!$L:$L)</f>
        <v>640.55999999999995</v>
      </c>
      <c r="AF59" s="11">
        <f>_xlfn.XLOOKUP(E:E,'[1]②7月-汇总'!$D:$D,'[1]②7月-汇总'!$AD:$AD)</f>
        <v>0</v>
      </c>
      <c r="AG59" s="11">
        <f>_xlfn.XLOOKUP(E:E,'[1]②7月-汇总'!$D:$D,'[1]②7月-汇总'!$Y:$Y)</f>
        <v>0</v>
      </c>
      <c r="AH59" s="11">
        <f>_xlfn.XLOOKUP(E:E,'[1]②7月-汇总'!$D:$D,'[1]②7月-汇总'!$L:$L)</f>
        <v>0</v>
      </c>
      <c r="AI59" s="11">
        <f>_xlfn.XLOOKUP(E:E,'[1]②7月-汇总'!$D:$D,'[1]②7月-汇总'!$X:$X)</f>
        <v>0</v>
      </c>
      <c r="AJ59" s="11">
        <f>_xlfn.XLOOKUP(E:E,'[1]②7月-汇总'!$D:$D,'[1]②7月-汇总'!$AB:$AB)</f>
        <v>0</v>
      </c>
      <c r="AK59" s="11">
        <f>_xlfn.XLOOKUP(E:E,'[1]②7月-汇总'!$D:$D,'[1]②7月-汇总'!$AE:$AE)</f>
        <v>0</v>
      </c>
      <c r="AL59" s="96"/>
      <c r="AM59" s="45">
        <f t="shared" si="8"/>
        <v>3744.2293400000003</v>
      </c>
      <c r="AN59" s="11">
        <f>_xlfn.XLOOKUP(E:E,'[1]①7月-花名册'!$E:$E,'[1]①7月-花名册'!$T:$T)</f>
        <v>0</v>
      </c>
      <c r="AO59" s="67"/>
      <c r="AP59" s="142">
        <f>_xlfn.XLOOKUP(E59,[9]工资核对的全字段!$C:$C,[9]工资核对的全字段!$CW:$CW,0)</f>
        <v>3744.2293400000003</v>
      </c>
      <c r="AQ59" s="36">
        <f t="shared" si="6"/>
        <v>0</v>
      </c>
    </row>
    <row r="60" spans="1:43" x14ac:dyDescent="0.15">
      <c r="A60" s="55" t="s">
        <v>41</v>
      </c>
      <c r="B60" s="62" t="s">
        <v>102</v>
      </c>
      <c r="C60" s="57" t="s">
        <v>47</v>
      </c>
      <c r="D60" s="58" t="s">
        <v>47</v>
      </c>
      <c r="E60" s="58" t="s">
        <v>47</v>
      </c>
      <c r="F60" s="11">
        <f t="shared" si="0"/>
        <v>0</v>
      </c>
      <c r="G60" s="11">
        <v>0</v>
      </c>
      <c r="H60" s="11">
        <v>0</v>
      </c>
      <c r="I60" s="11">
        <v>0</v>
      </c>
      <c r="J60" s="67"/>
      <c r="K60" s="11">
        <v>56231.199999999997</v>
      </c>
      <c r="L60" s="68"/>
      <c r="M60" s="68"/>
      <c r="N60" s="45">
        <f t="shared" si="1"/>
        <v>0</v>
      </c>
      <c r="O60" s="45">
        <f t="shared" si="2"/>
        <v>0</v>
      </c>
      <c r="P60" s="45"/>
      <c r="Q60" s="45"/>
      <c r="R60" s="45">
        <f t="shared" si="3"/>
        <v>0</v>
      </c>
      <c r="S60" s="11"/>
      <c r="T60" s="45"/>
      <c r="U60" s="11"/>
      <c r="V60" s="11"/>
      <c r="W60" s="11"/>
      <c r="X60" s="11"/>
      <c r="Y60" s="11"/>
      <c r="Z60" s="11"/>
      <c r="AA60" s="45">
        <f t="shared" si="4"/>
        <v>0</v>
      </c>
      <c r="AB60" s="11"/>
      <c r="AC60" s="67"/>
      <c r="AD60" s="11"/>
      <c r="AE60" s="11"/>
      <c r="AF60" s="11"/>
      <c r="AG60" s="11"/>
      <c r="AH60" s="11"/>
      <c r="AI60" s="11"/>
      <c r="AJ60" s="11"/>
      <c r="AK60" s="11"/>
      <c r="AL60" s="96"/>
      <c r="AM60" s="45">
        <f t="shared" si="8"/>
        <v>0</v>
      </c>
      <c r="AN60" s="11"/>
      <c r="AO60" s="67"/>
      <c r="AP60" s="142">
        <f>_xlfn.XLOOKUP(E60,[9]工资核对的全字段!$C:$C,[9]工资核对的全字段!$CW:$CW,0)</f>
        <v>0</v>
      </c>
      <c r="AQ60" s="36">
        <f t="shared" si="6"/>
        <v>0</v>
      </c>
    </row>
    <row r="61" spans="1:43" x14ac:dyDescent="0.15">
      <c r="A61" s="55" t="s">
        <v>41</v>
      </c>
      <c r="B61" s="62" t="s">
        <v>102</v>
      </c>
      <c r="C61" s="60" t="s">
        <v>9</v>
      </c>
      <c r="D61" s="61" t="s">
        <v>9</v>
      </c>
      <c r="E61" s="61" t="s">
        <v>110</v>
      </c>
      <c r="F61" s="11">
        <f t="shared" si="0"/>
        <v>-10.9</v>
      </c>
      <c r="G61" s="11">
        <v>-10.9</v>
      </c>
      <c r="H61" s="11">
        <v>0</v>
      </c>
      <c r="I61" s="11">
        <v>0</v>
      </c>
      <c r="J61" s="67"/>
      <c r="K61" s="11"/>
      <c r="L61" s="68"/>
      <c r="M61" s="68"/>
      <c r="N61" s="45">
        <f t="shared" si="1"/>
        <v>0</v>
      </c>
      <c r="O61" s="45">
        <f t="shared" si="2"/>
        <v>0</v>
      </c>
      <c r="P61" s="45"/>
      <c r="Q61" s="45">
        <v>302</v>
      </c>
      <c r="R61" s="45">
        <f t="shared" si="3"/>
        <v>302</v>
      </c>
      <c r="S61" s="11"/>
      <c r="T61" s="45"/>
      <c r="U61" s="11"/>
      <c r="V61" s="11"/>
      <c r="W61" s="11"/>
      <c r="X61" s="11"/>
      <c r="Y61" s="11"/>
      <c r="Z61" s="11"/>
      <c r="AA61" s="45">
        <f t="shared" si="4"/>
        <v>302</v>
      </c>
      <c r="AB61" s="11"/>
      <c r="AC61" s="67"/>
      <c r="AD61" s="11"/>
      <c r="AE61" s="11"/>
      <c r="AF61" s="11"/>
      <c r="AG61" s="11"/>
      <c r="AH61" s="11"/>
      <c r="AI61" s="11"/>
      <c r="AJ61" s="11"/>
      <c r="AK61" s="11"/>
      <c r="AL61" s="96"/>
      <c r="AM61" s="45">
        <f t="shared" si="8"/>
        <v>302</v>
      </c>
      <c r="AN61" s="11"/>
      <c r="AO61" s="67"/>
      <c r="AP61" s="142">
        <f>_xlfn.XLOOKUP(E61,[9]工资核对的全字段!$C:$C,[9]工资核对的全字段!$CW:$CW,0)</f>
        <v>302.37400000000002</v>
      </c>
      <c r="AQ61" s="36">
        <f t="shared" si="6"/>
        <v>0.37400000000002365</v>
      </c>
    </row>
    <row r="62" spans="1:43" x14ac:dyDescent="0.15">
      <c r="A62" s="55" t="s">
        <v>41</v>
      </c>
      <c r="B62" s="82" t="s">
        <v>111</v>
      </c>
      <c r="C62" s="57" t="s">
        <v>112</v>
      </c>
      <c r="D62" s="58" t="s">
        <v>43</v>
      </c>
      <c r="E62" s="58" t="s">
        <v>113</v>
      </c>
      <c r="F62" s="11">
        <f t="shared" si="0"/>
        <v>55870</v>
      </c>
      <c r="G62" s="11">
        <v>36070</v>
      </c>
      <c r="H62" s="11">
        <v>19800</v>
      </c>
      <c r="I62" s="11">
        <v>0</v>
      </c>
      <c r="J62" s="67"/>
      <c r="K62" s="11"/>
      <c r="L62" s="68">
        <f>F62/$K$64</f>
        <v>0.56528940905452585</v>
      </c>
      <c r="M62" s="68">
        <v>0.06</v>
      </c>
      <c r="N62" s="45">
        <f t="shared" si="1"/>
        <v>2055.9899999999998</v>
      </c>
      <c r="O62" s="45">
        <f t="shared" si="2"/>
        <v>733.58999999999992</v>
      </c>
      <c r="P62" s="45">
        <v>0</v>
      </c>
      <c r="Q62" s="45"/>
      <c r="R62" s="45">
        <f t="shared" si="3"/>
        <v>2789.58</v>
      </c>
      <c r="S62" s="11">
        <f>_xlfn.XLOOKUP(E:E,'[1]②7月-汇总'!$D:$D,'[1]②7月-汇总'!$AP:$AP)</f>
        <v>31</v>
      </c>
      <c r="T62" s="45">
        <v>2000</v>
      </c>
      <c r="U62" s="11">
        <f>_xlfn.XLOOKUP(E:E,'[2]手工、项目数、消耗'!$C:$C,'[2]手工、项目数、消耗'!$E:$E)</f>
        <v>14027.7</v>
      </c>
      <c r="V62" s="11">
        <f>_xlfn.XLOOKUP(E:E,'[2]手工、项目数、消耗'!$C:$C,'[2]手工、项目数、消耗'!$D:$D)</f>
        <v>111</v>
      </c>
      <c r="W62" s="11">
        <f>_xlfn.XLOOKUP(E:E,'[2]手工、项目数、消耗'!$C:$C,'[2]手工、项目数、消耗'!$H:$H)</f>
        <v>1249</v>
      </c>
      <c r="X62" s="11">
        <f>_xlfn.XLOOKUP(E:E,'[1]②7月-汇总'!$D:$D,'[1]②7月-汇总'!$W:$W)</f>
        <v>0</v>
      </c>
      <c r="Y62" s="11">
        <f>_xlfn.XLOOKUP(E:E,'[1]②7月-汇总'!$D:$D,'[1]②7月-汇总'!$Z:$Z)</f>
        <v>0</v>
      </c>
      <c r="Z62" s="11">
        <f>_xlfn.XLOOKUP(E:E,'[1]②7月-汇总'!$D:$D,'[1]②7月-汇总'!$AI:$AI)</f>
        <v>0</v>
      </c>
      <c r="AA62" s="45">
        <f t="shared" si="4"/>
        <v>6038.58</v>
      </c>
      <c r="AB62" s="11"/>
      <c r="AC62" s="67"/>
      <c r="AD62" s="11">
        <f>_xlfn.XLOOKUP(E:E,'[1]②7月-汇总'!$D:$D,'[1]②7月-汇总'!$AC:$AC)</f>
        <v>0</v>
      </c>
      <c r="AE62" s="11"/>
      <c r="AF62" s="11">
        <f>_xlfn.XLOOKUP(E:E,'[1]②7月-汇总'!$D:$D,'[1]②7月-汇总'!$AD:$AD)</f>
        <v>0</v>
      </c>
      <c r="AG62" s="11">
        <f>_xlfn.XLOOKUP(E:E,'[1]②7月-汇总'!$D:$D,'[1]②7月-汇总'!$Y:$Y)</f>
        <v>0</v>
      </c>
      <c r="AH62" s="11">
        <f>_xlfn.XLOOKUP(E:E,'[1]②7月-汇总'!$D:$D,'[1]②7月-汇总'!$L:$L)</f>
        <v>0</v>
      </c>
      <c r="AI62" s="11">
        <f>_xlfn.XLOOKUP(E:E,'[1]②7月-汇总'!$D:$D,'[1]②7月-汇总'!$X:$X)</f>
        <v>0</v>
      </c>
      <c r="AJ62" s="11">
        <f>_xlfn.XLOOKUP(E:E,'[1]②7月-汇总'!$D:$D,'[1]②7月-汇总'!$AB:$AB)</f>
        <v>0</v>
      </c>
      <c r="AK62" s="11">
        <f>_xlfn.XLOOKUP(E:E,'[1]②7月-汇总'!$D:$D,'[1]②7月-汇总'!$AE:$AE)</f>
        <v>0</v>
      </c>
      <c r="AL62" s="96"/>
      <c r="AM62" s="45">
        <f t="shared" si="8"/>
        <v>6038.58</v>
      </c>
      <c r="AN62" s="11">
        <f>_xlfn.XLOOKUP(E:E,'[1]①7月-花名册'!$E:$E,'[1]①7月-花名册'!$T:$T)</f>
        <v>0</v>
      </c>
      <c r="AO62" s="67"/>
      <c r="AP62" s="142">
        <f>_xlfn.XLOOKUP(E62,[9]工资核对的全字段!$C:$C,[9]工资核对的全字段!$CW:$CW,0)</f>
        <v>6038.58</v>
      </c>
      <c r="AQ62" s="36">
        <f t="shared" si="6"/>
        <v>0</v>
      </c>
    </row>
    <row r="63" spans="1:43" x14ac:dyDescent="0.15">
      <c r="A63" s="55" t="s">
        <v>41</v>
      </c>
      <c r="B63" s="82" t="s">
        <v>111</v>
      </c>
      <c r="C63" s="57" t="s">
        <v>112</v>
      </c>
      <c r="D63" s="58" t="s">
        <v>4</v>
      </c>
      <c r="E63" s="58" t="s">
        <v>114</v>
      </c>
      <c r="F63" s="11">
        <f t="shared" si="0"/>
        <v>42964.33</v>
      </c>
      <c r="G63" s="11">
        <v>42964.33</v>
      </c>
      <c r="H63" s="11">
        <v>0</v>
      </c>
      <c r="I63" s="11">
        <v>0</v>
      </c>
      <c r="J63" s="67"/>
      <c r="K63" s="11"/>
      <c r="L63" s="68">
        <f>F63/$K$64</f>
        <v>0.4347105909454741</v>
      </c>
      <c r="M63" s="68">
        <v>0.06</v>
      </c>
      <c r="N63" s="45">
        <f t="shared" si="1"/>
        <v>2448.9668099999999</v>
      </c>
      <c r="O63" s="45">
        <f t="shared" si="2"/>
        <v>0</v>
      </c>
      <c r="P63" s="45"/>
      <c r="Q63" s="45"/>
      <c r="R63" s="45">
        <f t="shared" si="3"/>
        <v>2448.9668099999999</v>
      </c>
      <c r="S63" s="11">
        <f>_xlfn.XLOOKUP(E:E,'[1]②7月-汇总'!$D:$D,'[1]②7月-汇总'!$AP:$AP)</f>
        <v>31</v>
      </c>
      <c r="T63" s="45">
        <v>2000</v>
      </c>
      <c r="U63" s="11">
        <f>_xlfn.XLOOKUP(E:E,'[2]手工、项目数、消耗'!$C:$C,'[2]手工、项目数、消耗'!$E:$E)</f>
        <v>11825.28</v>
      </c>
      <c r="V63" s="11">
        <f>_xlfn.XLOOKUP(E:E,'[2]手工、项目数、消耗'!$C:$C,'[2]手工、项目数、消耗'!$D:$D)</f>
        <v>114</v>
      </c>
      <c r="W63" s="11">
        <f>_xlfn.XLOOKUP(E:E,'[2]手工、项目数、消耗'!$C:$C,'[2]手工、项目数、消耗'!$H:$H)</f>
        <v>1599</v>
      </c>
      <c r="X63" s="11">
        <f>_xlfn.XLOOKUP(E:E,'[1]②7月-汇总'!$D:$D,'[1]②7月-汇总'!$W:$W)</f>
        <v>20</v>
      </c>
      <c r="Y63" s="11">
        <f>_xlfn.XLOOKUP(E:E,'[1]②7月-汇总'!$D:$D,'[1]②7月-汇总'!$Z:$Z)</f>
        <v>0</v>
      </c>
      <c r="Z63" s="11">
        <f>_xlfn.XLOOKUP(E:E,'[1]②7月-汇总'!$D:$D,'[1]②7月-汇总'!$AI:$AI)</f>
        <v>0</v>
      </c>
      <c r="AA63" s="45">
        <f t="shared" si="4"/>
        <v>6067.9668099999999</v>
      </c>
      <c r="AB63" s="11"/>
      <c r="AC63" s="67"/>
      <c r="AD63" s="11">
        <f>_xlfn.XLOOKUP(E:E,'[1]②7月-汇总'!$D:$D,'[1]②7月-汇总'!$AC:$AC)</f>
        <v>100</v>
      </c>
      <c r="AE63" s="11"/>
      <c r="AF63" s="11">
        <f>_xlfn.XLOOKUP(E:E,'[1]②7月-汇总'!$D:$D,'[1]②7月-汇总'!$AD:$AD)</f>
        <v>0</v>
      </c>
      <c r="AG63" s="11">
        <f>_xlfn.XLOOKUP(E:E,'[1]②7月-汇总'!$D:$D,'[1]②7月-汇总'!$Y:$Y)</f>
        <v>0</v>
      </c>
      <c r="AH63" s="11">
        <f>_xlfn.XLOOKUP(E:E,'[1]②7月-汇总'!$D:$D,'[1]②7月-汇总'!$L:$L)</f>
        <v>0</v>
      </c>
      <c r="AI63" s="11">
        <f>_xlfn.XLOOKUP(E:E,'[1]②7月-汇总'!$D:$D,'[1]②7月-汇总'!$X:$X)</f>
        <v>0</v>
      </c>
      <c r="AJ63" s="11">
        <f>_xlfn.XLOOKUP(E:E,'[1]②7月-汇总'!$D:$D,'[1]②7月-汇总'!$AB:$AB)</f>
        <v>0</v>
      </c>
      <c r="AK63" s="11">
        <f>_xlfn.XLOOKUP(E:E,'[1]②7月-汇总'!$D:$D,'[1]②7月-汇总'!$AE:$AE)</f>
        <v>0</v>
      </c>
      <c r="AL63" s="96"/>
      <c r="AM63" s="45">
        <f t="shared" si="8"/>
        <v>5967.9668099999999</v>
      </c>
      <c r="AN63" s="11">
        <f>_xlfn.XLOOKUP(E:E,'[1]①7月-花名册'!$E:$E,'[1]①7月-花名册'!$T:$T)</f>
        <v>0</v>
      </c>
      <c r="AO63" s="67"/>
      <c r="AP63" s="142">
        <f>_xlfn.XLOOKUP(E63,[9]工资核对的全字段!$C:$C,[9]工资核对的全字段!$CW:$CW,0)</f>
        <v>5967.9668099999999</v>
      </c>
      <c r="AQ63" s="36">
        <f t="shared" si="6"/>
        <v>0</v>
      </c>
    </row>
    <row r="64" spans="1:43" x14ac:dyDescent="0.15">
      <c r="A64" s="55" t="s">
        <v>41</v>
      </c>
      <c r="B64" s="82" t="s">
        <v>111</v>
      </c>
      <c r="C64" s="57" t="s">
        <v>47</v>
      </c>
      <c r="D64" s="58" t="s">
        <v>47</v>
      </c>
      <c r="E64" s="58" t="s">
        <v>47</v>
      </c>
      <c r="F64" s="11">
        <f t="shared" si="0"/>
        <v>0</v>
      </c>
      <c r="G64" s="11">
        <v>0</v>
      </c>
      <c r="H64" s="11">
        <v>0</v>
      </c>
      <c r="I64" s="11">
        <v>0</v>
      </c>
      <c r="J64" s="67"/>
      <c r="K64" s="11">
        <v>98834.33</v>
      </c>
      <c r="L64" s="68"/>
      <c r="M64" s="68"/>
      <c r="N64" s="45">
        <f t="shared" si="1"/>
        <v>0</v>
      </c>
      <c r="O64" s="45">
        <f t="shared" si="2"/>
        <v>0</v>
      </c>
      <c r="P64" s="45"/>
      <c r="Q64" s="45"/>
      <c r="R64" s="45">
        <f t="shared" si="3"/>
        <v>0</v>
      </c>
      <c r="S64" s="11"/>
      <c r="T64" s="45"/>
      <c r="U64" s="11"/>
      <c r="V64" s="11"/>
      <c r="W64" s="11"/>
      <c r="X64" s="11"/>
      <c r="Y64" s="11"/>
      <c r="Z64" s="11"/>
      <c r="AA64" s="45">
        <f t="shared" si="4"/>
        <v>0</v>
      </c>
      <c r="AB64" s="11"/>
      <c r="AC64" s="67"/>
      <c r="AD64" s="11"/>
      <c r="AE64" s="11"/>
      <c r="AF64" s="11"/>
      <c r="AG64" s="11"/>
      <c r="AH64" s="11"/>
      <c r="AI64" s="11"/>
      <c r="AJ64" s="11"/>
      <c r="AK64" s="11"/>
      <c r="AL64" s="96"/>
      <c r="AM64" s="45">
        <f t="shared" si="8"/>
        <v>0</v>
      </c>
      <c r="AN64" s="11"/>
      <c r="AO64" s="67"/>
      <c r="AP64" s="142">
        <f>_xlfn.XLOOKUP(E64,[9]工资核对的全字段!$C:$C,[9]工资核对的全字段!$CW:$CW,0)</f>
        <v>0</v>
      </c>
      <c r="AQ64" s="36">
        <f t="shared" si="6"/>
        <v>0</v>
      </c>
    </row>
    <row r="65" spans="1:43" x14ac:dyDescent="0.15">
      <c r="A65" s="55" t="s">
        <v>41</v>
      </c>
      <c r="B65" s="82" t="s">
        <v>111</v>
      </c>
      <c r="C65" s="57" t="s">
        <v>115</v>
      </c>
      <c r="D65" s="58" t="s">
        <v>43</v>
      </c>
      <c r="E65" s="58" t="s">
        <v>116</v>
      </c>
      <c r="F65" s="11">
        <f t="shared" si="0"/>
        <v>43252.5</v>
      </c>
      <c r="G65" s="11">
        <v>42364.5</v>
      </c>
      <c r="H65" s="11">
        <v>0</v>
      </c>
      <c r="I65" s="11">
        <v>888</v>
      </c>
      <c r="J65" s="67"/>
      <c r="K65" s="11"/>
      <c r="L65" s="68">
        <f>F65/$K$68</f>
        <v>0.84482489208352052</v>
      </c>
      <c r="M65" s="68">
        <v>0.03</v>
      </c>
      <c r="N65" s="45">
        <f t="shared" si="1"/>
        <v>1207.38825</v>
      </c>
      <c r="O65" s="45">
        <f t="shared" si="2"/>
        <v>0</v>
      </c>
      <c r="P65" s="45">
        <v>0</v>
      </c>
      <c r="Q65" s="45"/>
      <c r="R65" s="45">
        <f t="shared" si="3"/>
        <v>1207.38825</v>
      </c>
      <c r="S65" s="11">
        <f>_xlfn.XLOOKUP(E:E,'[1]②7月-汇总'!$D:$D,'[1]②7月-汇总'!$AP:$AP)</f>
        <v>31</v>
      </c>
      <c r="T65" s="45">
        <v>2000</v>
      </c>
      <c r="U65" s="11">
        <f>_xlfn.XLOOKUP(E:E,'[2]手工、项目数、消耗'!$C:$C,'[2]手工、项目数、消耗'!$E:$E)</f>
        <v>7861.8</v>
      </c>
      <c r="V65" s="11">
        <f>_xlfn.XLOOKUP(E:E,'[2]手工、项目数、消耗'!$C:$C,'[2]手工、项目数、消耗'!$D:$D)</f>
        <v>102</v>
      </c>
      <c r="W65" s="11">
        <f>_xlfn.XLOOKUP(E:E,'[2]手工、项目数、消耗'!$C:$C,'[2]手工、项目数、消耗'!$H:$H)</f>
        <v>1155</v>
      </c>
      <c r="X65" s="11">
        <f>_xlfn.XLOOKUP(E:E,'[1]②7月-汇总'!$D:$D,'[1]②7月-汇总'!$W:$W)</f>
        <v>0</v>
      </c>
      <c r="Y65" s="11">
        <f>_xlfn.XLOOKUP(E:E,'[1]②7月-汇总'!$D:$D,'[1]②7月-汇总'!$Z:$Z)</f>
        <v>50</v>
      </c>
      <c r="Z65" s="11">
        <f>_xlfn.XLOOKUP(E:E,'[1]②7月-汇总'!$D:$D,'[1]②7月-汇总'!$AI:$AI)</f>
        <v>0</v>
      </c>
      <c r="AA65" s="45">
        <f t="shared" si="4"/>
        <v>4412.38825</v>
      </c>
      <c r="AB65" s="11"/>
      <c r="AC65" s="67"/>
      <c r="AD65" s="11">
        <f>_xlfn.XLOOKUP(E:E,'[1]②7月-汇总'!$D:$D,'[1]②7月-汇总'!$AC:$AC)</f>
        <v>0</v>
      </c>
      <c r="AE65" s="11"/>
      <c r="AF65" s="11">
        <f>_xlfn.XLOOKUP(E:E,'[1]②7月-汇总'!$D:$D,'[1]②7月-汇总'!$AD:$AD)</f>
        <v>0</v>
      </c>
      <c r="AG65" s="11">
        <f>_xlfn.XLOOKUP(E:E,'[1]②7月-汇总'!$D:$D,'[1]②7月-汇总'!$Y:$Y)</f>
        <v>0</v>
      </c>
      <c r="AH65" s="11">
        <f>_xlfn.XLOOKUP(E:E,'[1]②7月-汇总'!$D:$D,'[1]②7月-汇总'!$L:$L)</f>
        <v>0</v>
      </c>
      <c r="AI65" s="11">
        <f>_xlfn.XLOOKUP(E:E,'[1]②7月-汇总'!$D:$D,'[1]②7月-汇总'!$X:$X)</f>
        <v>0</v>
      </c>
      <c r="AJ65" s="11">
        <f>_xlfn.XLOOKUP(E:E,'[1]②7月-汇总'!$D:$D,'[1]②7月-汇总'!$AB:$AB)</f>
        <v>0</v>
      </c>
      <c r="AK65" s="11">
        <f>_xlfn.XLOOKUP(E:E,'[1]②7月-汇总'!$D:$D,'[1]②7月-汇总'!$AE:$AE)</f>
        <v>0</v>
      </c>
      <c r="AL65" s="96"/>
      <c r="AM65" s="45">
        <f t="shared" si="8"/>
        <v>4412.38825</v>
      </c>
      <c r="AN65" s="11">
        <f>_xlfn.XLOOKUP(E:E,'[1]①7月-花名册'!$E:$E,'[1]①7月-花名册'!$T:$T)</f>
        <v>0</v>
      </c>
      <c r="AO65" s="67"/>
      <c r="AP65" s="142">
        <f>_xlfn.XLOOKUP(E65,[9]工资核对的全字段!$C:$C,[9]工资核对的全字段!$CW:$CW,0)</f>
        <v>4412.38825</v>
      </c>
      <c r="AQ65" s="36">
        <f t="shared" si="6"/>
        <v>0</v>
      </c>
    </row>
    <row r="66" spans="1:43" x14ac:dyDescent="0.15">
      <c r="A66" s="55" t="s">
        <v>41</v>
      </c>
      <c r="B66" s="82" t="s">
        <v>111</v>
      </c>
      <c r="C66" s="57" t="s">
        <v>115</v>
      </c>
      <c r="D66" s="58" t="s">
        <v>4</v>
      </c>
      <c r="E66" s="58" t="s">
        <v>117</v>
      </c>
      <c r="F66" s="11">
        <f>G66+H66+I66</f>
        <v>6130.5</v>
      </c>
      <c r="G66" s="11">
        <v>6130.5</v>
      </c>
      <c r="H66" s="11">
        <v>0</v>
      </c>
      <c r="I66" s="11">
        <v>0</v>
      </c>
      <c r="J66" s="67"/>
      <c r="K66" s="11"/>
      <c r="L66" s="68">
        <f>F66/$K$68</f>
        <v>0.11974334433658222</v>
      </c>
      <c r="M66" s="68">
        <v>0.03</v>
      </c>
      <c r="N66" s="45">
        <f t="shared" si="1"/>
        <v>174.71924999999999</v>
      </c>
      <c r="O66" s="45">
        <f t="shared" si="2"/>
        <v>0</v>
      </c>
      <c r="P66" s="45"/>
      <c r="Q66" s="45"/>
      <c r="R66" s="45">
        <f t="shared" si="3"/>
        <v>174.71924999999999</v>
      </c>
      <c r="S66" s="11">
        <f>_xlfn.XLOOKUP(E:E,'[1]②7月-汇总'!$D:$D,'[1]②7月-汇总'!$AP:$AP)</f>
        <v>31</v>
      </c>
      <c r="T66" s="45">
        <v>2000</v>
      </c>
      <c r="U66" s="11">
        <f>_xlfn.XLOOKUP(E:E,'[2]手工、项目数、消耗'!$C:$C,'[2]手工、项目数、消耗'!$E:$E)</f>
        <v>6892.7</v>
      </c>
      <c r="V66" s="11">
        <f>_xlfn.XLOOKUP(E:E,'[2]手工、项目数、消耗'!$C:$C,'[2]手工、项目数、消耗'!$D:$D)</f>
        <v>101</v>
      </c>
      <c r="W66" s="11">
        <f>_xlfn.XLOOKUP(E:E,'[2]手工、项目数、消耗'!$C:$C,'[2]手工、项目数、消耗'!$H:$H)</f>
        <v>1337</v>
      </c>
      <c r="X66" s="11">
        <f>_xlfn.XLOOKUP(E:E,'[1]②7月-汇总'!$D:$D,'[1]②7月-汇总'!$W:$W)</f>
        <v>0</v>
      </c>
      <c r="Y66" s="11">
        <f>_xlfn.XLOOKUP(E:E,'[1]②7月-汇总'!$D:$D,'[1]②7月-汇总'!$Z:$Z)</f>
        <v>0</v>
      </c>
      <c r="Z66" s="11">
        <f>_xlfn.XLOOKUP(E:E,'[1]②7月-汇总'!$D:$D,'[1]②7月-汇总'!$AI:$AI)</f>
        <v>0</v>
      </c>
      <c r="AA66" s="45">
        <f t="shared" si="4"/>
        <v>3511.7192500000001</v>
      </c>
      <c r="AB66" s="11"/>
      <c r="AC66" s="67"/>
      <c r="AD66" s="11">
        <f>_xlfn.XLOOKUP(E:E,'[1]②7月-汇总'!$D:$D,'[1]②7月-汇总'!$AC:$AC)</f>
        <v>100</v>
      </c>
      <c r="AE66" s="11"/>
      <c r="AF66" s="11">
        <f>_xlfn.XLOOKUP(E:E,'[1]②7月-汇总'!$D:$D,'[1]②7月-汇总'!$AD:$AD)</f>
        <v>0</v>
      </c>
      <c r="AG66" s="11">
        <f>_xlfn.XLOOKUP(E:E,'[1]②7月-汇总'!$D:$D,'[1]②7月-汇总'!$Y:$Y)</f>
        <v>0</v>
      </c>
      <c r="AH66" s="11">
        <f>_xlfn.XLOOKUP(E:E,'[1]②7月-汇总'!$D:$D,'[1]②7月-汇总'!$L:$L)</f>
        <v>0</v>
      </c>
      <c r="AI66" s="11">
        <f>_xlfn.XLOOKUP(E:E,'[1]②7月-汇总'!$D:$D,'[1]②7月-汇总'!$X:$X)</f>
        <v>10</v>
      </c>
      <c r="AJ66" s="11">
        <f>_xlfn.XLOOKUP(E:E,'[1]②7月-汇总'!$D:$D,'[1]②7月-汇总'!$AB:$AB)</f>
        <v>0</v>
      </c>
      <c r="AK66" s="11">
        <f>_xlfn.XLOOKUP(E:E,'[1]②7月-汇总'!$D:$D,'[1]②7月-汇总'!$AE:$AE)</f>
        <v>0</v>
      </c>
      <c r="AL66" s="96"/>
      <c r="AM66" s="45">
        <f t="shared" si="8"/>
        <v>3401.7192500000001</v>
      </c>
      <c r="AN66" s="11">
        <f>_xlfn.XLOOKUP(E:E,'[1]①7月-花名册'!$E:$E,'[1]①7月-花名册'!$T:$T)</f>
        <v>0</v>
      </c>
      <c r="AO66" s="67"/>
      <c r="AP66" s="142">
        <f>_xlfn.XLOOKUP(E66,[9]工资核对的全字段!$C:$C,[9]工资核对的全字段!$CW:$CW,0)</f>
        <v>3401.7192500000001</v>
      </c>
      <c r="AQ66" s="36">
        <f t="shared" si="6"/>
        <v>0</v>
      </c>
    </row>
    <row r="67" spans="1:43" x14ac:dyDescent="0.15">
      <c r="A67" s="55" t="s">
        <v>41</v>
      </c>
      <c r="B67" s="82" t="s">
        <v>111</v>
      </c>
      <c r="C67" s="57" t="s">
        <v>115</v>
      </c>
      <c r="D67" s="58" t="s">
        <v>4</v>
      </c>
      <c r="E67" s="58" t="s">
        <v>118</v>
      </c>
      <c r="F67" s="11">
        <f>G67+H67+I67</f>
        <v>1814</v>
      </c>
      <c r="G67" s="11">
        <v>1814</v>
      </c>
      <c r="H67" s="11">
        <v>0</v>
      </c>
      <c r="I67" s="11">
        <v>0</v>
      </c>
      <c r="J67" s="67"/>
      <c r="K67" s="11"/>
      <c r="L67" s="68">
        <f>F67/$K$68</f>
        <v>3.543176357989726E-2</v>
      </c>
      <c r="M67" s="68">
        <v>0.03</v>
      </c>
      <c r="N67" s="45">
        <f>G67*0.95*M67</f>
        <v>51.698999999999998</v>
      </c>
      <c r="O67" s="45">
        <f>H67*0.65*0.95*M67</f>
        <v>0</v>
      </c>
      <c r="P67" s="45"/>
      <c r="Q67" s="45"/>
      <c r="R67" s="45">
        <f t="shared" ref="R67:R130" si="9">N67+O67+P67+Q67</f>
        <v>51.698999999999998</v>
      </c>
      <c r="S67" s="11">
        <f>_xlfn.XLOOKUP(E:E,'[1]②7月-汇总'!$D:$D,'[1]②7月-汇总'!$AP:$AP)</f>
        <v>31</v>
      </c>
      <c r="T67" s="45">
        <v>2000</v>
      </c>
      <c r="U67" s="11">
        <f>_xlfn.XLOOKUP(E:E,'[2]手工、项目数、消耗'!$C:$C,'[2]手工、项目数、消耗'!$E:$E)</f>
        <v>3721.76</v>
      </c>
      <c r="V67" s="11">
        <f>_xlfn.XLOOKUP(E:E,'[2]手工、项目数、消耗'!$C:$C,'[2]手工、项目数、消耗'!$D:$D)</f>
        <v>68</v>
      </c>
      <c r="W67" s="11">
        <f>_xlfn.XLOOKUP(E:E,'[2]手工、项目数、消耗'!$C:$C,'[2]手工、项目数、消耗'!$H:$H)</f>
        <v>938</v>
      </c>
      <c r="X67" s="11">
        <f>_xlfn.XLOOKUP(E:E,'[1]②7月-汇总'!$D:$D,'[1]②7月-汇总'!$W:$W)</f>
        <v>0</v>
      </c>
      <c r="Y67" s="11">
        <f>_xlfn.XLOOKUP(E:E,'[1]②7月-汇总'!$D:$D,'[1]②7月-汇总'!$Z:$Z)</f>
        <v>0</v>
      </c>
      <c r="Z67" s="11">
        <f>_xlfn.XLOOKUP(E:E,'[1]②7月-汇总'!$D:$D,'[1]②7月-汇总'!$AI:$AI)</f>
        <v>0</v>
      </c>
      <c r="AA67" s="45">
        <f t="shared" ref="AA67:AA130" si="10">R67+T67+W67+X67+Y67+Z67</f>
        <v>2989.6990000000001</v>
      </c>
      <c r="AB67" s="11"/>
      <c r="AC67" s="67"/>
      <c r="AD67" s="11">
        <f>_xlfn.XLOOKUP(E:E,'[1]②7月-汇总'!$D:$D,'[1]②7月-汇总'!$AC:$AC)</f>
        <v>0</v>
      </c>
      <c r="AE67" s="11"/>
      <c r="AF67" s="11">
        <f>_xlfn.XLOOKUP(E:E,'[1]②7月-汇总'!$D:$D,'[1]②7月-汇总'!$AD:$AD)</f>
        <v>130</v>
      </c>
      <c r="AG67" s="11">
        <f>_xlfn.XLOOKUP(E:E,'[1]②7月-汇总'!$D:$D,'[1]②7月-汇总'!$Y:$Y)</f>
        <v>0</v>
      </c>
      <c r="AH67" s="11">
        <f>_xlfn.XLOOKUP(E:E,'[1]②7月-汇总'!$D:$D,'[1]②7月-汇总'!$L:$L)</f>
        <v>0</v>
      </c>
      <c r="AI67" s="11">
        <f>_xlfn.XLOOKUP(E:E,'[1]②7月-汇总'!$D:$D,'[1]②7月-汇总'!$X:$X)</f>
        <v>0</v>
      </c>
      <c r="AJ67" s="11">
        <f>_xlfn.XLOOKUP(E:E,'[1]②7月-汇总'!$D:$D,'[1]②7月-汇总'!$AB:$AB)</f>
        <v>0</v>
      </c>
      <c r="AK67" s="11">
        <f>_xlfn.XLOOKUP(E:E,'[1]②7月-汇总'!$D:$D,'[1]②7月-汇总'!$AE:$AE)</f>
        <v>300</v>
      </c>
      <c r="AL67" s="96"/>
      <c r="AM67" s="97">
        <f>AA67+AB67-AC67-AD67-AE67-AF67-AG67-AI67-AJ67+AK67+AL67+190</f>
        <v>3349.6990000000001</v>
      </c>
      <c r="AN67" s="11">
        <f>_xlfn.XLOOKUP(E:E,'[1]①7月-花名册'!$E:$E,'[1]①7月-花名册'!$T:$T)</f>
        <v>0</v>
      </c>
      <c r="AO67" s="67" t="s">
        <v>119</v>
      </c>
      <c r="AP67" s="142">
        <f>_xlfn.XLOOKUP(E67,[9]工资核对的全字段!$C:$C,[9]工资核对的全字段!$CW:$CW,0)</f>
        <v>3349.6990000000001</v>
      </c>
      <c r="AQ67" s="36">
        <f t="shared" ref="AQ67:AQ130" si="11">AP67-AM67</f>
        <v>0</v>
      </c>
    </row>
    <row r="68" spans="1:43" x14ac:dyDescent="0.15">
      <c r="A68" s="55" t="s">
        <v>41</v>
      </c>
      <c r="B68" s="82" t="s">
        <v>111</v>
      </c>
      <c r="C68" s="57" t="s">
        <v>47</v>
      </c>
      <c r="D68" s="58" t="s">
        <v>47</v>
      </c>
      <c r="E68" s="58" t="s">
        <v>47</v>
      </c>
      <c r="F68" s="11">
        <f>G68+H68+I68</f>
        <v>0</v>
      </c>
      <c r="G68" s="11">
        <v>0</v>
      </c>
      <c r="H68" s="11">
        <v>0</v>
      </c>
      <c r="I68" s="11">
        <v>0</v>
      </c>
      <c r="J68" s="67"/>
      <c r="K68" s="11">
        <v>51197</v>
      </c>
      <c r="L68" s="68"/>
      <c r="M68" s="68"/>
      <c r="N68" s="45">
        <f>G68*0.95*M68</f>
        <v>0</v>
      </c>
      <c r="O68" s="45">
        <f>H68*0.65*0.95*M68</f>
        <v>0</v>
      </c>
      <c r="P68" s="45"/>
      <c r="Q68" s="45"/>
      <c r="R68" s="45">
        <f t="shared" si="9"/>
        <v>0</v>
      </c>
      <c r="S68" s="11"/>
      <c r="T68" s="45"/>
      <c r="U68" s="11"/>
      <c r="V68" s="11"/>
      <c r="W68" s="11"/>
      <c r="X68" s="11"/>
      <c r="Y68" s="11"/>
      <c r="Z68" s="11"/>
      <c r="AA68" s="45">
        <f t="shared" si="10"/>
        <v>0</v>
      </c>
      <c r="AB68" s="11"/>
      <c r="AC68" s="67"/>
      <c r="AD68" s="11"/>
      <c r="AE68" s="11"/>
      <c r="AF68" s="11"/>
      <c r="AG68" s="11"/>
      <c r="AH68" s="11"/>
      <c r="AI68" s="11"/>
      <c r="AJ68" s="11"/>
      <c r="AK68" s="11"/>
      <c r="AL68" s="96"/>
      <c r="AM68" s="45">
        <f t="shared" ref="AM68:AM130" si="12">AA68+AB68-AC68-AD68-AE68-AF68-AG68-AI68-AJ68+AK68+AL68</f>
        <v>0</v>
      </c>
      <c r="AN68" s="11"/>
      <c r="AO68" s="67"/>
      <c r="AP68" s="142">
        <f>_xlfn.XLOOKUP(E68,[9]工资核对的全字段!$C:$C,[9]工资核对的全字段!$CW:$CW,0)</f>
        <v>0</v>
      </c>
      <c r="AQ68" s="36">
        <f t="shared" si="11"/>
        <v>0</v>
      </c>
    </row>
    <row r="69" spans="1:43" x14ac:dyDescent="0.15">
      <c r="A69" s="55" t="s">
        <v>41</v>
      </c>
      <c r="B69" s="82" t="s">
        <v>111</v>
      </c>
      <c r="C69" s="60" t="s">
        <v>9</v>
      </c>
      <c r="D69" s="61" t="s">
        <v>9</v>
      </c>
      <c r="E69" s="61" t="s">
        <v>120</v>
      </c>
      <c r="F69" s="11">
        <f t="shared" ref="F69:F125" si="13">G69+H69+I69</f>
        <v>0</v>
      </c>
      <c r="G69" s="11">
        <v>0</v>
      </c>
      <c r="H69" s="11">
        <v>0</v>
      </c>
      <c r="I69" s="11">
        <v>0</v>
      </c>
      <c r="J69" s="50"/>
      <c r="K69" s="11"/>
      <c r="L69" s="68"/>
      <c r="M69" s="68"/>
      <c r="N69" s="45">
        <f t="shared" ref="N69:N132" si="14">G69*0.95*M69</f>
        <v>0</v>
      </c>
      <c r="O69" s="45">
        <f t="shared" ref="O69:O132" si="15">H69*0.65*0.95*M69</f>
        <v>0</v>
      </c>
      <c r="P69" s="45"/>
      <c r="Q69" s="45">
        <v>375</v>
      </c>
      <c r="R69" s="45">
        <f t="shared" si="9"/>
        <v>375</v>
      </c>
      <c r="S69" s="11"/>
      <c r="T69" s="45"/>
      <c r="U69" s="11"/>
      <c r="V69" s="11"/>
      <c r="W69" s="11"/>
      <c r="X69" s="11"/>
      <c r="Y69" s="11"/>
      <c r="Z69" s="11"/>
      <c r="AA69" s="45">
        <f t="shared" si="10"/>
        <v>375</v>
      </c>
      <c r="AB69" s="11"/>
      <c r="AC69" s="50"/>
      <c r="AD69" s="11"/>
      <c r="AE69" s="11"/>
      <c r="AF69" s="11"/>
      <c r="AG69" s="11"/>
      <c r="AH69" s="11"/>
      <c r="AI69" s="11"/>
      <c r="AJ69" s="11"/>
      <c r="AK69" s="11"/>
      <c r="AL69" s="96"/>
      <c r="AM69" s="45">
        <f t="shared" si="12"/>
        <v>375</v>
      </c>
      <c r="AN69" s="11"/>
      <c r="AO69" s="67"/>
      <c r="AP69" s="142">
        <f>_xlfn.XLOOKUP(E69,[9]工资核对的全字段!$C:$C,[9]工资核对的全字段!$CW:$CW,0)</f>
        <v>375.07832500000001</v>
      </c>
      <c r="AQ69" s="36">
        <f t="shared" si="11"/>
        <v>7.8325000000006639E-2</v>
      </c>
    </row>
    <row r="70" spans="1:43" x14ac:dyDescent="0.15">
      <c r="A70" s="55" t="s">
        <v>41</v>
      </c>
      <c r="B70" s="62" t="s">
        <v>121</v>
      </c>
      <c r="C70" s="57" t="s">
        <v>122</v>
      </c>
      <c r="D70" s="58" t="s">
        <v>43</v>
      </c>
      <c r="E70" s="58" t="s">
        <v>123</v>
      </c>
      <c r="F70" s="11">
        <f t="shared" si="13"/>
        <v>33492</v>
      </c>
      <c r="G70" s="11">
        <v>32492</v>
      </c>
      <c r="H70" s="11">
        <v>1000</v>
      </c>
      <c r="I70" s="11">
        <v>0</v>
      </c>
      <c r="J70" s="50"/>
      <c r="K70" s="11"/>
      <c r="L70" s="68">
        <f>F70/$K$73</f>
        <v>0.59369715276374424</v>
      </c>
      <c r="M70" s="68">
        <v>0.03</v>
      </c>
      <c r="N70" s="45">
        <f t="shared" si="14"/>
        <v>926.02199999999993</v>
      </c>
      <c r="O70" s="45">
        <f t="shared" si="15"/>
        <v>18.524999999999999</v>
      </c>
      <c r="P70" s="45">
        <v>0</v>
      </c>
      <c r="Q70" s="45"/>
      <c r="R70" s="45">
        <f t="shared" si="9"/>
        <v>944.54699999999991</v>
      </c>
      <c r="S70" s="11">
        <f>_xlfn.XLOOKUP(E:E,'[1]②7月-汇总'!$D:$D,'[1]②7月-汇总'!$AP:$AP)</f>
        <v>31</v>
      </c>
      <c r="T70" s="45">
        <v>2000</v>
      </c>
      <c r="U70" s="11">
        <f>_xlfn.XLOOKUP(E:E,'[2]手工、项目数、消耗'!$C:$C,'[2]手工、项目数、消耗'!$E:$E)</f>
        <v>21310.35</v>
      </c>
      <c r="V70" s="11">
        <f>_xlfn.XLOOKUP(E:E,'[2]手工、项目数、消耗'!$C:$C,'[2]手工、项目数、消耗'!$D:$D)</f>
        <v>101</v>
      </c>
      <c r="W70" s="11">
        <f>_xlfn.XLOOKUP(E:E,'[2]手工、项目数、消耗'!$C:$C,'[2]手工、项目数、消耗'!$H:$H)</f>
        <v>1347</v>
      </c>
      <c r="X70" s="11">
        <f>_xlfn.XLOOKUP(E:E,'[1]②7月-汇总'!$D:$D,'[1]②7月-汇总'!$W:$W)</f>
        <v>0</v>
      </c>
      <c r="Y70" s="11">
        <f>_xlfn.XLOOKUP(E:E,'[1]②7月-汇总'!$D:$D,'[1]②7月-汇总'!$Z:$Z)</f>
        <v>50</v>
      </c>
      <c r="Z70" s="11">
        <f>_xlfn.XLOOKUP(E:E,'[1]②7月-汇总'!$D:$D,'[1]②7月-汇总'!$AI:$AI)</f>
        <v>0</v>
      </c>
      <c r="AA70" s="45">
        <f t="shared" si="10"/>
        <v>4341.5470000000005</v>
      </c>
      <c r="AB70" s="11"/>
      <c r="AC70" s="50"/>
      <c r="AD70" s="11">
        <f>_xlfn.XLOOKUP(E:E,'[1]②7月-汇总'!$D:$D,'[1]②7月-汇总'!$AC:$AC)</f>
        <v>0</v>
      </c>
      <c r="AE70" s="11"/>
      <c r="AF70" s="11">
        <f>_xlfn.XLOOKUP(E:E,'[1]②7月-汇总'!$D:$D,'[1]②7月-汇总'!$AD:$AD)</f>
        <v>0</v>
      </c>
      <c r="AG70" s="11">
        <f>_xlfn.XLOOKUP(E:E,'[1]②7月-汇总'!$D:$D,'[1]②7月-汇总'!$Y:$Y)</f>
        <v>0</v>
      </c>
      <c r="AH70" s="11">
        <f>_xlfn.XLOOKUP(E:E,'[1]②7月-汇总'!$D:$D,'[1]②7月-汇总'!$L:$L)</f>
        <v>0</v>
      </c>
      <c r="AI70" s="11">
        <f>_xlfn.XLOOKUP(E:E,'[1]②7月-汇总'!$D:$D,'[1]②7月-汇总'!$X:$X)</f>
        <v>0</v>
      </c>
      <c r="AJ70" s="11">
        <f>_xlfn.XLOOKUP(E:E,'[1]②7月-汇总'!$D:$D,'[1]②7月-汇总'!$AB:$AB)</f>
        <v>0</v>
      </c>
      <c r="AK70" s="11">
        <f>_xlfn.XLOOKUP(E:E,'[1]②7月-汇总'!$D:$D,'[1]②7月-汇总'!$AE:$AE)</f>
        <v>0</v>
      </c>
      <c r="AL70" s="96"/>
      <c r="AM70" s="45">
        <f t="shared" si="12"/>
        <v>4341.5470000000005</v>
      </c>
      <c r="AN70" s="11">
        <f>_xlfn.XLOOKUP(E:E,'[1]①7月-花名册'!$E:$E,'[1]①7月-花名册'!$T:$T)</f>
        <v>0</v>
      </c>
      <c r="AO70" s="67"/>
      <c r="AP70" s="142">
        <f>_xlfn.XLOOKUP(E70,[9]工资核对的全字段!$C:$C,[9]工资核对的全字段!$CW:$CW,0)</f>
        <v>4341.5470000000005</v>
      </c>
      <c r="AQ70" s="36">
        <f t="shared" si="11"/>
        <v>0</v>
      </c>
    </row>
    <row r="71" spans="1:43" x14ac:dyDescent="0.15">
      <c r="A71" s="55" t="s">
        <v>41</v>
      </c>
      <c r="B71" s="62" t="s">
        <v>121</v>
      </c>
      <c r="C71" s="57" t="s">
        <v>122</v>
      </c>
      <c r="D71" s="58" t="s">
        <v>4</v>
      </c>
      <c r="E71" s="58" t="s">
        <v>124</v>
      </c>
      <c r="F71" s="11">
        <f t="shared" si="13"/>
        <v>17850.400000000001</v>
      </c>
      <c r="G71" s="11">
        <v>26250.400000000001</v>
      </c>
      <c r="H71" s="11">
        <v>-8400</v>
      </c>
      <c r="I71" s="11">
        <v>0</v>
      </c>
      <c r="J71" s="50"/>
      <c r="K71" s="11"/>
      <c r="L71" s="68">
        <f>F71/$K$73</f>
        <v>0.3164257630387538</v>
      </c>
      <c r="M71" s="68">
        <v>0.03</v>
      </c>
      <c r="N71" s="45">
        <f t="shared" si="14"/>
        <v>748.13639999999998</v>
      </c>
      <c r="O71" s="45">
        <f t="shared" si="15"/>
        <v>-155.60999999999999</v>
      </c>
      <c r="P71" s="45"/>
      <c r="Q71" s="45"/>
      <c r="R71" s="45">
        <f t="shared" si="9"/>
        <v>592.52639999999997</v>
      </c>
      <c r="S71" s="11">
        <f>_xlfn.XLOOKUP(E:E,'[1]②7月-汇总'!$D:$D,'[1]②7月-汇总'!$AP:$AP)</f>
        <v>31</v>
      </c>
      <c r="T71" s="45">
        <v>2000</v>
      </c>
      <c r="U71" s="11">
        <f>_xlfn.XLOOKUP(E:E,'[2]手工、项目数、消耗'!$C:$C,'[2]手工、项目数、消耗'!$E:$E)</f>
        <v>19482.240000000002</v>
      </c>
      <c r="V71" s="11">
        <f>_xlfn.XLOOKUP(E:E,'[2]手工、项目数、消耗'!$C:$C,'[2]手工、项目数、消耗'!$D:$D)</f>
        <v>106</v>
      </c>
      <c r="W71" s="11">
        <f>_xlfn.XLOOKUP(E:E,'[2]手工、项目数、消耗'!$C:$C,'[2]手工、项目数、消耗'!$H:$H)</f>
        <v>1354</v>
      </c>
      <c r="X71" s="11">
        <f>_xlfn.XLOOKUP(E:E,'[1]②7月-汇总'!$D:$D,'[1]②7月-汇总'!$W:$W)</f>
        <v>0</v>
      </c>
      <c r="Y71" s="11">
        <f>_xlfn.XLOOKUP(E:E,'[1]②7月-汇总'!$D:$D,'[1]②7月-汇总'!$Z:$Z)</f>
        <v>0</v>
      </c>
      <c r="Z71" s="11">
        <f>_xlfn.XLOOKUP(E:E,'[1]②7月-汇总'!$D:$D,'[1]②7月-汇总'!$AI:$AI)</f>
        <v>0</v>
      </c>
      <c r="AA71" s="45">
        <f t="shared" si="10"/>
        <v>3946.5263999999997</v>
      </c>
      <c r="AB71" s="11"/>
      <c r="AC71" s="50"/>
      <c r="AD71" s="11">
        <f>_xlfn.XLOOKUP(E:E,'[1]②7月-汇总'!$D:$D,'[1]②7月-汇总'!$AC:$AC)</f>
        <v>0</v>
      </c>
      <c r="AE71" s="11"/>
      <c r="AF71" s="11">
        <f>_xlfn.XLOOKUP(E:E,'[1]②7月-汇总'!$D:$D,'[1]②7月-汇总'!$AD:$AD)</f>
        <v>0</v>
      </c>
      <c r="AG71" s="11">
        <f>_xlfn.XLOOKUP(E:E,'[1]②7月-汇总'!$D:$D,'[1]②7月-汇总'!$Y:$Y)</f>
        <v>0</v>
      </c>
      <c r="AH71" s="11">
        <f>_xlfn.XLOOKUP(E:E,'[1]②7月-汇总'!$D:$D,'[1]②7月-汇总'!$L:$L)</f>
        <v>0</v>
      </c>
      <c r="AI71" s="11">
        <f>_xlfn.XLOOKUP(E:E,'[1]②7月-汇总'!$D:$D,'[1]②7月-汇总'!$X:$X)</f>
        <v>0</v>
      </c>
      <c r="AJ71" s="11">
        <f>_xlfn.XLOOKUP(E:E,'[1]②7月-汇总'!$D:$D,'[1]②7月-汇总'!$AB:$AB)</f>
        <v>0</v>
      </c>
      <c r="AK71" s="11">
        <f>_xlfn.XLOOKUP(E:E,'[1]②7月-汇总'!$D:$D,'[1]②7月-汇总'!$AE:$AE)</f>
        <v>0</v>
      </c>
      <c r="AL71" s="96"/>
      <c r="AM71" s="45">
        <f t="shared" si="12"/>
        <v>3946.5263999999997</v>
      </c>
      <c r="AN71" s="11">
        <f>_xlfn.XLOOKUP(E:E,'[1]①7月-花名册'!$E:$E,'[1]①7月-花名册'!$T:$T)</f>
        <v>0</v>
      </c>
      <c r="AO71" s="67"/>
      <c r="AP71" s="142">
        <f>_xlfn.XLOOKUP(E71,[9]工资核对的全字段!$C:$C,[9]工资核对的全字段!$CW:$CW,0)</f>
        <v>3946.5263999999997</v>
      </c>
      <c r="AQ71" s="36">
        <f t="shared" si="11"/>
        <v>0</v>
      </c>
    </row>
    <row r="72" spans="1:43" x14ac:dyDescent="0.15">
      <c r="A72" s="55" t="s">
        <v>41</v>
      </c>
      <c r="B72" s="62" t="s">
        <v>121</v>
      </c>
      <c r="C72" s="57" t="s">
        <v>122</v>
      </c>
      <c r="D72" s="58" t="s">
        <v>4</v>
      </c>
      <c r="E72" s="58" t="s">
        <v>125</v>
      </c>
      <c r="F72" s="11">
        <f t="shared" si="13"/>
        <v>5070.2</v>
      </c>
      <c r="G72" s="11">
        <v>5070.2</v>
      </c>
      <c r="H72" s="11">
        <v>0</v>
      </c>
      <c r="I72" s="11">
        <v>0</v>
      </c>
      <c r="J72" s="50"/>
      <c r="K72" s="11"/>
      <c r="L72" s="68">
        <f>F72/$K$73</f>
        <v>8.9877084197501969E-2</v>
      </c>
      <c r="M72" s="68">
        <v>0.03</v>
      </c>
      <c r="N72" s="45">
        <f t="shared" si="14"/>
        <v>144.50069999999999</v>
      </c>
      <c r="O72" s="45">
        <f t="shared" si="15"/>
        <v>0</v>
      </c>
      <c r="P72" s="45"/>
      <c r="Q72" s="45"/>
      <c r="R72" s="45">
        <f t="shared" si="9"/>
        <v>144.50069999999999</v>
      </c>
      <c r="S72" s="11">
        <f>_xlfn.XLOOKUP(E:E,'[1]②7月-汇总'!$D:$D,'[1]②7月-汇总'!$AP:$AP)</f>
        <v>31</v>
      </c>
      <c r="T72" s="45">
        <v>1800</v>
      </c>
      <c r="U72" s="11">
        <f>_xlfn.XLOOKUP(E:E,'[2]手工、项目数、消耗'!$C:$C,'[2]手工、项目数、消耗'!$E:$E)</f>
        <v>7126.18</v>
      </c>
      <c r="V72" s="11">
        <f>_xlfn.XLOOKUP(E:E,'[2]手工、项目数、消耗'!$C:$C,'[2]手工、项目数、消耗'!$D:$D)</f>
        <v>85</v>
      </c>
      <c r="W72" s="11">
        <f>_xlfn.XLOOKUP(E:E,'[2]手工、项目数、消耗'!$C:$C,'[2]手工、项目数、消耗'!$H:$H)</f>
        <v>1095</v>
      </c>
      <c r="X72" s="11">
        <f>_xlfn.XLOOKUP(E:E,'[1]②7月-汇总'!$D:$D,'[1]②7月-汇总'!$W:$W)</f>
        <v>0</v>
      </c>
      <c r="Y72" s="11">
        <f>_xlfn.XLOOKUP(E:E,'[1]②7月-汇总'!$D:$D,'[1]②7月-汇总'!$Z:$Z)</f>
        <v>0</v>
      </c>
      <c r="Z72" s="11">
        <f>_xlfn.XLOOKUP(E:E,'[1]②7月-汇总'!$D:$D,'[1]②7月-汇总'!$AI:$AI)</f>
        <v>0</v>
      </c>
      <c r="AA72" s="45">
        <f t="shared" si="10"/>
        <v>3039.5007000000001</v>
      </c>
      <c r="AB72" s="11"/>
      <c r="AC72" s="11">
        <v>80</v>
      </c>
      <c r="AD72" s="11">
        <f>_xlfn.XLOOKUP(E:E,'[1]②7月-汇总'!$D:$D,'[1]②7月-汇总'!$AC:$AC)</f>
        <v>0</v>
      </c>
      <c r="AE72" s="11"/>
      <c r="AF72" s="11">
        <f>_xlfn.XLOOKUP(E:E,'[1]②7月-汇总'!$D:$D,'[1]②7月-汇总'!$AD:$AD)</f>
        <v>0</v>
      </c>
      <c r="AG72" s="11">
        <f>_xlfn.XLOOKUP(E:E,'[1]②7月-汇总'!$D:$D,'[1]②7月-汇总'!$Y:$Y)</f>
        <v>0</v>
      </c>
      <c r="AH72" s="11">
        <f>_xlfn.XLOOKUP(E:E,'[1]②7月-汇总'!$D:$D,'[1]②7月-汇总'!$L:$L)</f>
        <v>0</v>
      </c>
      <c r="AI72" s="11">
        <f>_xlfn.XLOOKUP(E:E,'[1]②7月-汇总'!$D:$D,'[1]②7月-汇总'!$X:$X)</f>
        <v>0</v>
      </c>
      <c r="AJ72" s="11">
        <f>_xlfn.XLOOKUP(E:E,'[1]②7月-汇总'!$D:$D,'[1]②7月-汇总'!$AB:$AB)</f>
        <v>0</v>
      </c>
      <c r="AK72" s="11">
        <f>_xlfn.XLOOKUP(E:E,'[1]②7月-汇总'!$D:$D,'[1]②7月-汇总'!$AE:$AE)</f>
        <v>0</v>
      </c>
      <c r="AL72" s="96">
        <v>960</v>
      </c>
      <c r="AM72" s="45">
        <f t="shared" si="12"/>
        <v>3919.5007000000001</v>
      </c>
      <c r="AN72" s="11">
        <f>_xlfn.XLOOKUP(E:E,'[1]①7月-花名册'!$E:$E,'[1]①7月-花名册'!$T:$T)</f>
        <v>4000</v>
      </c>
      <c r="AO72" s="67"/>
      <c r="AP72" s="142">
        <f>_xlfn.XLOOKUP(E72,[9]工资核对的全字段!$C:$C,[9]工资核对的全字段!$CW:$CW,0)</f>
        <v>3920</v>
      </c>
      <c r="AQ72" s="36">
        <f t="shared" si="11"/>
        <v>0.49929999999994834</v>
      </c>
    </row>
    <row r="73" spans="1:43" x14ac:dyDescent="0.15">
      <c r="A73" s="55" t="s">
        <v>41</v>
      </c>
      <c r="B73" s="62" t="s">
        <v>121</v>
      </c>
      <c r="C73" s="57" t="s">
        <v>47</v>
      </c>
      <c r="D73" s="58" t="s">
        <v>47</v>
      </c>
      <c r="E73" s="58" t="s">
        <v>47</v>
      </c>
      <c r="F73" s="11">
        <f t="shared" si="13"/>
        <v>0</v>
      </c>
      <c r="G73" s="11">
        <v>0</v>
      </c>
      <c r="H73" s="11">
        <v>0</v>
      </c>
      <c r="I73" s="11">
        <v>0</v>
      </c>
      <c r="J73" s="50"/>
      <c r="K73" s="11">
        <v>56412.6</v>
      </c>
      <c r="L73" s="68"/>
      <c r="M73" s="68"/>
      <c r="N73" s="45">
        <f t="shared" si="14"/>
        <v>0</v>
      </c>
      <c r="O73" s="45">
        <f t="shared" si="15"/>
        <v>0</v>
      </c>
      <c r="P73" s="45"/>
      <c r="Q73" s="45"/>
      <c r="R73" s="45">
        <f t="shared" si="9"/>
        <v>0</v>
      </c>
      <c r="S73" s="11"/>
      <c r="T73" s="45"/>
      <c r="U73" s="11"/>
      <c r="V73" s="11"/>
      <c r="W73" s="11"/>
      <c r="X73" s="11"/>
      <c r="Y73" s="11"/>
      <c r="Z73" s="11"/>
      <c r="AA73" s="45">
        <f t="shared" si="10"/>
        <v>0</v>
      </c>
      <c r="AB73" s="11"/>
      <c r="AC73" s="50"/>
      <c r="AD73" s="11"/>
      <c r="AE73" s="11"/>
      <c r="AF73" s="11"/>
      <c r="AG73" s="11"/>
      <c r="AH73" s="11"/>
      <c r="AI73" s="11"/>
      <c r="AJ73" s="11"/>
      <c r="AK73" s="11"/>
      <c r="AL73" s="96"/>
      <c r="AM73" s="45">
        <f t="shared" si="12"/>
        <v>0</v>
      </c>
      <c r="AN73" s="11"/>
      <c r="AO73" s="67"/>
      <c r="AP73" s="142">
        <f>_xlfn.XLOOKUP(E73,[9]工资核对的全字段!$C:$C,[9]工资核对的全字段!$CW:$CW,0)</f>
        <v>0</v>
      </c>
      <c r="AQ73" s="36">
        <f t="shared" si="11"/>
        <v>0</v>
      </c>
    </row>
    <row r="74" spans="1:43" x14ac:dyDescent="0.15">
      <c r="A74" s="55" t="s">
        <v>41</v>
      </c>
      <c r="B74" s="62" t="s">
        <v>121</v>
      </c>
      <c r="C74" s="57" t="s">
        <v>126</v>
      </c>
      <c r="D74" s="58" t="s">
        <v>43</v>
      </c>
      <c r="E74" s="58" t="s">
        <v>127</v>
      </c>
      <c r="F74" s="11">
        <f t="shared" si="13"/>
        <v>73048</v>
      </c>
      <c r="G74" s="11">
        <v>74548</v>
      </c>
      <c r="H74" s="11">
        <v>-1500</v>
      </c>
      <c r="I74" s="11">
        <v>0</v>
      </c>
      <c r="J74" s="50"/>
      <c r="K74" s="11"/>
      <c r="L74" s="68">
        <f>F74/$K$77</f>
        <v>0.71461273874882125</v>
      </c>
      <c r="M74" s="68">
        <v>0.05</v>
      </c>
      <c r="N74" s="45">
        <f t="shared" si="14"/>
        <v>3541.0299999999997</v>
      </c>
      <c r="O74" s="45">
        <f t="shared" si="15"/>
        <v>-46.3125</v>
      </c>
      <c r="P74" s="45">
        <v>0</v>
      </c>
      <c r="Q74" s="45"/>
      <c r="R74" s="45">
        <f t="shared" si="9"/>
        <v>3494.7174999999997</v>
      </c>
      <c r="S74" s="11">
        <f>_xlfn.XLOOKUP(E:E,'[1]②7月-汇总'!$D:$D,'[1]②7月-汇总'!$AP:$AP)</f>
        <v>31</v>
      </c>
      <c r="T74" s="45">
        <v>2000</v>
      </c>
      <c r="U74" s="11">
        <f>_xlfn.XLOOKUP(E:E,'[2]手工、项目数、消耗'!$C:$C,'[2]手工、项目数、消耗'!$E:$E)</f>
        <v>40016.480000000003</v>
      </c>
      <c r="V74" s="11">
        <f>_xlfn.XLOOKUP(E:E,'[2]手工、项目数、消耗'!$C:$C,'[2]手工、项目数、消耗'!$D:$D)</f>
        <v>79</v>
      </c>
      <c r="W74" s="11">
        <f>_xlfn.XLOOKUP(E:E,'[2]手工、项目数、消耗'!$C:$C,'[2]手工、项目数、消耗'!$H:$H)</f>
        <v>1235</v>
      </c>
      <c r="X74" s="11">
        <f>_xlfn.XLOOKUP(E:E,'[1]②7月-汇总'!$D:$D,'[1]②7月-汇总'!$W:$W)</f>
        <v>0</v>
      </c>
      <c r="Y74" s="11">
        <f>_xlfn.XLOOKUP(E:E,'[1]②7月-汇总'!$D:$D,'[1]②7月-汇总'!$Z:$Z)</f>
        <v>0</v>
      </c>
      <c r="Z74" s="11">
        <f>_xlfn.XLOOKUP(E:E,'[1]②7月-汇总'!$D:$D,'[1]②7月-汇总'!$AI:$AI)</f>
        <v>0</v>
      </c>
      <c r="AA74" s="45">
        <f t="shared" si="10"/>
        <v>6729.7174999999997</v>
      </c>
      <c r="AB74" s="11"/>
      <c r="AC74" s="50"/>
      <c r="AD74" s="11">
        <f>_xlfn.XLOOKUP(E:E,'[1]②7月-汇总'!$D:$D,'[1]②7月-汇总'!$AC:$AC)</f>
        <v>0</v>
      </c>
      <c r="AE74" s="11">
        <f>_xlfn.XLOOKUP(E:E,[3]Sheet1!$B:$B,[3]Sheet1!$L:$L)</f>
        <v>640.55999999999995</v>
      </c>
      <c r="AF74" s="11">
        <f>_xlfn.XLOOKUP(E:E,'[1]②7月-汇总'!$D:$D,'[1]②7月-汇总'!$AD:$AD)</f>
        <v>0</v>
      </c>
      <c r="AG74" s="11">
        <f>_xlfn.XLOOKUP(E:E,'[1]②7月-汇总'!$D:$D,'[1]②7月-汇总'!$Y:$Y)</f>
        <v>0</v>
      </c>
      <c r="AH74" s="11">
        <f>_xlfn.XLOOKUP(E:E,'[1]②7月-汇总'!$D:$D,'[1]②7月-汇总'!$L:$L)</f>
        <v>0</v>
      </c>
      <c r="AI74" s="11">
        <f>_xlfn.XLOOKUP(E:E,'[1]②7月-汇总'!$D:$D,'[1]②7月-汇总'!$X:$X)</f>
        <v>0</v>
      </c>
      <c r="AJ74" s="11">
        <f>_xlfn.XLOOKUP(E:E,'[1]②7月-汇总'!$D:$D,'[1]②7月-汇总'!$AB:$AB)</f>
        <v>0</v>
      </c>
      <c r="AK74" s="11">
        <f>_xlfn.XLOOKUP(E:E,'[1]②7月-汇总'!$D:$D,'[1]②7月-汇总'!$AE:$AE)</f>
        <v>0</v>
      </c>
      <c r="AL74" s="96"/>
      <c r="AM74" s="45">
        <f t="shared" si="12"/>
        <v>6089.1574999999993</v>
      </c>
      <c r="AN74" s="11">
        <f>_xlfn.XLOOKUP(E:E,'[1]①7月-花名册'!$E:$E,'[1]①7月-花名册'!$T:$T)</f>
        <v>0</v>
      </c>
      <c r="AO74" s="67"/>
      <c r="AP74" s="142">
        <f>_xlfn.XLOOKUP(E74,[9]工资核对的全字段!$C:$C,[9]工资核对的全字段!$CW:$CW,0)</f>
        <v>6089.1574999999993</v>
      </c>
      <c r="AQ74" s="36">
        <f t="shared" si="11"/>
        <v>0</v>
      </c>
    </row>
    <row r="75" spans="1:43" x14ac:dyDescent="0.15">
      <c r="A75" s="55" t="s">
        <v>41</v>
      </c>
      <c r="B75" s="62" t="s">
        <v>121</v>
      </c>
      <c r="C75" s="57" t="s">
        <v>126</v>
      </c>
      <c r="D75" s="58" t="s">
        <v>4</v>
      </c>
      <c r="E75" s="58" t="s">
        <v>128</v>
      </c>
      <c r="F75" s="11">
        <f t="shared" si="13"/>
        <v>18034.400000000001</v>
      </c>
      <c r="G75" s="11">
        <v>21535.4</v>
      </c>
      <c r="H75" s="11">
        <v>-3501</v>
      </c>
      <c r="I75" s="11">
        <v>0</v>
      </c>
      <c r="J75" s="50"/>
      <c r="K75" s="11"/>
      <c r="L75" s="68">
        <f>F75/$K$77</f>
        <v>0.17642662325719721</v>
      </c>
      <c r="M75" s="68">
        <v>0.05</v>
      </c>
      <c r="N75" s="45">
        <f t="shared" si="14"/>
        <v>1022.9315000000001</v>
      </c>
      <c r="O75" s="45">
        <f t="shared" si="15"/>
        <v>-108.09337499999999</v>
      </c>
      <c r="P75" s="45"/>
      <c r="Q75" s="45"/>
      <c r="R75" s="45">
        <f t="shared" si="9"/>
        <v>914.8381250000001</v>
      </c>
      <c r="S75" s="11">
        <f>_xlfn.XLOOKUP(E:E,'[1]②7月-汇总'!$D:$D,'[1]②7月-汇总'!$AP:$AP)</f>
        <v>31</v>
      </c>
      <c r="T75" s="45">
        <v>2000</v>
      </c>
      <c r="U75" s="11">
        <f>_xlfn.XLOOKUP(E:E,'[2]手工、项目数、消耗'!$C:$C,'[2]手工、项目数、消耗'!$E:$E)</f>
        <v>18303.84</v>
      </c>
      <c r="V75" s="11">
        <f>_xlfn.XLOOKUP(E:E,'[2]手工、项目数、消耗'!$C:$C,'[2]手工、项目数、消耗'!$D:$D)</f>
        <v>101</v>
      </c>
      <c r="W75" s="11">
        <f>_xlfn.XLOOKUP(E:E,'[2]手工、项目数、消耗'!$C:$C,'[2]手工、项目数、消耗'!$H:$H)</f>
        <v>1155</v>
      </c>
      <c r="X75" s="11">
        <f>_xlfn.XLOOKUP(E:E,'[1]②7月-汇总'!$D:$D,'[1]②7月-汇总'!$W:$W)</f>
        <v>0</v>
      </c>
      <c r="Y75" s="11">
        <f>_xlfn.XLOOKUP(E:E,'[1]②7月-汇总'!$D:$D,'[1]②7月-汇总'!$Z:$Z)</f>
        <v>0</v>
      </c>
      <c r="Z75" s="11">
        <f>_xlfn.XLOOKUP(E:E,'[1]②7月-汇总'!$D:$D,'[1]②7月-汇总'!$AI:$AI)</f>
        <v>0</v>
      </c>
      <c r="AA75" s="45">
        <f t="shared" si="10"/>
        <v>4069.8381250000002</v>
      </c>
      <c r="AB75" s="11"/>
      <c r="AC75" s="50"/>
      <c r="AD75" s="11">
        <f>_xlfn.XLOOKUP(E:E,'[1]②7月-汇总'!$D:$D,'[1]②7月-汇总'!$AC:$AC)</f>
        <v>0</v>
      </c>
      <c r="AE75" s="11"/>
      <c r="AF75" s="11">
        <f>_xlfn.XLOOKUP(E:E,'[1]②7月-汇总'!$D:$D,'[1]②7月-汇总'!$AD:$AD)</f>
        <v>0</v>
      </c>
      <c r="AG75" s="11">
        <f>_xlfn.XLOOKUP(E:E,'[1]②7月-汇总'!$D:$D,'[1]②7月-汇总'!$Y:$Y)</f>
        <v>0</v>
      </c>
      <c r="AH75" s="11">
        <f>_xlfn.XLOOKUP(E:E,'[1]②7月-汇总'!$D:$D,'[1]②7月-汇总'!$L:$L)</f>
        <v>0</v>
      </c>
      <c r="AI75" s="11">
        <f>_xlfn.XLOOKUP(E:E,'[1]②7月-汇总'!$D:$D,'[1]②7月-汇总'!$X:$X)</f>
        <v>0</v>
      </c>
      <c r="AJ75" s="11">
        <f>_xlfn.XLOOKUP(E:E,'[1]②7月-汇总'!$D:$D,'[1]②7月-汇总'!$AB:$AB)</f>
        <v>0</v>
      </c>
      <c r="AK75" s="11">
        <f>_xlfn.XLOOKUP(E:E,'[1]②7月-汇总'!$D:$D,'[1]②7月-汇总'!$AE:$AE)</f>
        <v>0</v>
      </c>
      <c r="AL75" s="96"/>
      <c r="AM75" s="45">
        <f t="shared" si="12"/>
        <v>4069.8381250000002</v>
      </c>
      <c r="AN75" s="11">
        <f>_xlfn.XLOOKUP(E:E,'[1]①7月-花名册'!$E:$E,'[1]①7月-花名册'!$T:$T)</f>
        <v>0</v>
      </c>
      <c r="AO75" s="67"/>
      <c r="AP75" s="142">
        <f>_xlfn.XLOOKUP(E75,[9]工资核对的全字段!$C:$C,[9]工资核对的全字段!$CW:$CW,0)</f>
        <v>4069.8381250000002</v>
      </c>
      <c r="AQ75" s="36">
        <f t="shared" si="11"/>
        <v>0</v>
      </c>
    </row>
    <row r="76" spans="1:43" x14ac:dyDescent="0.15">
      <c r="A76" s="55" t="s">
        <v>41</v>
      </c>
      <c r="B76" s="62" t="s">
        <v>121</v>
      </c>
      <c r="C76" s="57" t="s">
        <v>126</v>
      </c>
      <c r="D76" s="58" t="s">
        <v>4</v>
      </c>
      <c r="E76" s="58" t="s">
        <v>129</v>
      </c>
      <c r="F76" s="11">
        <f t="shared" si="13"/>
        <v>11138</v>
      </c>
      <c r="G76" s="11">
        <v>12638</v>
      </c>
      <c r="H76" s="11">
        <v>-1500</v>
      </c>
      <c r="I76" s="11">
        <v>0</v>
      </c>
      <c r="J76" s="50"/>
      <c r="K76" s="11"/>
      <c r="L76" s="68">
        <f>F76/$K$77</f>
        <v>0.10896063799398163</v>
      </c>
      <c r="M76" s="68">
        <v>0.05</v>
      </c>
      <c r="N76" s="45">
        <f t="shared" si="14"/>
        <v>600.30499999999995</v>
      </c>
      <c r="O76" s="45">
        <f t="shared" si="15"/>
        <v>-46.3125</v>
      </c>
      <c r="P76" s="45"/>
      <c r="Q76" s="45"/>
      <c r="R76" s="45">
        <f t="shared" si="9"/>
        <v>553.99249999999995</v>
      </c>
      <c r="S76" s="11">
        <f>_xlfn.XLOOKUP(E:E,'[1]②7月-汇总'!$D:$D,'[1]②7月-汇总'!$AP:$AP)</f>
        <v>31</v>
      </c>
      <c r="T76" s="45">
        <v>2000</v>
      </c>
      <c r="U76" s="11">
        <f>_xlfn.XLOOKUP(E:E,'[2]手工、项目数、消耗'!$C:$C,'[2]手工、项目数、消耗'!$E:$E)</f>
        <v>12395.25</v>
      </c>
      <c r="V76" s="11">
        <f>_xlfn.XLOOKUP(E:E,'[2]手工、项目数、消耗'!$C:$C,'[2]手工、项目数、消耗'!$D:$D)</f>
        <v>109</v>
      </c>
      <c r="W76" s="11">
        <f>_xlfn.XLOOKUP(E:E,'[2]手工、项目数、消耗'!$C:$C,'[2]手工、项目数、消耗'!$H:$H)</f>
        <v>1209</v>
      </c>
      <c r="X76" s="11">
        <f>_xlfn.XLOOKUP(E:E,'[1]②7月-汇总'!$D:$D,'[1]②7月-汇总'!$W:$W)</f>
        <v>0</v>
      </c>
      <c r="Y76" s="11">
        <f>_xlfn.XLOOKUP(E:E,'[1]②7月-汇总'!$D:$D,'[1]②7月-汇总'!$Z:$Z)</f>
        <v>0</v>
      </c>
      <c r="Z76" s="11">
        <f>_xlfn.XLOOKUP(E:E,'[1]②7月-汇总'!$D:$D,'[1]②7月-汇总'!$AI:$AI)</f>
        <v>0</v>
      </c>
      <c r="AA76" s="45">
        <f t="shared" si="10"/>
        <v>3762.9924999999998</v>
      </c>
      <c r="AB76" s="11"/>
      <c r="AC76" s="11">
        <v>120</v>
      </c>
      <c r="AD76" s="11">
        <f>_xlfn.XLOOKUP(E:E,'[1]②7月-汇总'!$D:$D,'[1]②7月-汇总'!$AC:$AC)</f>
        <v>0</v>
      </c>
      <c r="AE76" s="11"/>
      <c r="AF76" s="11">
        <f>_xlfn.XLOOKUP(E:E,'[1]②7月-汇总'!$D:$D,'[1]②7月-汇总'!$AD:$AD)</f>
        <v>0</v>
      </c>
      <c r="AG76" s="11">
        <f>_xlfn.XLOOKUP(E:E,'[1]②7月-汇总'!$D:$D,'[1]②7月-汇总'!$Y:$Y)</f>
        <v>0</v>
      </c>
      <c r="AH76" s="11">
        <f>_xlfn.XLOOKUP(E:E,'[1]②7月-汇总'!$D:$D,'[1]②7月-汇总'!$L:$L)</f>
        <v>0</v>
      </c>
      <c r="AI76" s="11">
        <f>_xlfn.XLOOKUP(E:E,'[1]②7月-汇总'!$D:$D,'[1]②7月-汇总'!$X:$X)</f>
        <v>0</v>
      </c>
      <c r="AJ76" s="11">
        <f>_xlfn.XLOOKUP(E:E,'[1]②7月-汇总'!$D:$D,'[1]②7月-汇总'!$AB:$AB)</f>
        <v>0</v>
      </c>
      <c r="AK76" s="11">
        <f>_xlfn.XLOOKUP(E:E,'[1]②7月-汇总'!$D:$D,'[1]②7月-汇总'!$AE:$AE)</f>
        <v>0</v>
      </c>
      <c r="AL76" s="96">
        <v>237</v>
      </c>
      <c r="AM76" s="45">
        <f t="shared" si="12"/>
        <v>3879.9924999999998</v>
      </c>
      <c r="AN76" s="11">
        <f>_xlfn.XLOOKUP(E:E,'[1]①7月-花名册'!$E:$E,'[1]①7月-花名册'!$T:$T)</f>
        <v>4000</v>
      </c>
      <c r="AO76" s="67"/>
      <c r="AP76" s="142">
        <f>_xlfn.XLOOKUP(E76,[9]工资核对的全字段!$C:$C,[9]工资核对的全字段!$CW:$CW,0)</f>
        <v>3880</v>
      </c>
      <c r="AQ76" s="36">
        <f t="shared" si="11"/>
        <v>7.500000000163709E-3</v>
      </c>
    </row>
    <row r="77" spans="1:43" x14ac:dyDescent="0.15">
      <c r="A77" s="55" t="s">
        <v>41</v>
      </c>
      <c r="B77" s="62" t="str">
        <f>B76</f>
        <v>骑士郡</v>
      </c>
      <c r="C77" s="57" t="s">
        <v>47</v>
      </c>
      <c r="D77" s="58" t="s">
        <v>47</v>
      </c>
      <c r="E77" s="58" t="s">
        <v>47</v>
      </c>
      <c r="F77" s="11">
        <f t="shared" si="13"/>
        <v>0</v>
      </c>
      <c r="G77" s="11">
        <v>0</v>
      </c>
      <c r="H77" s="11">
        <v>0</v>
      </c>
      <c r="I77" s="11">
        <v>0</v>
      </c>
      <c r="J77" s="50"/>
      <c r="K77" s="11">
        <v>102220.4</v>
      </c>
      <c r="L77" s="68"/>
      <c r="M77" s="68"/>
      <c r="N77" s="45">
        <f t="shared" si="14"/>
        <v>0</v>
      </c>
      <c r="O77" s="45">
        <f t="shared" si="15"/>
        <v>0</v>
      </c>
      <c r="P77" s="45"/>
      <c r="Q77" s="45"/>
      <c r="R77" s="45">
        <f t="shared" si="9"/>
        <v>0</v>
      </c>
      <c r="S77" s="11"/>
      <c r="T77" s="45"/>
      <c r="U77" s="11"/>
      <c r="V77" s="11"/>
      <c r="W77" s="11"/>
      <c r="X77" s="11"/>
      <c r="Y77" s="11"/>
      <c r="Z77" s="11"/>
      <c r="AA77" s="45">
        <f t="shared" si="10"/>
        <v>0</v>
      </c>
      <c r="AB77" s="11"/>
      <c r="AC77" s="50"/>
      <c r="AD77" s="11"/>
      <c r="AE77" s="11"/>
      <c r="AF77" s="11"/>
      <c r="AG77" s="11"/>
      <c r="AH77" s="11"/>
      <c r="AI77" s="11"/>
      <c r="AJ77" s="11"/>
      <c r="AK77" s="11"/>
      <c r="AL77" s="96"/>
      <c r="AM77" s="45">
        <f t="shared" si="12"/>
        <v>0</v>
      </c>
      <c r="AN77" s="11"/>
      <c r="AO77" s="67"/>
      <c r="AP77" s="142">
        <f>_xlfn.XLOOKUP(E77,[9]工资核对的全字段!$C:$C,[9]工资核对的全字段!$CW:$CW,0)</f>
        <v>0</v>
      </c>
      <c r="AQ77" s="36">
        <f t="shared" si="11"/>
        <v>0</v>
      </c>
    </row>
    <row r="78" spans="1:43" x14ac:dyDescent="0.15">
      <c r="A78" s="55" t="s">
        <v>41</v>
      </c>
      <c r="B78" s="62" t="s">
        <v>121</v>
      </c>
      <c r="C78" s="60" t="s">
        <v>9</v>
      </c>
      <c r="D78" s="61" t="s">
        <v>9</v>
      </c>
      <c r="E78" s="61" t="s">
        <v>130</v>
      </c>
      <c r="F78" s="11">
        <f t="shared" si="13"/>
        <v>0</v>
      </c>
      <c r="G78" s="11">
        <v>0</v>
      </c>
      <c r="H78" s="11">
        <v>0</v>
      </c>
      <c r="I78" s="11">
        <v>0</v>
      </c>
      <c r="J78" s="50"/>
      <c r="K78" s="11"/>
      <c r="L78" s="68"/>
      <c r="M78" s="68"/>
      <c r="N78" s="45">
        <f t="shared" si="14"/>
        <v>0</v>
      </c>
      <c r="O78" s="45">
        <f t="shared" si="15"/>
        <v>0</v>
      </c>
      <c r="P78" s="45"/>
      <c r="Q78" s="45">
        <v>397</v>
      </c>
      <c r="R78" s="45">
        <f t="shared" si="9"/>
        <v>397</v>
      </c>
      <c r="S78" s="11"/>
      <c r="T78" s="45"/>
      <c r="U78" s="11"/>
      <c r="V78" s="11"/>
      <c r="W78" s="11"/>
      <c r="X78" s="11"/>
      <c r="Y78" s="11"/>
      <c r="Z78" s="11"/>
      <c r="AA78" s="45">
        <f t="shared" si="10"/>
        <v>397</v>
      </c>
      <c r="AB78" s="11"/>
      <c r="AC78" s="50"/>
      <c r="AD78" s="11"/>
      <c r="AE78" s="11"/>
      <c r="AF78" s="11"/>
      <c r="AG78" s="11"/>
      <c r="AH78" s="11"/>
      <c r="AI78" s="11"/>
      <c r="AJ78" s="11"/>
      <c r="AK78" s="11"/>
      <c r="AL78" s="96"/>
      <c r="AM78" s="45">
        <f t="shared" si="12"/>
        <v>397</v>
      </c>
      <c r="AN78" s="11"/>
      <c r="AO78" s="67"/>
      <c r="AP78" s="142">
        <f>_xlfn.XLOOKUP(E78,[9]工资核对的全字段!$C:$C,[9]工资核对的全字段!$CW:$CW,0)</f>
        <v>396.58250000000004</v>
      </c>
      <c r="AQ78" s="36">
        <f t="shared" si="11"/>
        <v>-0.41749999999996135</v>
      </c>
    </row>
    <row r="79" spans="1:43" x14ac:dyDescent="0.15">
      <c r="A79" s="55" t="s">
        <v>41</v>
      </c>
      <c r="B79" s="62" t="s">
        <v>131</v>
      </c>
      <c r="C79" s="57" t="s">
        <v>132</v>
      </c>
      <c r="D79" s="58" t="s">
        <v>43</v>
      </c>
      <c r="E79" s="58" t="s">
        <v>133</v>
      </c>
      <c r="F79" s="11">
        <f t="shared" si="13"/>
        <v>56309.2</v>
      </c>
      <c r="G79" s="11">
        <v>56309.2</v>
      </c>
      <c r="H79" s="11">
        <v>0</v>
      </c>
      <c r="I79" s="11">
        <v>0</v>
      </c>
      <c r="J79" s="50"/>
      <c r="K79" s="11"/>
      <c r="L79" s="68">
        <f>F79/$K$81</f>
        <v>0.78522402420828041</v>
      </c>
      <c r="M79" s="68">
        <v>0.05</v>
      </c>
      <c r="N79" s="45">
        <f t="shared" si="14"/>
        <v>2674.6869999999999</v>
      </c>
      <c r="O79" s="45">
        <f t="shared" si="15"/>
        <v>0</v>
      </c>
      <c r="P79" s="45">
        <v>0</v>
      </c>
      <c r="Q79" s="45"/>
      <c r="R79" s="45">
        <f t="shared" si="9"/>
        <v>2674.6869999999999</v>
      </c>
      <c r="S79" s="11">
        <f>_xlfn.XLOOKUP(E:E,'[1]②7月-汇总'!$D:$D,'[1]②7月-汇总'!$AP:$AP)</f>
        <v>31</v>
      </c>
      <c r="T79" s="45">
        <v>2000</v>
      </c>
      <c r="U79" s="11">
        <f>_xlfn.XLOOKUP(E:E,'[2]手工、项目数、消耗'!$C:$C,'[2]手工、项目数、消耗'!$E:$E)</f>
        <v>18058.03</v>
      </c>
      <c r="V79" s="11">
        <f>_xlfn.XLOOKUP(E:E,'[2]手工、项目数、消耗'!$C:$C,'[2]手工、项目数、消耗'!$D:$D)</f>
        <v>104</v>
      </c>
      <c r="W79" s="11">
        <f>_xlfn.XLOOKUP(E:E,'[2]手工、项目数、消耗'!$C:$C,'[2]手工、项目数、消耗'!$H:$H)</f>
        <v>1693</v>
      </c>
      <c r="X79" s="11">
        <f>_xlfn.XLOOKUP(E:E,'[1]②7月-汇总'!$D:$D,'[1]②7月-汇总'!$W:$W)</f>
        <v>0</v>
      </c>
      <c r="Y79" s="11">
        <f>_xlfn.XLOOKUP(E:E,'[1]②7月-汇总'!$D:$D,'[1]②7月-汇总'!$Z:$Z)</f>
        <v>0</v>
      </c>
      <c r="Z79" s="11">
        <f>_xlfn.XLOOKUP(E:E,'[1]②7月-汇总'!$D:$D,'[1]②7月-汇总'!$AI:$AI)</f>
        <v>0</v>
      </c>
      <c r="AA79" s="45">
        <f t="shared" si="10"/>
        <v>6367.6869999999999</v>
      </c>
      <c r="AB79" s="11"/>
      <c r="AC79" s="50"/>
      <c r="AD79" s="11">
        <f>_xlfn.XLOOKUP(E:E,'[1]②7月-汇总'!$D:$D,'[1]②7月-汇总'!$AC:$AC)</f>
        <v>0</v>
      </c>
      <c r="AE79" s="11"/>
      <c r="AF79" s="11">
        <f>_xlfn.XLOOKUP(E:E,'[1]②7月-汇总'!$D:$D,'[1]②7月-汇总'!$AD:$AD)</f>
        <v>0</v>
      </c>
      <c r="AG79" s="11">
        <f>_xlfn.XLOOKUP(E:E,'[1]②7月-汇总'!$D:$D,'[1]②7月-汇总'!$Y:$Y)</f>
        <v>0</v>
      </c>
      <c r="AH79" s="11">
        <f>_xlfn.XLOOKUP(E:E,'[1]②7月-汇总'!$D:$D,'[1]②7月-汇总'!$L:$L)</f>
        <v>0</v>
      </c>
      <c r="AI79" s="11">
        <f>_xlfn.XLOOKUP(E:E,'[1]②7月-汇总'!$D:$D,'[1]②7月-汇总'!$X:$X)</f>
        <v>90</v>
      </c>
      <c r="AJ79" s="11">
        <f>_xlfn.XLOOKUP(E:E,'[1]②7月-汇总'!$D:$D,'[1]②7月-汇总'!$AB:$AB)</f>
        <v>0</v>
      </c>
      <c r="AK79" s="11">
        <f>_xlfn.XLOOKUP(E:E,'[1]②7月-汇总'!$D:$D,'[1]②7月-汇总'!$AE:$AE)</f>
        <v>0</v>
      </c>
      <c r="AL79" s="96"/>
      <c r="AM79" s="45">
        <f t="shared" si="12"/>
        <v>6277.6869999999999</v>
      </c>
      <c r="AN79" s="11">
        <f>_xlfn.XLOOKUP(E:E,'[1]①7月-花名册'!$E:$E,'[1]①7月-花名册'!$T:$T)</f>
        <v>0</v>
      </c>
      <c r="AO79" s="67"/>
      <c r="AP79" s="142">
        <f>_xlfn.XLOOKUP(E79,[9]工资核对的全字段!$C:$C,[9]工资核对的全字段!$CW:$CW,0)</f>
        <v>6277.6869999999999</v>
      </c>
      <c r="AQ79" s="36">
        <f t="shared" si="11"/>
        <v>0</v>
      </c>
    </row>
    <row r="80" spans="1:43" x14ac:dyDescent="0.15">
      <c r="A80" s="55" t="s">
        <v>41</v>
      </c>
      <c r="B80" s="62" t="s">
        <v>131</v>
      </c>
      <c r="C80" s="57" t="s">
        <v>132</v>
      </c>
      <c r="D80" s="58" t="s">
        <v>4</v>
      </c>
      <c r="E80" s="58" t="s">
        <v>134</v>
      </c>
      <c r="F80" s="11">
        <f t="shared" si="13"/>
        <v>15401.8</v>
      </c>
      <c r="G80" s="11">
        <v>15401.8</v>
      </c>
      <c r="H80" s="11">
        <v>0</v>
      </c>
      <c r="I80" s="11">
        <v>0</v>
      </c>
      <c r="J80" s="50"/>
      <c r="K80" s="11"/>
      <c r="L80" s="68">
        <f>F80/$K$81</f>
        <v>0.21477597579171953</v>
      </c>
      <c r="M80" s="68">
        <v>0.05</v>
      </c>
      <c r="N80" s="45">
        <f t="shared" si="14"/>
        <v>731.58550000000002</v>
      </c>
      <c r="O80" s="45">
        <f t="shared" si="15"/>
        <v>0</v>
      </c>
      <c r="P80" s="45"/>
      <c r="Q80" s="45"/>
      <c r="R80" s="45">
        <f t="shared" si="9"/>
        <v>731.58550000000002</v>
      </c>
      <c r="S80" s="11">
        <f>_xlfn.XLOOKUP(E:E,'[1]②7月-汇总'!$D:$D,'[1]②7月-汇总'!$AP:$AP)</f>
        <v>31</v>
      </c>
      <c r="T80" s="45">
        <v>1800</v>
      </c>
      <c r="U80" s="11">
        <f>_xlfn.XLOOKUP(E:E,'[2]手工、项目数、消耗'!$C:$C,'[2]手工、项目数、消耗'!$E:$E)</f>
        <v>8043.96</v>
      </c>
      <c r="V80" s="11">
        <f>_xlfn.XLOOKUP(E:E,'[2]手工、项目数、消耗'!$C:$C,'[2]手工、项目数、消耗'!$D:$D)</f>
        <v>82</v>
      </c>
      <c r="W80" s="11">
        <f>_xlfn.XLOOKUP(E:E,'[2]手工、项目数、消耗'!$C:$C,'[2]手工、项目数、消耗'!$H:$H)</f>
        <v>1255</v>
      </c>
      <c r="X80" s="11">
        <f>_xlfn.XLOOKUP(E:E,'[1]②7月-汇总'!$D:$D,'[1]②7月-汇总'!$W:$W)</f>
        <v>0</v>
      </c>
      <c r="Y80" s="11">
        <f>_xlfn.XLOOKUP(E:E,'[1]②7月-汇总'!$D:$D,'[1]②7月-汇总'!$Z:$Z)</f>
        <v>0</v>
      </c>
      <c r="Z80" s="11">
        <f>_xlfn.XLOOKUP(E:E,'[1]②7月-汇总'!$D:$D,'[1]②7月-汇总'!$AI:$AI)</f>
        <v>0</v>
      </c>
      <c r="AA80" s="45">
        <f t="shared" si="10"/>
        <v>3786.5855000000001</v>
      </c>
      <c r="AB80" s="11"/>
      <c r="AC80" s="50"/>
      <c r="AD80" s="11">
        <f>_xlfn.XLOOKUP(E:E,'[1]②7月-汇总'!$D:$D,'[1]②7月-汇总'!$AC:$AC)</f>
        <v>0</v>
      </c>
      <c r="AE80" s="11"/>
      <c r="AF80" s="11">
        <f>_xlfn.XLOOKUP(E:E,'[1]②7月-汇总'!$D:$D,'[1]②7月-汇总'!$AD:$AD)</f>
        <v>0</v>
      </c>
      <c r="AG80" s="11">
        <f>_xlfn.XLOOKUP(E:E,'[1]②7月-汇总'!$D:$D,'[1]②7月-汇总'!$Y:$Y)</f>
        <v>0</v>
      </c>
      <c r="AH80" s="11">
        <f>_xlfn.XLOOKUP(E:E,'[1]②7月-汇总'!$D:$D,'[1]②7月-汇总'!$L:$L)</f>
        <v>0</v>
      </c>
      <c r="AI80" s="11">
        <f>_xlfn.XLOOKUP(E:E,'[1]②7月-汇总'!$D:$D,'[1]②7月-汇总'!$X:$X)</f>
        <v>0</v>
      </c>
      <c r="AJ80" s="11">
        <f>_xlfn.XLOOKUP(E:E,'[1]②7月-汇总'!$D:$D,'[1]②7月-汇总'!$AB:$AB)</f>
        <v>0</v>
      </c>
      <c r="AK80" s="11">
        <f>_xlfn.XLOOKUP(E:E,'[1]②7月-汇总'!$D:$D,'[1]②7月-汇总'!$AE:$AE)</f>
        <v>0</v>
      </c>
      <c r="AL80" s="96"/>
      <c r="AM80" s="45">
        <f t="shared" si="12"/>
        <v>3786.5855000000001</v>
      </c>
      <c r="AN80" s="11">
        <f>_xlfn.XLOOKUP(E:E,'[1]①7月-花名册'!$E:$E,'[1]①7月-花名册'!$T:$T)</f>
        <v>0</v>
      </c>
      <c r="AO80" s="67"/>
      <c r="AP80" s="142">
        <f>_xlfn.XLOOKUP(E80,[9]工资核对的全字段!$C:$C,[9]工资核对的全字段!$CW:$CW,0)</f>
        <v>3786.5855000000001</v>
      </c>
      <c r="AQ80" s="36">
        <f t="shared" si="11"/>
        <v>0</v>
      </c>
    </row>
    <row r="81" spans="1:43" x14ac:dyDescent="0.15">
      <c r="A81" s="55" t="s">
        <v>41</v>
      </c>
      <c r="B81" s="62" t="str">
        <f>B79</f>
        <v>荣华南路</v>
      </c>
      <c r="C81" s="57" t="s">
        <v>47</v>
      </c>
      <c r="D81" s="58" t="s">
        <v>47</v>
      </c>
      <c r="E81" s="58" t="s">
        <v>47</v>
      </c>
      <c r="F81" s="11">
        <f t="shared" si="13"/>
        <v>0</v>
      </c>
      <c r="G81" s="11">
        <v>0</v>
      </c>
      <c r="H81" s="11">
        <v>0</v>
      </c>
      <c r="I81" s="11">
        <v>0</v>
      </c>
      <c r="J81" s="50"/>
      <c r="K81" s="11">
        <v>71711</v>
      </c>
      <c r="L81" s="68"/>
      <c r="M81" s="68"/>
      <c r="N81" s="45">
        <f t="shared" si="14"/>
        <v>0</v>
      </c>
      <c r="O81" s="45">
        <f t="shared" si="15"/>
        <v>0</v>
      </c>
      <c r="P81" s="45"/>
      <c r="Q81" s="45"/>
      <c r="R81" s="45">
        <f t="shared" si="9"/>
        <v>0</v>
      </c>
      <c r="S81" s="11"/>
      <c r="T81" s="45"/>
      <c r="U81" s="11"/>
      <c r="V81" s="11"/>
      <c r="W81" s="11"/>
      <c r="X81" s="11"/>
      <c r="Y81" s="11"/>
      <c r="Z81" s="11"/>
      <c r="AA81" s="45">
        <f t="shared" si="10"/>
        <v>0</v>
      </c>
      <c r="AB81" s="11"/>
      <c r="AC81" s="50"/>
      <c r="AD81" s="11"/>
      <c r="AE81" s="11"/>
      <c r="AF81" s="11"/>
      <c r="AG81" s="11"/>
      <c r="AH81" s="11"/>
      <c r="AI81" s="11"/>
      <c r="AJ81" s="11"/>
      <c r="AK81" s="11"/>
      <c r="AL81" s="96"/>
      <c r="AM81" s="45">
        <f t="shared" si="12"/>
        <v>0</v>
      </c>
      <c r="AN81" s="11"/>
      <c r="AO81" s="67"/>
      <c r="AP81" s="142">
        <f>_xlfn.XLOOKUP(E81,[9]工资核对的全字段!$C:$C,[9]工资核对的全字段!$CW:$CW,0)</f>
        <v>0</v>
      </c>
      <c r="AQ81" s="36">
        <f t="shared" si="11"/>
        <v>0</v>
      </c>
    </row>
    <row r="82" spans="1:43" x14ac:dyDescent="0.15">
      <c r="A82" s="55" t="s">
        <v>41</v>
      </c>
      <c r="B82" s="62" t="s">
        <v>131</v>
      </c>
      <c r="C82" s="57" t="s">
        <v>135</v>
      </c>
      <c r="D82" s="58" t="s">
        <v>43</v>
      </c>
      <c r="E82" s="58" t="s">
        <v>136</v>
      </c>
      <c r="F82" s="11">
        <f t="shared" si="13"/>
        <v>31830.2</v>
      </c>
      <c r="G82" s="11">
        <v>31830.2</v>
      </c>
      <c r="H82" s="11">
        <v>0</v>
      </c>
      <c r="I82" s="11">
        <v>0</v>
      </c>
      <c r="J82" s="50"/>
      <c r="K82" s="11"/>
      <c r="L82" s="68">
        <f>F82/$K$85</f>
        <v>0.29387238835596835</v>
      </c>
      <c r="M82" s="68">
        <v>0.05</v>
      </c>
      <c r="N82" s="45">
        <f t="shared" si="14"/>
        <v>1511.9345000000001</v>
      </c>
      <c r="O82" s="45">
        <f t="shared" si="15"/>
        <v>0</v>
      </c>
      <c r="P82" s="45">
        <v>0</v>
      </c>
      <c r="Q82" s="45"/>
      <c r="R82" s="45">
        <f t="shared" si="9"/>
        <v>1511.9345000000001</v>
      </c>
      <c r="S82" s="11">
        <f>_xlfn.XLOOKUP(E:E,'[1]②7月-汇总'!$D:$D,'[1]②7月-汇总'!$AP:$AP)</f>
        <v>31</v>
      </c>
      <c r="T82" s="45">
        <v>2000</v>
      </c>
      <c r="U82" s="11">
        <f>_xlfn.XLOOKUP(E:E,'[2]手工、项目数、消耗'!$C:$C,'[2]手工、项目数、消耗'!$E:$E)</f>
        <v>27866.76</v>
      </c>
      <c r="V82" s="11">
        <f>_xlfn.XLOOKUP(E:E,'[2]手工、项目数、消耗'!$C:$C,'[2]手工、项目数、消耗'!$D:$D)</f>
        <v>83</v>
      </c>
      <c r="W82" s="11">
        <f>_xlfn.XLOOKUP(E:E,'[2]手工、项目数、消耗'!$C:$C,'[2]手工、项目数、消耗'!$H:$H)</f>
        <v>1064</v>
      </c>
      <c r="X82" s="11">
        <f>_xlfn.XLOOKUP(E:E,'[1]②7月-汇总'!$D:$D,'[1]②7月-汇总'!$W:$W)</f>
        <v>0</v>
      </c>
      <c r="Y82" s="11">
        <f>_xlfn.XLOOKUP(E:E,'[1]②7月-汇总'!$D:$D,'[1]②7月-汇总'!$Z:$Z)</f>
        <v>0</v>
      </c>
      <c r="Z82" s="11">
        <f>_xlfn.XLOOKUP(E:E,'[1]②7月-汇总'!$D:$D,'[1]②7月-汇总'!$AI:$AI)</f>
        <v>0</v>
      </c>
      <c r="AA82" s="45">
        <f t="shared" si="10"/>
        <v>4575.9345000000003</v>
      </c>
      <c r="AB82" s="11">
        <v>500</v>
      </c>
      <c r="AC82" s="50"/>
      <c r="AD82" s="11">
        <f>_xlfn.XLOOKUP(E:E,'[1]②7月-汇总'!$D:$D,'[1]②7月-汇总'!$AC:$AC)</f>
        <v>0</v>
      </c>
      <c r="AE82" s="11">
        <f>_xlfn.XLOOKUP(E:E,[3]Sheet1!$B:$B,[3]Sheet1!$L:$L)</f>
        <v>640.55999999999995</v>
      </c>
      <c r="AF82" s="11">
        <f>_xlfn.XLOOKUP(E:E,'[1]②7月-汇总'!$D:$D,'[1]②7月-汇总'!$AD:$AD)</f>
        <v>0</v>
      </c>
      <c r="AG82" s="11">
        <f>_xlfn.XLOOKUP(E:E,'[1]②7月-汇总'!$D:$D,'[1]②7月-汇总'!$Y:$Y)</f>
        <v>0</v>
      </c>
      <c r="AH82" s="11">
        <f>_xlfn.XLOOKUP(E:E,'[1]②7月-汇总'!$D:$D,'[1]②7月-汇总'!$L:$L)</f>
        <v>0</v>
      </c>
      <c r="AI82" s="11">
        <f>_xlfn.XLOOKUP(E:E,'[1]②7月-汇总'!$D:$D,'[1]②7月-汇总'!$X:$X)</f>
        <v>0</v>
      </c>
      <c r="AJ82" s="11">
        <f>_xlfn.XLOOKUP(E:E,'[1]②7月-汇总'!$D:$D,'[1]②7月-汇总'!$AB:$AB)</f>
        <v>0</v>
      </c>
      <c r="AK82" s="11">
        <f>_xlfn.XLOOKUP(E:E,'[1]②7月-汇总'!$D:$D,'[1]②7月-汇总'!$AE:$AE)</f>
        <v>0</v>
      </c>
      <c r="AL82" s="96"/>
      <c r="AM82" s="45">
        <f t="shared" si="12"/>
        <v>4435.3744999999999</v>
      </c>
      <c r="AN82" s="11">
        <f>_xlfn.XLOOKUP(E:E,'[1]①7月-花名册'!$E:$E,'[1]①7月-花名册'!$T:$T)</f>
        <v>0</v>
      </c>
      <c r="AO82" s="67"/>
      <c r="AP82" s="142">
        <f>_xlfn.XLOOKUP(E82,[9]工资核对的全字段!$C:$C,[9]工资核对的全字段!$CW:$CW,0)</f>
        <v>4435.3744999999999</v>
      </c>
      <c r="AQ82" s="36">
        <f t="shared" si="11"/>
        <v>0</v>
      </c>
    </row>
    <row r="83" spans="1:43" x14ac:dyDescent="0.15">
      <c r="A83" s="55" t="s">
        <v>41</v>
      </c>
      <c r="B83" s="62" t="s">
        <v>131</v>
      </c>
      <c r="C83" s="57" t="s">
        <v>135</v>
      </c>
      <c r="D83" s="58" t="s">
        <v>4</v>
      </c>
      <c r="E83" s="58" t="s">
        <v>137</v>
      </c>
      <c r="F83" s="11">
        <f t="shared" si="13"/>
        <v>65622.8</v>
      </c>
      <c r="G83" s="11">
        <v>64622.8</v>
      </c>
      <c r="H83" s="11">
        <v>0</v>
      </c>
      <c r="I83" s="11">
        <v>1000</v>
      </c>
      <c r="J83" s="50"/>
      <c r="K83" s="11"/>
      <c r="L83" s="68">
        <f>F83/$K$85</f>
        <v>0.60586263883375036</v>
      </c>
      <c r="M83" s="68">
        <v>0.05</v>
      </c>
      <c r="N83" s="45">
        <f t="shared" si="14"/>
        <v>3069.5830000000005</v>
      </c>
      <c r="O83" s="45">
        <f t="shared" si="15"/>
        <v>0</v>
      </c>
      <c r="P83" s="45"/>
      <c r="Q83" s="45"/>
      <c r="R83" s="45">
        <f t="shared" si="9"/>
        <v>3069.5830000000005</v>
      </c>
      <c r="S83" s="11">
        <f>_xlfn.XLOOKUP(E:E,'[1]②7月-汇总'!$D:$D,'[1]②7月-汇总'!$AP:$AP)</f>
        <v>31</v>
      </c>
      <c r="T83" s="45">
        <v>2000</v>
      </c>
      <c r="U83" s="11">
        <f>_xlfn.XLOOKUP(E:E,'[2]手工、项目数、消耗'!$C:$C,'[2]手工、项目数、消耗'!$E:$E)</f>
        <v>23088.240000000002</v>
      </c>
      <c r="V83" s="11">
        <f>_xlfn.XLOOKUP(E:E,'[2]手工、项目数、消耗'!$C:$C,'[2]手工、项目数、消耗'!$D:$D)</f>
        <v>94</v>
      </c>
      <c r="W83" s="11">
        <f>_xlfn.XLOOKUP(E:E,'[2]手工、项目数、消耗'!$C:$C,'[2]手工、项目数、消耗'!$H:$H)</f>
        <v>1442</v>
      </c>
      <c r="X83" s="11">
        <f>_xlfn.XLOOKUP(E:E,'[1]②7月-汇总'!$D:$D,'[1]②7月-汇总'!$W:$W)</f>
        <v>0</v>
      </c>
      <c r="Y83" s="11">
        <f>_xlfn.XLOOKUP(E:E,'[1]②7月-汇总'!$D:$D,'[1]②7月-汇总'!$Z:$Z)</f>
        <v>0</v>
      </c>
      <c r="Z83" s="11">
        <f>_xlfn.XLOOKUP(E:E,'[1]②7月-汇总'!$D:$D,'[1]②7月-汇总'!$AI:$AI)</f>
        <v>0</v>
      </c>
      <c r="AA83" s="45">
        <f t="shared" si="10"/>
        <v>6511.5830000000005</v>
      </c>
      <c r="AB83" s="11">
        <v>1000</v>
      </c>
      <c r="AC83" s="50"/>
      <c r="AD83" s="11">
        <f>_xlfn.XLOOKUP(E:E,'[1]②7月-汇总'!$D:$D,'[1]②7月-汇总'!$AC:$AC)</f>
        <v>0</v>
      </c>
      <c r="AE83" s="11"/>
      <c r="AF83" s="11">
        <f>_xlfn.XLOOKUP(E:E,'[1]②7月-汇总'!$D:$D,'[1]②7月-汇总'!$AD:$AD)</f>
        <v>0</v>
      </c>
      <c r="AG83" s="11">
        <f>_xlfn.XLOOKUP(E:E,'[1]②7月-汇总'!$D:$D,'[1]②7月-汇总'!$Y:$Y)</f>
        <v>0</v>
      </c>
      <c r="AH83" s="11">
        <f>_xlfn.XLOOKUP(E:E,'[1]②7月-汇总'!$D:$D,'[1]②7月-汇总'!$L:$L)</f>
        <v>0</v>
      </c>
      <c r="AI83" s="11">
        <f>_xlfn.XLOOKUP(E:E,'[1]②7月-汇总'!$D:$D,'[1]②7月-汇总'!$X:$X)</f>
        <v>10</v>
      </c>
      <c r="AJ83" s="11">
        <f>_xlfn.XLOOKUP(E:E,'[1]②7月-汇总'!$D:$D,'[1]②7月-汇总'!$AB:$AB)</f>
        <v>0</v>
      </c>
      <c r="AK83" s="11">
        <f>_xlfn.XLOOKUP(E:E,'[1]②7月-汇总'!$D:$D,'[1]②7月-汇总'!$AE:$AE)</f>
        <v>0</v>
      </c>
      <c r="AL83" s="96"/>
      <c r="AM83" s="45">
        <f t="shared" si="12"/>
        <v>7501.5830000000005</v>
      </c>
      <c r="AN83" s="11">
        <f>_xlfn.XLOOKUP(E:E,'[1]①7月-花名册'!$E:$E,'[1]①7月-花名册'!$T:$T)</f>
        <v>0</v>
      </c>
      <c r="AO83" s="67"/>
      <c r="AP83" s="142">
        <f>_xlfn.XLOOKUP(E83,[9]工资核对的全字段!$C:$C,[9]工资核对的全字段!$CW:$CW,0)</f>
        <v>7501.5830000000005</v>
      </c>
      <c r="AQ83" s="36">
        <f t="shared" si="11"/>
        <v>0</v>
      </c>
    </row>
    <row r="84" spans="1:43" x14ac:dyDescent="0.15">
      <c r="A84" s="55" t="s">
        <v>41</v>
      </c>
      <c r="B84" s="62" t="s">
        <v>131</v>
      </c>
      <c r="C84" s="57" t="s">
        <v>135</v>
      </c>
      <c r="D84" s="58" t="s">
        <v>4</v>
      </c>
      <c r="E84" s="58" t="s">
        <v>138</v>
      </c>
      <c r="F84" s="11">
        <f t="shared" si="13"/>
        <v>10860</v>
      </c>
      <c r="G84" s="11">
        <v>10860</v>
      </c>
      <c r="H84" s="11">
        <v>0</v>
      </c>
      <c r="I84" s="11">
        <v>0</v>
      </c>
      <c r="J84" s="50"/>
      <c r="K84" s="11"/>
      <c r="L84" s="68">
        <f>F84/$K$85</f>
        <v>0.10026497281028131</v>
      </c>
      <c r="M84" s="68">
        <v>0.05</v>
      </c>
      <c r="N84" s="45">
        <f t="shared" si="14"/>
        <v>515.85</v>
      </c>
      <c r="O84" s="45">
        <f t="shared" si="15"/>
        <v>0</v>
      </c>
      <c r="P84" s="45"/>
      <c r="Q84" s="45"/>
      <c r="R84" s="45">
        <f t="shared" si="9"/>
        <v>515.85</v>
      </c>
      <c r="S84" s="11">
        <f>_xlfn.XLOOKUP(E:E,'[1]②7月-汇总'!$D:$D,'[1]②7月-汇总'!$AP:$AP)</f>
        <v>31</v>
      </c>
      <c r="T84" s="45">
        <v>1800</v>
      </c>
      <c r="U84" s="11">
        <f>_xlfn.XLOOKUP(E:E,'[2]手工、项目数、消耗'!$C:$C,'[2]手工、项目数、消耗'!$E:$E)</f>
        <v>7520.64</v>
      </c>
      <c r="V84" s="11">
        <f>_xlfn.XLOOKUP(E:E,'[2]手工、项目数、消耗'!$C:$C,'[2]手工、项目数、消耗'!$D:$D)</f>
        <v>78</v>
      </c>
      <c r="W84" s="11">
        <f>_xlfn.XLOOKUP(E:E,'[2]手工、项目数、消耗'!$C:$C,'[2]手工、项目数、消耗'!$H:$H)</f>
        <v>1066</v>
      </c>
      <c r="X84" s="11">
        <f>_xlfn.XLOOKUP(E:E,'[1]②7月-汇总'!$D:$D,'[1]②7月-汇总'!$W:$W)</f>
        <v>0</v>
      </c>
      <c r="Y84" s="11">
        <f>_xlfn.XLOOKUP(E:E,'[1]②7月-汇总'!$D:$D,'[1]②7月-汇总'!$Z:$Z)</f>
        <v>0</v>
      </c>
      <c r="Z84" s="11">
        <f>_xlfn.XLOOKUP(E:E,'[1]②7月-汇总'!$D:$D,'[1]②7月-汇总'!$AI:$AI)</f>
        <v>0</v>
      </c>
      <c r="AA84" s="45">
        <f t="shared" si="10"/>
        <v>3381.85</v>
      </c>
      <c r="AB84" s="11"/>
      <c r="AC84" s="50"/>
      <c r="AD84" s="11">
        <f>_xlfn.XLOOKUP(E:E,'[1]②7月-汇总'!$D:$D,'[1]②7月-汇总'!$AC:$AC)</f>
        <v>0</v>
      </c>
      <c r="AE84" s="11"/>
      <c r="AF84" s="11">
        <f>_xlfn.XLOOKUP(E:E,'[1]②7月-汇总'!$D:$D,'[1]②7月-汇总'!$AD:$AD)</f>
        <v>0</v>
      </c>
      <c r="AG84" s="11">
        <f>_xlfn.XLOOKUP(E:E,'[1]②7月-汇总'!$D:$D,'[1]②7月-汇总'!$Y:$Y)</f>
        <v>0</v>
      </c>
      <c r="AH84" s="11">
        <f>_xlfn.XLOOKUP(E:E,'[1]②7月-汇总'!$D:$D,'[1]②7月-汇总'!$L:$L)</f>
        <v>0</v>
      </c>
      <c r="AI84" s="11">
        <f>_xlfn.XLOOKUP(E:E,'[1]②7月-汇总'!$D:$D,'[1]②7月-汇总'!$X:$X)</f>
        <v>90</v>
      </c>
      <c r="AJ84" s="11">
        <f>_xlfn.XLOOKUP(E:E,'[1]②7月-汇总'!$D:$D,'[1]②7月-汇总'!$AB:$AB)</f>
        <v>0</v>
      </c>
      <c r="AK84" s="11">
        <f>_xlfn.XLOOKUP(E:E,'[1]②7月-汇总'!$D:$D,'[1]②7月-汇总'!$AE:$AE)</f>
        <v>0</v>
      </c>
      <c r="AL84" s="96"/>
      <c r="AM84" s="45">
        <f t="shared" si="12"/>
        <v>3291.85</v>
      </c>
      <c r="AN84" s="11">
        <f>_xlfn.XLOOKUP(E:E,'[1]①7月-花名册'!$E:$E,'[1]①7月-花名册'!$T:$T)</f>
        <v>0</v>
      </c>
      <c r="AO84" s="67"/>
      <c r="AP84" s="142">
        <f>_xlfn.XLOOKUP(E84,[9]工资核对的全字段!$C:$C,[9]工资核对的全字段!$CW:$CW,0)</f>
        <v>3291.85</v>
      </c>
      <c r="AQ84" s="36">
        <f t="shared" si="11"/>
        <v>0</v>
      </c>
    </row>
    <row r="85" spans="1:43" x14ac:dyDescent="0.15">
      <c r="A85" s="55" t="s">
        <v>41</v>
      </c>
      <c r="B85" s="62" t="s">
        <v>131</v>
      </c>
      <c r="C85" s="57" t="s">
        <v>47</v>
      </c>
      <c r="D85" s="58" t="s">
        <v>47</v>
      </c>
      <c r="E85" s="58" t="s">
        <v>47</v>
      </c>
      <c r="F85" s="11">
        <f t="shared" si="13"/>
        <v>0</v>
      </c>
      <c r="G85" s="11">
        <v>0</v>
      </c>
      <c r="H85" s="11">
        <v>0</v>
      </c>
      <c r="I85" s="11">
        <v>0</v>
      </c>
      <c r="J85" s="50"/>
      <c r="K85" s="11">
        <v>108313</v>
      </c>
      <c r="L85" s="68"/>
      <c r="M85" s="68"/>
      <c r="N85" s="45">
        <f t="shared" si="14"/>
        <v>0</v>
      </c>
      <c r="O85" s="45">
        <f t="shared" si="15"/>
        <v>0</v>
      </c>
      <c r="P85" s="45"/>
      <c r="Q85" s="45"/>
      <c r="R85" s="45">
        <f t="shared" si="9"/>
        <v>0</v>
      </c>
      <c r="S85" s="11"/>
      <c r="T85" s="45"/>
      <c r="U85" s="11"/>
      <c r="V85" s="11"/>
      <c r="W85" s="11"/>
      <c r="X85" s="11"/>
      <c r="Y85" s="11"/>
      <c r="Z85" s="11"/>
      <c r="AA85" s="45">
        <f t="shared" si="10"/>
        <v>0</v>
      </c>
      <c r="AB85" s="11"/>
      <c r="AC85" s="50"/>
      <c r="AD85" s="11"/>
      <c r="AE85" s="11"/>
      <c r="AF85" s="11"/>
      <c r="AG85" s="11"/>
      <c r="AH85" s="11"/>
      <c r="AI85" s="11"/>
      <c r="AJ85" s="11"/>
      <c r="AK85" s="11"/>
      <c r="AL85" s="96"/>
      <c r="AM85" s="45">
        <f t="shared" si="12"/>
        <v>0</v>
      </c>
      <c r="AN85" s="11"/>
      <c r="AO85" s="67"/>
      <c r="AP85" s="142">
        <f>_xlfn.XLOOKUP(E85,[9]工资核对的全字段!$C:$C,[9]工资核对的全字段!$CW:$CW,0)</f>
        <v>0</v>
      </c>
      <c r="AQ85" s="36">
        <f t="shared" si="11"/>
        <v>0</v>
      </c>
    </row>
    <row r="86" spans="1:43" x14ac:dyDescent="0.15">
      <c r="A86" s="55" t="s">
        <v>41</v>
      </c>
      <c r="B86" s="62" t="s">
        <v>131</v>
      </c>
      <c r="C86" s="60" t="s">
        <v>9</v>
      </c>
      <c r="D86" s="61" t="s">
        <v>9</v>
      </c>
      <c r="E86" s="61" t="s">
        <v>139</v>
      </c>
      <c r="F86" s="11">
        <f t="shared" si="13"/>
        <v>0</v>
      </c>
      <c r="G86" s="11">
        <v>0</v>
      </c>
      <c r="H86" s="11">
        <v>0</v>
      </c>
      <c r="I86" s="11">
        <v>0</v>
      </c>
      <c r="J86" s="50"/>
      <c r="K86" s="11"/>
      <c r="L86" s="68"/>
      <c r="M86" s="68"/>
      <c r="N86" s="45">
        <f t="shared" si="14"/>
        <v>0</v>
      </c>
      <c r="O86" s="45">
        <f t="shared" si="15"/>
        <v>0</v>
      </c>
      <c r="P86" s="45"/>
      <c r="Q86" s="45">
        <v>450</v>
      </c>
      <c r="R86" s="45">
        <f t="shared" si="9"/>
        <v>450</v>
      </c>
      <c r="S86" s="11"/>
      <c r="T86" s="45"/>
      <c r="U86" s="11"/>
      <c r="V86" s="11"/>
      <c r="W86" s="11"/>
      <c r="X86" s="11"/>
      <c r="Y86" s="11"/>
      <c r="Z86" s="11"/>
      <c r="AA86" s="45">
        <f t="shared" si="10"/>
        <v>450</v>
      </c>
      <c r="AB86" s="11"/>
      <c r="AC86" s="50"/>
      <c r="AD86" s="11"/>
      <c r="AE86" s="11"/>
      <c r="AF86" s="11"/>
      <c r="AG86" s="11"/>
      <c r="AH86" s="11"/>
      <c r="AI86" s="11"/>
      <c r="AJ86" s="11"/>
      <c r="AK86" s="11"/>
      <c r="AL86" s="96"/>
      <c r="AM86" s="45">
        <f t="shared" si="12"/>
        <v>450</v>
      </c>
      <c r="AN86" s="11"/>
      <c r="AO86" s="67"/>
      <c r="AP86" s="142">
        <f>_xlfn.XLOOKUP(E86,[9]工资核对的全字段!$C:$C,[9]工资核对的全字段!$CW:$CW,0)</f>
        <v>450.06000000000006</v>
      </c>
      <c r="AQ86" s="36">
        <f t="shared" si="11"/>
        <v>6.0000000000059117E-2</v>
      </c>
    </row>
    <row r="87" spans="1:43" x14ac:dyDescent="0.15">
      <c r="A87" s="55" t="s">
        <v>41</v>
      </c>
      <c r="B87" s="62" t="s">
        <v>140</v>
      </c>
      <c r="C87" s="57" t="s">
        <v>141</v>
      </c>
      <c r="D87" s="58" t="s">
        <v>43</v>
      </c>
      <c r="E87" s="11" t="s">
        <v>142</v>
      </c>
      <c r="F87" s="11">
        <f t="shared" si="13"/>
        <v>30846.699999999997</v>
      </c>
      <c r="G87" s="11">
        <v>34046.699999999997</v>
      </c>
      <c r="H87" s="11">
        <v>-3200</v>
      </c>
      <c r="I87" s="11">
        <v>0</v>
      </c>
      <c r="J87" s="50"/>
      <c r="K87" s="11"/>
      <c r="L87" s="68">
        <f>F87/$K$90</f>
        <v>0.49619329962825753</v>
      </c>
      <c r="M87" s="68">
        <v>0.04</v>
      </c>
      <c r="N87" s="45">
        <f t="shared" si="14"/>
        <v>1293.7745999999997</v>
      </c>
      <c r="O87" s="45">
        <f t="shared" si="15"/>
        <v>-79.040000000000006</v>
      </c>
      <c r="P87" s="45">
        <v>0</v>
      </c>
      <c r="Q87" s="45"/>
      <c r="R87" s="45">
        <f t="shared" si="9"/>
        <v>1214.7345999999998</v>
      </c>
      <c r="S87" s="11">
        <f>_xlfn.XLOOKUP(E:E,'[1]②7月-汇总'!$D:$D,'[1]②7月-汇总'!$AP:$AP)</f>
        <v>31</v>
      </c>
      <c r="T87" s="45">
        <v>2000</v>
      </c>
      <c r="U87" s="11">
        <f>_xlfn.XLOOKUP(E:E,'[2]手工、项目数、消耗'!$C:$C,'[2]手工、项目数、消耗'!$E:$E)</f>
        <v>22991.78</v>
      </c>
      <c r="V87" s="11">
        <f>_xlfn.XLOOKUP(E:E,'[2]手工、项目数、消耗'!$C:$C,'[2]手工、项目数、消耗'!$D:$D)</f>
        <v>88</v>
      </c>
      <c r="W87" s="11">
        <f>_xlfn.XLOOKUP(E:E,'[2]手工、项目数、消耗'!$C:$C,'[2]手工、项目数、消耗'!$H:$H)</f>
        <v>1418</v>
      </c>
      <c r="X87" s="11">
        <f>_xlfn.XLOOKUP(E:E,'[1]②7月-汇总'!$D:$D,'[1]②7月-汇总'!$W:$W)</f>
        <v>0</v>
      </c>
      <c r="Y87" s="11">
        <f>_xlfn.XLOOKUP(E:E,'[1]②7月-汇总'!$D:$D,'[1]②7月-汇总'!$Z:$Z)</f>
        <v>0</v>
      </c>
      <c r="Z87" s="11">
        <f>_xlfn.XLOOKUP(E:E,'[1]②7月-汇总'!$D:$D,'[1]②7月-汇总'!$AI:$AI)</f>
        <v>0</v>
      </c>
      <c r="AA87" s="45">
        <f t="shared" si="10"/>
        <v>4632.7345999999998</v>
      </c>
      <c r="AB87" s="11"/>
      <c r="AC87" s="50"/>
      <c r="AD87" s="11">
        <f>_xlfn.XLOOKUP(E:E,'[1]②7月-汇总'!$D:$D,'[1]②7月-汇总'!$AC:$AC)</f>
        <v>0</v>
      </c>
      <c r="AE87" s="11">
        <f>_xlfn.XLOOKUP(E:E,[3]Sheet1!$B:$B,[3]Sheet1!$L:$L)</f>
        <v>640.55999999999995</v>
      </c>
      <c r="AF87" s="11">
        <f>_xlfn.XLOOKUP(E:E,'[1]②7月-汇总'!$D:$D,'[1]②7月-汇总'!$AD:$AD)</f>
        <v>0</v>
      </c>
      <c r="AG87" s="11">
        <f>_xlfn.XLOOKUP(E:E,'[1]②7月-汇总'!$D:$D,'[1]②7月-汇总'!$Y:$Y)</f>
        <v>0</v>
      </c>
      <c r="AH87" s="11">
        <f>_xlfn.XLOOKUP(E:E,'[1]②7月-汇总'!$D:$D,'[1]②7月-汇总'!$L:$L)</f>
        <v>0</v>
      </c>
      <c r="AI87" s="11">
        <f>_xlfn.XLOOKUP(E:E,'[1]②7月-汇总'!$D:$D,'[1]②7月-汇总'!$X:$X)</f>
        <v>20</v>
      </c>
      <c r="AJ87" s="11">
        <f>_xlfn.XLOOKUP(E:E,'[1]②7月-汇总'!$D:$D,'[1]②7月-汇总'!$AB:$AB)</f>
        <v>0</v>
      </c>
      <c r="AK87" s="11">
        <f>_xlfn.XLOOKUP(E:E,'[1]②7月-汇总'!$D:$D,'[1]②7月-汇总'!$AE:$AE)</f>
        <v>300</v>
      </c>
      <c r="AL87" s="96"/>
      <c r="AM87" s="45">
        <f t="shared" si="12"/>
        <v>4272.1746000000003</v>
      </c>
      <c r="AN87" s="11">
        <f>_xlfn.XLOOKUP(E:E,'[1]①7月-花名册'!$E:$E,'[1]①7月-花名册'!$T:$T)</f>
        <v>0</v>
      </c>
      <c r="AO87" s="67"/>
      <c r="AP87" s="142">
        <f>_xlfn.XLOOKUP(E87,[9]工资核对的全字段!$C:$C,[9]工资核对的全字段!$CW:$CW,0)</f>
        <v>4272.1746000000003</v>
      </c>
      <c r="AQ87" s="36">
        <f t="shared" si="11"/>
        <v>0</v>
      </c>
    </row>
    <row r="88" spans="1:43" x14ac:dyDescent="0.15">
      <c r="A88" s="55" t="s">
        <v>41</v>
      </c>
      <c r="B88" s="62" t="s">
        <v>140</v>
      </c>
      <c r="C88" s="57" t="s">
        <v>141</v>
      </c>
      <c r="D88" s="58" t="s">
        <v>4</v>
      </c>
      <c r="E88" s="11" t="s">
        <v>143</v>
      </c>
      <c r="F88" s="11">
        <f t="shared" si="13"/>
        <v>26402</v>
      </c>
      <c r="G88" s="11">
        <v>26402</v>
      </c>
      <c r="H88" s="11">
        <v>0</v>
      </c>
      <c r="I88" s="11">
        <v>0</v>
      </c>
      <c r="J88" s="50"/>
      <c r="K88" s="11"/>
      <c r="L88" s="68">
        <f>F88/$K$90</f>
        <v>0.42469682321886154</v>
      </c>
      <c r="M88" s="68">
        <v>0.04</v>
      </c>
      <c r="N88" s="45">
        <f t="shared" si="14"/>
        <v>1003.276</v>
      </c>
      <c r="O88" s="45">
        <f t="shared" si="15"/>
        <v>0</v>
      </c>
      <c r="P88" s="45"/>
      <c r="Q88" s="45"/>
      <c r="R88" s="45">
        <f t="shared" si="9"/>
        <v>1003.276</v>
      </c>
      <c r="S88" s="11">
        <f>_xlfn.XLOOKUP(E:E,'[1]②7月-汇总'!$D:$D,'[1]②7月-汇总'!$AP:$AP)</f>
        <v>31</v>
      </c>
      <c r="T88" s="45">
        <v>2000</v>
      </c>
      <c r="U88" s="11">
        <f>_xlfn.XLOOKUP(E:E,'[2]手工、项目数、消耗'!$C:$C,'[2]手工、项目数、消耗'!$E:$E)</f>
        <v>18249.46</v>
      </c>
      <c r="V88" s="11">
        <f>_xlfn.XLOOKUP(E:E,'[2]手工、项目数、消耗'!$C:$C,'[2]手工、项目数、消耗'!$D:$D)</f>
        <v>86</v>
      </c>
      <c r="W88" s="11">
        <f>_xlfn.XLOOKUP(E:E,'[2]手工、项目数、消耗'!$C:$C,'[2]手工、项目数、消耗'!$H:$H)</f>
        <v>1054</v>
      </c>
      <c r="X88" s="11">
        <f>_xlfn.XLOOKUP(E:E,'[1]②7月-汇总'!$D:$D,'[1]②7月-汇总'!$W:$W)</f>
        <v>0</v>
      </c>
      <c r="Y88" s="11">
        <f>_xlfn.XLOOKUP(E:E,'[1]②7月-汇总'!$D:$D,'[1]②7月-汇总'!$Z:$Z)</f>
        <v>0</v>
      </c>
      <c r="Z88" s="11">
        <f>_xlfn.XLOOKUP(E:E,'[1]②7月-汇总'!$D:$D,'[1]②7月-汇总'!$AI:$AI)</f>
        <v>0</v>
      </c>
      <c r="AA88" s="45">
        <f t="shared" si="10"/>
        <v>4057.2759999999998</v>
      </c>
      <c r="AB88" s="11"/>
      <c r="AC88" s="50"/>
      <c r="AD88" s="11">
        <f>_xlfn.XLOOKUP(E:E,'[1]②7月-汇总'!$D:$D,'[1]②7月-汇总'!$AC:$AC)</f>
        <v>0</v>
      </c>
      <c r="AE88" s="11"/>
      <c r="AF88" s="11">
        <f>_xlfn.XLOOKUP(E:E,'[1]②7月-汇总'!$D:$D,'[1]②7月-汇总'!$AD:$AD)</f>
        <v>0</v>
      </c>
      <c r="AG88" s="11">
        <f>_xlfn.XLOOKUP(E:E,'[1]②7月-汇总'!$D:$D,'[1]②7月-汇总'!$Y:$Y)</f>
        <v>0</v>
      </c>
      <c r="AH88" s="11">
        <f>_xlfn.XLOOKUP(E:E,'[1]②7月-汇总'!$D:$D,'[1]②7月-汇总'!$L:$L)</f>
        <v>0</v>
      </c>
      <c r="AI88" s="11">
        <f>_xlfn.XLOOKUP(E:E,'[1]②7月-汇总'!$D:$D,'[1]②7月-汇总'!$X:$X)</f>
        <v>0</v>
      </c>
      <c r="AJ88" s="11">
        <f>_xlfn.XLOOKUP(E:E,'[1]②7月-汇总'!$D:$D,'[1]②7月-汇总'!$AB:$AB)</f>
        <v>0</v>
      </c>
      <c r="AK88" s="11">
        <f>_xlfn.XLOOKUP(E:E,'[1]②7月-汇总'!$D:$D,'[1]②7月-汇总'!$AE:$AE)</f>
        <v>0</v>
      </c>
      <c r="AL88" s="96"/>
      <c r="AM88" s="45">
        <f t="shared" si="12"/>
        <v>4057.2759999999998</v>
      </c>
      <c r="AN88" s="11">
        <f>_xlfn.XLOOKUP(E:E,'[1]①7月-花名册'!$E:$E,'[1]①7月-花名册'!$T:$T)</f>
        <v>0</v>
      </c>
      <c r="AO88" s="67"/>
      <c r="AP88" s="142">
        <f>_xlfn.XLOOKUP(E88,[9]工资核对的全字段!$C:$C,[9]工资核对的全字段!$CW:$CW,0)</f>
        <v>4057.2759999999998</v>
      </c>
      <c r="AQ88" s="36">
        <f t="shared" si="11"/>
        <v>0</v>
      </c>
    </row>
    <row r="89" spans="1:43" x14ac:dyDescent="0.15">
      <c r="A89" s="55" t="s">
        <v>41</v>
      </c>
      <c r="B89" s="62" t="s">
        <v>140</v>
      </c>
      <c r="C89" s="57" t="s">
        <v>141</v>
      </c>
      <c r="D89" s="58" t="s">
        <v>4</v>
      </c>
      <c r="E89" s="11" t="s">
        <v>144</v>
      </c>
      <c r="F89" s="11">
        <f t="shared" si="13"/>
        <v>4918</v>
      </c>
      <c r="G89" s="11">
        <v>4918</v>
      </c>
      <c r="H89" s="11">
        <v>0</v>
      </c>
      <c r="I89" s="11">
        <v>0</v>
      </c>
      <c r="J89" s="50"/>
      <c r="K89" s="11"/>
      <c r="L89" s="68">
        <f>F89/$K$90</f>
        <v>7.9109877152880884E-2</v>
      </c>
      <c r="M89" s="68">
        <v>0.04</v>
      </c>
      <c r="N89" s="45">
        <f t="shared" si="14"/>
        <v>186.88399999999999</v>
      </c>
      <c r="O89" s="45">
        <f t="shared" si="15"/>
        <v>0</v>
      </c>
      <c r="P89" s="45"/>
      <c r="Q89" s="45"/>
      <c r="R89" s="45">
        <f t="shared" si="9"/>
        <v>186.88399999999999</v>
      </c>
      <c r="S89" s="11">
        <f>_xlfn.XLOOKUP(E:E,'[1]②7月-汇总'!$D:$D,'[1]②7月-汇总'!$AP:$AP)</f>
        <v>31</v>
      </c>
      <c r="T89" s="45">
        <v>2000</v>
      </c>
      <c r="U89" s="11">
        <f>_xlfn.XLOOKUP(E:E,'[2]手工、项目数、消耗'!$C:$C,'[2]手工、项目数、消耗'!$E:$E)</f>
        <v>11679.15</v>
      </c>
      <c r="V89" s="11">
        <f>_xlfn.XLOOKUP(E:E,'[2]手工、项目数、消耗'!$C:$C,'[2]手工、项目数、消耗'!$D:$D)</f>
        <v>70</v>
      </c>
      <c r="W89" s="11">
        <f>_xlfn.XLOOKUP(E:E,'[2]手工、项目数、消耗'!$C:$C,'[2]手工、项目数、消耗'!$H:$H)</f>
        <v>896</v>
      </c>
      <c r="X89" s="11">
        <f>_xlfn.XLOOKUP(E:E,'[1]②7月-汇总'!$D:$D,'[1]②7月-汇总'!$W:$W)</f>
        <v>0</v>
      </c>
      <c r="Y89" s="11">
        <f>_xlfn.XLOOKUP(E:E,'[1]②7月-汇总'!$D:$D,'[1]②7月-汇总'!$Z:$Z)</f>
        <v>0</v>
      </c>
      <c r="Z89" s="11">
        <f>_xlfn.XLOOKUP(E:E,'[1]②7月-汇总'!$D:$D,'[1]②7月-汇总'!$AI:$AI)</f>
        <v>0</v>
      </c>
      <c r="AA89" s="45">
        <f t="shared" si="10"/>
        <v>3082.884</v>
      </c>
      <c r="AB89" s="11"/>
      <c r="AC89" s="11">
        <v>40</v>
      </c>
      <c r="AD89" s="11">
        <f>_xlfn.XLOOKUP(E:E,'[1]②7月-汇总'!$D:$D,'[1]②7月-汇总'!$AC:$AC)</f>
        <v>100</v>
      </c>
      <c r="AE89" s="11"/>
      <c r="AF89" s="11">
        <f>_xlfn.XLOOKUP(E:E,'[1]②7月-汇总'!$D:$D,'[1]②7月-汇总'!$AD:$AD)</f>
        <v>0</v>
      </c>
      <c r="AG89" s="11">
        <f>_xlfn.XLOOKUP(E:E,'[1]②7月-汇总'!$D:$D,'[1]②7月-汇总'!$Y:$Y)</f>
        <v>0</v>
      </c>
      <c r="AH89" s="11">
        <f>_xlfn.XLOOKUP(E:E,'[1]②7月-汇总'!$D:$D,'[1]②7月-汇总'!$L:$L)</f>
        <v>0</v>
      </c>
      <c r="AI89" s="11">
        <f>_xlfn.XLOOKUP(E:E,'[1]②7月-汇总'!$D:$D,'[1]②7月-汇总'!$X:$X)</f>
        <v>0</v>
      </c>
      <c r="AJ89" s="11">
        <f>_xlfn.XLOOKUP(E:E,'[1]②7月-汇总'!$D:$D,'[1]②7月-汇总'!$AB:$AB)</f>
        <v>0</v>
      </c>
      <c r="AK89" s="11">
        <f>_xlfn.XLOOKUP(E:E,'[1]②7月-汇总'!$D:$D,'[1]②7月-汇总'!$AE:$AE)</f>
        <v>0</v>
      </c>
      <c r="AL89" s="96">
        <v>417</v>
      </c>
      <c r="AM89" s="45">
        <f t="shared" si="12"/>
        <v>3359.884</v>
      </c>
      <c r="AN89" s="11">
        <f>_xlfn.XLOOKUP(E:E,'[1]①7月-花名册'!$E:$E,'[1]①7月-花名册'!$T:$T)</f>
        <v>3500</v>
      </c>
      <c r="AO89" s="67"/>
      <c r="AP89" s="142">
        <f>_xlfn.XLOOKUP(E89,[9]工资核对的全字段!$C:$C,[9]工资核对的全字段!$CW:$CW,0)</f>
        <v>3360</v>
      </c>
      <c r="AQ89" s="36">
        <f t="shared" si="11"/>
        <v>0.11599999999998545</v>
      </c>
    </row>
    <row r="90" spans="1:43" x14ac:dyDescent="0.15">
      <c r="A90" s="55" t="s">
        <v>41</v>
      </c>
      <c r="B90" s="62" t="str">
        <f>B89</f>
        <v>融创</v>
      </c>
      <c r="C90" s="57" t="s">
        <v>47</v>
      </c>
      <c r="D90" s="58" t="s">
        <v>47</v>
      </c>
      <c r="E90" s="58" t="s">
        <v>47</v>
      </c>
      <c r="F90" s="11">
        <f t="shared" si="13"/>
        <v>0</v>
      </c>
      <c r="G90" s="11">
        <v>0</v>
      </c>
      <c r="H90" s="11">
        <v>0</v>
      </c>
      <c r="I90" s="11">
        <v>0</v>
      </c>
      <c r="J90" s="50"/>
      <c r="K90" s="11">
        <v>62166.7</v>
      </c>
      <c r="L90" s="68"/>
      <c r="M90" s="68"/>
      <c r="N90" s="45">
        <f t="shared" si="14"/>
        <v>0</v>
      </c>
      <c r="O90" s="45">
        <f t="shared" si="15"/>
        <v>0</v>
      </c>
      <c r="P90" s="45"/>
      <c r="Q90" s="45"/>
      <c r="R90" s="45">
        <f t="shared" si="9"/>
        <v>0</v>
      </c>
      <c r="S90" s="11"/>
      <c r="T90" s="45"/>
      <c r="U90" s="11"/>
      <c r="V90" s="11"/>
      <c r="W90" s="11"/>
      <c r="X90" s="11"/>
      <c r="Y90" s="11"/>
      <c r="Z90" s="11"/>
      <c r="AA90" s="45">
        <f t="shared" si="10"/>
        <v>0</v>
      </c>
      <c r="AB90" s="11"/>
      <c r="AC90" s="50"/>
      <c r="AD90" s="11"/>
      <c r="AE90" s="11"/>
      <c r="AF90" s="11"/>
      <c r="AG90" s="11"/>
      <c r="AH90" s="11"/>
      <c r="AI90" s="11"/>
      <c r="AJ90" s="11"/>
      <c r="AK90" s="11"/>
      <c r="AL90" s="96"/>
      <c r="AM90" s="45">
        <f t="shared" si="12"/>
        <v>0</v>
      </c>
      <c r="AN90" s="11"/>
      <c r="AO90" s="67"/>
      <c r="AP90" s="142">
        <f>_xlfn.XLOOKUP(E90,[9]工资核对的全字段!$C:$C,[9]工资核对的全字段!$CW:$CW,0)</f>
        <v>0</v>
      </c>
      <c r="AQ90" s="36">
        <f t="shared" si="11"/>
        <v>0</v>
      </c>
    </row>
    <row r="91" spans="1:43" x14ac:dyDescent="0.15">
      <c r="A91" s="55" t="s">
        <v>41</v>
      </c>
      <c r="B91" s="62" t="s">
        <v>140</v>
      </c>
      <c r="C91" s="57" t="s">
        <v>145</v>
      </c>
      <c r="D91" s="58" t="s">
        <v>43</v>
      </c>
      <c r="E91" s="58" t="s">
        <v>146</v>
      </c>
      <c r="F91" s="11">
        <f t="shared" si="13"/>
        <v>41947.8</v>
      </c>
      <c r="G91" s="11">
        <v>41947.8</v>
      </c>
      <c r="H91" s="11">
        <v>0</v>
      </c>
      <c r="I91" s="11">
        <v>0</v>
      </c>
      <c r="J91" s="50"/>
      <c r="K91" s="11"/>
      <c r="L91" s="68">
        <f>F91/$K$94</f>
        <v>0.46477342353771511</v>
      </c>
      <c r="M91" s="68">
        <v>0.05</v>
      </c>
      <c r="N91" s="45">
        <f t="shared" si="14"/>
        <v>1992.5205000000003</v>
      </c>
      <c r="O91" s="45">
        <f t="shared" si="15"/>
        <v>0</v>
      </c>
      <c r="P91" s="45">
        <f>K94*0.008</f>
        <v>722.03440000000001</v>
      </c>
      <c r="Q91" s="45"/>
      <c r="R91" s="45">
        <f t="shared" si="9"/>
        <v>2714.5549000000001</v>
      </c>
      <c r="S91" s="11">
        <f>_xlfn.XLOOKUP(E:E,'[1]②7月-汇总'!$D:$D,'[1]②7月-汇总'!$AP:$AP)</f>
        <v>31</v>
      </c>
      <c r="T91" s="45">
        <v>2000</v>
      </c>
      <c r="U91" s="11">
        <f>_xlfn.XLOOKUP(E:E,'[2]手工、项目数、消耗'!$C:$C,'[2]手工、项目数、消耗'!$E:$E)</f>
        <v>18391.38</v>
      </c>
      <c r="V91" s="11">
        <f>_xlfn.XLOOKUP(E:E,'[2]手工、项目数、消耗'!$C:$C,'[2]手工、项目数、消耗'!$D:$D)</f>
        <v>69</v>
      </c>
      <c r="W91" s="11">
        <f>_xlfn.XLOOKUP(E:E,'[2]手工、项目数、消耗'!$C:$C,'[2]手工、项目数、消耗'!$H:$H)</f>
        <v>1034</v>
      </c>
      <c r="X91" s="11">
        <f>_xlfn.XLOOKUP(E:E,'[1]②7月-汇总'!$D:$D,'[1]②7月-汇总'!$W:$W)</f>
        <v>0</v>
      </c>
      <c r="Y91" s="11">
        <f>_xlfn.XLOOKUP(E:E,'[1]②7月-汇总'!$D:$D,'[1]②7月-汇总'!$Z:$Z)</f>
        <v>0</v>
      </c>
      <c r="Z91" s="11">
        <f>_xlfn.XLOOKUP(E:E,'[1]②7月-汇总'!$D:$D,'[1]②7月-汇总'!$AI:$AI)</f>
        <v>0</v>
      </c>
      <c r="AA91" s="45">
        <f t="shared" si="10"/>
        <v>5748.5549000000001</v>
      </c>
      <c r="AB91" s="11">
        <v>500</v>
      </c>
      <c r="AC91" s="50"/>
      <c r="AD91" s="11">
        <f>_xlfn.XLOOKUP(E:E,'[1]②7月-汇总'!$D:$D,'[1]②7月-汇总'!$AC:$AC)</f>
        <v>0</v>
      </c>
      <c r="AE91" s="11"/>
      <c r="AF91" s="11">
        <f>_xlfn.XLOOKUP(E:E,'[1]②7月-汇总'!$D:$D,'[1]②7月-汇总'!$AD:$AD)</f>
        <v>0</v>
      </c>
      <c r="AG91" s="11">
        <f>_xlfn.XLOOKUP(E:E,'[1]②7月-汇总'!$D:$D,'[1]②7月-汇总'!$Y:$Y)</f>
        <v>0</v>
      </c>
      <c r="AH91" s="11">
        <f>_xlfn.XLOOKUP(E:E,'[1]②7月-汇总'!$D:$D,'[1]②7月-汇总'!$L:$L)</f>
        <v>0</v>
      </c>
      <c r="AI91" s="11">
        <f>_xlfn.XLOOKUP(E:E,'[1]②7月-汇总'!$D:$D,'[1]②7月-汇总'!$X:$X)</f>
        <v>10</v>
      </c>
      <c r="AJ91" s="11">
        <f>_xlfn.XLOOKUP(E:E,'[1]②7月-汇总'!$D:$D,'[1]②7月-汇总'!$AB:$AB)</f>
        <v>0</v>
      </c>
      <c r="AK91" s="11">
        <f>_xlfn.XLOOKUP(E:E,'[1]②7月-汇总'!$D:$D,'[1]②7月-汇总'!$AE:$AE)</f>
        <v>0</v>
      </c>
      <c r="AL91" s="96"/>
      <c r="AM91" s="45">
        <f t="shared" si="12"/>
        <v>6238.5549000000001</v>
      </c>
      <c r="AN91" s="11">
        <f>_xlfn.XLOOKUP(E:E,'[1]①7月-花名册'!$E:$E,'[1]①7月-花名册'!$T:$T)</f>
        <v>0</v>
      </c>
      <c r="AO91" s="67"/>
      <c r="AP91" s="142">
        <f>_xlfn.XLOOKUP(E91,[9]工资核对的全字段!$C:$C,[9]工资核对的全字段!$CW:$CW,0)</f>
        <v>6238.5605000000005</v>
      </c>
      <c r="AQ91" s="36">
        <f t="shared" si="11"/>
        <v>5.6000000004132744E-3</v>
      </c>
    </row>
    <row r="92" spans="1:43" x14ac:dyDescent="0.15">
      <c r="A92" s="55" t="s">
        <v>41</v>
      </c>
      <c r="B92" s="62" t="s">
        <v>140</v>
      </c>
      <c r="C92" s="57" t="s">
        <v>145</v>
      </c>
      <c r="D92" s="58" t="s">
        <v>4</v>
      </c>
      <c r="E92" s="58" t="s">
        <v>147</v>
      </c>
      <c r="F92" s="11">
        <f t="shared" si="13"/>
        <v>43731</v>
      </c>
      <c r="G92" s="11">
        <v>43731</v>
      </c>
      <c r="H92" s="11">
        <v>0</v>
      </c>
      <c r="I92" s="11">
        <v>0</v>
      </c>
      <c r="J92" s="50"/>
      <c r="K92" s="11"/>
      <c r="L92" s="68">
        <f>F92/$K$94</f>
        <v>0.48453093093625454</v>
      </c>
      <c r="M92" s="68">
        <v>0.05</v>
      </c>
      <c r="N92" s="45">
        <f t="shared" si="14"/>
        <v>2077.2224999999999</v>
      </c>
      <c r="O92" s="45">
        <f t="shared" si="15"/>
        <v>0</v>
      </c>
      <c r="P92" s="45"/>
      <c r="Q92" s="45"/>
      <c r="R92" s="45">
        <f t="shared" si="9"/>
        <v>2077.2224999999999</v>
      </c>
      <c r="S92" s="11">
        <f>_xlfn.XLOOKUP(E:E,'[1]②7月-汇总'!$D:$D,'[1]②7月-汇总'!$AP:$AP)</f>
        <v>31</v>
      </c>
      <c r="T92" s="45">
        <v>2000</v>
      </c>
      <c r="U92" s="11">
        <f>_xlfn.XLOOKUP(E:E,'[2]手工、项目数、消耗'!$C:$C,'[2]手工、项目数、消耗'!$E:$E)</f>
        <v>34300.11</v>
      </c>
      <c r="V92" s="11">
        <f>_xlfn.XLOOKUP(E:E,'[2]手工、项目数、消耗'!$C:$C,'[2]手工、项目数、消耗'!$D:$D)</f>
        <v>89</v>
      </c>
      <c r="W92" s="11">
        <f>_xlfn.XLOOKUP(E:E,'[2]手工、项目数、消耗'!$C:$C,'[2]手工、项目数、消耗'!$H:$H)</f>
        <v>1093</v>
      </c>
      <c r="X92" s="11">
        <f>_xlfn.XLOOKUP(E:E,'[1]②7月-汇总'!$D:$D,'[1]②7月-汇总'!$W:$W)</f>
        <v>0</v>
      </c>
      <c r="Y92" s="11">
        <f>_xlfn.XLOOKUP(E:E,'[1]②7月-汇总'!$D:$D,'[1]②7月-汇总'!$Z:$Z)</f>
        <v>0</v>
      </c>
      <c r="Z92" s="11">
        <f>_xlfn.XLOOKUP(E:E,'[1]②7月-汇总'!$D:$D,'[1]②7月-汇总'!$AI:$AI)</f>
        <v>0</v>
      </c>
      <c r="AA92" s="45">
        <f t="shared" si="10"/>
        <v>5170.2224999999999</v>
      </c>
      <c r="AB92" s="11"/>
      <c r="AC92" s="50"/>
      <c r="AD92" s="11">
        <f>_xlfn.XLOOKUP(E:E,'[1]②7月-汇总'!$D:$D,'[1]②7月-汇总'!$AC:$AC)</f>
        <v>100</v>
      </c>
      <c r="AE92" s="11"/>
      <c r="AF92" s="11">
        <f>_xlfn.XLOOKUP(E:E,'[1]②7月-汇总'!$D:$D,'[1]②7月-汇总'!$AD:$AD)</f>
        <v>0</v>
      </c>
      <c r="AG92" s="11">
        <f>_xlfn.XLOOKUP(E:E,'[1]②7月-汇总'!$D:$D,'[1]②7月-汇总'!$Y:$Y)</f>
        <v>0</v>
      </c>
      <c r="AH92" s="11">
        <f>_xlfn.XLOOKUP(E:E,'[1]②7月-汇总'!$D:$D,'[1]②7月-汇总'!$L:$L)</f>
        <v>0</v>
      </c>
      <c r="AI92" s="11">
        <f>_xlfn.XLOOKUP(E:E,'[1]②7月-汇总'!$D:$D,'[1]②7月-汇总'!$X:$X)</f>
        <v>0</v>
      </c>
      <c r="AJ92" s="11">
        <f>_xlfn.XLOOKUP(E:E,'[1]②7月-汇总'!$D:$D,'[1]②7月-汇总'!$AB:$AB)</f>
        <v>0</v>
      </c>
      <c r="AK92" s="11">
        <f>_xlfn.XLOOKUP(E:E,'[1]②7月-汇总'!$D:$D,'[1]②7月-汇总'!$AE:$AE)</f>
        <v>0</v>
      </c>
      <c r="AL92" s="96"/>
      <c r="AM92" s="45">
        <f t="shared" si="12"/>
        <v>5070.2224999999999</v>
      </c>
      <c r="AN92" s="11">
        <f>_xlfn.XLOOKUP(E:E,'[1]①7月-花名册'!$E:$E,'[1]①7月-花名册'!$T:$T)</f>
        <v>0</v>
      </c>
      <c r="AO92" s="67"/>
      <c r="AP92" s="142">
        <f>_xlfn.XLOOKUP(E92,[9]工资核对的全字段!$C:$C,[9]工资核对的全字段!$CW:$CW,0)</f>
        <v>5070.2224999999999</v>
      </c>
      <c r="AQ92" s="36">
        <f t="shared" si="11"/>
        <v>0</v>
      </c>
    </row>
    <row r="93" spans="1:43" x14ac:dyDescent="0.15">
      <c r="A93" s="55" t="s">
        <v>41</v>
      </c>
      <c r="B93" s="62" t="s">
        <v>140</v>
      </c>
      <c r="C93" s="57" t="s">
        <v>145</v>
      </c>
      <c r="D93" s="58" t="s">
        <v>4</v>
      </c>
      <c r="E93" s="58" t="s">
        <v>148</v>
      </c>
      <c r="F93" s="11">
        <f t="shared" si="13"/>
        <v>4575.5</v>
      </c>
      <c r="G93" s="11">
        <v>4575.5</v>
      </c>
      <c r="H93" s="11">
        <v>0</v>
      </c>
      <c r="I93" s="11">
        <v>0</v>
      </c>
      <c r="J93" s="50"/>
      <c r="K93" s="11"/>
      <c r="L93" s="68">
        <f>F93/$K$94</f>
        <v>5.0695645526030335E-2</v>
      </c>
      <c r="M93" s="68">
        <v>0.05</v>
      </c>
      <c r="N93" s="45">
        <f t="shared" si="14"/>
        <v>217.33624999999998</v>
      </c>
      <c r="O93" s="45">
        <f t="shared" si="15"/>
        <v>0</v>
      </c>
      <c r="P93" s="45"/>
      <c r="Q93" s="45"/>
      <c r="R93" s="45">
        <f t="shared" si="9"/>
        <v>217.33624999999998</v>
      </c>
      <c r="S93" s="11">
        <f>_xlfn.XLOOKUP(E:E,'[1]②7月-汇总'!$D:$D,'[1]②7月-汇总'!$AP:$AP)</f>
        <v>31</v>
      </c>
      <c r="T93" s="45">
        <v>2000</v>
      </c>
      <c r="U93" s="11">
        <f>_xlfn.XLOOKUP(E:E,'[2]手工、项目数、消耗'!$C:$C,'[2]手工、项目数、消耗'!$E:$E)</f>
        <v>11535.34</v>
      </c>
      <c r="V93" s="11">
        <f>_xlfn.XLOOKUP(E:E,'[2]手工、项目数、消耗'!$C:$C,'[2]手工、项目数、消耗'!$D:$D)</f>
        <v>82</v>
      </c>
      <c r="W93" s="11">
        <f>_xlfn.XLOOKUP(E:E,'[2]手工、项目数、消耗'!$C:$C,'[2]手工、项目数、消耗'!$H:$H)</f>
        <v>1032</v>
      </c>
      <c r="X93" s="11">
        <f>_xlfn.XLOOKUP(E:E,'[1]②7月-汇总'!$D:$D,'[1]②7月-汇总'!$W:$W)</f>
        <v>0</v>
      </c>
      <c r="Y93" s="11">
        <f>_xlfn.XLOOKUP(E:E,'[1]②7月-汇总'!$D:$D,'[1]②7月-汇总'!$Z:$Z)</f>
        <v>0</v>
      </c>
      <c r="Z93" s="11">
        <f>_xlfn.XLOOKUP(E:E,'[1]②7月-汇总'!$D:$D,'[1]②7月-汇总'!$AI:$AI)</f>
        <v>0</v>
      </c>
      <c r="AA93" s="45">
        <f t="shared" si="10"/>
        <v>3249.3362499999998</v>
      </c>
      <c r="AB93" s="11"/>
      <c r="AC93" s="11">
        <v>80</v>
      </c>
      <c r="AD93" s="11">
        <f>_xlfn.XLOOKUP(E:E,'[1]②7月-汇总'!$D:$D,'[1]②7月-汇总'!$AC:$AC)</f>
        <v>0</v>
      </c>
      <c r="AE93" s="11"/>
      <c r="AF93" s="11">
        <f>_xlfn.XLOOKUP(E:E,'[1]②7月-汇总'!$D:$D,'[1]②7月-汇总'!$AD:$AD)</f>
        <v>0</v>
      </c>
      <c r="AG93" s="11">
        <f>_xlfn.XLOOKUP(E:E,'[1]②7月-汇总'!$D:$D,'[1]②7月-汇总'!$Y:$Y)</f>
        <v>0</v>
      </c>
      <c r="AH93" s="11">
        <f>_xlfn.XLOOKUP(E:E,'[1]②7月-汇总'!$D:$D,'[1]②7月-汇总'!$L:$L)</f>
        <v>0</v>
      </c>
      <c r="AI93" s="11">
        <f>_xlfn.XLOOKUP(E:E,'[1]②7月-汇总'!$D:$D,'[1]②7月-汇总'!$X:$X)</f>
        <v>10</v>
      </c>
      <c r="AJ93" s="11">
        <f>_xlfn.XLOOKUP(E:E,'[1]②7月-汇总'!$D:$D,'[1]②7月-汇总'!$AB:$AB)</f>
        <v>0</v>
      </c>
      <c r="AK93" s="11">
        <f>_xlfn.XLOOKUP(E:E,'[1]②7月-汇总'!$D:$D,'[1]②7月-汇总'!$AE:$AE)</f>
        <v>0</v>
      </c>
      <c r="AL93" s="96">
        <v>751</v>
      </c>
      <c r="AM93" s="45">
        <f t="shared" si="12"/>
        <v>3910.3362499999998</v>
      </c>
      <c r="AN93" s="11">
        <f>_xlfn.XLOOKUP(E:E,'[1]①7月-花名册'!$E:$E,'[1]①7月-花名册'!$T:$T)</f>
        <v>4000</v>
      </c>
      <c r="AO93" s="67"/>
      <c r="AP93" s="142">
        <f>_xlfn.XLOOKUP(E93,[9]工资核对的全字段!$C:$C,[9]工资核对的全字段!$CW:$CW,0)</f>
        <v>3910</v>
      </c>
      <c r="AQ93" s="36">
        <f t="shared" si="11"/>
        <v>-0.33624999999983629</v>
      </c>
    </row>
    <row r="94" spans="1:43" x14ac:dyDescent="0.15">
      <c r="A94" s="55" t="s">
        <v>41</v>
      </c>
      <c r="B94" s="62" t="s">
        <v>140</v>
      </c>
      <c r="C94" s="57" t="s">
        <v>47</v>
      </c>
      <c r="D94" s="58" t="s">
        <v>47</v>
      </c>
      <c r="E94" s="58" t="s">
        <v>47</v>
      </c>
      <c r="F94" s="11">
        <f t="shared" si="13"/>
        <v>0</v>
      </c>
      <c r="G94" s="11">
        <v>0</v>
      </c>
      <c r="H94" s="11">
        <v>0</v>
      </c>
      <c r="I94" s="11">
        <v>0</v>
      </c>
      <c r="J94" s="50"/>
      <c r="K94" s="11">
        <v>90254.3</v>
      </c>
      <c r="L94" s="68"/>
      <c r="M94" s="68"/>
      <c r="N94" s="45">
        <f t="shared" si="14"/>
        <v>0</v>
      </c>
      <c r="O94" s="45">
        <f t="shared" si="15"/>
        <v>0</v>
      </c>
      <c r="P94" s="45"/>
      <c r="Q94" s="45"/>
      <c r="R94" s="45">
        <f t="shared" si="9"/>
        <v>0</v>
      </c>
      <c r="S94" s="11"/>
      <c r="T94" s="45"/>
      <c r="U94" s="11"/>
      <c r="V94" s="11"/>
      <c r="W94" s="11"/>
      <c r="X94" s="11"/>
      <c r="Y94" s="11"/>
      <c r="Z94" s="11"/>
      <c r="AA94" s="45">
        <f t="shared" si="10"/>
        <v>0</v>
      </c>
      <c r="AB94" s="11"/>
      <c r="AC94" s="50"/>
      <c r="AD94" s="11"/>
      <c r="AE94" s="11"/>
      <c r="AF94" s="11"/>
      <c r="AG94" s="11"/>
      <c r="AH94" s="11"/>
      <c r="AI94" s="11"/>
      <c r="AJ94" s="11"/>
      <c r="AK94" s="11"/>
      <c r="AL94" s="96"/>
      <c r="AM94" s="45">
        <f t="shared" si="12"/>
        <v>0</v>
      </c>
      <c r="AN94" s="11"/>
      <c r="AO94" s="67"/>
      <c r="AP94" s="142">
        <f>_xlfn.XLOOKUP(E94,[9]工资核对的全字段!$C:$C,[9]工资核对的全字段!$CW:$CW,0)</f>
        <v>0</v>
      </c>
      <c r="AQ94" s="36">
        <f t="shared" si="11"/>
        <v>0</v>
      </c>
    </row>
    <row r="95" spans="1:43" x14ac:dyDescent="0.15">
      <c r="A95" s="55" t="s">
        <v>41</v>
      </c>
      <c r="B95" s="62" t="s">
        <v>140</v>
      </c>
      <c r="C95" s="60" t="s">
        <v>9</v>
      </c>
      <c r="D95" s="61" t="s">
        <v>9</v>
      </c>
      <c r="E95" s="61" t="s">
        <v>149</v>
      </c>
      <c r="F95" s="11">
        <f t="shared" si="13"/>
        <v>0</v>
      </c>
      <c r="G95" s="11">
        <v>0</v>
      </c>
      <c r="H95" s="11">
        <v>0</v>
      </c>
      <c r="I95" s="11">
        <v>0</v>
      </c>
      <c r="J95" s="50"/>
      <c r="K95" s="11"/>
      <c r="L95" s="68"/>
      <c r="M95" s="68"/>
      <c r="N95" s="45">
        <f t="shared" si="14"/>
        <v>0</v>
      </c>
      <c r="O95" s="45">
        <f t="shared" si="15"/>
        <v>0</v>
      </c>
      <c r="P95" s="45"/>
      <c r="Q95" s="45">
        <v>381</v>
      </c>
      <c r="R95" s="45">
        <f t="shared" si="9"/>
        <v>381</v>
      </c>
      <c r="S95" s="11"/>
      <c r="T95" s="45"/>
      <c r="U95" s="11"/>
      <c r="V95" s="11"/>
      <c r="W95" s="11"/>
      <c r="X95" s="11"/>
      <c r="Y95" s="11"/>
      <c r="Z95" s="11"/>
      <c r="AA95" s="45">
        <f t="shared" si="10"/>
        <v>381</v>
      </c>
      <c r="AB95" s="11"/>
      <c r="AC95" s="50"/>
      <c r="AD95" s="11"/>
      <c r="AE95" s="11"/>
      <c r="AF95" s="11"/>
      <c r="AG95" s="11"/>
      <c r="AH95" s="11"/>
      <c r="AI95" s="11"/>
      <c r="AJ95" s="11"/>
      <c r="AK95" s="11"/>
      <c r="AL95" s="96"/>
      <c r="AM95" s="45">
        <f t="shared" si="12"/>
        <v>381</v>
      </c>
      <c r="AN95" s="11"/>
      <c r="AO95" s="67"/>
      <c r="AP95" s="142">
        <f>_xlfn.XLOOKUP(E95,[9]工资核对的全字段!$C:$C,[9]工资核对的全字段!$CW:$CW,0)</f>
        <v>381.05250000000001</v>
      </c>
      <c r="AQ95" s="36">
        <f t="shared" si="11"/>
        <v>5.2500000000009095E-2</v>
      </c>
    </row>
    <row r="96" spans="1:43" x14ac:dyDescent="0.15">
      <c r="A96" s="55" t="s">
        <v>41</v>
      </c>
      <c r="B96" s="62" t="s">
        <v>150</v>
      </c>
      <c r="C96" s="57" t="s">
        <v>151</v>
      </c>
      <c r="D96" s="58" t="s">
        <v>43</v>
      </c>
      <c r="E96" s="58" t="s">
        <v>152</v>
      </c>
      <c r="F96" s="11">
        <f t="shared" si="13"/>
        <v>50807.6</v>
      </c>
      <c r="G96" s="11">
        <v>41007.599999999999</v>
      </c>
      <c r="H96" s="11">
        <v>9800</v>
      </c>
      <c r="I96" s="11">
        <v>0</v>
      </c>
      <c r="J96" s="50"/>
      <c r="K96" s="11"/>
      <c r="L96" s="68">
        <f>F96/$K$99</f>
        <v>0.55157185319961521</v>
      </c>
      <c r="M96" s="68">
        <v>0.05</v>
      </c>
      <c r="N96" s="45">
        <f t="shared" si="14"/>
        <v>1947.8609999999999</v>
      </c>
      <c r="O96" s="45">
        <f t="shared" si="15"/>
        <v>302.57499999999999</v>
      </c>
      <c r="P96" s="45">
        <f>K99*0.008</f>
        <v>736.91359999999997</v>
      </c>
      <c r="Q96" s="45"/>
      <c r="R96" s="45">
        <f t="shared" si="9"/>
        <v>2987.3495999999996</v>
      </c>
      <c r="S96" s="11">
        <f>_xlfn.XLOOKUP(E:E,'[1]②7月-汇总'!$D:$D,'[1]②7月-汇总'!$AP:$AP)</f>
        <v>31</v>
      </c>
      <c r="T96" s="45">
        <v>2200</v>
      </c>
      <c r="U96" s="11">
        <f>_xlfn.XLOOKUP(E:E,'[2]手工、项目数、消耗'!$C:$C,'[2]手工、项目数、消耗'!$E:$E)</f>
        <v>36070.199999999997</v>
      </c>
      <c r="V96" s="11">
        <f>_xlfn.XLOOKUP(E:E,'[2]手工、项目数、消耗'!$C:$C,'[2]手工、项目数、消耗'!$D:$D)</f>
        <v>128.5</v>
      </c>
      <c r="W96" s="11">
        <f>_xlfn.XLOOKUP(E:E,'[2]手工、项目数、消耗'!$C:$C,'[2]手工、项目数、消耗'!$H:$H)</f>
        <v>1779.5</v>
      </c>
      <c r="X96" s="11">
        <f>_xlfn.XLOOKUP(E:E,'[1]②7月-汇总'!$D:$D,'[1]②7月-汇总'!$W:$W)</f>
        <v>0</v>
      </c>
      <c r="Y96" s="11">
        <f>_xlfn.XLOOKUP(E:E,'[1]②7月-汇总'!$D:$D,'[1]②7月-汇总'!$Z:$Z)</f>
        <v>50</v>
      </c>
      <c r="Z96" s="11">
        <f>_xlfn.XLOOKUP(E:E,'[1]②7月-汇总'!$D:$D,'[1]②7月-汇总'!$AI:$AI)</f>
        <v>0</v>
      </c>
      <c r="AA96" s="45">
        <f t="shared" si="10"/>
        <v>7016.8495999999996</v>
      </c>
      <c r="AB96" s="11"/>
      <c r="AC96" s="50"/>
      <c r="AD96" s="11">
        <f>_xlfn.XLOOKUP(E:E,'[1]②7月-汇总'!$D:$D,'[1]②7月-汇总'!$AC:$AC)</f>
        <v>0</v>
      </c>
      <c r="AE96" s="11">
        <f>_xlfn.XLOOKUP(E:E,[3]Sheet1!$B:$B,[3]Sheet1!$L:$L)</f>
        <v>640.55999999999995</v>
      </c>
      <c r="AF96" s="11">
        <f>_xlfn.XLOOKUP(E:E,'[1]②7月-汇总'!$D:$D,'[1]②7月-汇总'!$AD:$AD)</f>
        <v>0</v>
      </c>
      <c r="AG96" s="11">
        <f>_xlfn.XLOOKUP(E:E,'[1]②7月-汇总'!$D:$D,'[1]②7月-汇总'!$Y:$Y)</f>
        <v>0</v>
      </c>
      <c r="AH96" s="11">
        <f>_xlfn.XLOOKUP(E:E,'[1]②7月-汇总'!$D:$D,'[1]②7月-汇总'!$L:$L)</f>
        <v>0</v>
      </c>
      <c r="AI96" s="11">
        <f>_xlfn.XLOOKUP(E:E,'[1]②7月-汇总'!$D:$D,'[1]②7月-汇总'!$X:$X)</f>
        <v>0</v>
      </c>
      <c r="AJ96" s="11">
        <f>_xlfn.XLOOKUP(E:E,'[1]②7月-汇总'!$D:$D,'[1]②7月-汇总'!$AB:$AB)</f>
        <v>0</v>
      </c>
      <c r="AK96" s="11">
        <f>_xlfn.XLOOKUP(E:E,'[1]②7月-汇总'!$D:$D,'[1]②7月-汇总'!$AE:$AE)</f>
        <v>0</v>
      </c>
      <c r="AL96" s="96"/>
      <c r="AM96" s="45">
        <f t="shared" si="12"/>
        <v>6376.2896000000001</v>
      </c>
      <c r="AN96" s="11">
        <f>_xlfn.XLOOKUP(E:E,'[1]①7月-花名册'!$E:$E,'[1]①7月-花名册'!$T:$T)</f>
        <v>0</v>
      </c>
      <c r="AO96" s="67"/>
      <c r="AP96" s="142">
        <f>_xlfn.XLOOKUP(E96,[9]工资核对的全字段!$C:$C,[9]工资核对的全字段!$CW:$CW,0)</f>
        <v>6376.2960000000003</v>
      </c>
      <c r="AQ96" s="36">
        <f t="shared" si="11"/>
        <v>6.400000000212458E-3</v>
      </c>
    </row>
    <row r="97" spans="1:43" x14ac:dyDescent="0.15">
      <c r="A97" s="55" t="s">
        <v>41</v>
      </c>
      <c r="B97" s="62" t="s">
        <v>150</v>
      </c>
      <c r="C97" s="57" t="s">
        <v>151</v>
      </c>
      <c r="D97" s="58" t="s">
        <v>4</v>
      </c>
      <c r="E97" s="58" t="s">
        <v>153</v>
      </c>
      <c r="F97" s="11">
        <f t="shared" si="13"/>
        <v>2281.5</v>
      </c>
      <c r="G97" s="11">
        <v>2281.5</v>
      </c>
      <c r="H97" s="11">
        <v>0</v>
      </c>
      <c r="I97" s="11">
        <v>0</v>
      </c>
      <c r="J97" s="50"/>
      <c r="K97" s="11"/>
      <c r="L97" s="68">
        <f>F97/$K$99</f>
        <v>2.4768168208593247E-2</v>
      </c>
      <c r="M97" s="68">
        <v>0.05</v>
      </c>
      <c r="N97" s="45">
        <f t="shared" si="14"/>
        <v>108.37124999999999</v>
      </c>
      <c r="O97" s="45">
        <f t="shared" si="15"/>
        <v>0</v>
      </c>
      <c r="P97" s="45"/>
      <c r="Q97" s="45"/>
      <c r="R97" s="45">
        <f t="shared" si="9"/>
        <v>108.37124999999999</v>
      </c>
      <c r="S97" s="11">
        <f>_xlfn.XLOOKUP(E:E,'[1]②7月-汇总'!$D:$D,'[1]②7月-汇总'!$AP:$AP)</f>
        <v>31</v>
      </c>
      <c r="T97" s="45">
        <v>2000</v>
      </c>
      <c r="U97" s="11">
        <f>_xlfn.XLOOKUP(E:E,'[2]手工、项目数、消耗'!$C:$C,'[2]手工、项目数、消耗'!$E:$E)</f>
        <v>15290.08</v>
      </c>
      <c r="V97" s="11">
        <f>_xlfn.XLOOKUP(E:E,'[2]手工、项目数、消耗'!$C:$C,'[2]手工、项目数、消耗'!$D:$D)</f>
        <v>114</v>
      </c>
      <c r="W97" s="11">
        <f>_xlfn.XLOOKUP(E:E,'[2]手工、项目数、消耗'!$C:$C,'[2]手工、项目数、消耗'!$H:$H)</f>
        <v>1466</v>
      </c>
      <c r="X97" s="11">
        <f>_xlfn.XLOOKUP(E:E,'[1]②7月-汇总'!$D:$D,'[1]②7月-汇总'!$W:$W)</f>
        <v>0</v>
      </c>
      <c r="Y97" s="11">
        <f>_xlfn.XLOOKUP(E:E,'[1]②7月-汇总'!$D:$D,'[1]②7月-汇总'!$Z:$Z)</f>
        <v>0</v>
      </c>
      <c r="Z97" s="11">
        <f>_xlfn.XLOOKUP(E:E,'[1]②7月-汇总'!$D:$D,'[1]②7月-汇总'!$AI:$AI)</f>
        <v>0</v>
      </c>
      <c r="AA97" s="45">
        <f t="shared" si="10"/>
        <v>3574.3712500000001</v>
      </c>
      <c r="AB97" s="11"/>
      <c r="AC97" s="50"/>
      <c r="AD97" s="11">
        <f>_xlfn.XLOOKUP(E:E,'[1]②7月-汇总'!$D:$D,'[1]②7月-汇总'!$AC:$AC)</f>
        <v>0</v>
      </c>
      <c r="AE97" s="11"/>
      <c r="AF97" s="11">
        <f>_xlfn.XLOOKUP(E:E,'[1]②7月-汇总'!$D:$D,'[1]②7月-汇总'!$AD:$AD)</f>
        <v>0</v>
      </c>
      <c r="AG97" s="11">
        <f>_xlfn.XLOOKUP(E:E,'[1]②7月-汇总'!$D:$D,'[1]②7月-汇总'!$Y:$Y)</f>
        <v>0</v>
      </c>
      <c r="AH97" s="11">
        <f>_xlfn.XLOOKUP(E:E,'[1]②7月-汇总'!$D:$D,'[1]②7月-汇总'!$L:$L)</f>
        <v>0</v>
      </c>
      <c r="AI97" s="11">
        <f>_xlfn.XLOOKUP(E:E,'[1]②7月-汇总'!$D:$D,'[1]②7月-汇总'!$X:$X)</f>
        <v>150</v>
      </c>
      <c r="AJ97" s="11">
        <f>_xlfn.XLOOKUP(E:E,'[1]②7月-汇总'!$D:$D,'[1]②7月-汇总'!$AB:$AB)</f>
        <v>0</v>
      </c>
      <c r="AK97" s="11">
        <f>_xlfn.XLOOKUP(E:E,'[1]②7月-汇总'!$D:$D,'[1]②7月-汇总'!$AE:$AE)</f>
        <v>0</v>
      </c>
      <c r="AL97" s="96"/>
      <c r="AM97" s="45">
        <f t="shared" si="12"/>
        <v>3424.3712500000001</v>
      </c>
      <c r="AN97" s="11">
        <f>_xlfn.XLOOKUP(E:E,'[1]①7月-花名册'!$E:$E,'[1]①7月-花名册'!$T:$T)</f>
        <v>0</v>
      </c>
      <c r="AO97" s="67"/>
      <c r="AP97" s="142">
        <f>_xlfn.XLOOKUP(E97,[9]工资核对的全字段!$C:$C,[9]工资核对的全字段!$CW:$CW,0)</f>
        <v>3424.3712500000001</v>
      </c>
      <c r="AQ97" s="36">
        <f t="shared" si="11"/>
        <v>0</v>
      </c>
    </row>
    <row r="98" spans="1:43" x14ac:dyDescent="0.15">
      <c r="A98" s="55" t="s">
        <v>41</v>
      </c>
      <c r="B98" s="62" t="s">
        <v>150</v>
      </c>
      <c r="C98" s="57" t="s">
        <v>151</v>
      </c>
      <c r="D98" s="58" t="s">
        <v>4</v>
      </c>
      <c r="E98" s="98" t="s">
        <v>154</v>
      </c>
      <c r="F98" s="11">
        <f t="shared" si="13"/>
        <v>39025.1</v>
      </c>
      <c r="G98" s="11">
        <v>39025.1</v>
      </c>
      <c r="H98" s="11">
        <v>0</v>
      </c>
      <c r="I98" s="11">
        <v>0</v>
      </c>
      <c r="J98" s="50"/>
      <c r="K98" s="11"/>
      <c r="L98" s="68">
        <f>F98/$K$99</f>
        <v>0.4236599785917915</v>
      </c>
      <c r="M98" s="68">
        <v>0.05</v>
      </c>
      <c r="N98" s="45">
        <f t="shared" si="14"/>
        <v>1853.6922499999998</v>
      </c>
      <c r="O98" s="45">
        <f t="shared" si="15"/>
        <v>0</v>
      </c>
      <c r="P98" s="45"/>
      <c r="Q98" s="45"/>
      <c r="R98" s="45">
        <f t="shared" si="9"/>
        <v>1853.6922499999998</v>
      </c>
      <c r="S98" s="11">
        <f>_xlfn.XLOOKUP(E:E,'[1]②7月-汇总'!$D:$D,'[1]②7月-汇总'!$AP:$AP)</f>
        <v>31</v>
      </c>
      <c r="T98" s="45">
        <v>2200</v>
      </c>
      <c r="U98" s="11">
        <f>_xlfn.XLOOKUP(E:E,'[2]手工、项目数、消耗'!$C:$C,'[2]手工、项目数、消耗'!$E:$E)</f>
        <v>31869.96</v>
      </c>
      <c r="V98" s="11">
        <f>_xlfn.XLOOKUP(E:E,'[2]手工、项目数、消耗'!$C:$C,'[2]手工、项目数、消耗'!$D:$D)</f>
        <v>139</v>
      </c>
      <c r="W98" s="11">
        <f>_xlfn.XLOOKUP(E:E,'[2]手工、项目数、消耗'!$C:$C,'[2]手工、项目数、消耗'!$H:$H)</f>
        <v>2182</v>
      </c>
      <c r="X98" s="11">
        <f>_xlfn.XLOOKUP(E:E,'[1]②7月-汇总'!$D:$D,'[1]②7月-汇总'!$W:$W)</f>
        <v>0</v>
      </c>
      <c r="Y98" s="11">
        <f>_xlfn.XLOOKUP(E:E,'[1]②7月-汇总'!$D:$D,'[1]②7月-汇总'!$Z:$Z)</f>
        <v>0</v>
      </c>
      <c r="Z98" s="11">
        <f>_xlfn.XLOOKUP(E:E,'[1]②7月-汇总'!$D:$D,'[1]②7月-汇总'!$AI:$AI)</f>
        <v>0</v>
      </c>
      <c r="AA98" s="45">
        <f t="shared" si="10"/>
        <v>6235.6922500000001</v>
      </c>
      <c r="AB98" s="11"/>
      <c r="AC98" s="50"/>
      <c r="AD98" s="11">
        <f>_xlfn.XLOOKUP(E:E,'[1]②7月-汇总'!$D:$D,'[1]②7月-汇总'!$AC:$AC)</f>
        <v>0</v>
      </c>
      <c r="AE98" s="11"/>
      <c r="AF98" s="11">
        <f>_xlfn.XLOOKUP(E:E,'[1]②7月-汇总'!$D:$D,'[1]②7月-汇总'!$AD:$AD)</f>
        <v>0</v>
      </c>
      <c r="AG98" s="11">
        <f>_xlfn.XLOOKUP(E:E,'[1]②7月-汇总'!$D:$D,'[1]②7月-汇总'!$Y:$Y)</f>
        <v>0</v>
      </c>
      <c r="AH98" s="11">
        <f>_xlfn.XLOOKUP(E:E,'[1]②7月-汇总'!$D:$D,'[1]②7月-汇总'!$L:$L)</f>
        <v>0</v>
      </c>
      <c r="AI98" s="11">
        <f>_xlfn.XLOOKUP(E:E,'[1]②7月-汇总'!$D:$D,'[1]②7月-汇总'!$X:$X)</f>
        <v>0</v>
      </c>
      <c r="AJ98" s="11">
        <f>_xlfn.XLOOKUP(E:E,'[1]②7月-汇总'!$D:$D,'[1]②7月-汇总'!$AB:$AB)</f>
        <v>0</v>
      </c>
      <c r="AK98" s="11">
        <f>_xlfn.XLOOKUP(E:E,'[1]②7月-汇总'!$D:$D,'[1]②7月-汇总'!$AE:$AE)</f>
        <v>0</v>
      </c>
      <c r="AL98" s="96"/>
      <c r="AM98" s="45">
        <f t="shared" si="12"/>
        <v>6235.6922500000001</v>
      </c>
      <c r="AN98" s="11">
        <f>_xlfn.XLOOKUP(E:E,'[1]①7月-花名册'!$E:$E,'[1]①7月-花名册'!$T:$T)</f>
        <v>0</v>
      </c>
      <c r="AO98" s="67"/>
      <c r="AP98" s="142">
        <f>_xlfn.XLOOKUP(E98,[9]工资核对的全字段!$C:$C,[9]工资核对的全字段!$CW:$CW,0)</f>
        <v>6235.6922500000001</v>
      </c>
      <c r="AQ98" s="36">
        <f t="shared" si="11"/>
        <v>0</v>
      </c>
    </row>
    <row r="99" spans="1:43" x14ac:dyDescent="0.15">
      <c r="A99" s="55" t="s">
        <v>41</v>
      </c>
      <c r="B99" s="62" t="str">
        <f>B98</f>
        <v>沙河</v>
      </c>
      <c r="C99" s="57" t="s">
        <v>47</v>
      </c>
      <c r="D99" s="58" t="s">
        <v>47</v>
      </c>
      <c r="E99" s="58" t="s">
        <v>47</v>
      </c>
      <c r="F99" s="11">
        <f t="shared" si="13"/>
        <v>0</v>
      </c>
      <c r="G99" s="11">
        <v>0</v>
      </c>
      <c r="H99" s="11">
        <v>0</v>
      </c>
      <c r="I99" s="11">
        <v>0</v>
      </c>
      <c r="J99" s="50"/>
      <c r="K99" s="11">
        <v>92114.2</v>
      </c>
      <c r="L99" s="68"/>
      <c r="M99" s="68"/>
      <c r="N99" s="45">
        <f t="shared" si="14"/>
        <v>0</v>
      </c>
      <c r="O99" s="45">
        <f t="shared" si="15"/>
        <v>0</v>
      </c>
      <c r="P99" s="45"/>
      <c r="Q99" s="45"/>
      <c r="R99" s="45">
        <f t="shared" si="9"/>
        <v>0</v>
      </c>
      <c r="S99" s="11"/>
      <c r="T99" s="45"/>
      <c r="U99" s="11"/>
      <c r="V99" s="11"/>
      <c r="W99" s="11"/>
      <c r="X99" s="11"/>
      <c r="Y99" s="11"/>
      <c r="Z99" s="11"/>
      <c r="AA99" s="45">
        <f t="shared" si="10"/>
        <v>0</v>
      </c>
      <c r="AB99" s="11"/>
      <c r="AC99" s="50"/>
      <c r="AD99" s="11"/>
      <c r="AE99" s="11"/>
      <c r="AF99" s="11"/>
      <c r="AG99" s="11"/>
      <c r="AH99" s="11"/>
      <c r="AI99" s="11"/>
      <c r="AJ99" s="11"/>
      <c r="AK99" s="11"/>
      <c r="AL99" s="96"/>
      <c r="AM99" s="45">
        <f t="shared" si="12"/>
        <v>0</v>
      </c>
      <c r="AN99" s="11"/>
      <c r="AO99" s="67"/>
      <c r="AP99" s="142">
        <f>_xlfn.XLOOKUP(E99,[9]工资核对的全字段!$C:$C,[9]工资核对的全字段!$CW:$CW,0)</f>
        <v>0</v>
      </c>
      <c r="AQ99" s="36">
        <f t="shared" si="11"/>
        <v>0</v>
      </c>
    </row>
    <row r="100" spans="1:43" x14ac:dyDescent="0.15">
      <c r="A100" s="55" t="s">
        <v>41</v>
      </c>
      <c r="B100" s="62" t="s">
        <v>150</v>
      </c>
      <c r="C100" s="57" t="s">
        <v>83</v>
      </c>
      <c r="D100" s="58" t="s">
        <v>43</v>
      </c>
      <c r="E100" s="58" t="s">
        <v>155</v>
      </c>
      <c r="F100" s="11">
        <f t="shared" si="13"/>
        <v>19676.599999999999</v>
      </c>
      <c r="G100" s="11">
        <v>19676.599999999999</v>
      </c>
      <c r="H100" s="11">
        <v>0</v>
      </c>
      <c r="I100" s="11">
        <v>0</v>
      </c>
      <c r="J100" s="50"/>
      <c r="K100" s="11"/>
      <c r="L100" s="68">
        <f>F100/$K$102</f>
        <v>0.32615059224462867</v>
      </c>
      <c r="M100" s="68">
        <v>0.05</v>
      </c>
      <c r="N100" s="45">
        <f t="shared" si="14"/>
        <v>934.63849999999991</v>
      </c>
      <c r="O100" s="45">
        <f t="shared" si="15"/>
        <v>0</v>
      </c>
      <c r="P100" s="45">
        <f>K102*0.003</f>
        <v>180.98940000000002</v>
      </c>
      <c r="Q100" s="45"/>
      <c r="R100" s="45">
        <f t="shared" si="9"/>
        <v>1115.6279</v>
      </c>
      <c r="S100" s="11">
        <f>_xlfn.XLOOKUP(E:E,'[1]②7月-汇总'!$D:$D,'[1]②7月-汇总'!$AP:$AP)</f>
        <v>25</v>
      </c>
      <c r="T100" s="45">
        <f>2000/31*25</f>
        <v>1612.9032258064501</v>
      </c>
      <c r="U100" s="11">
        <f>_xlfn.XLOOKUP(E:E,'[2]手工、项目数、消耗'!$C:$C,'[2]手工、项目数、消耗'!$E:$E)</f>
        <v>15459.98</v>
      </c>
      <c r="V100" s="11">
        <f>_xlfn.XLOOKUP(E:E,'[2]手工、项目数、消耗'!$C:$C,'[2]手工、项目数、消耗'!$D:$D)</f>
        <v>118.5</v>
      </c>
      <c r="W100" s="11">
        <f>_xlfn.XLOOKUP(E:E,'[2]手工、项目数、消耗'!$C:$C,'[2]手工、项目数、消耗'!$H:$H)</f>
        <v>1652.5</v>
      </c>
      <c r="X100" s="11">
        <f>_xlfn.XLOOKUP(E:E,'[1]②7月-汇总'!$D:$D,'[1]②7月-汇总'!$W:$W)</f>
        <v>0</v>
      </c>
      <c r="Y100" s="11">
        <f>_xlfn.XLOOKUP(E:E,'[1]②7月-汇总'!$D:$D,'[1]②7月-汇总'!$Z:$Z)</f>
        <v>0</v>
      </c>
      <c r="Z100" s="11">
        <f>_xlfn.XLOOKUP(E:E,'[1]②7月-汇总'!$D:$D,'[1]②7月-汇总'!$AI:$AI)</f>
        <v>0</v>
      </c>
      <c r="AA100" s="45">
        <f t="shared" si="10"/>
        <v>4381.0311258064503</v>
      </c>
      <c r="AB100" s="11"/>
      <c r="AC100" s="50"/>
      <c r="AD100" s="11">
        <f>_xlfn.XLOOKUP(E:E,'[1]②7月-汇总'!$D:$D,'[1]②7月-汇总'!$AC:$AC)</f>
        <v>0</v>
      </c>
      <c r="AE100" s="11">
        <f>_xlfn.XLOOKUP(E:E,[3]Sheet1!$B:$B,[3]Sheet1!$L:$L)</f>
        <v>640.55999999999995</v>
      </c>
      <c r="AF100" s="11">
        <f>_xlfn.XLOOKUP(E:E,'[1]②7月-汇总'!$D:$D,'[1]②7月-汇总'!$AD:$AD)</f>
        <v>0</v>
      </c>
      <c r="AG100" s="11">
        <f>_xlfn.XLOOKUP(E:E,'[1]②7月-汇总'!$D:$D,'[1]②7月-汇总'!$Y:$Y)</f>
        <v>0</v>
      </c>
      <c r="AH100" s="11">
        <f>_xlfn.XLOOKUP(E:E,'[1]②7月-汇总'!$D:$D,'[1]②7月-汇总'!$L:$L)</f>
        <v>0</v>
      </c>
      <c r="AI100" s="11">
        <f>_xlfn.XLOOKUP(E:E,'[1]②7月-汇总'!$D:$D,'[1]②7月-汇总'!$X:$X)</f>
        <v>10</v>
      </c>
      <c r="AJ100" s="11">
        <f>_xlfn.XLOOKUP(E:E,'[1]②7月-汇总'!$D:$D,'[1]②7月-汇总'!$AB:$AB)</f>
        <v>0</v>
      </c>
      <c r="AK100" s="11">
        <f>_xlfn.XLOOKUP(E:E,'[1]②7月-汇总'!$D:$D,'[1]②7月-汇总'!$AE:$AE)</f>
        <v>0</v>
      </c>
      <c r="AL100" s="96"/>
      <c r="AM100" s="45">
        <f t="shared" si="12"/>
        <v>3730.4711258064503</v>
      </c>
      <c r="AN100" s="11">
        <f>_xlfn.XLOOKUP(E:E,'[1]①7月-花名册'!$E:$E,'[1]①7月-花名册'!$T:$T)</f>
        <v>0</v>
      </c>
      <c r="AO100" s="67"/>
      <c r="AP100" s="142">
        <f>_xlfn.XLOOKUP(E100,[9]工资核对的全字段!$C:$C,[9]工资核对的全字段!$CW:$CW,0)</f>
        <v>3730.4717258064516</v>
      </c>
      <c r="AQ100" s="36">
        <f t="shared" si="11"/>
        <v>6.0000000121362973E-4</v>
      </c>
    </row>
    <row r="101" spans="1:43" x14ac:dyDescent="0.15">
      <c r="A101" s="55" t="s">
        <v>41</v>
      </c>
      <c r="B101" s="62" t="s">
        <v>150</v>
      </c>
      <c r="C101" s="57" t="s">
        <v>83</v>
      </c>
      <c r="D101" s="58" t="s">
        <v>4</v>
      </c>
      <c r="E101" s="58" t="s">
        <v>156</v>
      </c>
      <c r="F101" s="11">
        <f t="shared" si="13"/>
        <v>40653.199999999997</v>
      </c>
      <c r="G101" s="11">
        <v>40653.199999999997</v>
      </c>
      <c r="H101" s="11">
        <v>0</v>
      </c>
      <c r="I101" s="11">
        <v>0</v>
      </c>
      <c r="J101" s="50"/>
      <c r="K101" s="11"/>
      <c r="L101" s="68">
        <f>F101/$K$102</f>
        <v>0.67384940775537128</v>
      </c>
      <c r="M101" s="68">
        <v>0.05</v>
      </c>
      <c r="N101" s="45">
        <f t="shared" si="14"/>
        <v>1931.0269999999998</v>
      </c>
      <c r="O101" s="45">
        <f t="shared" si="15"/>
        <v>0</v>
      </c>
      <c r="P101" s="45"/>
      <c r="Q101" s="45"/>
      <c r="R101" s="45">
        <f t="shared" si="9"/>
        <v>1931.0269999999998</v>
      </c>
      <c r="S101" s="11">
        <f>_xlfn.XLOOKUP(E:E,'[1]②7月-汇总'!$D:$D,'[1]②7月-汇总'!$AP:$AP)</f>
        <v>31</v>
      </c>
      <c r="T101" s="45">
        <v>2200</v>
      </c>
      <c r="U101" s="11">
        <f>_xlfn.XLOOKUP(E:E,'[2]手工、项目数、消耗'!$C:$C,'[2]手工、项目数、消耗'!$E:$E)</f>
        <v>33374.620000000003</v>
      </c>
      <c r="V101" s="11">
        <f>_xlfn.XLOOKUP(E:E,'[2]手工、项目数、消耗'!$C:$C,'[2]手工、项目数、消耗'!$D:$D)</f>
        <v>145</v>
      </c>
      <c r="W101" s="11">
        <f>_xlfn.XLOOKUP(E:E,'[2]手工、项目数、消耗'!$C:$C,'[2]手工、项目数、消耗'!$H:$H)</f>
        <v>2417</v>
      </c>
      <c r="X101" s="11">
        <f>_xlfn.XLOOKUP(E:E,'[1]②7月-汇总'!$D:$D,'[1]②7月-汇总'!$W:$W)</f>
        <v>0</v>
      </c>
      <c r="Y101" s="11">
        <f>_xlfn.XLOOKUP(E:E,'[1]②7月-汇总'!$D:$D,'[1]②7月-汇总'!$Z:$Z)</f>
        <v>50</v>
      </c>
      <c r="Z101" s="11">
        <f>_xlfn.XLOOKUP(E:E,'[1]②7月-汇总'!$D:$D,'[1]②7月-汇总'!$AI:$AI)</f>
        <v>0</v>
      </c>
      <c r="AA101" s="45">
        <f t="shared" si="10"/>
        <v>6598.027</v>
      </c>
      <c r="AB101" s="11"/>
      <c r="AC101" s="50"/>
      <c r="AD101" s="11">
        <f>_xlfn.XLOOKUP(E:E,'[1]②7月-汇总'!$D:$D,'[1]②7月-汇总'!$AC:$AC)</f>
        <v>0</v>
      </c>
      <c r="AE101" s="11">
        <f>_xlfn.XLOOKUP(E:E,[3]Sheet1!$B:$B,[3]Sheet1!$L:$L)</f>
        <v>640.55999999999995</v>
      </c>
      <c r="AF101" s="11">
        <f>_xlfn.XLOOKUP(E:E,'[1]②7月-汇总'!$D:$D,'[1]②7月-汇总'!$AD:$AD)</f>
        <v>0</v>
      </c>
      <c r="AG101" s="11">
        <f>_xlfn.XLOOKUP(E:E,'[1]②7月-汇总'!$D:$D,'[1]②7月-汇总'!$Y:$Y)</f>
        <v>0</v>
      </c>
      <c r="AH101" s="11">
        <f>_xlfn.XLOOKUP(E:E,'[1]②7月-汇总'!$D:$D,'[1]②7月-汇总'!$L:$L)</f>
        <v>0</v>
      </c>
      <c r="AI101" s="11">
        <f>_xlfn.XLOOKUP(E:E,'[1]②7月-汇总'!$D:$D,'[1]②7月-汇总'!$X:$X)</f>
        <v>0</v>
      </c>
      <c r="AJ101" s="11">
        <f>_xlfn.XLOOKUP(E:E,'[1]②7月-汇总'!$D:$D,'[1]②7月-汇总'!$AB:$AB)</f>
        <v>0</v>
      </c>
      <c r="AK101" s="11">
        <f>_xlfn.XLOOKUP(E:E,'[1]②7月-汇总'!$D:$D,'[1]②7月-汇总'!$AE:$AE)</f>
        <v>0</v>
      </c>
      <c r="AL101" s="96"/>
      <c r="AM101" s="45">
        <f t="shared" si="12"/>
        <v>5957.4670000000006</v>
      </c>
      <c r="AN101" s="11">
        <f>_xlfn.XLOOKUP(E:E,'[1]①7月-花名册'!$E:$E,'[1]①7月-花名册'!$T:$T)</f>
        <v>0</v>
      </c>
      <c r="AO101" s="67"/>
      <c r="AP101" s="142">
        <f>_xlfn.XLOOKUP(E101,[9]工资核对的全字段!$C:$C,[9]工资核对的全字段!$CW:$CW,0)</f>
        <v>5957.4670000000006</v>
      </c>
      <c r="AQ101" s="36">
        <f t="shared" si="11"/>
        <v>0</v>
      </c>
    </row>
    <row r="102" spans="1:43" x14ac:dyDescent="0.15">
      <c r="A102" s="55" t="s">
        <v>41</v>
      </c>
      <c r="B102" s="62" t="s">
        <v>150</v>
      </c>
      <c r="C102" s="57" t="s">
        <v>47</v>
      </c>
      <c r="D102" s="58" t="s">
        <v>47</v>
      </c>
      <c r="E102" s="58" t="s">
        <v>47</v>
      </c>
      <c r="F102" s="11">
        <f t="shared" si="13"/>
        <v>0</v>
      </c>
      <c r="G102" s="11">
        <v>0</v>
      </c>
      <c r="H102" s="11">
        <v>0</v>
      </c>
      <c r="I102" s="11">
        <v>0</v>
      </c>
      <c r="J102" s="50"/>
      <c r="K102" s="11">
        <v>60329.8</v>
      </c>
      <c r="L102" s="68"/>
      <c r="M102" s="68"/>
      <c r="N102" s="45">
        <f t="shared" si="14"/>
        <v>0</v>
      </c>
      <c r="O102" s="45">
        <f t="shared" si="15"/>
        <v>0</v>
      </c>
      <c r="P102" s="45"/>
      <c r="Q102" s="45"/>
      <c r="R102" s="45">
        <f t="shared" si="9"/>
        <v>0</v>
      </c>
      <c r="S102" s="11"/>
      <c r="T102" s="45"/>
      <c r="U102" s="11"/>
      <c r="V102" s="11"/>
      <c r="W102" s="11"/>
      <c r="X102" s="11"/>
      <c r="Y102" s="11"/>
      <c r="Z102" s="11"/>
      <c r="AA102" s="45">
        <f t="shared" si="10"/>
        <v>0</v>
      </c>
      <c r="AB102" s="11"/>
      <c r="AC102" s="50"/>
      <c r="AD102" s="11"/>
      <c r="AE102" s="11"/>
      <c r="AF102" s="11"/>
      <c r="AG102" s="11"/>
      <c r="AH102" s="11"/>
      <c r="AI102" s="11"/>
      <c r="AJ102" s="11"/>
      <c r="AK102" s="11"/>
      <c r="AL102" s="96"/>
      <c r="AM102" s="45">
        <f t="shared" si="12"/>
        <v>0</v>
      </c>
      <c r="AN102" s="11"/>
      <c r="AO102" s="67"/>
      <c r="AP102" s="142">
        <f>_xlfn.XLOOKUP(E102,[9]工资核对的全字段!$C:$C,[9]工资核对的全字段!$CW:$CW,0)</f>
        <v>0</v>
      </c>
      <c r="AQ102" s="36">
        <f t="shared" si="11"/>
        <v>0</v>
      </c>
    </row>
    <row r="103" spans="1:43" x14ac:dyDescent="0.15">
      <c r="A103" s="55" t="s">
        <v>41</v>
      </c>
      <c r="B103" s="62" t="s">
        <v>150</v>
      </c>
      <c r="C103" s="60" t="s">
        <v>9</v>
      </c>
      <c r="D103" s="61" t="s">
        <v>9</v>
      </c>
      <c r="E103" s="61" t="s">
        <v>157</v>
      </c>
      <c r="F103" s="11">
        <f t="shared" si="13"/>
        <v>-1750</v>
      </c>
      <c r="G103" s="11">
        <v>-1750</v>
      </c>
      <c r="H103" s="11">
        <v>0</v>
      </c>
      <c r="I103" s="11">
        <v>0</v>
      </c>
      <c r="J103" s="50"/>
      <c r="K103" s="11"/>
      <c r="L103" s="68"/>
      <c r="M103" s="68"/>
      <c r="N103" s="45">
        <f t="shared" si="14"/>
        <v>0</v>
      </c>
      <c r="O103" s="45">
        <f t="shared" si="15"/>
        <v>0</v>
      </c>
      <c r="P103" s="45"/>
      <c r="Q103" s="45">
        <v>377</v>
      </c>
      <c r="R103" s="45">
        <f t="shared" si="9"/>
        <v>377</v>
      </c>
      <c r="S103" s="11"/>
      <c r="T103" s="45"/>
      <c r="U103" s="11"/>
      <c r="V103" s="11"/>
      <c r="W103" s="11"/>
      <c r="X103" s="11"/>
      <c r="Y103" s="11"/>
      <c r="Z103" s="11"/>
      <c r="AA103" s="45">
        <f t="shared" si="10"/>
        <v>377</v>
      </c>
      <c r="AB103" s="11"/>
      <c r="AC103" s="50"/>
      <c r="AD103" s="11"/>
      <c r="AE103" s="11"/>
      <c r="AF103" s="11"/>
      <c r="AG103" s="11"/>
      <c r="AH103" s="11"/>
      <c r="AI103" s="11"/>
      <c r="AJ103" s="11"/>
      <c r="AK103" s="11"/>
      <c r="AL103" s="96"/>
      <c r="AM103" s="45">
        <f t="shared" si="12"/>
        <v>377</v>
      </c>
      <c r="AN103" s="11"/>
      <c r="AO103" s="67"/>
      <c r="AP103" s="142">
        <f>_xlfn.XLOOKUP(E103,[9]工资核对的全字段!$C:$C,[9]工资核对的全字段!$CW:$CW,0)</f>
        <v>376.73500000000007</v>
      </c>
      <c r="AQ103" s="36">
        <f t="shared" si="11"/>
        <v>-0.26499999999992951</v>
      </c>
    </row>
    <row r="104" spans="1:43" x14ac:dyDescent="0.15">
      <c r="A104" s="55" t="s">
        <v>41</v>
      </c>
      <c r="B104" s="62" t="s">
        <v>158</v>
      </c>
      <c r="C104" s="57" t="s">
        <v>159</v>
      </c>
      <c r="D104" s="58" t="s">
        <v>43</v>
      </c>
      <c r="E104" s="48" t="s">
        <v>160</v>
      </c>
      <c r="F104" s="11">
        <f t="shared" si="13"/>
        <v>70139.600000000006</v>
      </c>
      <c r="G104" s="11">
        <v>43069.599999999999</v>
      </c>
      <c r="H104" s="11">
        <v>27070</v>
      </c>
      <c r="I104" s="11">
        <v>0</v>
      </c>
      <c r="J104" s="50"/>
      <c r="K104" s="11"/>
      <c r="L104" s="68">
        <f>F104/$K$106</f>
        <v>0.65961344588392856</v>
      </c>
      <c r="M104" s="68">
        <v>0.06</v>
      </c>
      <c r="N104" s="45">
        <f t="shared" si="14"/>
        <v>2454.9671999999996</v>
      </c>
      <c r="O104" s="45">
        <f t="shared" si="15"/>
        <v>1002.9434999999999</v>
      </c>
      <c r="P104" s="45">
        <v>0</v>
      </c>
      <c r="Q104" s="45"/>
      <c r="R104" s="45">
        <f t="shared" si="9"/>
        <v>3457.9106999999995</v>
      </c>
      <c r="S104" s="11">
        <f>_xlfn.XLOOKUP(E:E,'[1]②7月-汇总'!$D:$D,'[1]②7月-汇总'!$AP:$AP)</f>
        <v>31</v>
      </c>
      <c r="T104" s="45">
        <v>2000</v>
      </c>
      <c r="U104" s="11">
        <f>_xlfn.XLOOKUP(E:E,'[2]手工、项目数、消耗'!$C:$C,'[2]手工、项目数、消耗'!$E:$E)</f>
        <v>28112.98</v>
      </c>
      <c r="V104" s="11">
        <f>_xlfn.XLOOKUP(E:E,'[2]手工、项目数、消耗'!$C:$C,'[2]手工、项目数、消耗'!$D:$D)</f>
        <v>81.5</v>
      </c>
      <c r="W104" s="11">
        <f>_xlfn.XLOOKUP(E:E,'[2]手工、项目数、消耗'!$C:$C,'[2]手工、项目数、消耗'!$H:$H)</f>
        <v>1155</v>
      </c>
      <c r="X104" s="11">
        <f>_xlfn.XLOOKUP(E:E,'[1]②7月-汇总'!$D:$D,'[1]②7月-汇总'!$W:$W)</f>
        <v>0</v>
      </c>
      <c r="Y104" s="11">
        <f>_xlfn.XLOOKUP(E:E,'[1]②7月-汇总'!$D:$D,'[1]②7月-汇总'!$Z:$Z)</f>
        <v>0</v>
      </c>
      <c r="Z104" s="11">
        <f>_xlfn.XLOOKUP(E:E,'[1]②7月-汇总'!$D:$D,'[1]②7月-汇总'!$AI:$AI)</f>
        <v>0</v>
      </c>
      <c r="AA104" s="45">
        <f t="shared" si="10"/>
        <v>6612.9106999999995</v>
      </c>
      <c r="AB104" s="11"/>
      <c r="AC104" s="50"/>
      <c r="AD104" s="11">
        <f>_xlfn.XLOOKUP(E:E,'[1]②7月-汇总'!$D:$D,'[1]②7月-汇总'!$AC:$AC)</f>
        <v>0</v>
      </c>
      <c r="AE104" s="11">
        <f>_xlfn.XLOOKUP(E:E,[3]Sheet1!$B:$B,[3]Sheet1!$L:$L)</f>
        <v>640.55999999999995</v>
      </c>
      <c r="AF104" s="11">
        <f>_xlfn.XLOOKUP(E:E,'[1]②7月-汇总'!$D:$D,'[1]②7月-汇总'!$AD:$AD)</f>
        <v>0</v>
      </c>
      <c r="AG104" s="11">
        <f>_xlfn.XLOOKUP(E:E,'[1]②7月-汇总'!$D:$D,'[1]②7月-汇总'!$Y:$Y)</f>
        <v>0</v>
      </c>
      <c r="AH104" s="11">
        <f>_xlfn.XLOOKUP(E:E,'[1]②7月-汇总'!$D:$D,'[1]②7月-汇总'!$L:$L)</f>
        <v>0</v>
      </c>
      <c r="AI104" s="11">
        <f>_xlfn.XLOOKUP(E:E,'[1]②7月-汇总'!$D:$D,'[1]②7月-汇总'!$X:$X)</f>
        <v>0</v>
      </c>
      <c r="AJ104" s="11">
        <f>_xlfn.XLOOKUP(E:E,'[1]②7月-汇总'!$D:$D,'[1]②7月-汇总'!$AB:$AB)</f>
        <v>0</v>
      </c>
      <c r="AK104" s="11">
        <f>_xlfn.XLOOKUP(E:E,'[1]②7月-汇总'!$D:$D,'[1]②7月-汇总'!$AE:$AE)</f>
        <v>0</v>
      </c>
      <c r="AL104" s="96"/>
      <c r="AM104" s="45">
        <f t="shared" si="12"/>
        <v>5972.3506999999991</v>
      </c>
      <c r="AN104" s="11">
        <f>_xlfn.XLOOKUP(E:E,'[1]①7月-花名册'!$E:$E,'[1]①7月-花名册'!$T:$T)</f>
        <v>0</v>
      </c>
      <c r="AO104" s="67"/>
      <c r="AP104" s="142">
        <f>_xlfn.XLOOKUP(E104,[9]工资核对的全字段!$C:$C,[9]工资核对的全字段!$CW:$CW,0)</f>
        <v>5972.3506999999991</v>
      </c>
      <c r="AQ104" s="36">
        <f t="shared" si="11"/>
        <v>0</v>
      </c>
    </row>
    <row r="105" spans="1:43" x14ac:dyDescent="0.15">
      <c r="A105" s="55" t="s">
        <v>41</v>
      </c>
      <c r="B105" s="62" t="s">
        <v>158</v>
      </c>
      <c r="C105" s="57" t="s">
        <v>159</v>
      </c>
      <c r="D105" s="58" t="s">
        <v>4</v>
      </c>
      <c r="E105" s="58" t="s">
        <v>161</v>
      </c>
      <c r="F105" s="11">
        <f t="shared" si="13"/>
        <v>36194.800000000003</v>
      </c>
      <c r="G105" s="11">
        <v>24470.799999999999</v>
      </c>
      <c r="H105" s="11">
        <v>11280</v>
      </c>
      <c r="I105" s="11">
        <v>444</v>
      </c>
      <c r="J105" s="50"/>
      <c r="K105" s="11"/>
      <c r="L105" s="68">
        <f>F105/$K$106</f>
        <v>0.3403865541160716</v>
      </c>
      <c r="M105" s="68">
        <v>0.06</v>
      </c>
      <c r="N105" s="45">
        <f t="shared" si="14"/>
        <v>1394.8355999999999</v>
      </c>
      <c r="O105" s="45">
        <f t="shared" si="15"/>
        <v>417.92399999999998</v>
      </c>
      <c r="P105" s="45"/>
      <c r="Q105" s="45"/>
      <c r="R105" s="45">
        <f t="shared" si="9"/>
        <v>1812.7595999999999</v>
      </c>
      <c r="S105" s="11">
        <f>_xlfn.XLOOKUP(E:E,'[1]②7月-汇总'!$D:$D,'[1]②7月-汇总'!$AP:$AP)</f>
        <v>31</v>
      </c>
      <c r="T105" s="45">
        <v>1800</v>
      </c>
      <c r="U105" s="11">
        <f>_xlfn.XLOOKUP(E:E,'[2]手工、项目数、消耗'!$C:$C,'[2]手工、项目数、消耗'!$E:$E)</f>
        <v>8694.48</v>
      </c>
      <c r="V105" s="11">
        <f>_xlfn.XLOOKUP(E:E,'[2]手工、项目数、消耗'!$C:$C,'[2]手工、项目数、消耗'!$D:$D)</f>
        <v>93</v>
      </c>
      <c r="W105" s="11">
        <f>_xlfn.XLOOKUP(E:E,'[2]手工、项目数、消耗'!$C:$C,'[2]手工、项目数、消耗'!$H:$H)</f>
        <v>1093</v>
      </c>
      <c r="X105" s="11">
        <f>_xlfn.XLOOKUP(E:E,'[1]②7月-汇总'!$D:$D,'[1]②7月-汇总'!$W:$W)</f>
        <v>0</v>
      </c>
      <c r="Y105" s="11">
        <f>_xlfn.XLOOKUP(E:E,'[1]②7月-汇总'!$D:$D,'[1]②7月-汇总'!$Z:$Z)</f>
        <v>0</v>
      </c>
      <c r="Z105" s="11">
        <f>_xlfn.XLOOKUP(E:E,'[1]②7月-汇总'!$D:$D,'[1]②7月-汇总'!$AI:$AI)</f>
        <v>0</v>
      </c>
      <c r="AA105" s="45">
        <f t="shared" si="10"/>
        <v>4705.7595999999994</v>
      </c>
      <c r="AB105" s="11"/>
      <c r="AC105" s="50"/>
      <c r="AD105" s="11">
        <f>_xlfn.XLOOKUP(E:E,'[1]②7月-汇总'!$D:$D,'[1]②7月-汇总'!$AC:$AC)</f>
        <v>100</v>
      </c>
      <c r="AE105" s="11"/>
      <c r="AF105" s="11">
        <f>_xlfn.XLOOKUP(E:E,'[1]②7月-汇总'!$D:$D,'[1]②7月-汇总'!$AD:$AD)</f>
        <v>0</v>
      </c>
      <c r="AG105" s="11">
        <f>_xlfn.XLOOKUP(E:E,'[1]②7月-汇总'!$D:$D,'[1]②7月-汇总'!$Y:$Y)</f>
        <v>0</v>
      </c>
      <c r="AH105" s="11">
        <f>_xlfn.XLOOKUP(E:E,'[1]②7月-汇总'!$D:$D,'[1]②7月-汇总'!$L:$L)</f>
        <v>0</v>
      </c>
      <c r="AI105" s="11">
        <f>_xlfn.XLOOKUP(E:E,'[1]②7月-汇总'!$D:$D,'[1]②7月-汇总'!$X:$X)</f>
        <v>0</v>
      </c>
      <c r="AJ105" s="11">
        <f>_xlfn.XLOOKUP(E:E,'[1]②7月-汇总'!$D:$D,'[1]②7月-汇总'!$AB:$AB)</f>
        <v>0</v>
      </c>
      <c r="AK105" s="11">
        <f>_xlfn.XLOOKUP(E:E,'[1]②7月-汇总'!$D:$D,'[1]②7月-汇总'!$AE:$AE)</f>
        <v>0</v>
      </c>
      <c r="AL105" s="96"/>
      <c r="AM105" s="45">
        <f t="shared" si="12"/>
        <v>4605.7595999999994</v>
      </c>
      <c r="AN105" s="11">
        <f>_xlfn.XLOOKUP(E:E,'[1]①7月-花名册'!$E:$E,'[1]①7月-花名册'!$T:$T)</f>
        <v>0</v>
      </c>
      <c r="AO105" s="67"/>
      <c r="AP105" s="142">
        <f>_xlfn.XLOOKUP(E105,[9]工资核对的全字段!$C:$C,[9]工资核对的全字段!$CW:$CW,0)</f>
        <v>4605.7595999999994</v>
      </c>
      <c r="AQ105" s="36">
        <f t="shared" si="11"/>
        <v>0</v>
      </c>
    </row>
    <row r="106" spans="1:43" x14ac:dyDescent="0.15">
      <c r="A106" s="55" t="s">
        <v>41</v>
      </c>
      <c r="B106" s="62" t="s">
        <v>158</v>
      </c>
      <c r="C106" s="57" t="s">
        <v>47</v>
      </c>
      <c r="D106" s="58" t="s">
        <v>47</v>
      </c>
      <c r="E106" s="58" t="s">
        <v>47</v>
      </c>
      <c r="F106" s="11">
        <f t="shared" si="13"/>
        <v>0</v>
      </c>
      <c r="G106" s="11">
        <v>0</v>
      </c>
      <c r="H106" s="11">
        <v>0</v>
      </c>
      <c r="I106" s="11">
        <v>0</v>
      </c>
      <c r="J106" s="50"/>
      <c r="K106" s="11">
        <v>106334.39999999999</v>
      </c>
      <c r="L106" s="68"/>
      <c r="M106" s="68"/>
      <c r="N106" s="45">
        <f t="shared" si="14"/>
        <v>0</v>
      </c>
      <c r="O106" s="45">
        <f t="shared" si="15"/>
        <v>0</v>
      </c>
      <c r="P106" s="45"/>
      <c r="Q106" s="45"/>
      <c r="R106" s="45">
        <f t="shared" si="9"/>
        <v>0</v>
      </c>
      <c r="S106" s="11"/>
      <c r="T106" s="45"/>
      <c r="U106" s="11"/>
      <c r="V106" s="11"/>
      <c r="W106" s="11"/>
      <c r="X106" s="11"/>
      <c r="Y106" s="11"/>
      <c r="Z106" s="11"/>
      <c r="AA106" s="45">
        <f t="shared" si="10"/>
        <v>0</v>
      </c>
      <c r="AB106" s="11"/>
      <c r="AC106" s="50"/>
      <c r="AD106" s="11"/>
      <c r="AE106" s="11"/>
      <c r="AF106" s="11"/>
      <c r="AG106" s="11"/>
      <c r="AH106" s="11"/>
      <c r="AI106" s="11"/>
      <c r="AJ106" s="11"/>
      <c r="AK106" s="11"/>
      <c r="AL106" s="96"/>
      <c r="AM106" s="45">
        <f t="shared" si="12"/>
        <v>0</v>
      </c>
      <c r="AN106" s="11"/>
      <c r="AO106" s="67"/>
      <c r="AP106" s="142">
        <f>_xlfn.XLOOKUP(E106,[9]工资核对的全字段!$C:$C,[9]工资核对的全字段!$CW:$CW,0)</f>
        <v>0</v>
      </c>
      <c r="AQ106" s="36">
        <f t="shared" si="11"/>
        <v>0</v>
      </c>
    </row>
    <row r="107" spans="1:43" x14ac:dyDescent="0.15">
      <c r="A107" s="55" t="s">
        <v>41</v>
      </c>
      <c r="B107" s="62" t="s">
        <v>158</v>
      </c>
      <c r="C107" s="57" t="s">
        <v>162</v>
      </c>
      <c r="D107" s="58" t="s">
        <v>43</v>
      </c>
      <c r="E107" s="48" t="s">
        <v>163</v>
      </c>
      <c r="F107" s="11">
        <f t="shared" si="13"/>
        <v>52700.6</v>
      </c>
      <c r="G107" s="11">
        <v>26300.6</v>
      </c>
      <c r="H107" s="11">
        <v>26400</v>
      </c>
      <c r="I107" s="11">
        <v>0</v>
      </c>
      <c r="J107" s="50"/>
      <c r="K107" s="11"/>
      <c r="L107" s="68">
        <f>F107/$K$109</f>
        <v>0.85026201324263972</v>
      </c>
      <c r="M107" s="68">
        <v>0.05</v>
      </c>
      <c r="N107" s="45">
        <f t="shared" si="14"/>
        <v>1249.2784999999999</v>
      </c>
      <c r="O107" s="45">
        <f t="shared" si="15"/>
        <v>815.1</v>
      </c>
      <c r="P107" s="45">
        <v>0</v>
      </c>
      <c r="Q107" s="45"/>
      <c r="R107" s="45">
        <f t="shared" si="9"/>
        <v>2064.3784999999998</v>
      </c>
      <c r="S107" s="11">
        <f>_xlfn.XLOOKUP(E:E,'[1]②7月-汇总'!$D:$D,'[1]②7月-汇总'!$AP:$AP)</f>
        <v>31</v>
      </c>
      <c r="T107" s="45">
        <v>2000</v>
      </c>
      <c r="U107" s="11">
        <f>_xlfn.XLOOKUP(E:E,'[2]手工、项目数、消耗'!$C:$C,'[2]手工、项目数、消耗'!$E:$E)</f>
        <v>26242.55</v>
      </c>
      <c r="V107" s="11">
        <f>_xlfn.XLOOKUP(E:E,'[2]手工、项目数、消耗'!$C:$C,'[2]手工、项目数、消耗'!$D:$D)</f>
        <v>104</v>
      </c>
      <c r="W107" s="11">
        <f>_xlfn.XLOOKUP(E:E,'[2]手工、项目数、消耗'!$C:$C,'[2]手工、项目数、消耗'!$H:$H)</f>
        <v>1524</v>
      </c>
      <c r="X107" s="11">
        <f>_xlfn.XLOOKUP(E:E,'[1]②7月-汇总'!$D:$D,'[1]②7月-汇总'!$W:$W)</f>
        <v>0</v>
      </c>
      <c r="Y107" s="11">
        <f>_xlfn.XLOOKUP(E:E,'[1]②7月-汇总'!$D:$D,'[1]②7月-汇总'!$Z:$Z)</f>
        <v>0</v>
      </c>
      <c r="Z107" s="11">
        <f>_xlfn.XLOOKUP(E:E,'[1]②7月-汇总'!$D:$D,'[1]②7月-汇总'!$AI:$AI)</f>
        <v>0</v>
      </c>
      <c r="AA107" s="45">
        <f t="shared" si="10"/>
        <v>5588.3784999999998</v>
      </c>
      <c r="AB107" s="11"/>
      <c r="AC107" s="50"/>
      <c r="AD107" s="11">
        <f>_xlfn.XLOOKUP(E:E,'[1]②7月-汇总'!$D:$D,'[1]②7月-汇总'!$AC:$AC)</f>
        <v>0</v>
      </c>
      <c r="AE107" s="11"/>
      <c r="AF107" s="11">
        <f>_xlfn.XLOOKUP(E:E,'[1]②7月-汇总'!$D:$D,'[1]②7月-汇总'!$AD:$AD)</f>
        <v>0</v>
      </c>
      <c r="AG107" s="11">
        <f>_xlfn.XLOOKUP(E:E,'[1]②7月-汇总'!$D:$D,'[1]②7月-汇总'!$Y:$Y)</f>
        <v>0</v>
      </c>
      <c r="AH107" s="11">
        <f>_xlfn.XLOOKUP(E:E,'[1]②7月-汇总'!$D:$D,'[1]②7月-汇总'!$L:$L)</f>
        <v>0</v>
      </c>
      <c r="AI107" s="11">
        <f>_xlfn.XLOOKUP(E:E,'[1]②7月-汇总'!$D:$D,'[1]②7月-汇总'!$X:$X)</f>
        <v>0</v>
      </c>
      <c r="AJ107" s="11">
        <f>_xlfn.XLOOKUP(E:E,'[1]②7月-汇总'!$D:$D,'[1]②7月-汇总'!$AB:$AB)</f>
        <v>0</v>
      </c>
      <c r="AK107" s="11">
        <f>_xlfn.XLOOKUP(E:E,'[1]②7月-汇总'!$D:$D,'[1]②7月-汇总'!$AE:$AE)</f>
        <v>0</v>
      </c>
      <c r="AL107" s="96"/>
      <c r="AM107" s="45">
        <f t="shared" si="12"/>
        <v>5588.3784999999998</v>
      </c>
      <c r="AN107" s="11">
        <f>_xlfn.XLOOKUP(E:E,'[1]①7月-花名册'!$E:$E,'[1]①7月-花名册'!$T:$T)</f>
        <v>0</v>
      </c>
      <c r="AO107" s="67"/>
      <c r="AP107" s="142">
        <f>_xlfn.XLOOKUP(E107,[9]工资核对的全字段!$C:$C,[9]工资核对的全字段!$CW:$CW,0)</f>
        <v>5588.3784999999998</v>
      </c>
      <c r="AQ107" s="36">
        <f t="shared" si="11"/>
        <v>0</v>
      </c>
    </row>
    <row r="108" spans="1:43" x14ac:dyDescent="0.15">
      <c r="A108" s="55" t="s">
        <v>41</v>
      </c>
      <c r="B108" s="62" t="s">
        <v>158</v>
      </c>
      <c r="C108" s="57" t="s">
        <v>162</v>
      </c>
      <c r="D108" s="58" t="s">
        <v>4</v>
      </c>
      <c r="E108" s="48" t="s">
        <v>164</v>
      </c>
      <c r="F108" s="11">
        <f t="shared" si="13"/>
        <v>9281</v>
      </c>
      <c r="G108" s="11">
        <v>8381</v>
      </c>
      <c r="H108" s="11">
        <v>900</v>
      </c>
      <c r="I108" s="11">
        <v>0</v>
      </c>
      <c r="J108" s="50"/>
      <c r="K108" s="11"/>
      <c r="L108" s="68">
        <f>F108/$K$109</f>
        <v>0.14973798675736025</v>
      </c>
      <c r="M108" s="68">
        <v>0.05</v>
      </c>
      <c r="N108" s="45">
        <f t="shared" si="14"/>
        <v>398.09750000000003</v>
      </c>
      <c r="O108" s="45">
        <f t="shared" si="15"/>
        <v>27.787500000000001</v>
      </c>
      <c r="P108" s="45"/>
      <c r="Q108" s="45"/>
      <c r="R108" s="45">
        <f t="shared" si="9"/>
        <v>425.88500000000005</v>
      </c>
      <c r="S108" s="11">
        <f>_xlfn.XLOOKUP(E:E,'[1]②7月-汇总'!$D:$D,'[1]②7月-汇总'!$AP:$AP)</f>
        <v>31</v>
      </c>
      <c r="T108" s="45">
        <v>1800</v>
      </c>
      <c r="U108" s="11">
        <f>_xlfn.XLOOKUP(E:E,'[2]手工、项目数、消耗'!$C:$C,'[2]手工、项目数、消耗'!$E:$E)</f>
        <v>5947.88</v>
      </c>
      <c r="V108" s="11">
        <f>_xlfn.XLOOKUP(E:E,'[2]手工、项目数、消耗'!$C:$C,'[2]手工、项目数、消耗'!$D:$D)</f>
        <v>78</v>
      </c>
      <c r="W108" s="11">
        <f>_xlfn.XLOOKUP(E:E,'[2]手工、项目数、消耗'!$C:$C,'[2]手工、项目数、消耗'!$H:$H)</f>
        <v>980</v>
      </c>
      <c r="X108" s="11">
        <f>_xlfn.XLOOKUP(E:E,'[1]②7月-汇总'!$D:$D,'[1]②7月-汇总'!$W:$W)</f>
        <v>0</v>
      </c>
      <c r="Y108" s="11">
        <f>_xlfn.XLOOKUP(E:E,'[1]②7月-汇总'!$D:$D,'[1]②7月-汇总'!$Z:$Z)</f>
        <v>0</v>
      </c>
      <c r="Z108" s="11">
        <f>_xlfn.XLOOKUP(E:E,'[1]②7月-汇总'!$D:$D,'[1]②7月-汇总'!$AI:$AI)</f>
        <v>0</v>
      </c>
      <c r="AA108" s="45">
        <f t="shared" si="10"/>
        <v>3205.8850000000002</v>
      </c>
      <c r="AB108" s="11"/>
      <c r="AC108" s="50"/>
      <c r="AD108" s="11">
        <f>_xlfn.XLOOKUP(E:E,'[1]②7月-汇总'!$D:$D,'[1]②7月-汇总'!$AC:$AC)</f>
        <v>100</v>
      </c>
      <c r="AE108" s="11"/>
      <c r="AF108" s="11">
        <f>_xlfn.XLOOKUP(E:E,'[1]②7月-汇总'!$D:$D,'[1]②7月-汇总'!$AD:$AD)</f>
        <v>0</v>
      </c>
      <c r="AG108" s="11">
        <f>_xlfn.XLOOKUP(E:E,'[1]②7月-汇总'!$D:$D,'[1]②7月-汇总'!$Y:$Y)</f>
        <v>0</v>
      </c>
      <c r="AH108" s="11">
        <f>_xlfn.XLOOKUP(E:E,'[1]②7月-汇总'!$D:$D,'[1]②7月-汇总'!$L:$L)</f>
        <v>0</v>
      </c>
      <c r="AI108" s="11">
        <f>_xlfn.XLOOKUP(E:E,'[1]②7月-汇总'!$D:$D,'[1]②7月-汇总'!$X:$X)</f>
        <v>0</v>
      </c>
      <c r="AJ108" s="11">
        <f>_xlfn.XLOOKUP(E:E,'[1]②7月-汇总'!$D:$D,'[1]②7月-汇总'!$AB:$AB)</f>
        <v>0</v>
      </c>
      <c r="AK108" s="11">
        <f>_xlfn.XLOOKUP(E:E,'[1]②7月-汇总'!$D:$D,'[1]②7月-汇总'!$AE:$AE)</f>
        <v>0</v>
      </c>
      <c r="AL108" s="96"/>
      <c r="AM108" s="45">
        <f t="shared" si="12"/>
        <v>3105.8850000000002</v>
      </c>
      <c r="AN108" s="11">
        <f>_xlfn.XLOOKUP(E:E,'[1]①7月-花名册'!$E:$E,'[1]①7月-花名册'!$T:$T)</f>
        <v>0</v>
      </c>
      <c r="AO108" s="67"/>
      <c r="AP108" s="142">
        <f>_xlfn.XLOOKUP(E108,[9]工资核对的全字段!$C:$C,[9]工资核对的全字段!$CW:$CW,0)</f>
        <v>3105.8850000000002</v>
      </c>
      <c r="AQ108" s="36">
        <f t="shared" si="11"/>
        <v>0</v>
      </c>
    </row>
    <row r="109" spans="1:43" x14ac:dyDescent="0.15">
      <c r="A109" s="55" t="s">
        <v>41</v>
      </c>
      <c r="B109" s="62" t="s">
        <v>158</v>
      </c>
      <c r="C109" s="57" t="s">
        <v>47</v>
      </c>
      <c r="D109" s="58" t="s">
        <v>47</v>
      </c>
      <c r="E109" s="58" t="s">
        <v>47</v>
      </c>
      <c r="F109" s="11">
        <f t="shared" si="13"/>
        <v>0</v>
      </c>
      <c r="G109" s="11">
        <v>0</v>
      </c>
      <c r="H109" s="11">
        <v>0</v>
      </c>
      <c r="I109" s="11">
        <v>0</v>
      </c>
      <c r="J109" s="50"/>
      <c r="K109" s="11">
        <v>61981.599999999999</v>
      </c>
      <c r="L109" s="68"/>
      <c r="M109" s="68"/>
      <c r="N109" s="45">
        <f t="shared" si="14"/>
        <v>0</v>
      </c>
      <c r="O109" s="45">
        <f t="shared" si="15"/>
        <v>0</v>
      </c>
      <c r="P109" s="45"/>
      <c r="Q109" s="45"/>
      <c r="R109" s="45">
        <f t="shared" si="9"/>
        <v>0</v>
      </c>
      <c r="S109" s="11"/>
      <c r="T109" s="45"/>
      <c r="U109" s="11"/>
      <c r="V109" s="11"/>
      <c r="W109" s="11"/>
      <c r="X109" s="11"/>
      <c r="Y109" s="11"/>
      <c r="Z109" s="11"/>
      <c r="AA109" s="45">
        <f t="shared" si="10"/>
        <v>0</v>
      </c>
      <c r="AB109" s="11"/>
      <c r="AC109" s="50"/>
      <c r="AD109" s="11"/>
      <c r="AE109" s="11"/>
      <c r="AF109" s="11"/>
      <c r="AG109" s="11"/>
      <c r="AH109" s="11"/>
      <c r="AI109" s="11"/>
      <c r="AJ109" s="11"/>
      <c r="AK109" s="11"/>
      <c r="AL109" s="96"/>
      <c r="AM109" s="45">
        <f t="shared" si="12"/>
        <v>0</v>
      </c>
      <c r="AN109" s="11"/>
      <c r="AO109" s="67"/>
      <c r="AP109" s="142">
        <f>_xlfn.XLOOKUP(E109,[9]工资核对的全字段!$C:$C,[9]工资核对的全字段!$CW:$CW,0)</f>
        <v>0</v>
      </c>
      <c r="AQ109" s="36">
        <f t="shared" si="11"/>
        <v>0</v>
      </c>
    </row>
    <row r="110" spans="1:43" x14ac:dyDescent="0.15">
      <c r="A110" s="55" t="s">
        <v>41</v>
      </c>
      <c r="B110" s="62" t="s">
        <v>158</v>
      </c>
      <c r="C110" s="57" t="s">
        <v>165</v>
      </c>
      <c r="D110" s="58" t="s">
        <v>4</v>
      </c>
      <c r="E110" s="48" t="s">
        <v>166</v>
      </c>
      <c r="F110" s="11">
        <f t="shared" si="13"/>
        <v>1316</v>
      </c>
      <c r="G110" s="11">
        <v>872</v>
      </c>
      <c r="H110" s="11">
        <v>0</v>
      </c>
      <c r="I110" s="11">
        <v>444</v>
      </c>
      <c r="J110" s="50"/>
      <c r="K110" s="11"/>
      <c r="L110" s="68"/>
      <c r="M110" s="68">
        <v>0</v>
      </c>
      <c r="N110" s="45">
        <f t="shared" si="14"/>
        <v>0</v>
      </c>
      <c r="O110" s="45">
        <f t="shared" si="15"/>
        <v>0</v>
      </c>
      <c r="P110" s="45"/>
      <c r="Q110" s="45"/>
      <c r="R110" s="45">
        <f t="shared" si="9"/>
        <v>0</v>
      </c>
      <c r="S110" s="11">
        <f>_xlfn.XLOOKUP(E:E,'[1]②7月-汇总'!$D:$D,'[1]②7月-汇总'!$AP:$AP)</f>
        <v>31</v>
      </c>
      <c r="T110" s="45">
        <v>1800</v>
      </c>
      <c r="U110" s="11">
        <f>_xlfn.XLOOKUP(E:E,'[2]手工、项目数、消耗'!$C:$C,'[2]手工、项目数、消耗'!$E:$E)</f>
        <v>5032.04</v>
      </c>
      <c r="V110" s="11">
        <f>_xlfn.XLOOKUP(E:E,'[2]手工、项目数、消耗'!$C:$C,'[2]手工、项目数、消耗'!$D:$D)</f>
        <v>70.5</v>
      </c>
      <c r="W110" s="11">
        <f>_xlfn.XLOOKUP(E:E,'[2]手工、项目数、消耗'!$C:$C,'[2]手工、项目数、消耗'!$H:$H)</f>
        <v>963</v>
      </c>
      <c r="X110" s="11">
        <f>_xlfn.XLOOKUP(E:E,'[1]②7月-汇总'!$D:$D,'[1]②7月-汇总'!$W:$W)</f>
        <v>0</v>
      </c>
      <c r="Y110" s="11">
        <f>_xlfn.XLOOKUP(E:E,'[1]②7月-汇总'!$D:$D,'[1]②7月-汇总'!$Z:$Z)</f>
        <v>0</v>
      </c>
      <c r="Z110" s="11">
        <f>_xlfn.XLOOKUP(E:E,'[1]②7月-汇总'!$D:$D,'[1]②7月-汇总'!$AI:$AI)</f>
        <v>0</v>
      </c>
      <c r="AA110" s="45">
        <f t="shared" si="10"/>
        <v>2763</v>
      </c>
      <c r="AB110" s="11"/>
      <c r="AC110" s="42">
        <v>60</v>
      </c>
      <c r="AD110" s="11">
        <f>_xlfn.XLOOKUP(E:E,'[1]②7月-汇总'!$D:$D,'[1]②7月-汇总'!$AC:$AC)</f>
        <v>0</v>
      </c>
      <c r="AE110" s="11"/>
      <c r="AF110" s="11">
        <f>_xlfn.XLOOKUP(E:E,'[1]②7月-汇总'!$D:$D,'[1]②7月-汇总'!$AD:$AD)</f>
        <v>0</v>
      </c>
      <c r="AG110" s="11">
        <f>_xlfn.XLOOKUP(E:E,'[1]②7月-汇总'!$D:$D,'[1]②7月-汇总'!$Y:$Y)</f>
        <v>0</v>
      </c>
      <c r="AH110" s="11">
        <f>_xlfn.XLOOKUP(E:E,'[1]②7月-汇总'!$D:$D,'[1]②7月-汇总'!$L:$L)</f>
        <v>0</v>
      </c>
      <c r="AI110" s="11">
        <f>_xlfn.XLOOKUP(E:E,'[1]②7月-汇总'!$D:$D,'[1]②7月-汇总'!$X:$X)</f>
        <v>10</v>
      </c>
      <c r="AJ110" s="11">
        <f>_xlfn.XLOOKUP(E:E,'[1]②7月-汇总'!$D:$D,'[1]②7月-汇总'!$AB:$AB)</f>
        <v>0</v>
      </c>
      <c r="AK110" s="11">
        <f>_xlfn.XLOOKUP(E:E,'[1]②7月-汇总'!$D:$D,'[1]②7月-汇总'!$AE:$AE)</f>
        <v>0</v>
      </c>
      <c r="AL110" s="96">
        <v>737</v>
      </c>
      <c r="AM110" s="45">
        <f t="shared" si="12"/>
        <v>3430</v>
      </c>
      <c r="AN110" s="11">
        <f>_xlfn.XLOOKUP(E:E,'[1]①7月-花名册'!$E:$E,'[1]①7月-花名册'!$T:$T)</f>
        <v>3500</v>
      </c>
      <c r="AO110" s="67"/>
      <c r="AP110" s="142">
        <f>_xlfn.XLOOKUP(E110,[9]工资核对的全字段!$C:$C,[9]工资核对的全字段!$CW:$CW,0)</f>
        <v>3430</v>
      </c>
      <c r="AQ110" s="36">
        <f t="shared" si="11"/>
        <v>0</v>
      </c>
    </row>
    <row r="111" spans="1:43" x14ac:dyDescent="0.15">
      <c r="A111" s="55" t="s">
        <v>41</v>
      </c>
      <c r="B111" s="62" t="s">
        <v>158</v>
      </c>
      <c r="C111" s="60" t="s">
        <v>9</v>
      </c>
      <c r="D111" s="61" t="s">
        <v>9</v>
      </c>
      <c r="E111" s="61" t="s">
        <v>167</v>
      </c>
      <c r="F111" s="11">
        <f t="shared" si="13"/>
        <v>0</v>
      </c>
      <c r="G111" s="11">
        <v>0</v>
      </c>
      <c r="H111" s="11">
        <v>0</v>
      </c>
      <c r="I111" s="11">
        <v>0</v>
      </c>
      <c r="J111" s="50"/>
      <c r="K111" s="11"/>
      <c r="L111" s="68"/>
      <c r="M111" s="68"/>
      <c r="N111" s="45">
        <f t="shared" si="14"/>
        <v>0</v>
      </c>
      <c r="O111" s="45">
        <f t="shared" si="15"/>
        <v>0</v>
      </c>
      <c r="P111" s="45"/>
      <c r="Q111" s="45">
        <v>424</v>
      </c>
      <c r="R111" s="45">
        <f t="shared" si="9"/>
        <v>424</v>
      </c>
      <c r="S111" s="11"/>
      <c r="T111" s="45"/>
      <c r="U111" s="11"/>
      <c r="V111" s="11"/>
      <c r="W111" s="11"/>
      <c r="X111" s="11"/>
      <c r="Y111" s="11"/>
      <c r="Z111" s="11"/>
      <c r="AA111" s="45">
        <f t="shared" si="10"/>
        <v>424</v>
      </c>
      <c r="AB111" s="11"/>
      <c r="AC111" s="50"/>
      <c r="AD111" s="11"/>
      <c r="AE111" s="11"/>
      <c r="AF111" s="11"/>
      <c r="AG111" s="11"/>
      <c r="AH111" s="11"/>
      <c r="AI111" s="11"/>
      <c r="AJ111" s="11"/>
      <c r="AK111" s="11"/>
      <c r="AL111" s="96"/>
      <c r="AM111" s="45">
        <f t="shared" si="12"/>
        <v>424</v>
      </c>
      <c r="AN111" s="11"/>
      <c r="AO111" s="67"/>
      <c r="AP111" s="142">
        <f>_xlfn.XLOOKUP(E111,[9]工资核对的全字段!$C:$C,[9]工资核对的全字段!$CW:$CW,0)</f>
        <v>424.08000000000004</v>
      </c>
      <c r="AQ111" s="36">
        <f t="shared" si="11"/>
        <v>8.0000000000040927E-2</v>
      </c>
    </row>
    <row r="112" spans="1:43" x14ac:dyDescent="0.15">
      <c r="A112" s="55" t="s">
        <v>41</v>
      </c>
      <c r="B112" s="62" t="s">
        <v>168</v>
      </c>
      <c r="C112" s="57" t="s">
        <v>169</v>
      </c>
      <c r="D112" s="58" t="s">
        <v>43</v>
      </c>
      <c r="E112" s="58" t="s">
        <v>170</v>
      </c>
      <c r="F112" s="11">
        <f t="shared" si="13"/>
        <v>45903.8</v>
      </c>
      <c r="G112" s="11">
        <v>31275.8</v>
      </c>
      <c r="H112" s="11">
        <v>12852</v>
      </c>
      <c r="I112" s="11">
        <v>1776</v>
      </c>
      <c r="J112" s="50"/>
      <c r="K112" s="11"/>
      <c r="L112" s="68">
        <f>F112/$K$114</f>
        <v>0.73891319534990041</v>
      </c>
      <c r="M112" s="68">
        <v>0.05</v>
      </c>
      <c r="N112" s="45">
        <f t="shared" si="14"/>
        <v>1485.6005</v>
      </c>
      <c r="O112" s="45">
        <f t="shared" si="15"/>
        <v>396.80550000000005</v>
      </c>
      <c r="P112" s="45">
        <v>0</v>
      </c>
      <c r="Q112" s="45"/>
      <c r="R112" s="45">
        <f t="shared" si="9"/>
        <v>1882.4059999999999</v>
      </c>
      <c r="S112" s="11">
        <f>_xlfn.XLOOKUP(E:E,'[1]②7月-汇总'!$D:$D,'[1]②7月-汇总'!$AP:$AP)</f>
        <v>31</v>
      </c>
      <c r="T112" s="45">
        <v>2000</v>
      </c>
      <c r="U112" s="11">
        <f>_xlfn.XLOOKUP(E:E,'[2]手工、项目数、消耗'!$C:$C,'[2]手工、项目数、消耗'!$E:$E)</f>
        <v>21255.46</v>
      </c>
      <c r="V112" s="11">
        <f>_xlfn.XLOOKUP(E:E,'[2]手工、项目数、消耗'!$C:$C,'[2]手工、项目数、消耗'!$D:$D)</f>
        <v>105.5</v>
      </c>
      <c r="W112" s="11">
        <f>_xlfn.XLOOKUP(E:E,'[2]手工、项目数、消耗'!$C:$C,'[2]手工、项目数、消耗'!$H:$H)</f>
        <v>1561</v>
      </c>
      <c r="X112" s="11">
        <f>_xlfn.XLOOKUP(E:E,'[1]②7月-汇总'!$D:$D,'[1]②7月-汇总'!$W:$W)</f>
        <v>0</v>
      </c>
      <c r="Y112" s="11">
        <f>_xlfn.XLOOKUP(E:E,'[1]②7月-汇总'!$D:$D,'[1]②7月-汇总'!$Z:$Z)</f>
        <v>0</v>
      </c>
      <c r="Z112" s="11">
        <f>_xlfn.XLOOKUP(E:E,'[1]②7月-汇总'!$D:$D,'[1]②7月-汇总'!$AI:$AI)</f>
        <v>0</v>
      </c>
      <c r="AA112" s="45">
        <f t="shared" si="10"/>
        <v>5443.4059999999999</v>
      </c>
      <c r="AB112" s="11"/>
      <c r="AC112" s="50"/>
      <c r="AD112" s="11">
        <f>_xlfn.XLOOKUP(E:E,'[1]②7月-汇总'!$D:$D,'[1]②7月-汇总'!$AC:$AC)</f>
        <v>0</v>
      </c>
      <c r="AE112" s="11"/>
      <c r="AF112" s="11">
        <f>_xlfn.XLOOKUP(E:E,'[1]②7月-汇总'!$D:$D,'[1]②7月-汇总'!$AD:$AD)</f>
        <v>0</v>
      </c>
      <c r="AG112" s="11">
        <f>_xlfn.XLOOKUP(E:E,'[1]②7月-汇总'!$D:$D,'[1]②7月-汇总'!$Y:$Y)</f>
        <v>0</v>
      </c>
      <c r="AH112" s="11">
        <f>_xlfn.XLOOKUP(E:E,'[1]②7月-汇总'!$D:$D,'[1]②7月-汇总'!$L:$L)</f>
        <v>0</v>
      </c>
      <c r="AI112" s="11">
        <f>_xlfn.XLOOKUP(E:E,'[1]②7月-汇总'!$D:$D,'[1]②7月-汇总'!$X:$X)</f>
        <v>10</v>
      </c>
      <c r="AJ112" s="11">
        <f>_xlfn.XLOOKUP(E:E,'[1]②7月-汇总'!$D:$D,'[1]②7月-汇总'!$AB:$AB)</f>
        <v>0</v>
      </c>
      <c r="AK112" s="11">
        <f>_xlfn.XLOOKUP(E:E,'[1]②7月-汇总'!$D:$D,'[1]②7月-汇总'!$AE:$AE)</f>
        <v>0</v>
      </c>
      <c r="AL112" s="96"/>
      <c r="AM112" s="45">
        <f t="shared" si="12"/>
        <v>5433.4059999999999</v>
      </c>
      <c r="AN112" s="11">
        <f>_xlfn.XLOOKUP(E:E,'[1]①7月-花名册'!$E:$E,'[1]①7月-花名册'!$T:$T)</f>
        <v>0</v>
      </c>
      <c r="AO112" s="67"/>
      <c r="AP112" s="142">
        <f>_xlfn.XLOOKUP(E112,[9]工资核对的全字段!$C:$C,[9]工资核对的全字段!$CW:$CW,0)</f>
        <v>5433.4059999999999</v>
      </c>
      <c r="AQ112" s="36">
        <f t="shared" si="11"/>
        <v>0</v>
      </c>
    </row>
    <row r="113" spans="1:43" x14ac:dyDescent="0.15">
      <c r="A113" s="55" t="s">
        <v>41</v>
      </c>
      <c r="B113" s="62" t="s">
        <v>168</v>
      </c>
      <c r="C113" s="57" t="s">
        <v>169</v>
      </c>
      <c r="D113" s="58" t="s">
        <v>4</v>
      </c>
      <c r="E113" s="58" t="s">
        <v>171</v>
      </c>
      <c r="F113" s="11">
        <f t="shared" si="13"/>
        <v>16219.6</v>
      </c>
      <c r="G113" s="11">
        <v>16219.6</v>
      </c>
      <c r="H113" s="11">
        <v>0</v>
      </c>
      <c r="I113" s="11">
        <v>0</v>
      </c>
      <c r="J113" s="50"/>
      <c r="K113" s="11"/>
      <c r="L113" s="68">
        <f>F113/$K$114</f>
        <v>0.26108680465009965</v>
      </c>
      <c r="M113" s="68">
        <v>0.05</v>
      </c>
      <c r="N113" s="45">
        <f t="shared" si="14"/>
        <v>770.43100000000004</v>
      </c>
      <c r="O113" s="45">
        <f t="shared" si="15"/>
        <v>0</v>
      </c>
      <c r="P113" s="45"/>
      <c r="Q113" s="45"/>
      <c r="R113" s="45">
        <f t="shared" si="9"/>
        <v>770.43100000000004</v>
      </c>
      <c r="S113" s="11">
        <f>_xlfn.XLOOKUP(E:E,'[1]②7月-汇总'!$D:$D,'[1]②7月-汇总'!$AP:$AP)</f>
        <v>31</v>
      </c>
      <c r="T113" s="45">
        <v>2000</v>
      </c>
      <c r="U113" s="11">
        <f>_xlfn.XLOOKUP(E:E,'[2]手工、项目数、消耗'!$C:$C,'[2]手工、项目数、消耗'!$E:$E)</f>
        <v>11905.51</v>
      </c>
      <c r="V113" s="11">
        <f>_xlfn.XLOOKUP(E:E,'[2]手工、项目数、消耗'!$C:$C,'[2]手工、项目数、消耗'!$D:$D)</f>
        <v>101.5</v>
      </c>
      <c r="W113" s="11">
        <f>_xlfn.XLOOKUP(E:E,'[2]手工、项目数、消耗'!$C:$C,'[2]手工、项目数、消耗'!$H:$H)</f>
        <v>1429</v>
      </c>
      <c r="X113" s="11">
        <f>_xlfn.XLOOKUP(E:E,'[1]②7月-汇总'!$D:$D,'[1]②7月-汇总'!$W:$W)</f>
        <v>0</v>
      </c>
      <c r="Y113" s="11">
        <f>_xlfn.XLOOKUP(E:E,'[1]②7月-汇总'!$D:$D,'[1]②7月-汇总'!$Z:$Z)</f>
        <v>0</v>
      </c>
      <c r="Z113" s="11">
        <f>_xlfn.XLOOKUP(E:E,'[1]②7月-汇总'!$D:$D,'[1]②7月-汇总'!$AI:$AI)</f>
        <v>0</v>
      </c>
      <c r="AA113" s="45">
        <f t="shared" si="10"/>
        <v>4199.4310000000005</v>
      </c>
      <c r="AB113" s="11"/>
      <c r="AC113" s="50"/>
      <c r="AD113" s="11">
        <f>_xlfn.XLOOKUP(E:E,'[1]②7月-汇总'!$D:$D,'[1]②7月-汇总'!$AC:$AC)</f>
        <v>0</v>
      </c>
      <c r="AE113" s="11"/>
      <c r="AF113" s="11">
        <f>_xlfn.XLOOKUP(E:E,'[1]②7月-汇总'!$D:$D,'[1]②7月-汇总'!$AD:$AD)</f>
        <v>0</v>
      </c>
      <c r="AG113" s="11">
        <f>_xlfn.XLOOKUP(E:E,'[1]②7月-汇总'!$D:$D,'[1]②7月-汇总'!$Y:$Y)</f>
        <v>0</v>
      </c>
      <c r="AH113" s="11">
        <f>_xlfn.XLOOKUP(E:E,'[1]②7月-汇总'!$D:$D,'[1]②7月-汇总'!$L:$L)</f>
        <v>0</v>
      </c>
      <c r="AI113" s="11">
        <f>_xlfn.XLOOKUP(E:E,'[1]②7月-汇总'!$D:$D,'[1]②7月-汇总'!$X:$X)</f>
        <v>10</v>
      </c>
      <c r="AJ113" s="11">
        <f>_xlfn.XLOOKUP(E:E,'[1]②7月-汇总'!$D:$D,'[1]②7月-汇总'!$AB:$AB)</f>
        <v>0</v>
      </c>
      <c r="AK113" s="11">
        <f>_xlfn.XLOOKUP(E:E,'[1]②7月-汇总'!$D:$D,'[1]②7月-汇总'!$AE:$AE)</f>
        <v>0</v>
      </c>
      <c r="AL113" s="96"/>
      <c r="AM113" s="45">
        <f t="shared" si="12"/>
        <v>4189.4310000000005</v>
      </c>
      <c r="AN113" s="11">
        <f>_xlfn.XLOOKUP(E:E,'[1]①7月-花名册'!$E:$E,'[1]①7月-花名册'!$T:$T)</f>
        <v>0</v>
      </c>
      <c r="AO113" s="67"/>
      <c r="AP113" s="142">
        <f>_xlfn.XLOOKUP(E113,[9]工资核对的全字段!$C:$C,[9]工资核对的全字段!$CW:$CW,0)</f>
        <v>4189.4310000000005</v>
      </c>
      <c r="AQ113" s="36">
        <f t="shared" si="11"/>
        <v>0</v>
      </c>
    </row>
    <row r="114" spans="1:43" x14ac:dyDescent="0.15">
      <c r="A114" s="55" t="s">
        <v>41</v>
      </c>
      <c r="B114" s="62" t="s">
        <v>168</v>
      </c>
      <c r="C114" s="57" t="s">
        <v>47</v>
      </c>
      <c r="D114" s="58" t="s">
        <v>47</v>
      </c>
      <c r="E114" s="58" t="s">
        <v>47</v>
      </c>
      <c r="F114" s="11">
        <f t="shared" si="13"/>
        <v>0</v>
      </c>
      <c r="G114" s="11">
        <v>0</v>
      </c>
      <c r="H114" s="11">
        <v>0</v>
      </c>
      <c r="I114" s="11">
        <v>0</v>
      </c>
      <c r="J114" s="50"/>
      <c r="K114" s="11">
        <v>62123.4</v>
      </c>
      <c r="L114" s="68"/>
      <c r="M114" s="68"/>
      <c r="N114" s="45">
        <f t="shared" si="14"/>
        <v>0</v>
      </c>
      <c r="O114" s="45">
        <f t="shared" si="15"/>
        <v>0</v>
      </c>
      <c r="P114" s="45"/>
      <c r="Q114" s="45"/>
      <c r="R114" s="45">
        <f t="shared" si="9"/>
        <v>0</v>
      </c>
      <c r="S114" s="11"/>
      <c r="T114" s="45"/>
      <c r="U114" s="11"/>
      <c r="V114" s="11"/>
      <c r="W114" s="11"/>
      <c r="X114" s="11"/>
      <c r="Y114" s="11"/>
      <c r="Z114" s="11"/>
      <c r="AA114" s="45">
        <f t="shared" si="10"/>
        <v>0</v>
      </c>
      <c r="AB114" s="11"/>
      <c r="AC114" s="50"/>
      <c r="AD114" s="11"/>
      <c r="AE114" s="11"/>
      <c r="AF114" s="11"/>
      <c r="AG114" s="11"/>
      <c r="AH114" s="11"/>
      <c r="AI114" s="11"/>
      <c r="AJ114" s="11"/>
      <c r="AK114" s="11"/>
      <c r="AL114" s="96"/>
      <c r="AM114" s="45">
        <f t="shared" si="12"/>
        <v>0</v>
      </c>
      <c r="AN114" s="11"/>
      <c r="AO114" s="67"/>
      <c r="AP114" s="142">
        <f>_xlfn.XLOOKUP(E114,[9]工资核对的全字段!$C:$C,[9]工资核对的全字段!$CW:$CW,0)</f>
        <v>0</v>
      </c>
      <c r="AQ114" s="36">
        <f t="shared" si="11"/>
        <v>0</v>
      </c>
    </row>
    <row r="115" spans="1:43" x14ac:dyDescent="0.15">
      <c r="A115" s="55" t="s">
        <v>41</v>
      </c>
      <c r="B115" s="62" t="s">
        <v>168</v>
      </c>
      <c r="C115" s="57" t="s">
        <v>172</v>
      </c>
      <c r="D115" s="58" t="s">
        <v>43</v>
      </c>
      <c r="E115" s="58" t="s">
        <v>173</v>
      </c>
      <c r="F115" s="11">
        <f t="shared" si="13"/>
        <v>60066.400000000001</v>
      </c>
      <c r="G115" s="11">
        <v>55290.400000000001</v>
      </c>
      <c r="H115" s="11">
        <v>4776</v>
      </c>
      <c r="I115" s="11">
        <v>0</v>
      </c>
      <c r="J115" s="50"/>
      <c r="K115" s="11"/>
      <c r="L115" s="68">
        <f>F115/$K$118</f>
        <v>0.68026446625427806</v>
      </c>
      <c r="M115" s="68">
        <v>0.04</v>
      </c>
      <c r="N115" s="45">
        <f t="shared" si="14"/>
        <v>2101.0351999999998</v>
      </c>
      <c r="O115" s="45">
        <f t="shared" si="15"/>
        <v>117.96719999999999</v>
      </c>
      <c r="P115" s="45">
        <v>0</v>
      </c>
      <c r="Q115" s="45"/>
      <c r="R115" s="45">
        <f t="shared" si="9"/>
        <v>2219.0023999999999</v>
      </c>
      <c r="S115" s="11">
        <f>_xlfn.XLOOKUP(E:E,'[1]②7月-汇总'!$D:$D,'[1]②7月-汇总'!$AP:$AP)</f>
        <v>31</v>
      </c>
      <c r="T115" s="45">
        <v>2000</v>
      </c>
      <c r="U115" s="11">
        <f>_xlfn.XLOOKUP(E:E,'[2]手工、项目数、消耗'!$C:$C,'[2]手工、项目数、消耗'!$E:$E)</f>
        <v>24816.880000000001</v>
      </c>
      <c r="V115" s="11">
        <f>_xlfn.XLOOKUP(E:E,'[2]手工、项目数、消耗'!$C:$C,'[2]手工、项目数、消耗'!$D:$D)</f>
        <v>108</v>
      </c>
      <c r="W115" s="11">
        <f>_xlfn.XLOOKUP(E:E,'[2]手工、项目数、消耗'!$C:$C,'[2]手工、项目数、消耗'!$H:$H)</f>
        <v>1814</v>
      </c>
      <c r="X115" s="11">
        <f>_xlfn.XLOOKUP(E:E,'[1]②7月-汇总'!$D:$D,'[1]②7月-汇总'!$W:$W)</f>
        <v>0</v>
      </c>
      <c r="Y115" s="11">
        <f>_xlfn.XLOOKUP(E:E,'[1]②7月-汇总'!$D:$D,'[1]②7月-汇总'!$Z:$Z)</f>
        <v>0</v>
      </c>
      <c r="Z115" s="11">
        <f>_xlfn.XLOOKUP(E:E,'[1]②7月-汇总'!$D:$D,'[1]②7月-汇总'!$AI:$AI)</f>
        <v>0</v>
      </c>
      <c r="AA115" s="45">
        <f t="shared" si="10"/>
        <v>6033.0023999999994</v>
      </c>
      <c r="AB115" s="11"/>
      <c r="AC115" s="50"/>
      <c r="AD115" s="11">
        <f>_xlfn.XLOOKUP(E:E,'[1]②7月-汇总'!$D:$D,'[1]②7月-汇总'!$AC:$AC)</f>
        <v>0</v>
      </c>
      <c r="AE115" s="11">
        <f>_xlfn.XLOOKUP(E:E,[3]Sheet1!$B:$B,[3]Sheet1!$L:$L)</f>
        <v>644.16800000000001</v>
      </c>
      <c r="AF115" s="11">
        <f>_xlfn.XLOOKUP(E:E,'[1]②7月-汇总'!$D:$D,'[1]②7月-汇总'!$AD:$AD)</f>
        <v>0</v>
      </c>
      <c r="AG115" s="11">
        <f>_xlfn.XLOOKUP(E:E,'[1]②7月-汇总'!$D:$D,'[1]②7月-汇总'!$Y:$Y)</f>
        <v>0</v>
      </c>
      <c r="AH115" s="11">
        <f>_xlfn.XLOOKUP(E:E,'[1]②7月-汇总'!$D:$D,'[1]②7月-汇总'!$L:$L)</f>
        <v>0</v>
      </c>
      <c r="AI115" s="11">
        <f>_xlfn.XLOOKUP(E:E,'[1]②7月-汇总'!$D:$D,'[1]②7月-汇总'!$X:$X)</f>
        <v>20</v>
      </c>
      <c r="AJ115" s="11">
        <f>_xlfn.XLOOKUP(E:E,'[1]②7月-汇总'!$D:$D,'[1]②7月-汇总'!$AB:$AB)</f>
        <v>0</v>
      </c>
      <c r="AK115" s="11">
        <f>_xlfn.XLOOKUP(E:E,'[1]②7月-汇总'!$D:$D,'[1]②7月-汇总'!$AE:$AE)</f>
        <v>0</v>
      </c>
      <c r="AL115" s="96"/>
      <c r="AM115" s="45">
        <f t="shared" si="12"/>
        <v>5368.8343999999997</v>
      </c>
      <c r="AN115" s="11">
        <f>_xlfn.XLOOKUP(E:E,'[1]①7月-花名册'!$E:$E,'[1]①7月-花名册'!$T:$T)</f>
        <v>0</v>
      </c>
      <c r="AO115" s="67"/>
      <c r="AP115" s="142">
        <f>_xlfn.XLOOKUP(E115,[9]工资核对的全字段!$C:$C,[9]工资核对的全字段!$CW:$CW,0)</f>
        <v>5368.8343999999997</v>
      </c>
      <c r="AQ115" s="36">
        <f t="shared" si="11"/>
        <v>0</v>
      </c>
    </row>
    <row r="116" spans="1:43" x14ac:dyDescent="0.15">
      <c r="A116" s="55" t="s">
        <v>41</v>
      </c>
      <c r="B116" s="62" t="s">
        <v>168</v>
      </c>
      <c r="C116" s="57" t="s">
        <v>172</v>
      </c>
      <c r="D116" s="58" t="s">
        <v>4</v>
      </c>
      <c r="E116" s="58" t="s">
        <v>174</v>
      </c>
      <c r="F116" s="11">
        <f t="shared" si="13"/>
        <v>25588.6</v>
      </c>
      <c r="G116" s="11">
        <v>24856.6</v>
      </c>
      <c r="H116" s="11">
        <v>732</v>
      </c>
      <c r="I116" s="11">
        <v>0</v>
      </c>
      <c r="J116" s="50"/>
      <c r="K116" s="11"/>
      <c r="L116" s="68">
        <f>F116/$K$118</f>
        <v>0.28979621420951179</v>
      </c>
      <c r="M116" s="68">
        <v>0.04</v>
      </c>
      <c r="N116" s="45">
        <f t="shared" si="14"/>
        <v>944.55079999999987</v>
      </c>
      <c r="O116" s="45">
        <f t="shared" si="15"/>
        <v>18.080400000000001</v>
      </c>
      <c r="P116" s="45"/>
      <c r="Q116" s="45"/>
      <c r="R116" s="45">
        <f t="shared" si="9"/>
        <v>962.63119999999992</v>
      </c>
      <c r="S116" s="11">
        <f>_xlfn.XLOOKUP(E:E,'[1]②7月-汇总'!$D:$D,'[1]②7月-汇总'!$AP:$AP)</f>
        <v>31</v>
      </c>
      <c r="T116" s="45">
        <v>2000</v>
      </c>
      <c r="U116" s="11">
        <f>_xlfn.XLOOKUP(E:E,'[2]手工、项目数、消耗'!$C:$C,'[2]手工、项目数、消耗'!$E:$E)</f>
        <v>20075.759999999998</v>
      </c>
      <c r="V116" s="11">
        <f>_xlfn.XLOOKUP(E:E,'[2]手工、项目数、消耗'!$C:$C,'[2]手工、项目数、消耗'!$D:$D)</f>
        <v>107</v>
      </c>
      <c r="W116" s="11">
        <f>_xlfn.XLOOKUP(E:E,'[2]手工、项目数、消耗'!$C:$C,'[2]手工、项目数、消耗'!$H:$H)</f>
        <v>1666</v>
      </c>
      <c r="X116" s="11">
        <f>_xlfn.XLOOKUP(E:E,'[1]②7月-汇总'!$D:$D,'[1]②7月-汇总'!$W:$W)</f>
        <v>0</v>
      </c>
      <c r="Y116" s="11">
        <f>_xlfn.XLOOKUP(E:E,'[1]②7月-汇总'!$D:$D,'[1]②7月-汇总'!$Z:$Z)</f>
        <v>0</v>
      </c>
      <c r="Z116" s="11">
        <f>_xlfn.XLOOKUP(E:E,'[1]②7月-汇总'!$D:$D,'[1]②7月-汇总'!$AI:$AI)</f>
        <v>0</v>
      </c>
      <c r="AA116" s="45">
        <f t="shared" si="10"/>
        <v>4628.6311999999998</v>
      </c>
      <c r="AB116" s="11"/>
      <c r="AC116" s="50"/>
      <c r="AD116" s="11">
        <f>_xlfn.XLOOKUP(E:E,'[1]②7月-汇总'!$D:$D,'[1]②7月-汇总'!$AC:$AC)</f>
        <v>0</v>
      </c>
      <c r="AE116" s="11"/>
      <c r="AF116" s="11">
        <f>_xlfn.XLOOKUP(E:E,'[1]②7月-汇总'!$D:$D,'[1]②7月-汇总'!$AD:$AD)</f>
        <v>0</v>
      </c>
      <c r="AG116" s="11">
        <f>_xlfn.XLOOKUP(E:E,'[1]②7月-汇总'!$D:$D,'[1]②7月-汇总'!$Y:$Y)</f>
        <v>0</v>
      </c>
      <c r="AH116" s="11">
        <f>_xlfn.XLOOKUP(E:E,'[1]②7月-汇总'!$D:$D,'[1]②7月-汇总'!$L:$L)</f>
        <v>0</v>
      </c>
      <c r="AI116" s="11">
        <f>_xlfn.XLOOKUP(E:E,'[1]②7月-汇总'!$D:$D,'[1]②7月-汇总'!$X:$X)</f>
        <v>0</v>
      </c>
      <c r="AJ116" s="11">
        <f>_xlfn.XLOOKUP(E:E,'[1]②7月-汇总'!$D:$D,'[1]②7月-汇总'!$AB:$AB)</f>
        <v>0</v>
      </c>
      <c r="AK116" s="11">
        <f>_xlfn.XLOOKUP(E:E,'[1]②7月-汇总'!$D:$D,'[1]②7月-汇总'!$AE:$AE)</f>
        <v>0</v>
      </c>
      <c r="AL116" s="96"/>
      <c r="AM116" s="45">
        <f t="shared" si="12"/>
        <v>4628.6311999999998</v>
      </c>
      <c r="AN116" s="11">
        <f>_xlfn.XLOOKUP(E:E,'[1]①7月-花名册'!$E:$E,'[1]①7月-花名册'!$T:$T)</f>
        <v>0</v>
      </c>
      <c r="AO116" s="67"/>
      <c r="AP116" s="142">
        <f>_xlfn.XLOOKUP(E116,[9]工资核对的全字段!$C:$C,[9]工资核对的全字段!$CW:$CW,0)</f>
        <v>4628.6311999999998</v>
      </c>
      <c r="AQ116" s="36">
        <f t="shared" si="11"/>
        <v>0</v>
      </c>
    </row>
    <row r="117" spans="1:43" x14ac:dyDescent="0.15">
      <c r="A117" s="55" t="s">
        <v>41</v>
      </c>
      <c r="B117" s="62" t="s">
        <v>168</v>
      </c>
      <c r="C117" s="57" t="s">
        <v>172</v>
      </c>
      <c r="D117" s="58" t="s">
        <v>4</v>
      </c>
      <c r="E117" s="58" t="s">
        <v>175</v>
      </c>
      <c r="F117" s="11">
        <f t="shared" si="13"/>
        <v>2643.6</v>
      </c>
      <c r="G117" s="11">
        <v>2643.6</v>
      </c>
      <c r="H117" s="11">
        <v>0</v>
      </c>
      <c r="I117" s="11">
        <v>0</v>
      </c>
      <c r="J117" s="50"/>
      <c r="K117" s="11"/>
      <c r="L117" s="68">
        <f>F117/$K$118</f>
        <v>2.9939319536210086E-2</v>
      </c>
      <c r="M117" s="68">
        <v>0.04</v>
      </c>
      <c r="N117" s="45">
        <f t="shared" si="14"/>
        <v>100.45679999999999</v>
      </c>
      <c r="O117" s="45">
        <f t="shared" si="15"/>
        <v>0</v>
      </c>
      <c r="P117" s="45"/>
      <c r="Q117" s="45"/>
      <c r="R117" s="45">
        <f t="shared" si="9"/>
        <v>100.45679999999999</v>
      </c>
      <c r="S117" s="11">
        <f>_xlfn.XLOOKUP(E:E,'[1]②7月-汇总'!$D:$D,'[1]②7月-汇总'!$AP:$AP)</f>
        <v>31</v>
      </c>
      <c r="T117" s="45">
        <v>1800</v>
      </c>
      <c r="U117" s="11">
        <f>_xlfn.XLOOKUP(E:E,'[2]手工、项目数、消耗'!$C:$C,'[2]手工、项目数、消耗'!$E:$E)</f>
        <v>7009.51</v>
      </c>
      <c r="V117" s="11">
        <f>_xlfn.XLOOKUP(E:E,'[2]手工、项目数、消耗'!$C:$C,'[2]手工、项目数、消耗'!$D:$D)</f>
        <v>88</v>
      </c>
      <c r="W117" s="11">
        <f>_xlfn.XLOOKUP(E:E,'[2]手工、项目数、消耗'!$C:$C,'[2]手工、项目数、消耗'!$H:$H)</f>
        <v>1186</v>
      </c>
      <c r="X117" s="11">
        <f>_xlfn.XLOOKUP(E:E,'[1]②7月-汇总'!$D:$D,'[1]②7月-汇总'!$W:$W)</f>
        <v>0</v>
      </c>
      <c r="Y117" s="11">
        <f>_xlfn.XLOOKUP(E:E,'[1]②7月-汇总'!$D:$D,'[1]②7月-汇总'!$Z:$Z)</f>
        <v>0</v>
      </c>
      <c r="Z117" s="11">
        <f>_xlfn.XLOOKUP(E:E,'[1]②7月-汇总'!$D:$D,'[1]②7月-汇总'!$AI:$AI)</f>
        <v>0</v>
      </c>
      <c r="AA117" s="45">
        <f t="shared" si="10"/>
        <v>3086.4567999999999</v>
      </c>
      <c r="AB117" s="11"/>
      <c r="AC117" s="11">
        <v>0</v>
      </c>
      <c r="AD117" s="11">
        <f>_xlfn.XLOOKUP(E:E,'[1]②7月-汇总'!$D:$D,'[1]②7月-汇总'!$AC:$AC)</f>
        <v>0</v>
      </c>
      <c r="AE117" s="11"/>
      <c r="AF117" s="11">
        <f>_xlfn.XLOOKUP(E:E,'[1]②7月-汇总'!$D:$D,'[1]②7月-汇总'!$AD:$AD)</f>
        <v>0</v>
      </c>
      <c r="AG117" s="11">
        <f>_xlfn.XLOOKUP(E:E,'[1]②7月-汇总'!$D:$D,'[1]②7月-汇总'!$Y:$Y)</f>
        <v>0</v>
      </c>
      <c r="AH117" s="11">
        <f>_xlfn.XLOOKUP(E:E,'[1]②7月-汇总'!$D:$D,'[1]②7月-汇总'!$L:$L)</f>
        <v>0</v>
      </c>
      <c r="AI117" s="11">
        <f>_xlfn.XLOOKUP(E:E,'[1]②7月-汇总'!$D:$D,'[1]②7月-汇总'!$X:$X)</f>
        <v>0</v>
      </c>
      <c r="AJ117" s="11">
        <f>_xlfn.XLOOKUP(E:E,'[1]②7月-汇总'!$D:$D,'[1]②7月-汇总'!$AB:$AB)</f>
        <v>0</v>
      </c>
      <c r="AK117" s="11">
        <f>_xlfn.XLOOKUP(E:E,'[1]②7月-汇总'!$D:$D,'[1]②7月-汇总'!$AE:$AE)</f>
        <v>0</v>
      </c>
      <c r="AL117" s="96">
        <v>914</v>
      </c>
      <c r="AM117" s="45">
        <f t="shared" si="12"/>
        <v>4000.4567999999999</v>
      </c>
      <c r="AN117" s="11">
        <f>_xlfn.XLOOKUP(E:E,'[1]①7月-花名册'!$E:$E,'[1]①7月-花名册'!$T:$T)</f>
        <v>4000</v>
      </c>
      <c r="AO117" s="67"/>
      <c r="AP117" s="142">
        <f>_xlfn.XLOOKUP(E117,[9]工资核对的全字段!$C:$C,[9]工资核对的全字段!$CW:$CW,0)</f>
        <v>4000</v>
      </c>
      <c r="AQ117" s="36">
        <f t="shared" si="11"/>
        <v>-0.45679999999993015</v>
      </c>
    </row>
    <row r="118" spans="1:43" x14ac:dyDescent="0.15">
      <c r="A118" s="55" t="s">
        <v>41</v>
      </c>
      <c r="B118" s="62" t="s">
        <v>168</v>
      </c>
      <c r="C118" s="57" t="s">
        <v>47</v>
      </c>
      <c r="D118" s="58" t="s">
        <v>47</v>
      </c>
      <c r="E118" s="58" t="s">
        <v>47</v>
      </c>
      <c r="F118" s="11">
        <f t="shared" si="13"/>
        <v>0</v>
      </c>
      <c r="G118" s="11">
        <v>0</v>
      </c>
      <c r="H118" s="11">
        <v>0</v>
      </c>
      <c r="I118" s="11">
        <v>0</v>
      </c>
      <c r="J118" s="50"/>
      <c r="K118" s="11">
        <v>88298.6</v>
      </c>
      <c r="L118" s="68"/>
      <c r="M118" s="68"/>
      <c r="N118" s="45">
        <f t="shared" si="14"/>
        <v>0</v>
      </c>
      <c r="O118" s="45">
        <f t="shared" si="15"/>
        <v>0</v>
      </c>
      <c r="P118" s="45"/>
      <c r="Q118" s="45"/>
      <c r="R118" s="45">
        <f t="shared" si="9"/>
        <v>0</v>
      </c>
      <c r="S118" s="11"/>
      <c r="T118" s="45"/>
      <c r="U118" s="11"/>
      <c r="V118" s="11"/>
      <c r="W118" s="11"/>
      <c r="X118" s="11"/>
      <c r="Y118" s="11"/>
      <c r="Z118" s="11"/>
      <c r="AA118" s="45">
        <f t="shared" si="10"/>
        <v>0</v>
      </c>
      <c r="AB118" s="11"/>
      <c r="AC118" s="50"/>
      <c r="AD118" s="11"/>
      <c r="AE118" s="11"/>
      <c r="AF118" s="11"/>
      <c r="AG118" s="11"/>
      <c r="AH118" s="11"/>
      <c r="AI118" s="11"/>
      <c r="AJ118" s="11"/>
      <c r="AK118" s="11"/>
      <c r="AL118" s="96"/>
      <c r="AM118" s="45">
        <f t="shared" si="12"/>
        <v>0</v>
      </c>
      <c r="AN118" s="11"/>
      <c r="AO118" s="67"/>
      <c r="AP118" s="142">
        <f>_xlfn.XLOOKUP(E118,[9]工资核对的全字段!$C:$C,[9]工资核对的全字段!$CW:$CW,0)</f>
        <v>0</v>
      </c>
      <c r="AQ118" s="36">
        <f t="shared" si="11"/>
        <v>0</v>
      </c>
    </row>
    <row r="119" spans="1:43" x14ac:dyDescent="0.15">
      <c r="A119" s="55" t="s">
        <v>41</v>
      </c>
      <c r="B119" s="62" t="s">
        <v>168</v>
      </c>
      <c r="C119" s="60" t="s">
        <v>9</v>
      </c>
      <c r="D119" s="61" t="s">
        <v>9</v>
      </c>
      <c r="E119" s="61" t="s">
        <v>176</v>
      </c>
      <c r="F119" s="11">
        <f t="shared" si="13"/>
        <v>0</v>
      </c>
      <c r="G119" s="11">
        <v>0</v>
      </c>
      <c r="H119" s="11">
        <v>0</v>
      </c>
      <c r="I119" s="11">
        <v>0</v>
      </c>
      <c r="J119" s="50"/>
      <c r="K119" s="11"/>
      <c r="L119" s="68"/>
      <c r="M119" s="68"/>
      <c r="N119" s="45">
        <f t="shared" si="14"/>
        <v>0</v>
      </c>
      <c r="O119" s="45">
        <f t="shared" si="15"/>
        <v>0</v>
      </c>
      <c r="P119" s="45"/>
      <c r="Q119" s="45">
        <v>376</v>
      </c>
      <c r="R119" s="45">
        <f t="shared" si="9"/>
        <v>376</v>
      </c>
      <c r="S119" s="11"/>
      <c r="T119" s="45"/>
      <c r="U119" s="11"/>
      <c r="V119" s="11"/>
      <c r="W119" s="11"/>
      <c r="X119" s="11"/>
      <c r="Y119" s="11"/>
      <c r="Z119" s="11"/>
      <c r="AA119" s="45">
        <f t="shared" si="10"/>
        <v>376</v>
      </c>
      <c r="AB119" s="11"/>
      <c r="AC119" s="50"/>
      <c r="AD119" s="11"/>
      <c r="AE119" s="11"/>
      <c r="AF119" s="11"/>
      <c r="AG119" s="11"/>
      <c r="AH119" s="11"/>
      <c r="AI119" s="11"/>
      <c r="AJ119" s="11"/>
      <c r="AK119" s="11"/>
      <c r="AL119" s="96"/>
      <c r="AM119" s="45">
        <f t="shared" si="12"/>
        <v>376</v>
      </c>
      <c r="AN119" s="11"/>
      <c r="AO119" s="67"/>
      <c r="AP119" s="142">
        <f>_xlfn.XLOOKUP(E119,[9]工资核对的全字段!$C:$C,[9]工资核对的全字段!$CW:$CW,0)</f>
        <v>376.05500000000006</v>
      </c>
      <c r="AQ119" s="36">
        <f t="shared" si="11"/>
        <v>5.5000000000063665E-2</v>
      </c>
    </row>
    <row r="120" spans="1:43" x14ac:dyDescent="0.15">
      <c r="A120" s="55" t="s">
        <v>41</v>
      </c>
      <c r="B120" s="62" t="s">
        <v>177</v>
      </c>
      <c r="C120" s="57" t="s">
        <v>178</v>
      </c>
      <c r="D120" s="58" t="s">
        <v>43</v>
      </c>
      <c r="E120" s="58" t="s">
        <v>179</v>
      </c>
      <c r="F120" s="11">
        <f t="shared" si="13"/>
        <v>45278</v>
      </c>
      <c r="G120" s="11">
        <v>45278</v>
      </c>
      <c r="H120" s="11">
        <v>0</v>
      </c>
      <c r="I120" s="11">
        <v>0</v>
      </c>
      <c r="J120" s="50"/>
      <c r="K120" s="11"/>
      <c r="L120" s="68">
        <f>F120/$K$122</f>
        <v>0.82208544401474304</v>
      </c>
      <c r="M120" s="68">
        <v>0.04</v>
      </c>
      <c r="N120" s="45">
        <f t="shared" si="14"/>
        <v>1720.5640000000001</v>
      </c>
      <c r="O120" s="45">
        <f t="shared" si="15"/>
        <v>0</v>
      </c>
      <c r="P120" s="45">
        <v>0</v>
      </c>
      <c r="Q120" s="45"/>
      <c r="R120" s="45">
        <f t="shared" si="9"/>
        <v>1720.5640000000001</v>
      </c>
      <c r="S120" s="11">
        <f>_xlfn.XLOOKUP(E:E,'[1]②7月-汇总'!$D:$D,'[1]②7月-汇总'!$AP:$AP)</f>
        <v>31</v>
      </c>
      <c r="T120" s="45">
        <v>2000</v>
      </c>
      <c r="U120" s="11">
        <f>_xlfn.XLOOKUP(E:E,'[2]手工、项目数、消耗'!$C:$C,'[2]手工、项目数、消耗'!$E:$E)</f>
        <v>40480.21</v>
      </c>
      <c r="V120" s="11">
        <f>_xlfn.XLOOKUP(E:E,'[2]手工、项目数、消耗'!$C:$C,'[2]手工、项目数、消耗'!$D:$D)</f>
        <v>115</v>
      </c>
      <c r="W120" s="11">
        <f>_xlfn.XLOOKUP(E:E,'[2]手工、项目数、消耗'!$C:$C,'[2]手工、项目数、消耗'!$H:$H)</f>
        <v>1989</v>
      </c>
      <c r="X120" s="11">
        <f>_xlfn.XLOOKUP(E:E,'[1]②7月-汇总'!$D:$D,'[1]②7月-汇总'!$W:$W)</f>
        <v>0</v>
      </c>
      <c r="Y120" s="11">
        <f>_xlfn.XLOOKUP(E:E,'[1]②7月-汇总'!$D:$D,'[1]②7月-汇总'!$Z:$Z)</f>
        <v>0</v>
      </c>
      <c r="Z120" s="11">
        <f>_xlfn.XLOOKUP(E:E,'[1]②7月-汇总'!$D:$D,'[1]②7月-汇总'!$AI:$AI)</f>
        <v>0</v>
      </c>
      <c r="AA120" s="45">
        <f t="shared" si="10"/>
        <v>5709.5640000000003</v>
      </c>
      <c r="AB120" s="11">
        <v>500</v>
      </c>
      <c r="AC120" s="50"/>
      <c r="AD120" s="11">
        <f>_xlfn.XLOOKUP(E:E,'[1]②7月-汇总'!$D:$D,'[1]②7月-汇总'!$AC:$AC)</f>
        <v>0</v>
      </c>
      <c r="AE120" s="11"/>
      <c r="AF120" s="11">
        <f>_xlfn.XLOOKUP(E:E,'[1]②7月-汇总'!$D:$D,'[1]②7月-汇总'!$AD:$AD)</f>
        <v>0</v>
      </c>
      <c r="AG120" s="11">
        <f>_xlfn.XLOOKUP(E:E,'[1]②7月-汇总'!$D:$D,'[1]②7月-汇总'!$Y:$Y)</f>
        <v>0</v>
      </c>
      <c r="AH120" s="11">
        <f>_xlfn.XLOOKUP(E:E,'[1]②7月-汇总'!$D:$D,'[1]②7月-汇总'!$L:$L)</f>
        <v>0</v>
      </c>
      <c r="AI120" s="11">
        <f>_xlfn.XLOOKUP(E:E,'[1]②7月-汇总'!$D:$D,'[1]②7月-汇总'!$X:$X)</f>
        <v>20</v>
      </c>
      <c r="AJ120" s="11">
        <f>_xlfn.XLOOKUP(E:E,'[1]②7月-汇总'!$D:$D,'[1]②7月-汇总'!$AB:$AB)</f>
        <v>0</v>
      </c>
      <c r="AK120" s="11">
        <f>_xlfn.XLOOKUP(E:E,'[1]②7月-汇总'!$D:$D,'[1]②7月-汇总'!$AE:$AE)</f>
        <v>0</v>
      </c>
      <c r="AL120" s="96"/>
      <c r="AM120" s="45">
        <f t="shared" si="12"/>
        <v>6189.5640000000003</v>
      </c>
      <c r="AN120" s="11">
        <f>_xlfn.XLOOKUP(E:E,'[1]①7月-花名册'!$E:$E,'[1]①7月-花名册'!$T:$T)</f>
        <v>0</v>
      </c>
      <c r="AO120" s="67"/>
      <c r="AP120" s="142">
        <f>_xlfn.XLOOKUP(E120,[9]工资核对的全字段!$C:$C,[9]工资核对的全字段!$CW:$CW,0)</f>
        <v>6189.5640000000003</v>
      </c>
      <c r="AQ120" s="36">
        <f t="shared" si="11"/>
        <v>0</v>
      </c>
    </row>
    <row r="121" spans="1:43" x14ac:dyDescent="0.15">
      <c r="A121" s="55" t="s">
        <v>41</v>
      </c>
      <c r="B121" s="62" t="s">
        <v>177</v>
      </c>
      <c r="C121" s="57" t="s">
        <v>178</v>
      </c>
      <c r="D121" s="58" t="s">
        <v>4</v>
      </c>
      <c r="E121" s="98" t="s">
        <v>180</v>
      </c>
      <c r="F121" s="11">
        <f t="shared" si="13"/>
        <v>9799</v>
      </c>
      <c r="G121" s="11">
        <v>9799</v>
      </c>
      <c r="H121" s="11">
        <v>0</v>
      </c>
      <c r="I121" s="11">
        <v>0</v>
      </c>
      <c r="J121" s="50"/>
      <c r="K121" s="11"/>
      <c r="L121" s="68">
        <f>F121/$K$122</f>
        <v>0.17791455598525702</v>
      </c>
      <c r="M121" s="68">
        <v>0.04</v>
      </c>
      <c r="N121" s="45">
        <f t="shared" si="14"/>
        <v>372.36199999999997</v>
      </c>
      <c r="O121" s="45">
        <f t="shared" si="15"/>
        <v>0</v>
      </c>
      <c r="P121" s="45"/>
      <c r="Q121" s="45"/>
      <c r="R121" s="45">
        <f t="shared" si="9"/>
        <v>372.36199999999997</v>
      </c>
      <c r="S121" s="11">
        <f>_xlfn.XLOOKUP(E:E,'[1]②7月-汇总'!$D:$D,'[1]②7月-汇总'!$AP:$AP)</f>
        <v>29</v>
      </c>
      <c r="T121" s="45">
        <f>2000/31*29</f>
        <v>1870.96774193548</v>
      </c>
      <c r="U121" s="11">
        <f>_xlfn.XLOOKUP(E:E,'[2]手工、项目数、消耗'!$C:$C,'[2]手工、项目数、消耗'!$E:$E)</f>
        <v>12768.22</v>
      </c>
      <c r="V121" s="11">
        <f>_xlfn.XLOOKUP(E:E,'[2]手工、项目数、消耗'!$C:$C,'[2]手工、项目数、消耗'!$D:$D)</f>
        <v>110</v>
      </c>
      <c r="W121" s="11">
        <f>_xlfn.XLOOKUP(E:E,'[2]手工、项目数、消耗'!$C:$C,'[2]手工、项目数、消耗'!$H:$H)</f>
        <v>1347</v>
      </c>
      <c r="X121" s="11">
        <f>_xlfn.XLOOKUP(E:E,'[1]②7月-汇总'!$D:$D,'[1]②7月-汇总'!$W:$W)</f>
        <v>0</v>
      </c>
      <c r="Y121" s="11">
        <f>_xlfn.XLOOKUP(E:E,'[1]②7月-汇总'!$D:$D,'[1]②7月-汇总'!$Z:$Z)</f>
        <v>0</v>
      </c>
      <c r="Z121" s="11">
        <f>_xlfn.XLOOKUP(E:E,'[1]②7月-汇总'!$D:$D,'[1]②7月-汇总'!$AI:$AI)</f>
        <v>0</v>
      </c>
      <c r="AA121" s="45">
        <f t="shared" si="10"/>
        <v>3590.3297419354799</v>
      </c>
      <c r="AB121" s="11"/>
      <c r="AC121" s="50"/>
      <c r="AD121" s="11">
        <f>_xlfn.XLOOKUP(E:E,'[1]②7月-汇总'!$D:$D,'[1]②7月-汇总'!$AC:$AC)</f>
        <v>0</v>
      </c>
      <c r="AE121" s="11"/>
      <c r="AF121" s="11">
        <f>_xlfn.XLOOKUP(E:E,'[1]②7月-汇总'!$D:$D,'[1]②7月-汇总'!$AD:$AD)</f>
        <v>0</v>
      </c>
      <c r="AG121" s="11">
        <f>_xlfn.XLOOKUP(E:E,'[1]②7月-汇总'!$D:$D,'[1]②7月-汇总'!$Y:$Y)</f>
        <v>0</v>
      </c>
      <c r="AH121" s="11">
        <f>_xlfn.XLOOKUP(E:E,'[1]②7月-汇总'!$D:$D,'[1]②7月-汇总'!$L:$L)</f>
        <v>2</v>
      </c>
      <c r="AI121" s="11">
        <f>_xlfn.XLOOKUP(E:E,'[1]②7月-汇总'!$D:$D,'[1]②7月-汇总'!$X:$X)</f>
        <v>0</v>
      </c>
      <c r="AJ121" s="11">
        <f>_xlfn.XLOOKUP(E:E,'[1]②7月-汇总'!$D:$D,'[1]②7月-汇总'!$AB:$AB)</f>
        <v>0</v>
      </c>
      <c r="AK121" s="11">
        <f>_xlfn.XLOOKUP(E:E,'[1]②7月-汇总'!$D:$D,'[1]②7月-汇总'!$AE:$AE)</f>
        <v>0</v>
      </c>
      <c r="AL121" s="96"/>
      <c r="AM121" s="45">
        <f t="shared" si="12"/>
        <v>3590.3297419354799</v>
      </c>
      <c r="AN121" s="11">
        <f>_xlfn.XLOOKUP(E:E,'[1]①7月-花名册'!$E:$E,'[1]①7月-花名册'!$T:$T)</f>
        <v>0</v>
      </c>
      <c r="AO121" s="67"/>
      <c r="AP121" s="142">
        <f>_xlfn.XLOOKUP(E121,[9]工资核对的全字段!$C:$C,[9]工资核对的全字段!$CW:$CW,0)</f>
        <v>3590.329741935484</v>
      </c>
      <c r="AQ121" s="36">
        <f t="shared" si="11"/>
        <v>4.0927261579781771E-12</v>
      </c>
    </row>
    <row r="122" spans="1:43" x14ac:dyDescent="0.15">
      <c r="A122" s="55" t="s">
        <v>41</v>
      </c>
      <c r="B122" s="62" t="s">
        <v>177</v>
      </c>
      <c r="C122" s="57" t="s">
        <v>47</v>
      </c>
      <c r="D122" s="58" t="s">
        <v>47</v>
      </c>
      <c r="E122" s="58" t="s">
        <v>47</v>
      </c>
      <c r="F122" s="11">
        <f t="shared" si="13"/>
        <v>0</v>
      </c>
      <c r="G122" s="11">
        <v>0</v>
      </c>
      <c r="H122" s="11">
        <v>0</v>
      </c>
      <c r="I122" s="11">
        <v>0</v>
      </c>
      <c r="J122" s="50"/>
      <c r="K122" s="11">
        <v>55077</v>
      </c>
      <c r="L122" s="68"/>
      <c r="M122" s="68"/>
      <c r="N122" s="45">
        <f t="shared" si="14"/>
        <v>0</v>
      </c>
      <c r="O122" s="45">
        <f t="shared" si="15"/>
        <v>0</v>
      </c>
      <c r="P122" s="45"/>
      <c r="Q122" s="45"/>
      <c r="R122" s="45">
        <f t="shared" si="9"/>
        <v>0</v>
      </c>
      <c r="S122" s="11"/>
      <c r="T122" s="45"/>
      <c r="U122" s="11"/>
      <c r="V122" s="11"/>
      <c r="W122" s="11"/>
      <c r="X122" s="11"/>
      <c r="Y122" s="11"/>
      <c r="Z122" s="11"/>
      <c r="AA122" s="45">
        <f t="shared" si="10"/>
        <v>0</v>
      </c>
      <c r="AB122" s="11"/>
      <c r="AC122" s="50"/>
      <c r="AD122" s="11"/>
      <c r="AE122" s="11"/>
      <c r="AF122" s="11"/>
      <c r="AG122" s="11"/>
      <c r="AH122" s="11"/>
      <c r="AI122" s="11"/>
      <c r="AJ122" s="11"/>
      <c r="AK122" s="11"/>
      <c r="AL122" s="96"/>
      <c r="AM122" s="45">
        <f t="shared" si="12"/>
        <v>0</v>
      </c>
      <c r="AN122" s="11"/>
      <c r="AO122" s="67"/>
      <c r="AP122" s="142">
        <f>_xlfn.XLOOKUP(E122,[9]工资核对的全字段!$C:$C,[9]工资核对的全字段!$CW:$CW,0)</f>
        <v>0</v>
      </c>
      <c r="AQ122" s="36">
        <f t="shared" si="11"/>
        <v>0</v>
      </c>
    </row>
    <row r="123" spans="1:43" x14ac:dyDescent="0.15">
      <c r="A123" s="55" t="s">
        <v>41</v>
      </c>
      <c r="B123" s="62" t="s">
        <v>177</v>
      </c>
      <c r="C123" s="57" t="s">
        <v>181</v>
      </c>
      <c r="D123" s="58" t="s">
        <v>43</v>
      </c>
      <c r="E123" s="58" t="s">
        <v>182</v>
      </c>
      <c r="F123" s="11">
        <f t="shared" si="13"/>
        <v>46560</v>
      </c>
      <c r="G123" s="11">
        <v>45560</v>
      </c>
      <c r="H123" s="11">
        <v>1000</v>
      </c>
      <c r="I123" s="11">
        <v>0</v>
      </c>
      <c r="J123" s="50"/>
      <c r="K123" s="11"/>
      <c r="L123" s="68">
        <f>F123/$K$125</f>
        <v>0.57829170444524491</v>
      </c>
      <c r="M123" s="68">
        <v>0.06</v>
      </c>
      <c r="N123" s="45">
        <f t="shared" si="14"/>
        <v>2596.92</v>
      </c>
      <c r="O123" s="45">
        <f t="shared" si="15"/>
        <v>37.049999999999997</v>
      </c>
      <c r="P123" s="45">
        <f>K125*0.003</f>
        <v>241.53900000000002</v>
      </c>
      <c r="Q123" s="45"/>
      <c r="R123" s="45">
        <f t="shared" si="9"/>
        <v>2875.5090000000005</v>
      </c>
      <c r="S123" s="11">
        <f>_xlfn.XLOOKUP(E:E,'[1]②7月-汇总'!$D:$D,'[1]②7月-汇总'!$AP:$AP)</f>
        <v>31</v>
      </c>
      <c r="T123" s="45">
        <v>2200</v>
      </c>
      <c r="U123" s="11">
        <f>_xlfn.XLOOKUP(E:E,'[2]手工、项目数、消耗'!$C:$C,'[2]手工、项目数、消耗'!$E:$E)</f>
        <v>48257.49</v>
      </c>
      <c r="V123" s="11">
        <f>_xlfn.XLOOKUP(E:E,'[2]手工、项目数、消耗'!$C:$C,'[2]手工、项目数、消耗'!$D:$D)</f>
        <v>135</v>
      </c>
      <c r="W123" s="11">
        <f>_xlfn.XLOOKUP(E:E,'[2]手工、项目数、消耗'!$C:$C,'[2]手工、项目数、消耗'!$H:$H)</f>
        <v>2157</v>
      </c>
      <c r="X123" s="11">
        <f>_xlfn.XLOOKUP(E:E,'[1]②7月-汇总'!$D:$D,'[1]②7月-汇总'!$W:$W)</f>
        <v>0</v>
      </c>
      <c r="Y123" s="11">
        <f>_xlfn.XLOOKUP(E:E,'[1]②7月-汇总'!$D:$D,'[1]②7月-汇总'!$Z:$Z)</f>
        <v>50</v>
      </c>
      <c r="Z123" s="11">
        <f>_xlfn.XLOOKUP(E:E,'[1]②7月-汇总'!$D:$D,'[1]②7月-汇总'!$AI:$AI)</f>
        <v>0</v>
      </c>
      <c r="AA123" s="45">
        <f t="shared" si="10"/>
        <v>7282.509</v>
      </c>
      <c r="AB123" s="11"/>
      <c r="AC123" s="50"/>
      <c r="AD123" s="11">
        <f>_xlfn.XLOOKUP(E:E,'[1]②7月-汇总'!$D:$D,'[1]②7月-汇总'!$AC:$AC)</f>
        <v>0</v>
      </c>
      <c r="AE123" s="11">
        <f>_xlfn.XLOOKUP(E:E,[3]Sheet1!$B:$B,[3]Sheet1!$L:$L)</f>
        <v>644.16800000000001</v>
      </c>
      <c r="AF123" s="11">
        <f>_xlfn.XLOOKUP(E:E,'[1]②7月-汇总'!$D:$D,'[1]②7月-汇总'!$AD:$AD)</f>
        <v>0</v>
      </c>
      <c r="AG123" s="11">
        <f>_xlfn.XLOOKUP(E:E,'[1]②7月-汇总'!$D:$D,'[1]②7月-汇总'!$Y:$Y)</f>
        <v>0</v>
      </c>
      <c r="AH123" s="11">
        <f>_xlfn.XLOOKUP(E:E,'[1]②7月-汇总'!$D:$D,'[1]②7月-汇总'!$L:$L)</f>
        <v>0</v>
      </c>
      <c r="AI123" s="11">
        <f>_xlfn.XLOOKUP(E:E,'[1]②7月-汇总'!$D:$D,'[1]②7月-汇总'!$X:$X)</f>
        <v>0</v>
      </c>
      <c r="AJ123" s="11">
        <f>_xlfn.XLOOKUP(E:E,'[1]②7月-汇总'!$D:$D,'[1]②7月-汇总'!$AB:$AB)</f>
        <v>0</v>
      </c>
      <c r="AK123" s="11">
        <f>_xlfn.XLOOKUP(E:E,'[1]②7月-汇总'!$D:$D,'[1]②7月-汇总'!$AE:$AE)</f>
        <v>0</v>
      </c>
      <c r="AL123" s="96"/>
      <c r="AM123" s="45">
        <f t="shared" si="12"/>
        <v>6638.3410000000003</v>
      </c>
      <c r="AN123" s="11">
        <f>_xlfn.XLOOKUP(E:E,'[1]①7月-花名册'!$E:$E,'[1]①7月-花名册'!$T:$T)</f>
        <v>0</v>
      </c>
      <c r="AO123" s="67"/>
      <c r="AP123" s="142">
        <f>_xlfn.XLOOKUP(E123,[9]工资核对的全字段!$C:$C,[9]工资核对的全字段!$CW:$CW,0)</f>
        <v>6638.3420000000006</v>
      </c>
      <c r="AQ123" s="36">
        <f t="shared" si="11"/>
        <v>1.0000000002037268E-3</v>
      </c>
    </row>
    <row r="124" spans="1:43" x14ac:dyDescent="0.15">
      <c r="A124" s="55" t="s">
        <v>41</v>
      </c>
      <c r="B124" s="62" t="s">
        <v>177</v>
      </c>
      <c r="C124" s="57" t="s">
        <v>181</v>
      </c>
      <c r="D124" s="58" t="s">
        <v>4</v>
      </c>
      <c r="E124" s="58" t="s">
        <v>183</v>
      </c>
      <c r="F124" s="11">
        <f t="shared" si="13"/>
        <v>33953</v>
      </c>
      <c r="G124" s="11">
        <v>24153</v>
      </c>
      <c r="H124" s="11">
        <v>9800</v>
      </c>
      <c r="I124" s="11">
        <v>0</v>
      </c>
      <c r="J124" s="50"/>
      <c r="K124" s="11"/>
      <c r="L124" s="68">
        <f>F124/$K$125</f>
        <v>0.42170829555475514</v>
      </c>
      <c r="M124" s="68">
        <v>0.06</v>
      </c>
      <c r="N124" s="45">
        <f t="shared" si="14"/>
        <v>1376.7209999999998</v>
      </c>
      <c r="O124" s="45">
        <f t="shared" si="15"/>
        <v>363.09</v>
      </c>
      <c r="P124" s="45"/>
      <c r="Q124" s="45"/>
      <c r="R124" s="45">
        <f t="shared" si="9"/>
        <v>1739.8109999999997</v>
      </c>
      <c r="S124" s="11">
        <f>_xlfn.XLOOKUP(E:E,'[1]②7月-汇总'!$D:$D,'[1]②7月-汇总'!$AP:$AP)</f>
        <v>31</v>
      </c>
      <c r="T124" s="45">
        <v>2000</v>
      </c>
      <c r="U124" s="11">
        <f>_xlfn.XLOOKUP(E:E,'[2]手工、项目数、消耗'!$C:$C,'[2]手工、项目数、消耗'!$E:$E)</f>
        <v>18967.5</v>
      </c>
      <c r="V124" s="11">
        <f>_xlfn.XLOOKUP(E:E,'[2]手工、项目数、消耗'!$C:$C,'[2]手工、项目数、消耗'!$D:$D)</f>
        <v>122</v>
      </c>
      <c r="W124" s="11">
        <f>_xlfn.XLOOKUP(E:E,'[2]手工、项目数、消耗'!$C:$C,'[2]手工、项目数、消耗'!$H:$H)</f>
        <v>1600</v>
      </c>
      <c r="X124" s="11">
        <f>_xlfn.XLOOKUP(E:E,'[1]②7月-汇总'!$D:$D,'[1]②7月-汇总'!$W:$W)</f>
        <v>0</v>
      </c>
      <c r="Y124" s="11">
        <f>_xlfn.XLOOKUP(E:E,'[1]②7月-汇总'!$D:$D,'[1]②7月-汇总'!$Z:$Z)</f>
        <v>50</v>
      </c>
      <c r="Z124" s="11">
        <f>_xlfn.XLOOKUP(E:E,'[1]②7月-汇总'!$D:$D,'[1]②7月-汇总'!$AI:$AI)</f>
        <v>0</v>
      </c>
      <c r="AA124" s="45">
        <f t="shared" si="10"/>
        <v>5389.8109999999997</v>
      </c>
      <c r="AB124" s="11"/>
      <c r="AC124" s="50"/>
      <c r="AD124" s="11">
        <f>_xlfn.XLOOKUP(E:E,'[1]②7月-汇总'!$D:$D,'[1]②7月-汇总'!$AC:$AC)</f>
        <v>0</v>
      </c>
      <c r="AE124" s="11"/>
      <c r="AF124" s="11">
        <f>_xlfn.XLOOKUP(E:E,'[1]②7月-汇总'!$D:$D,'[1]②7月-汇总'!$AD:$AD)</f>
        <v>0</v>
      </c>
      <c r="AG124" s="11">
        <f>_xlfn.XLOOKUP(E:E,'[1]②7月-汇总'!$D:$D,'[1]②7月-汇总'!$Y:$Y)</f>
        <v>0</v>
      </c>
      <c r="AH124" s="11">
        <f>_xlfn.XLOOKUP(E:E,'[1]②7月-汇总'!$D:$D,'[1]②7月-汇总'!$L:$L)</f>
        <v>0</v>
      </c>
      <c r="AI124" s="11">
        <f>_xlfn.XLOOKUP(E:E,'[1]②7月-汇总'!$D:$D,'[1]②7月-汇总'!$X:$X)</f>
        <v>0</v>
      </c>
      <c r="AJ124" s="11">
        <f>_xlfn.XLOOKUP(E:E,'[1]②7月-汇总'!$D:$D,'[1]②7月-汇总'!$AB:$AB)</f>
        <v>0</v>
      </c>
      <c r="AK124" s="11">
        <f>_xlfn.XLOOKUP(E:E,'[1]②7月-汇总'!$D:$D,'[1]②7月-汇总'!$AE:$AE)</f>
        <v>0</v>
      </c>
      <c r="AL124" s="96"/>
      <c r="AM124" s="45">
        <f t="shared" si="12"/>
        <v>5389.8109999999997</v>
      </c>
      <c r="AN124" s="11">
        <f>_xlfn.XLOOKUP(E:E,'[1]①7月-花名册'!$E:$E,'[1]①7月-花名册'!$T:$T)</f>
        <v>0</v>
      </c>
      <c r="AO124" s="67"/>
      <c r="AP124" s="142">
        <f>_xlfn.XLOOKUP(E124,[9]工资核对的全字段!$C:$C,[9]工资核对的全字段!$CW:$CW,0)</f>
        <v>5389.8109999999997</v>
      </c>
      <c r="AQ124" s="36">
        <f t="shared" si="11"/>
        <v>0</v>
      </c>
    </row>
    <row r="125" spans="1:43" x14ac:dyDescent="0.15">
      <c r="A125" s="55" t="s">
        <v>41</v>
      </c>
      <c r="B125" s="62" t="s">
        <v>177</v>
      </c>
      <c r="C125" s="57" t="s">
        <v>47</v>
      </c>
      <c r="D125" s="58" t="s">
        <v>47</v>
      </c>
      <c r="E125" s="58" t="s">
        <v>47</v>
      </c>
      <c r="F125" s="11">
        <f t="shared" si="13"/>
        <v>0</v>
      </c>
      <c r="G125" s="11">
        <v>0</v>
      </c>
      <c r="H125" s="11">
        <v>0</v>
      </c>
      <c r="I125" s="11">
        <v>0</v>
      </c>
      <c r="J125" s="50"/>
      <c r="K125" s="11">
        <v>80513</v>
      </c>
      <c r="L125" s="68"/>
      <c r="M125" s="68"/>
      <c r="N125" s="45">
        <f t="shared" si="14"/>
        <v>0</v>
      </c>
      <c r="O125" s="45">
        <f t="shared" si="15"/>
        <v>0</v>
      </c>
      <c r="P125" s="45"/>
      <c r="Q125" s="45"/>
      <c r="R125" s="45">
        <f t="shared" si="9"/>
        <v>0</v>
      </c>
      <c r="S125" s="11"/>
      <c r="T125" s="45"/>
      <c r="U125" s="11"/>
      <c r="V125" s="11"/>
      <c r="W125" s="11"/>
      <c r="X125" s="11"/>
      <c r="Y125" s="11"/>
      <c r="Z125" s="11"/>
      <c r="AA125" s="45">
        <f t="shared" si="10"/>
        <v>0</v>
      </c>
      <c r="AB125" s="11"/>
      <c r="AC125" s="50"/>
      <c r="AD125" s="11"/>
      <c r="AE125" s="11"/>
      <c r="AF125" s="11"/>
      <c r="AG125" s="11"/>
      <c r="AH125" s="11"/>
      <c r="AI125" s="11"/>
      <c r="AJ125" s="11"/>
      <c r="AK125" s="11"/>
      <c r="AL125" s="96"/>
      <c r="AM125" s="45">
        <f t="shared" si="12"/>
        <v>0</v>
      </c>
      <c r="AN125" s="11"/>
      <c r="AO125" s="67"/>
      <c r="AP125" s="142">
        <f>_xlfn.XLOOKUP(E125,[9]工资核对的全字段!$C:$C,[9]工资核对的全字段!$CW:$CW,0)</f>
        <v>0</v>
      </c>
      <c r="AQ125" s="36">
        <f t="shared" si="11"/>
        <v>0</v>
      </c>
    </row>
    <row r="126" spans="1:43" x14ac:dyDescent="0.15">
      <c r="A126" s="55" t="s">
        <v>41</v>
      </c>
      <c r="B126" s="62" t="s">
        <v>177</v>
      </c>
      <c r="C126" s="57" t="s">
        <v>165</v>
      </c>
      <c r="D126" s="58" t="s">
        <v>4</v>
      </c>
      <c r="E126" s="58" t="s">
        <v>184</v>
      </c>
      <c r="F126" s="11">
        <v>0</v>
      </c>
      <c r="G126" s="11">
        <v>0</v>
      </c>
      <c r="H126" s="11">
        <v>0</v>
      </c>
      <c r="I126" s="11">
        <v>0</v>
      </c>
      <c r="J126" s="50"/>
      <c r="K126" s="11"/>
      <c r="L126" s="68"/>
      <c r="M126" s="68">
        <v>0</v>
      </c>
      <c r="N126" s="45">
        <f t="shared" si="14"/>
        <v>0</v>
      </c>
      <c r="O126" s="45">
        <f t="shared" si="15"/>
        <v>0</v>
      </c>
      <c r="P126" s="45"/>
      <c r="Q126" s="45"/>
      <c r="R126" s="45">
        <f t="shared" si="9"/>
        <v>0</v>
      </c>
      <c r="S126" s="11">
        <f>_xlfn.XLOOKUP(E:E,'[1]②7月-汇总'!$D:$D,'[1]②7月-汇总'!$AP:$AP)</f>
        <v>13</v>
      </c>
      <c r="T126" s="45">
        <f>1800/31*13</f>
        <v>754.83870967741905</v>
      </c>
      <c r="U126" s="11">
        <v>0</v>
      </c>
      <c r="V126" s="11">
        <v>0</v>
      </c>
      <c r="W126" s="11">
        <v>0</v>
      </c>
      <c r="X126" s="11">
        <f>_xlfn.XLOOKUP(E:E,'[1]②7月-汇总'!$D:$D,'[1]②7月-汇总'!$W:$W)</f>
        <v>20</v>
      </c>
      <c r="Y126" s="11">
        <f>_xlfn.XLOOKUP(E:E,'[1]②7月-汇总'!$D:$D,'[1]②7月-汇总'!$Z:$Z)</f>
        <v>0</v>
      </c>
      <c r="Z126" s="11">
        <f>_xlfn.XLOOKUP(E:E,'[1]②7月-汇总'!$D:$D,'[1]②7月-汇总'!$AI:$AI)</f>
        <v>780</v>
      </c>
      <c r="AA126" s="45">
        <f t="shared" si="10"/>
        <v>1554.838709677419</v>
      </c>
      <c r="AB126" s="11"/>
      <c r="AC126" s="50"/>
      <c r="AD126" s="11">
        <f>_xlfn.XLOOKUP(E:E,'[1]②7月-汇总'!$D:$D,'[1]②7月-汇总'!$AC:$AC)</f>
        <v>0</v>
      </c>
      <c r="AE126" s="11"/>
      <c r="AF126" s="11">
        <f>_xlfn.XLOOKUP(E:E,'[1]②7月-汇总'!$D:$D,'[1]②7月-汇总'!$AD:$AD)</f>
        <v>130</v>
      </c>
      <c r="AG126" s="11">
        <f>_xlfn.XLOOKUP(E:E,'[1]②7月-汇总'!$D:$D,'[1]②7月-汇总'!$Y:$Y)</f>
        <v>0</v>
      </c>
      <c r="AH126" s="11">
        <f>_xlfn.XLOOKUP(E:E,'[1]②7月-汇总'!$D:$D,'[1]②7月-汇总'!$L:$L)</f>
        <v>0</v>
      </c>
      <c r="AI126" s="11">
        <f>_xlfn.XLOOKUP(E:E,'[1]②7月-汇总'!$D:$D,'[1]②7月-汇总'!$X:$X)</f>
        <v>0</v>
      </c>
      <c r="AJ126" s="11">
        <f>_xlfn.XLOOKUP(E:E,'[1]②7月-汇总'!$D:$D,'[1]②7月-汇总'!$AB:$AB)</f>
        <v>0</v>
      </c>
      <c r="AK126" s="11">
        <f>_xlfn.XLOOKUP(E:E,'[1]②7月-汇总'!$D:$D,'[1]②7月-汇总'!$AE:$AE)</f>
        <v>0</v>
      </c>
      <c r="AL126" s="96"/>
      <c r="AM126" s="45">
        <f t="shared" si="12"/>
        <v>1424.838709677419</v>
      </c>
      <c r="AN126" s="11">
        <f>_xlfn.XLOOKUP(E:E,'[1]①7月-花名册'!$E:$E,'[1]①7月-花名册'!$T:$T)</f>
        <v>0</v>
      </c>
      <c r="AO126" s="67"/>
      <c r="AP126" s="142">
        <f>_xlfn.XLOOKUP(E126,[9]工资核对的全字段!$C:$C,[9]工资核对的全字段!$CW:$CW,0)</f>
        <v>1424.8387096774193</v>
      </c>
      <c r="AQ126" s="36">
        <f t="shared" si="11"/>
        <v>0</v>
      </c>
    </row>
    <row r="127" spans="1:43" x14ac:dyDescent="0.15">
      <c r="A127" s="55" t="s">
        <v>41</v>
      </c>
      <c r="B127" s="62" t="s">
        <v>177</v>
      </c>
      <c r="C127" s="60" t="s">
        <v>9</v>
      </c>
      <c r="D127" s="61" t="s">
        <v>9</v>
      </c>
      <c r="E127" s="61" t="s">
        <v>185</v>
      </c>
      <c r="F127" s="11">
        <f t="shared" ref="F127:F135" si="16">G127+H127+I127</f>
        <v>0</v>
      </c>
      <c r="G127" s="11">
        <v>0</v>
      </c>
      <c r="H127" s="11">
        <v>0</v>
      </c>
      <c r="I127" s="11">
        <v>0</v>
      </c>
      <c r="J127" s="50"/>
      <c r="K127" s="11"/>
      <c r="L127" s="68"/>
      <c r="M127" s="68"/>
      <c r="N127" s="45">
        <f t="shared" si="14"/>
        <v>0</v>
      </c>
      <c r="O127" s="45">
        <f t="shared" si="15"/>
        <v>0</v>
      </c>
      <c r="P127" s="45"/>
      <c r="Q127" s="45">
        <v>339</v>
      </c>
      <c r="R127" s="45">
        <f t="shared" si="9"/>
        <v>339</v>
      </c>
      <c r="S127" s="11"/>
      <c r="T127" s="45"/>
      <c r="U127" s="11"/>
      <c r="V127" s="11"/>
      <c r="W127" s="11"/>
      <c r="X127" s="11"/>
      <c r="Y127" s="11"/>
      <c r="Z127" s="11"/>
      <c r="AA127" s="45">
        <f t="shared" si="10"/>
        <v>339</v>
      </c>
      <c r="AB127" s="11"/>
      <c r="AC127" s="50"/>
      <c r="AD127" s="11"/>
      <c r="AE127" s="11"/>
      <c r="AF127" s="11"/>
      <c r="AG127" s="11"/>
      <c r="AH127" s="11"/>
      <c r="AI127" s="11"/>
      <c r="AJ127" s="11"/>
      <c r="AK127" s="11"/>
      <c r="AL127" s="96"/>
      <c r="AM127" s="45">
        <f t="shared" si="12"/>
        <v>339</v>
      </c>
      <c r="AN127" s="11"/>
      <c r="AO127" s="67"/>
      <c r="AP127" s="142">
        <f>_xlfn.XLOOKUP(E127,[9]工资核对的全字段!$C:$C,[9]工资核对的全字段!$CW:$CW,0)</f>
        <v>338.97500000000002</v>
      </c>
      <c r="AQ127" s="36">
        <f t="shared" si="11"/>
        <v>-2.4999999999977263E-2</v>
      </c>
    </row>
    <row r="128" spans="1:43" x14ac:dyDescent="0.15">
      <c r="A128" s="55" t="s">
        <v>41</v>
      </c>
      <c r="B128" s="62" t="s">
        <v>186</v>
      </c>
      <c r="C128" s="57" t="s">
        <v>187</v>
      </c>
      <c r="D128" s="58" t="s">
        <v>43</v>
      </c>
      <c r="E128" s="58" t="s">
        <v>188</v>
      </c>
      <c r="F128" s="11">
        <f t="shared" si="16"/>
        <v>68146</v>
      </c>
      <c r="G128" s="11">
        <v>52166</v>
      </c>
      <c r="H128" s="11">
        <v>15980</v>
      </c>
      <c r="I128" s="11">
        <v>0</v>
      </c>
      <c r="J128" s="50"/>
      <c r="K128" s="11"/>
      <c r="L128" s="68">
        <f>F128/$K$130</f>
        <v>0.67896142196716081</v>
      </c>
      <c r="M128" s="68">
        <v>0.06</v>
      </c>
      <c r="N128" s="45">
        <f t="shared" si="14"/>
        <v>2973.4619999999995</v>
      </c>
      <c r="O128" s="45">
        <f t="shared" si="15"/>
        <v>592.05899999999997</v>
      </c>
      <c r="P128" s="45">
        <f>K130*0.003</f>
        <v>301.10399999999998</v>
      </c>
      <c r="Q128" s="45"/>
      <c r="R128" s="45">
        <f t="shared" si="9"/>
        <v>3866.6249999999995</v>
      </c>
      <c r="S128" s="11">
        <f>_xlfn.XLOOKUP(E:E,'[1]②7月-汇总'!$D:$D,'[1]②7月-汇总'!$AP:$AP)</f>
        <v>31</v>
      </c>
      <c r="T128" s="45">
        <v>2200</v>
      </c>
      <c r="U128" s="11">
        <f>_xlfn.XLOOKUP(E:E,'[2]手工、项目数、消耗'!$C:$C,'[2]手工、项目数、消耗'!$E:$E)</f>
        <v>58362.94</v>
      </c>
      <c r="V128" s="11">
        <f>_xlfn.XLOOKUP(E:E,'[2]手工、项目数、消耗'!$C:$C,'[2]手工、项目数、消耗'!$D:$D)</f>
        <v>133</v>
      </c>
      <c r="W128" s="11">
        <f>_xlfn.XLOOKUP(E:E,'[2]手工、项目数、消耗'!$C:$C,'[2]手工、项目数、消耗'!$H:$H)</f>
        <v>1977</v>
      </c>
      <c r="X128" s="11">
        <f>_xlfn.XLOOKUP(E:E,'[1]②7月-汇总'!$D:$D,'[1]②7月-汇总'!$W:$W)</f>
        <v>0</v>
      </c>
      <c r="Y128" s="11">
        <f>_xlfn.XLOOKUP(E:E,'[1]②7月-汇总'!$D:$D,'[1]②7月-汇总'!$Z:$Z)</f>
        <v>50</v>
      </c>
      <c r="Z128" s="11">
        <f>_xlfn.XLOOKUP(E:E,'[1]②7月-汇总'!$D:$D,'[1]②7月-汇总'!$AI:$AI)</f>
        <v>0</v>
      </c>
      <c r="AA128" s="45">
        <f t="shared" si="10"/>
        <v>8093.625</v>
      </c>
      <c r="AB128" s="11"/>
      <c r="AC128" s="50"/>
      <c r="AD128" s="11">
        <f>_xlfn.XLOOKUP(E:E,'[1]②7月-汇总'!$D:$D,'[1]②7月-汇总'!$AC:$AC)</f>
        <v>0</v>
      </c>
      <c r="AE128" s="11">
        <f>_xlfn.XLOOKUP(E:E,[3]Sheet1!$B:$B,[3]Sheet1!$L:$L)</f>
        <v>640.55999999999995</v>
      </c>
      <c r="AF128" s="11">
        <f>_xlfn.XLOOKUP(E:E,'[1]②7月-汇总'!$D:$D,'[1]②7月-汇总'!$AD:$AD)</f>
        <v>0</v>
      </c>
      <c r="AG128" s="11">
        <f>_xlfn.XLOOKUP(E:E,'[1]②7月-汇总'!$D:$D,'[1]②7月-汇总'!$Y:$Y)</f>
        <v>0</v>
      </c>
      <c r="AH128" s="11">
        <f>_xlfn.XLOOKUP(E:E,'[1]②7月-汇总'!$D:$D,'[1]②7月-汇总'!$L:$L)</f>
        <v>0</v>
      </c>
      <c r="AI128" s="11">
        <f>_xlfn.XLOOKUP(E:E,'[1]②7月-汇总'!$D:$D,'[1]②7月-汇总'!$X:$X)</f>
        <v>0</v>
      </c>
      <c r="AJ128" s="11">
        <f>_xlfn.XLOOKUP(E:E,'[1]②7月-汇总'!$D:$D,'[1]②7月-汇总'!$AB:$AB)</f>
        <v>0</v>
      </c>
      <c r="AK128" s="11">
        <f>_xlfn.XLOOKUP(E:E,'[1]②7月-汇总'!$D:$D,'[1]②7月-汇总'!$AE:$AE)</f>
        <v>0</v>
      </c>
      <c r="AL128" s="96"/>
      <c r="AM128" s="45">
        <f t="shared" si="12"/>
        <v>7453.0650000000005</v>
      </c>
      <c r="AN128" s="11">
        <f>_xlfn.XLOOKUP(E:E,'[1]①7月-花名册'!$E:$E,'[1]①7月-花名册'!$T:$T)</f>
        <v>0</v>
      </c>
      <c r="AO128" s="67"/>
      <c r="AP128" s="142">
        <f>_xlfn.XLOOKUP(E128,[9]工资核对的全字段!$C:$C,[9]工资核对的全字段!$CW:$CW,0)</f>
        <v>7453.0709999999999</v>
      </c>
      <c r="AQ128" s="36">
        <f t="shared" si="11"/>
        <v>5.9999999994033715E-3</v>
      </c>
    </row>
    <row r="129" spans="1:43" x14ac:dyDescent="0.15">
      <c r="A129" s="55" t="s">
        <v>41</v>
      </c>
      <c r="B129" s="62" t="s">
        <v>186</v>
      </c>
      <c r="C129" s="57" t="s">
        <v>187</v>
      </c>
      <c r="D129" s="58" t="s">
        <v>4</v>
      </c>
      <c r="E129" s="58" t="s">
        <v>189</v>
      </c>
      <c r="F129" s="11">
        <f t="shared" si="16"/>
        <v>32222</v>
      </c>
      <c r="G129" s="11">
        <v>25262</v>
      </c>
      <c r="H129" s="11">
        <v>6960</v>
      </c>
      <c r="I129" s="11">
        <v>0</v>
      </c>
      <c r="J129" s="50"/>
      <c r="K129" s="11"/>
      <c r="L129" s="68">
        <f>F129/$K$130</f>
        <v>0.32103857803283914</v>
      </c>
      <c r="M129" s="68">
        <v>0.06</v>
      </c>
      <c r="N129" s="45">
        <f t="shared" si="14"/>
        <v>1439.9339999999997</v>
      </c>
      <c r="O129" s="45">
        <f t="shared" si="15"/>
        <v>257.86799999999999</v>
      </c>
      <c r="P129" s="45"/>
      <c r="Q129" s="45"/>
      <c r="R129" s="45">
        <f t="shared" si="9"/>
        <v>1697.8019999999997</v>
      </c>
      <c r="S129" s="11">
        <f>_xlfn.XLOOKUP(E:E,'[1]②7月-汇总'!$D:$D,'[1]②7月-汇总'!$AP:$AP)</f>
        <v>31</v>
      </c>
      <c r="T129" s="45">
        <v>2200</v>
      </c>
      <c r="U129" s="11">
        <f>_xlfn.XLOOKUP(E:E,'[2]手工、项目数、消耗'!$C:$C,'[2]手工、项目数、消耗'!$E:$E)</f>
        <v>24568.3</v>
      </c>
      <c r="V129" s="11">
        <f>_xlfn.XLOOKUP(E:E,'[2]手工、项目数、消耗'!$C:$C,'[2]手工、项目数、消耗'!$D:$D)</f>
        <v>138</v>
      </c>
      <c r="W129" s="11">
        <f>_xlfn.XLOOKUP(E:E,'[2]手工、项目数、消耗'!$C:$C,'[2]手工、项目数、消耗'!$H:$H)</f>
        <v>1764</v>
      </c>
      <c r="X129" s="11">
        <f>_xlfn.XLOOKUP(E:E,'[1]②7月-汇总'!$D:$D,'[1]②7月-汇总'!$W:$W)</f>
        <v>0</v>
      </c>
      <c r="Y129" s="11">
        <f>_xlfn.XLOOKUP(E:E,'[1]②7月-汇总'!$D:$D,'[1]②7月-汇总'!$Z:$Z)</f>
        <v>0</v>
      </c>
      <c r="Z129" s="11">
        <f>_xlfn.XLOOKUP(E:E,'[1]②7月-汇总'!$D:$D,'[1]②7月-汇总'!$AI:$AI)</f>
        <v>0</v>
      </c>
      <c r="AA129" s="45">
        <f t="shared" si="10"/>
        <v>5661.8019999999997</v>
      </c>
      <c r="AB129" s="11"/>
      <c r="AC129" s="50"/>
      <c r="AD129" s="11">
        <f>_xlfn.XLOOKUP(E:E,'[1]②7月-汇总'!$D:$D,'[1]②7月-汇总'!$AC:$AC)</f>
        <v>0</v>
      </c>
      <c r="AE129" s="11"/>
      <c r="AF129" s="11">
        <f>_xlfn.XLOOKUP(E:E,'[1]②7月-汇总'!$D:$D,'[1]②7月-汇总'!$AD:$AD)</f>
        <v>0</v>
      </c>
      <c r="AG129" s="11">
        <f>_xlfn.XLOOKUP(E:E,'[1]②7月-汇总'!$D:$D,'[1]②7月-汇总'!$Y:$Y)</f>
        <v>0</v>
      </c>
      <c r="AH129" s="11">
        <f>_xlfn.XLOOKUP(E:E,'[1]②7月-汇总'!$D:$D,'[1]②7月-汇总'!$L:$L)</f>
        <v>0</v>
      </c>
      <c r="AI129" s="11">
        <f>_xlfn.XLOOKUP(E:E,'[1]②7月-汇总'!$D:$D,'[1]②7月-汇总'!$X:$X)</f>
        <v>10</v>
      </c>
      <c r="AJ129" s="11">
        <f>_xlfn.XLOOKUP(E:E,'[1]②7月-汇总'!$D:$D,'[1]②7月-汇总'!$AB:$AB)</f>
        <v>0</v>
      </c>
      <c r="AK129" s="11">
        <f>_xlfn.XLOOKUP(E:E,'[1]②7月-汇总'!$D:$D,'[1]②7月-汇总'!$AE:$AE)</f>
        <v>0</v>
      </c>
      <c r="AL129" s="96"/>
      <c r="AM129" s="45">
        <f t="shared" si="12"/>
        <v>5651.8019999999997</v>
      </c>
      <c r="AN129" s="11">
        <f>_xlfn.XLOOKUP(E:E,'[1]①7月-花名册'!$E:$E,'[1]①7月-花名册'!$T:$T)</f>
        <v>0</v>
      </c>
      <c r="AO129" s="67"/>
      <c r="AP129" s="142">
        <f>_xlfn.XLOOKUP(E129,[9]工资核对的全字段!$C:$C,[9]工资核对的全字段!$CW:$CW,0)</f>
        <v>5651.8019999999997</v>
      </c>
      <c r="AQ129" s="36">
        <f t="shared" si="11"/>
        <v>0</v>
      </c>
    </row>
    <row r="130" spans="1:43" x14ac:dyDescent="0.15">
      <c r="A130" s="55" t="s">
        <v>41</v>
      </c>
      <c r="B130" s="62" t="s">
        <v>186</v>
      </c>
      <c r="C130" s="57" t="s">
        <v>47</v>
      </c>
      <c r="D130" s="58" t="s">
        <v>47</v>
      </c>
      <c r="E130" s="61" t="s">
        <v>47</v>
      </c>
      <c r="F130" s="11">
        <f t="shared" si="16"/>
        <v>0</v>
      </c>
      <c r="G130" s="11">
        <v>0</v>
      </c>
      <c r="H130" s="11">
        <v>0</v>
      </c>
      <c r="I130" s="11">
        <v>0</v>
      </c>
      <c r="J130" s="50"/>
      <c r="K130" s="11">
        <v>100368</v>
      </c>
      <c r="L130" s="68"/>
      <c r="M130" s="68"/>
      <c r="N130" s="45">
        <f t="shared" si="14"/>
        <v>0</v>
      </c>
      <c r="O130" s="45">
        <f t="shared" si="15"/>
        <v>0</v>
      </c>
      <c r="P130" s="45"/>
      <c r="Q130" s="45"/>
      <c r="R130" s="45">
        <f t="shared" si="9"/>
        <v>0</v>
      </c>
      <c r="S130" s="11"/>
      <c r="T130" s="45"/>
      <c r="U130" s="11"/>
      <c r="V130" s="11"/>
      <c r="W130" s="11"/>
      <c r="X130" s="11"/>
      <c r="Y130" s="11"/>
      <c r="Z130" s="11"/>
      <c r="AA130" s="45">
        <f t="shared" si="10"/>
        <v>0</v>
      </c>
      <c r="AB130" s="11"/>
      <c r="AC130" s="50"/>
      <c r="AD130" s="11"/>
      <c r="AE130" s="11"/>
      <c r="AF130" s="11"/>
      <c r="AG130" s="11"/>
      <c r="AH130" s="11"/>
      <c r="AI130" s="11"/>
      <c r="AJ130" s="11"/>
      <c r="AK130" s="11"/>
      <c r="AL130" s="96"/>
      <c r="AM130" s="45">
        <f t="shared" si="12"/>
        <v>0</v>
      </c>
      <c r="AN130" s="11"/>
      <c r="AO130" s="67"/>
      <c r="AP130" s="142">
        <f>_xlfn.XLOOKUP(E130,[9]工资核对的全字段!$C:$C,[9]工资核对的全字段!$CW:$CW,0)</f>
        <v>0</v>
      </c>
      <c r="AQ130" s="36">
        <f t="shared" si="11"/>
        <v>0</v>
      </c>
    </row>
    <row r="131" spans="1:43" x14ac:dyDescent="0.15">
      <c r="A131" s="55" t="s">
        <v>41</v>
      </c>
      <c r="B131" s="62" t="s">
        <v>186</v>
      </c>
      <c r="C131" s="57" t="s">
        <v>190</v>
      </c>
      <c r="D131" s="58" t="s">
        <v>43</v>
      </c>
      <c r="E131" s="58" t="s">
        <v>191</v>
      </c>
      <c r="F131" s="11">
        <f t="shared" si="16"/>
        <v>34282.400000000001</v>
      </c>
      <c r="G131" s="11">
        <v>34282.400000000001</v>
      </c>
      <c r="H131" s="11">
        <v>0</v>
      </c>
      <c r="I131" s="11">
        <v>0</v>
      </c>
      <c r="J131" s="50"/>
      <c r="K131" s="11"/>
      <c r="L131" s="68">
        <f>F131/$K$134</f>
        <v>0.30523438543382453</v>
      </c>
      <c r="M131" s="68">
        <v>0.05</v>
      </c>
      <c r="N131" s="45">
        <f t="shared" si="14"/>
        <v>1628.414</v>
      </c>
      <c r="O131" s="45">
        <f t="shared" si="15"/>
        <v>0</v>
      </c>
      <c r="P131" s="45">
        <f>K134*0.008</f>
        <v>898.52</v>
      </c>
      <c r="Q131" s="45"/>
      <c r="R131" s="45">
        <f t="shared" ref="R131:R162" si="17">N131+O131+P131+Q131</f>
        <v>2526.9340000000002</v>
      </c>
      <c r="S131" s="11">
        <f>_xlfn.XLOOKUP(E:E,'[1]②7月-汇总'!$D:$D,'[1]②7月-汇总'!$AP:$AP)</f>
        <v>31</v>
      </c>
      <c r="T131" s="45">
        <v>2000</v>
      </c>
      <c r="U131" s="11">
        <f>_xlfn.XLOOKUP(E:E,'[2]手工、项目数、消耗'!$C:$C,'[2]手工、项目数、消耗'!$E:$E)</f>
        <v>46164.46</v>
      </c>
      <c r="V131" s="11">
        <f>_xlfn.XLOOKUP(E:E,'[2]手工、项目数、消耗'!$C:$C,'[2]手工、项目数、消耗'!$D:$D)</f>
        <v>114</v>
      </c>
      <c r="W131" s="11">
        <f>_xlfn.XLOOKUP(E:E,'[2]手工、项目数、消耗'!$C:$C,'[2]手工、项目数、消耗'!$H:$H)</f>
        <v>1366</v>
      </c>
      <c r="X131" s="11">
        <f>_xlfn.XLOOKUP(E:E,'[1]②7月-汇总'!$D:$D,'[1]②7月-汇总'!$W:$W)</f>
        <v>0</v>
      </c>
      <c r="Y131" s="11">
        <f>_xlfn.XLOOKUP(E:E,'[1]②7月-汇总'!$D:$D,'[1]②7月-汇总'!$Z:$Z)</f>
        <v>0</v>
      </c>
      <c r="Z131" s="11">
        <f>_xlfn.XLOOKUP(E:E,'[1]②7月-汇总'!$D:$D,'[1]②7月-汇总'!$AI:$AI)</f>
        <v>0</v>
      </c>
      <c r="AA131" s="45">
        <f t="shared" ref="AA131:AA162" si="18">R131+T131+W131+X131+Y131+Z131</f>
        <v>5892.9340000000002</v>
      </c>
      <c r="AB131" s="11"/>
      <c r="AC131" s="50"/>
      <c r="AD131" s="11">
        <f>_xlfn.XLOOKUP(E:E,'[1]②7月-汇总'!$D:$D,'[1]②7月-汇总'!$AC:$AC)</f>
        <v>0</v>
      </c>
      <c r="AE131" s="11"/>
      <c r="AF131" s="11">
        <f>_xlfn.XLOOKUP(E:E,'[1]②7月-汇总'!$D:$D,'[1]②7月-汇总'!$AD:$AD)</f>
        <v>0</v>
      </c>
      <c r="AG131" s="11">
        <f>_xlfn.XLOOKUP(E:E,'[1]②7月-汇总'!$D:$D,'[1]②7月-汇总'!$Y:$Y)</f>
        <v>0</v>
      </c>
      <c r="AH131" s="11">
        <f>_xlfn.XLOOKUP(E:E,'[1]②7月-汇总'!$D:$D,'[1]②7月-汇总'!$L:$L)</f>
        <v>0</v>
      </c>
      <c r="AI131" s="11">
        <f>_xlfn.XLOOKUP(E:E,'[1]②7月-汇总'!$D:$D,'[1]②7月-汇总'!$X:$X)</f>
        <v>20</v>
      </c>
      <c r="AJ131" s="11">
        <f>_xlfn.XLOOKUP(E:E,'[1]②7月-汇总'!$D:$D,'[1]②7月-汇总'!$AB:$AB)</f>
        <v>0</v>
      </c>
      <c r="AK131" s="11">
        <f>_xlfn.XLOOKUP(E:E,'[1]②7月-汇总'!$D:$D,'[1]②7月-汇总'!$AE:$AE)</f>
        <v>0</v>
      </c>
      <c r="AL131" s="96"/>
      <c r="AM131" s="45">
        <f t="shared" ref="AM131:AM162" si="19">AA131+AB131-AC131-AD131-AE131-AF131-AG131-AI131-AJ131+AK131+AL131</f>
        <v>5872.9340000000002</v>
      </c>
      <c r="AN131" s="11">
        <f>_xlfn.XLOOKUP(E:E,'[1]①7月-花名册'!$E:$E,'[1]①7月-花名册'!$T:$T)</f>
        <v>0</v>
      </c>
      <c r="AO131" s="67"/>
      <c r="AP131" s="142">
        <f>_xlfn.XLOOKUP(E131,[9]工资核对的全字段!$C:$C,[9]工资核对的全字段!$CW:$CW,0)</f>
        <v>5872.9340000000002</v>
      </c>
      <c r="AQ131" s="36">
        <f t="shared" ref="AQ131:AQ194" si="20">AP131-AM131</f>
        <v>0</v>
      </c>
    </row>
    <row r="132" spans="1:43" x14ac:dyDescent="0.15">
      <c r="A132" s="55" t="s">
        <v>41</v>
      </c>
      <c r="B132" s="62" t="s">
        <v>186</v>
      </c>
      <c r="C132" s="57" t="s">
        <v>190</v>
      </c>
      <c r="D132" s="58" t="s">
        <v>4</v>
      </c>
      <c r="E132" s="58" t="s">
        <v>192</v>
      </c>
      <c r="F132" s="11">
        <f t="shared" si="16"/>
        <v>57236.6</v>
      </c>
      <c r="G132" s="11">
        <v>56616.6</v>
      </c>
      <c r="H132" s="11">
        <v>0</v>
      </c>
      <c r="I132" s="11">
        <v>620</v>
      </c>
      <c r="J132" s="50"/>
      <c r="K132" s="11"/>
      <c r="L132" s="68">
        <f>F132/$K$134</f>
        <v>0.50960779949249879</v>
      </c>
      <c r="M132" s="68">
        <v>0.05</v>
      </c>
      <c r="N132" s="45">
        <f t="shared" si="14"/>
        <v>2689.2885000000001</v>
      </c>
      <c r="O132" s="45">
        <f t="shared" si="15"/>
        <v>0</v>
      </c>
      <c r="P132" s="45"/>
      <c r="Q132" s="45"/>
      <c r="R132" s="45">
        <f t="shared" si="17"/>
        <v>2689.2885000000001</v>
      </c>
      <c r="S132" s="11">
        <f>_xlfn.XLOOKUP(E:E,'[1]②7月-汇总'!$D:$D,'[1]②7月-汇总'!$AP:$AP)</f>
        <v>31</v>
      </c>
      <c r="T132" s="45">
        <v>2200</v>
      </c>
      <c r="U132" s="11">
        <f>_xlfn.XLOOKUP(E:E,'[2]手工、项目数、消耗'!$C:$C,'[2]手工、项目数、消耗'!$E:$E)</f>
        <v>28082.959999999999</v>
      </c>
      <c r="V132" s="11">
        <f>_xlfn.XLOOKUP(E:E,'[2]手工、项目数、消耗'!$C:$C,'[2]手工、项目数、消耗'!$D:$D)</f>
        <v>142</v>
      </c>
      <c r="W132" s="11">
        <f>_xlfn.XLOOKUP(E:E,'[2]手工、项目数、消耗'!$C:$C,'[2]手工、项目数、消耗'!$H:$H)</f>
        <v>2028</v>
      </c>
      <c r="X132" s="11">
        <f>_xlfn.XLOOKUP(E:E,'[1]②7月-汇总'!$D:$D,'[1]②7月-汇总'!$W:$W)</f>
        <v>0</v>
      </c>
      <c r="Y132" s="11">
        <f>_xlfn.XLOOKUP(E:E,'[1]②7月-汇总'!$D:$D,'[1]②7月-汇总'!$Z:$Z)</f>
        <v>0</v>
      </c>
      <c r="Z132" s="11">
        <f>_xlfn.XLOOKUP(E:E,'[1]②7月-汇总'!$D:$D,'[1]②7月-汇总'!$AI:$AI)</f>
        <v>0</v>
      </c>
      <c r="AA132" s="45">
        <f t="shared" si="18"/>
        <v>6917.2885000000006</v>
      </c>
      <c r="AB132" s="11">
        <v>500</v>
      </c>
      <c r="AC132" s="50"/>
      <c r="AD132" s="11">
        <f>_xlfn.XLOOKUP(E:E,'[1]②7月-汇总'!$D:$D,'[1]②7月-汇总'!$AC:$AC)</f>
        <v>0</v>
      </c>
      <c r="AE132" s="11"/>
      <c r="AF132" s="11">
        <f>_xlfn.XLOOKUP(E:E,'[1]②7月-汇总'!$D:$D,'[1]②7月-汇总'!$AD:$AD)</f>
        <v>0</v>
      </c>
      <c r="AG132" s="11">
        <f>_xlfn.XLOOKUP(E:E,'[1]②7月-汇总'!$D:$D,'[1]②7月-汇总'!$Y:$Y)</f>
        <v>0</v>
      </c>
      <c r="AH132" s="11">
        <f>_xlfn.XLOOKUP(E:E,'[1]②7月-汇总'!$D:$D,'[1]②7月-汇总'!$L:$L)</f>
        <v>0</v>
      </c>
      <c r="AI132" s="11">
        <f>_xlfn.XLOOKUP(E:E,'[1]②7月-汇总'!$D:$D,'[1]②7月-汇总'!$X:$X)</f>
        <v>0</v>
      </c>
      <c r="AJ132" s="11">
        <f>_xlfn.XLOOKUP(E:E,'[1]②7月-汇总'!$D:$D,'[1]②7月-汇总'!$AB:$AB)</f>
        <v>0</v>
      </c>
      <c r="AK132" s="11">
        <f>_xlfn.XLOOKUP(E:E,'[1]②7月-汇总'!$D:$D,'[1]②7月-汇总'!$AE:$AE)</f>
        <v>0</v>
      </c>
      <c r="AL132" s="96"/>
      <c r="AM132" s="45">
        <f t="shared" si="19"/>
        <v>7417.2885000000006</v>
      </c>
      <c r="AN132" s="11">
        <f>_xlfn.XLOOKUP(E:E,'[1]①7月-花名册'!$E:$E,'[1]①7月-花名册'!$T:$T)</f>
        <v>0</v>
      </c>
      <c r="AO132" s="67"/>
      <c r="AP132" s="142">
        <f>_xlfn.XLOOKUP(E132,[9]工资核对的全字段!$C:$C,[9]工资核对的全字段!$CW:$CW,0)</f>
        <v>7417.2884999999997</v>
      </c>
      <c r="AQ132" s="36">
        <f t="shared" si="20"/>
        <v>0</v>
      </c>
    </row>
    <row r="133" spans="1:43" x14ac:dyDescent="0.15">
      <c r="A133" s="55" t="s">
        <v>41</v>
      </c>
      <c r="B133" s="62" t="s">
        <v>186</v>
      </c>
      <c r="C133" s="57" t="s">
        <v>190</v>
      </c>
      <c r="D133" s="58" t="s">
        <v>4</v>
      </c>
      <c r="E133" s="58" t="s">
        <v>193</v>
      </c>
      <c r="F133" s="11">
        <f t="shared" si="16"/>
        <v>20796</v>
      </c>
      <c r="G133" s="11">
        <v>19076</v>
      </c>
      <c r="H133" s="11">
        <v>1720</v>
      </c>
      <c r="I133" s="11">
        <v>0</v>
      </c>
      <c r="J133" s="50"/>
      <c r="K133" s="11"/>
      <c r="L133" s="68">
        <f>F133/$K$134</f>
        <v>0.18515781507367671</v>
      </c>
      <c r="M133" s="68">
        <v>0.05</v>
      </c>
      <c r="N133" s="45">
        <f t="shared" ref="N133:N162" si="21">G133*0.95*M133</f>
        <v>906.11000000000013</v>
      </c>
      <c r="O133" s="45">
        <f t="shared" ref="O133:O155" si="22">H133*0.65*0.95*M133</f>
        <v>53.104999999999997</v>
      </c>
      <c r="P133" s="45"/>
      <c r="Q133" s="45"/>
      <c r="R133" s="45">
        <f t="shared" si="17"/>
        <v>959.21500000000015</v>
      </c>
      <c r="S133" s="11">
        <f>_xlfn.XLOOKUP(E:E,'[1]②7月-汇总'!$D:$D,'[1]②7月-汇总'!$AP:$AP)</f>
        <v>31</v>
      </c>
      <c r="T133" s="45">
        <v>2000</v>
      </c>
      <c r="U133" s="11">
        <f>_xlfn.XLOOKUP(E:E,'[2]手工、项目数、消耗'!$C:$C,'[2]手工、项目数、消耗'!$E:$E)</f>
        <v>18564.669999999998</v>
      </c>
      <c r="V133" s="11">
        <f>_xlfn.XLOOKUP(E:E,'[2]手工、项目数、消耗'!$C:$C,'[2]手工、项目数、消耗'!$D:$D)</f>
        <v>116</v>
      </c>
      <c r="W133" s="11">
        <f>_xlfn.XLOOKUP(E:E,'[2]手工、项目数、消耗'!$C:$C,'[2]手工、项目数、消耗'!$H:$H)</f>
        <v>1313</v>
      </c>
      <c r="X133" s="11">
        <f>_xlfn.XLOOKUP(E:E,'[1]②7月-汇总'!$D:$D,'[1]②7月-汇总'!$W:$W)</f>
        <v>0</v>
      </c>
      <c r="Y133" s="11">
        <f>_xlfn.XLOOKUP(E:E,'[1]②7月-汇总'!$D:$D,'[1]②7月-汇总'!$Z:$Z)</f>
        <v>0</v>
      </c>
      <c r="Z133" s="11">
        <f>_xlfn.XLOOKUP(E:E,'[1]②7月-汇总'!$D:$D,'[1]②7月-汇总'!$AI:$AI)</f>
        <v>0</v>
      </c>
      <c r="AA133" s="45">
        <f t="shared" si="18"/>
        <v>4272.2150000000001</v>
      </c>
      <c r="AB133" s="11"/>
      <c r="AC133" s="50"/>
      <c r="AD133" s="11">
        <f>_xlfn.XLOOKUP(E:E,'[1]②7月-汇总'!$D:$D,'[1]②7月-汇总'!$AC:$AC)</f>
        <v>0</v>
      </c>
      <c r="AE133" s="11"/>
      <c r="AF133" s="11">
        <f>_xlfn.XLOOKUP(E:E,'[1]②7月-汇总'!$D:$D,'[1]②7月-汇总'!$AD:$AD)</f>
        <v>0</v>
      </c>
      <c r="AG133" s="11">
        <f>_xlfn.XLOOKUP(E:E,'[1]②7月-汇总'!$D:$D,'[1]②7月-汇总'!$Y:$Y)</f>
        <v>0</v>
      </c>
      <c r="AH133" s="11">
        <f>_xlfn.XLOOKUP(E:E,'[1]②7月-汇总'!$D:$D,'[1]②7月-汇总'!$L:$L)</f>
        <v>0</v>
      </c>
      <c r="AI133" s="11">
        <f>_xlfn.XLOOKUP(E:E,'[1]②7月-汇总'!$D:$D,'[1]②7月-汇总'!$X:$X)</f>
        <v>0</v>
      </c>
      <c r="AJ133" s="11">
        <f>_xlfn.XLOOKUP(E:E,'[1]②7月-汇总'!$D:$D,'[1]②7月-汇总'!$AB:$AB)</f>
        <v>0</v>
      </c>
      <c r="AK133" s="11">
        <f>_xlfn.XLOOKUP(E:E,'[1]②7月-汇总'!$D:$D,'[1]②7月-汇总'!$AE:$AE)</f>
        <v>0</v>
      </c>
      <c r="AL133" s="96"/>
      <c r="AM133" s="45">
        <f t="shared" si="19"/>
        <v>4272.2150000000001</v>
      </c>
      <c r="AN133" s="11">
        <f>_xlfn.XLOOKUP(E:E,'[1]①7月-花名册'!$E:$E,'[1]①7月-花名册'!$T:$T)</f>
        <v>0</v>
      </c>
      <c r="AO133" s="67"/>
      <c r="AP133" s="142">
        <f>_xlfn.XLOOKUP(E133,[9]工资核对的全字段!$C:$C,[9]工资核对的全字段!$CW:$CW,0)</f>
        <v>4272.2150000000001</v>
      </c>
      <c r="AQ133" s="36">
        <f t="shared" si="20"/>
        <v>0</v>
      </c>
    </row>
    <row r="134" spans="1:43" x14ac:dyDescent="0.15">
      <c r="A134" s="55" t="s">
        <v>41</v>
      </c>
      <c r="B134" s="62" t="s">
        <v>186</v>
      </c>
      <c r="C134" s="57" t="s">
        <v>47</v>
      </c>
      <c r="D134" s="58" t="s">
        <v>47</v>
      </c>
      <c r="E134" s="61" t="s">
        <v>47</v>
      </c>
      <c r="F134" s="11">
        <f t="shared" si="16"/>
        <v>0</v>
      </c>
      <c r="G134" s="11">
        <v>0</v>
      </c>
      <c r="H134" s="11">
        <v>0</v>
      </c>
      <c r="I134" s="11">
        <v>0</v>
      </c>
      <c r="J134" s="50"/>
      <c r="K134" s="11">
        <v>112315</v>
      </c>
      <c r="L134" s="68"/>
      <c r="M134" s="68"/>
      <c r="N134" s="45">
        <f t="shared" si="21"/>
        <v>0</v>
      </c>
      <c r="O134" s="45">
        <f t="shared" si="22"/>
        <v>0</v>
      </c>
      <c r="P134" s="45"/>
      <c r="Q134" s="45"/>
      <c r="R134" s="45">
        <f t="shared" si="17"/>
        <v>0</v>
      </c>
      <c r="S134" s="11"/>
      <c r="T134" s="45"/>
      <c r="U134" s="11"/>
      <c r="V134" s="11"/>
      <c r="W134" s="11"/>
      <c r="X134" s="11"/>
      <c r="Y134" s="11"/>
      <c r="Z134" s="11"/>
      <c r="AA134" s="45">
        <f t="shared" si="18"/>
        <v>0</v>
      </c>
      <c r="AB134" s="11"/>
      <c r="AC134" s="50"/>
      <c r="AD134" s="11"/>
      <c r="AE134" s="11"/>
      <c r="AF134" s="11"/>
      <c r="AG134" s="11"/>
      <c r="AH134" s="11"/>
      <c r="AI134" s="11"/>
      <c r="AJ134" s="11"/>
      <c r="AK134" s="11"/>
      <c r="AL134" s="96"/>
      <c r="AM134" s="45">
        <f t="shared" si="19"/>
        <v>0</v>
      </c>
      <c r="AN134" s="11"/>
      <c r="AO134" s="67"/>
      <c r="AP134" s="142">
        <f>_xlfn.XLOOKUP(E134,[9]工资核对的全字段!$C:$C,[9]工资核对的全字段!$CW:$CW,0)</f>
        <v>0</v>
      </c>
      <c r="AQ134" s="36">
        <f t="shared" si="20"/>
        <v>0</v>
      </c>
    </row>
    <row r="135" spans="1:43" s="75" customFormat="1" x14ac:dyDescent="0.15">
      <c r="A135" s="99" t="s">
        <v>41</v>
      </c>
      <c r="B135" s="100" t="s">
        <v>186</v>
      </c>
      <c r="C135" s="101" t="s">
        <v>165</v>
      </c>
      <c r="D135" s="100" t="s">
        <v>4</v>
      </c>
      <c r="E135" s="100" t="s">
        <v>194</v>
      </c>
      <c r="F135" s="42">
        <f t="shared" si="16"/>
        <v>0</v>
      </c>
      <c r="G135" s="42">
        <v>0</v>
      </c>
      <c r="H135" s="42">
        <v>0</v>
      </c>
      <c r="I135" s="42">
        <v>0</v>
      </c>
      <c r="J135" s="106"/>
      <c r="K135" s="42"/>
      <c r="L135" s="107"/>
      <c r="M135" s="107">
        <v>0</v>
      </c>
      <c r="N135" s="108">
        <f t="shared" si="21"/>
        <v>0</v>
      </c>
      <c r="O135" s="108">
        <f t="shared" si="22"/>
        <v>0</v>
      </c>
      <c r="P135" s="108"/>
      <c r="Q135" s="108"/>
      <c r="R135" s="108">
        <f t="shared" si="17"/>
        <v>0</v>
      </c>
      <c r="S135" s="11">
        <f>_xlfn.XLOOKUP(E:E,'[1]②7月-汇总'!$D:$D,'[1]②7月-汇总'!$AP:$AP)</f>
        <v>9</v>
      </c>
      <c r="T135" s="108">
        <f>1800/31*9</f>
        <v>522.58064516129002</v>
      </c>
      <c r="U135" s="42">
        <f>_xlfn.XLOOKUP(E:E,'[2]手工、项目数、消耗'!$C:$C,'[2]手工、项目数、消耗'!$E:$E)</f>
        <v>1647.92</v>
      </c>
      <c r="V135" s="42">
        <f>_xlfn.XLOOKUP(E:E,'[2]手工、项目数、消耗'!$C:$C,'[2]手工、项目数、消耗'!$D:$D)</f>
        <v>23</v>
      </c>
      <c r="W135" s="42">
        <f>_xlfn.XLOOKUP(E:E,'[2]手工、项目数、消耗'!$C:$C,'[2]手工、项目数、消耗'!$H:$H)</f>
        <v>283</v>
      </c>
      <c r="X135" s="42">
        <f>_xlfn.XLOOKUP(E:E,'[1]②7月-汇总'!$D:$D,'[1]②7月-汇总'!$W:$W)</f>
        <v>0</v>
      </c>
      <c r="Y135" s="42">
        <f>_xlfn.XLOOKUP(E:E,'[1]②7月-汇总'!$D:$D,'[1]②7月-汇总'!$Z:$Z)</f>
        <v>0</v>
      </c>
      <c r="Z135" s="42">
        <f>_xlfn.XLOOKUP(E:E,'[1]②7月-汇总'!$D:$D,'[1]②7月-汇总'!$AI:$AI)</f>
        <v>540</v>
      </c>
      <c r="AA135" s="108">
        <f t="shared" si="18"/>
        <v>1345.58064516129</v>
      </c>
      <c r="AB135" s="42"/>
      <c r="AC135" s="106"/>
      <c r="AD135" s="42">
        <f>_xlfn.XLOOKUP(E:E,'[1]②7月-汇总'!$D:$D,'[1]②7月-汇总'!$AC:$AC)</f>
        <v>0</v>
      </c>
      <c r="AE135" s="42"/>
      <c r="AF135" s="42">
        <f>_xlfn.XLOOKUP(E:E,'[1]②7月-汇总'!$D:$D,'[1]②7月-汇总'!$AD:$AD)</f>
        <v>130</v>
      </c>
      <c r="AG135" s="42">
        <f>_xlfn.XLOOKUP(E:E,'[1]②7月-汇总'!$D:$D,'[1]②7月-汇总'!$Y:$Y)</f>
        <v>0</v>
      </c>
      <c r="AH135" s="42">
        <f>_xlfn.XLOOKUP(E:E,'[1]②7月-汇总'!$D:$D,'[1]②7月-汇总'!$L:$L)</f>
        <v>0</v>
      </c>
      <c r="AI135" s="42">
        <f>_xlfn.XLOOKUP(E:E,'[1]②7月-汇总'!$D:$D,'[1]②7月-汇总'!$X:$X)</f>
        <v>0</v>
      </c>
      <c r="AJ135" s="42">
        <f>_xlfn.XLOOKUP(E:E,'[1]②7月-汇总'!$D:$D,'[1]②7月-汇总'!$AB:$AB)</f>
        <v>0</v>
      </c>
      <c r="AK135" s="42">
        <f>_xlfn.XLOOKUP(E:E,'[1]②7月-汇总'!$D:$D,'[1]②7月-汇总'!$AE:$AE)</f>
        <v>0</v>
      </c>
      <c r="AL135" s="109"/>
      <c r="AM135" s="108">
        <f t="shared" si="19"/>
        <v>1215.58064516129</v>
      </c>
      <c r="AN135" s="42">
        <f>_xlfn.XLOOKUP(E:E,'[1]①7月-花名册'!$E:$E,'[1]①7月-花名册'!$T:$T)</f>
        <v>0</v>
      </c>
      <c r="AO135" s="110"/>
      <c r="AP135" s="142">
        <f>_xlfn.XLOOKUP(E135,[9]工资核对的全字段!$C:$C,[9]工资核对的全字段!$CW:$CW,0)</f>
        <v>1215.5806451612902</v>
      </c>
      <c r="AQ135" s="111">
        <f t="shared" si="20"/>
        <v>0</v>
      </c>
    </row>
    <row r="136" spans="1:43" x14ac:dyDescent="0.15">
      <c r="A136" s="55" t="s">
        <v>41</v>
      </c>
      <c r="B136" s="62" t="s">
        <v>186</v>
      </c>
      <c r="C136" s="60" t="s">
        <v>9</v>
      </c>
      <c r="D136" s="61" t="s">
        <v>9</v>
      </c>
      <c r="E136" s="61" t="s">
        <v>195</v>
      </c>
      <c r="F136" s="11">
        <f t="shared" ref="F136:F162" si="23">G136+H136+I136</f>
        <v>7540</v>
      </c>
      <c r="G136" s="11">
        <v>-1400</v>
      </c>
      <c r="H136" s="11">
        <v>8940</v>
      </c>
      <c r="I136" s="11">
        <v>0</v>
      </c>
      <c r="J136" s="50"/>
      <c r="K136" s="11"/>
      <c r="L136" s="68"/>
      <c r="M136" s="68"/>
      <c r="N136" s="45">
        <f t="shared" si="21"/>
        <v>0</v>
      </c>
      <c r="O136" s="45">
        <f t="shared" si="22"/>
        <v>0</v>
      </c>
      <c r="P136" s="45"/>
      <c r="Q136" s="45">
        <v>551</v>
      </c>
      <c r="R136" s="45">
        <f t="shared" si="17"/>
        <v>551</v>
      </c>
      <c r="S136" s="11"/>
      <c r="T136" s="45"/>
      <c r="U136" s="11"/>
      <c r="V136" s="11"/>
      <c r="W136" s="11"/>
      <c r="X136" s="11"/>
      <c r="Y136" s="11"/>
      <c r="Z136" s="11"/>
      <c r="AA136" s="45">
        <f t="shared" si="18"/>
        <v>551</v>
      </c>
      <c r="AB136" s="11"/>
      <c r="AC136" s="50"/>
      <c r="AD136" s="11"/>
      <c r="AE136" s="11"/>
      <c r="AF136" s="11"/>
      <c r="AG136" s="11"/>
      <c r="AH136" s="11"/>
      <c r="AI136" s="11"/>
      <c r="AJ136" s="11"/>
      <c r="AK136" s="11"/>
      <c r="AL136" s="96"/>
      <c r="AM136" s="45">
        <f t="shared" si="19"/>
        <v>551</v>
      </c>
      <c r="AN136" s="11"/>
      <c r="AO136" s="67"/>
      <c r="AP136" s="142">
        <f>_xlfn.XLOOKUP(E136,[9]工资核对的全字段!$C:$C,[9]工资核对的全字段!$CW:$CW,0)</f>
        <v>550.55750000000012</v>
      </c>
      <c r="AQ136" s="36">
        <f t="shared" si="20"/>
        <v>-0.44249999999988177</v>
      </c>
    </row>
    <row r="137" spans="1:43" x14ac:dyDescent="0.15">
      <c r="A137" s="55" t="s">
        <v>41</v>
      </c>
      <c r="B137" s="62" t="s">
        <v>196</v>
      </c>
      <c r="C137" s="57" t="s">
        <v>169</v>
      </c>
      <c r="D137" s="58" t="s">
        <v>43</v>
      </c>
      <c r="E137" s="58" t="s">
        <v>197</v>
      </c>
      <c r="F137" s="11">
        <f t="shared" si="23"/>
        <v>20241.599999999999</v>
      </c>
      <c r="G137" s="11">
        <v>19241.599999999999</v>
      </c>
      <c r="H137" s="11">
        <v>1000</v>
      </c>
      <c r="I137" s="11">
        <v>0</v>
      </c>
      <c r="J137" s="50"/>
      <c r="K137" s="11"/>
      <c r="L137" s="68">
        <f>F137/$K$139</f>
        <v>0.39130913878197254</v>
      </c>
      <c r="M137" s="68">
        <v>0.04</v>
      </c>
      <c r="N137" s="45">
        <f t="shared" si="21"/>
        <v>731.18079999999986</v>
      </c>
      <c r="O137" s="45">
        <f t="shared" si="22"/>
        <v>24.7</v>
      </c>
      <c r="P137" s="45">
        <v>0</v>
      </c>
      <c r="Q137" s="45"/>
      <c r="R137" s="45">
        <f t="shared" si="17"/>
        <v>755.88079999999991</v>
      </c>
      <c r="S137" s="11">
        <f>_xlfn.XLOOKUP(E:E,'[1]②7月-汇总'!$D:$D,'[1]②7月-汇总'!$AP:$AP)</f>
        <v>31</v>
      </c>
      <c r="T137" s="45">
        <v>2000</v>
      </c>
      <c r="U137" s="11">
        <f>_xlfn.XLOOKUP(E:E,'[2]手工、项目数、消耗'!$C:$C,'[2]手工、项目数、消耗'!$E:$E)</f>
        <v>16834.400000000001</v>
      </c>
      <c r="V137" s="11">
        <f>_xlfn.XLOOKUP(E:E,'[2]手工、项目数、消耗'!$C:$C,'[2]手工、项目数、消耗'!$D:$D)</f>
        <v>121</v>
      </c>
      <c r="W137" s="11">
        <f>_xlfn.XLOOKUP(E:E,'[2]手工、项目数、消耗'!$C:$C,'[2]手工、项目数、消耗'!$H:$H)</f>
        <v>1876</v>
      </c>
      <c r="X137" s="11">
        <f>_xlfn.XLOOKUP(E:E,'[1]②7月-汇总'!$D:$D,'[1]②7月-汇总'!$W:$W)</f>
        <v>0</v>
      </c>
      <c r="Y137" s="11">
        <f>_xlfn.XLOOKUP(E:E,'[1]②7月-汇总'!$D:$D,'[1]②7月-汇总'!$Z:$Z)</f>
        <v>50</v>
      </c>
      <c r="Z137" s="11">
        <f>_xlfn.XLOOKUP(E:E,'[1]②7月-汇总'!$D:$D,'[1]②7月-汇总'!$AI:$AI)</f>
        <v>0</v>
      </c>
      <c r="AA137" s="45">
        <f t="shared" si="18"/>
        <v>4681.8807999999999</v>
      </c>
      <c r="AB137" s="11"/>
      <c r="AC137" s="50"/>
      <c r="AD137" s="11">
        <f>_xlfn.XLOOKUP(E:E,'[1]②7月-汇总'!$D:$D,'[1]②7月-汇总'!$AC:$AC)</f>
        <v>0</v>
      </c>
      <c r="AE137" s="11"/>
      <c r="AF137" s="11">
        <f>_xlfn.XLOOKUP(E:E,'[1]②7月-汇总'!$D:$D,'[1]②7月-汇总'!$AD:$AD)</f>
        <v>0</v>
      </c>
      <c r="AG137" s="11">
        <f>_xlfn.XLOOKUP(E:E,'[1]②7月-汇总'!$D:$D,'[1]②7月-汇总'!$Y:$Y)</f>
        <v>0</v>
      </c>
      <c r="AH137" s="11">
        <f>_xlfn.XLOOKUP(E:E,'[1]②7月-汇总'!$D:$D,'[1]②7月-汇总'!$L:$L)</f>
        <v>0</v>
      </c>
      <c r="AI137" s="11">
        <f>_xlfn.XLOOKUP(E:E,'[1]②7月-汇总'!$D:$D,'[1]②7月-汇总'!$X:$X)</f>
        <v>0</v>
      </c>
      <c r="AJ137" s="11">
        <f>_xlfn.XLOOKUP(E:E,'[1]②7月-汇总'!$D:$D,'[1]②7月-汇总'!$AB:$AB)</f>
        <v>0</v>
      </c>
      <c r="AK137" s="11">
        <f>_xlfn.XLOOKUP(E:E,'[1]②7月-汇总'!$D:$D,'[1]②7月-汇总'!$AE:$AE)</f>
        <v>0</v>
      </c>
      <c r="AL137" s="96"/>
      <c r="AM137" s="45">
        <f t="shared" si="19"/>
        <v>4681.8807999999999</v>
      </c>
      <c r="AN137" s="11">
        <f>_xlfn.XLOOKUP(E:E,'[1]①7月-花名册'!$E:$E,'[1]①7月-花名册'!$T:$T)</f>
        <v>0</v>
      </c>
      <c r="AO137" s="67"/>
      <c r="AP137" s="142">
        <f>_xlfn.XLOOKUP(E137,[9]工资核对的全字段!$C:$C,[9]工资核对的全字段!$CW:$CW,0)</f>
        <v>4681.8807999999999</v>
      </c>
      <c r="AQ137" s="36">
        <f t="shared" si="20"/>
        <v>0</v>
      </c>
    </row>
    <row r="138" spans="1:43" x14ac:dyDescent="0.15">
      <c r="A138" s="55" t="s">
        <v>41</v>
      </c>
      <c r="B138" s="62" t="s">
        <v>196</v>
      </c>
      <c r="C138" s="57" t="s">
        <v>169</v>
      </c>
      <c r="D138" s="58" t="s">
        <v>4</v>
      </c>
      <c r="E138" s="58" t="s">
        <v>198</v>
      </c>
      <c r="F138" s="11">
        <f t="shared" si="23"/>
        <v>31486.3</v>
      </c>
      <c r="G138" s="11">
        <v>31486.3</v>
      </c>
      <c r="H138" s="11">
        <v>0</v>
      </c>
      <c r="I138" s="11">
        <v>0</v>
      </c>
      <c r="J138" s="50"/>
      <c r="K138" s="11"/>
      <c r="L138" s="68">
        <f>F138/$K$139</f>
        <v>0.6086908612180274</v>
      </c>
      <c r="M138" s="68">
        <v>0.04</v>
      </c>
      <c r="N138" s="45">
        <f t="shared" si="21"/>
        <v>1196.4793999999999</v>
      </c>
      <c r="O138" s="45">
        <f t="shared" si="22"/>
        <v>0</v>
      </c>
      <c r="P138" s="45"/>
      <c r="Q138" s="45"/>
      <c r="R138" s="45">
        <f t="shared" si="17"/>
        <v>1196.4793999999999</v>
      </c>
      <c r="S138" s="11">
        <f>_xlfn.XLOOKUP(E:E,'[1]②7月-汇总'!$D:$D,'[1]②7月-汇总'!$AP:$AP)</f>
        <v>31</v>
      </c>
      <c r="T138" s="45">
        <v>2000</v>
      </c>
      <c r="U138" s="11">
        <f>_xlfn.XLOOKUP(E:E,'[2]手工、项目数、消耗'!$C:$C,'[2]手工、项目数、消耗'!$E:$E)</f>
        <v>17565.3</v>
      </c>
      <c r="V138" s="11">
        <f>_xlfn.XLOOKUP(E:E,'[2]手工、项目数、消耗'!$C:$C,'[2]手工、项目数、消耗'!$D:$D)</f>
        <v>135.5</v>
      </c>
      <c r="W138" s="11">
        <f>_xlfn.XLOOKUP(E:E,'[2]手工、项目数、消耗'!$C:$C,'[2]手工、项目数、消耗'!$H:$H)</f>
        <v>1905</v>
      </c>
      <c r="X138" s="11">
        <f>_xlfn.XLOOKUP(E:E,'[1]②7月-汇总'!$D:$D,'[1]②7月-汇总'!$W:$W)</f>
        <v>0</v>
      </c>
      <c r="Y138" s="11">
        <f>_xlfn.XLOOKUP(E:E,'[1]②7月-汇总'!$D:$D,'[1]②7月-汇总'!$Z:$Z)</f>
        <v>0</v>
      </c>
      <c r="Z138" s="11">
        <f>_xlfn.XLOOKUP(E:E,'[1]②7月-汇总'!$D:$D,'[1]②7月-汇总'!$AI:$AI)</f>
        <v>0</v>
      </c>
      <c r="AA138" s="45">
        <f t="shared" si="18"/>
        <v>5101.4794000000002</v>
      </c>
      <c r="AB138" s="11"/>
      <c r="AC138" s="50"/>
      <c r="AD138" s="11">
        <f>_xlfn.XLOOKUP(E:E,'[1]②7月-汇总'!$D:$D,'[1]②7月-汇总'!$AC:$AC)</f>
        <v>0</v>
      </c>
      <c r="AE138" s="11">
        <f>_xlfn.XLOOKUP(E:E,[3]Sheet1!$B:$B,[3]Sheet1!$L:$L)</f>
        <v>640.55999999999995</v>
      </c>
      <c r="AF138" s="11">
        <f>_xlfn.XLOOKUP(E:E,'[1]②7月-汇总'!$D:$D,'[1]②7月-汇总'!$AD:$AD)</f>
        <v>0</v>
      </c>
      <c r="AG138" s="11">
        <f>_xlfn.XLOOKUP(E:E,'[1]②7月-汇总'!$D:$D,'[1]②7月-汇总'!$Y:$Y)</f>
        <v>0</v>
      </c>
      <c r="AH138" s="11">
        <f>_xlfn.XLOOKUP(E:E,'[1]②7月-汇总'!$D:$D,'[1]②7月-汇总'!$L:$L)</f>
        <v>0</v>
      </c>
      <c r="AI138" s="11">
        <f>_xlfn.XLOOKUP(E:E,'[1]②7月-汇总'!$D:$D,'[1]②7月-汇总'!$X:$X)</f>
        <v>0</v>
      </c>
      <c r="AJ138" s="11">
        <f>_xlfn.XLOOKUP(E:E,'[1]②7月-汇总'!$D:$D,'[1]②7月-汇总'!$AB:$AB)</f>
        <v>0</v>
      </c>
      <c r="AK138" s="11">
        <f>_xlfn.XLOOKUP(E:E,'[1]②7月-汇总'!$D:$D,'[1]②7月-汇总'!$AE:$AE)</f>
        <v>0</v>
      </c>
      <c r="AL138" s="96"/>
      <c r="AM138" s="45">
        <f t="shared" si="19"/>
        <v>4460.9194000000007</v>
      </c>
      <c r="AN138" s="11">
        <f>_xlfn.XLOOKUP(E:E,'[1]①7月-花名册'!$E:$E,'[1]①7月-花名册'!$T:$T)</f>
        <v>0</v>
      </c>
      <c r="AO138" s="67"/>
      <c r="AP138" s="142">
        <f>_xlfn.XLOOKUP(E138,[9]工资核对的全字段!$C:$C,[9]工资核对的全字段!$CW:$CW,0)</f>
        <v>4460.9194000000007</v>
      </c>
      <c r="AQ138" s="36">
        <f t="shared" si="20"/>
        <v>0</v>
      </c>
    </row>
    <row r="139" spans="1:43" x14ac:dyDescent="0.15">
      <c r="A139" s="55" t="s">
        <v>41</v>
      </c>
      <c r="B139" s="62" t="s">
        <v>196</v>
      </c>
      <c r="C139" s="57" t="s">
        <v>47</v>
      </c>
      <c r="D139" s="58" t="s">
        <v>47</v>
      </c>
      <c r="E139" s="61" t="s">
        <v>47</v>
      </c>
      <c r="F139" s="11">
        <f t="shared" si="23"/>
        <v>0</v>
      </c>
      <c r="G139" s="11">
        <v>0</v>
      </c>
      <c r="H139" s="11">
        <v>0</v>
      </c>
      <c r="I139" s="11">
        <v>0</v>
      </c>
      <c r="J139" s="50"/>
      <c r="K139" s="11">
        <v>51727.9</v>
      </c>
      <c r="L139" s="68"/>
      <c r="M139" s="68"/>
      <c r="N139" s="45">
        <f t="shared" si="21"/>
        <v>0</v>
      </c>
      <c r="O139" s="45">
        <f t="shared" si="22"/>
        <v>0</v>
      </c>
      <c r="P139" s="45"/>
      <c r="Q139" s="45"/>
      <c r="R139" s="45">
        <f t="shared" si="17"/>
        <v>0</v>
      </c>
      <c r="S139" s="11"/>
      <c r="T139" s="45"/>
      <c r="U139" s="11"/>
      <c r="V139" s="11"/>
      <c r="W139" s="11"/>
      <c r="X139" s="11"/>
      <c r="Y139" s="11"/>
      <c r="Z139" s="11"/>
      <c r="AA139" s="45">
        <f t="shared" si="18"/>
        <v>0</v>
      </c>
      <c r="AB139" s="11"/>
      <c r="AC139" s="50"/>
      <c r="AD139" s="11"/>
      <c r="AE139" s="11"/>
      <c r="AF139" s="11"/>
      <c r="AG139" s="11"/>
      <c r="AH139" s="11"/>
      <c r="AI139" s="11"/>
      <c r="AJ139" s="11"/>
      <c r="AK139" s="11"/>
      <c r="AL139" s="96"/>
      <c r="AM139" s="45">
        <f t="shared" si="19"/>
        <v>0</v>
      </c>
      <c r="AN139" s="11"/>
      <c r="AO139" s="67"/>
      <c r="AP139" s="142">
        <f>_xlfn.XLOOKUP(E139,[9]工资核对的全字段!$C:$C,[9]工资核对的全字段!$CW:$CW,0)</f>
        <v>0</v>
      </c>
      <c r="AQ139" s="36">
        <f t="shared" si="20"/>
        <v>0</v>
      </c>
    </row>
    <row r="140" spans="1:43" x14ac:dyDescent="0.15">
      <c r="A140" s="55" t="s">
        <v>41</v>
      </c>
      <c r="B140" s="62" t="s">
        <v>196</v>
      </c>
      <c r="C140" s="57" t="s">
        <v>199</v>
      </c>
      <c r="D140" s="58" t="s">
        <v>43</v>
      </c>
      <c r="E140" s="58" t="s">
        <v>200</v>
      </c>
      <c r="F140" s="11">
        <f t="shared" si="23"/>
        <v>26174.5</v>
      </c>
      <c r="G140" s="11">
        <v>21074.5</v>
      </c>
      <c r="H140" s="11">
        <v>5100</v>
      </c>
      <c r="I140" s="11">
        <v>0</v>
      </c>
      <c r="J140" s="50"/>
      <c r="K140" s="11"/>
      <c r="L140" s="68">
        <f>F140/$K$142</f>
        <v>0.51376343072943043</v>
      </c>
      <c r="M140" s="68">
        <v>0.04</v>
      </c>
      <c r="N140" s="45">
        <f t="shared" si="21"/>
        <v>800.8309999999999</v>
      </c>
      <c r="O140" s="45">
        <f t="shared" si="22"/>
        <v>125.97</v>
      </c>
      <c r="P140" s="45">
        <f>K142*0.003</f>
        <v>152.8398</v>
      </c>
      <c r="Q140" s="45"/>
      <c r="R140" s="45">
        <f t="shared" si="17"/>
        <v>1079.6407999999999</v>
      </c>
      <c r="S140" s="11">
        <f>_xlfn.XLOOKUP(E:E,'[1]②7月-汇总'!$D:$D,'[1]②7月-汇总'!$AP:$AP)</f>
        <v>31</v>
      </c>
      <c r="T140" s="45">
        <v>2000</v>
      </c>
      <c r="U140" s="11">
        <f>_xlfn.XLOOKUP(E:E,'[2]手工、项目数、消耗'!$C:$C,'[2]手工、项目数、消耗'!$E:$E)</f>
        <v>20239.59</v>
      </c>
      <c r="V140" s="11">
        <f>_xlfn.XLOOKUP(E:E,'[2]手工、项目数、消耗'!$C:$C,'[2]手工、项目数、消耗'!$D:$D)</f>
        <v>105</v>
      </c>
      <c r="W140" s="11">
        <f>_xlfn.XLOOKUP(E:E,'[2]手工、项目数、消耗'!$C:$C,'[2]手工、项目数、消耗'!$H:$H)</f>
        <v>1529</v>
      </c>
      <c r="X140" s="11">
        <f>_xlfn.XLOOKUP(E:E,'[1]②7月-汇总'!$D:$D,'[1]②7月-汇总'!$W:$W)</f>
        <v>0</v>
      </c>
      <c r="Y140" s="11">
        <f>_xlfn.XLOOKUP(E:E,'[1]②7月-汇总'!$D:$D,'[1]②7月-汇总'!$Z:$Z)</f>
        <v>0</v>
      </c>
      <c r="Z140" s="11">
        <f>_xlfn.XLOOKUP(E:E,'[1]②7月-汇总'!$D:$D,'[1]②7月-汇总'!$AI:$AI)</f>
        <v>0</v>
      </c>
      <c r="AA140" s="45">
        <f t="shared" si="18"/>
        <v>4608.6408000000001</v>
      </c>
      <c r="AB140" s="11"/>
      <c r="AC140" s="50"/>
      <c r="AD140" s="11">
        <f>_xlfn.XLOOKUP(E:E,'[1]②7月-汇总'!$D:$D,'[1]②7月-汇总'!$AC:$AC)</f>
        <v>0</v>
      </c>
      <c r="AE140" s="11"/>
      <c r="AF140" s="11">
        <f>_xlfn.XLOOKUP(E:E,'[1]②7月-汇总'!$D:$D,'[1]②7月-汇总'!$AD:$AD)</f>
        <v>0</v>
      </c>
      <c r="AG140" s="11">
        <f>_xlfn.XLOOKUP(E:E,'[1]②7月-汇总'!$D:$D,'[1]②7月-汇总'!$Y:$Y)</f>
        <v>30</v>
      </c>
      <c r="AH140" s="11">
        <f>_xlfn.XLOOKUP(E:E,'[1]②7月-汇总'!$D:$D,'[1]②7月-汇总'!$L:$L)</f>
        <v>0</v>
      </c>
      <c r="AI140" s="11">
        <f>_xlfn.XLOOKUP(E:E,'[1]②7月-汇总'!$D:$D,'[1]②7月-汇总'!$X:$X)</f>
        <v>0</v>
      </c>
      <c r="AJ140" s="11">
        <f>_xlfn.XLOOKUP(E:E,'[1]②7月-汇总'!$D:$D,'[1]②7月-汇总'!$AB:$AB)</f>
        <v>0</v>
      </c>
      <c r="AK140" s="11">
        <f>_xlfn.XLOOKUP(E:E,'[1]②7月-汇总'!$D:$D,'[1]②7月-汇总'!$AE:$AE)</f>
        <v>0</v>
      </c>
      <c r="AL140" s="96"/>
      <c r="AM140" s="45">
        <f t="shared" si="19"/>
        <v>4578.6408000000001</v>
      </c>
      <c r="AN140" s="11">
        <f>_xlfn.XLOOKUP(E:E,'[1]①7月-花名册'!$E:$E,'[1]①7月-花名册'!$T:$T)</f>
        <v>0</v>
      </c>
      <c r="AO140" s="67"/>
      <c r="AP140" s="142">
        <f>_xlfn.XLOOKUP(E140,[9]工资核对的全字段!$C:$C,[9]工资核对的全字段!$CW:$CW,0)</f>
        <v>4578.6409999999996</v>
      </c>
      <c r="AQ140" s="36">
        <f t="shared" si="20"/>
        <v>1.9999999949504854E-4</v>
      </c>
    </row>
    <row r="141" spans="1:43" x14ac:dyDescent="0.15">
      <c r="A141" s="55" t="s">
        <v>41</v>
      </c>
      <c r="B141" s="62" t="s">
        <v>196</v>
      </c>
      <c r="C141" s="57" t="s">
        <v>199</v>
      </c>
      <c r="D141" s="58" t="s">
        <v>4</v>
      </c>
      <c r="E141" s="58" t="s">
        <v>201</v>
      </c>
      <c r="F141" s="11">
        <f t="shared" si="23"/>
        <v>24772.1</v>
      </c>
      <c r="G141" s="11">
        <v>24072.1</v>
      </c>
      <c r="H141" s="11">
        <v>700</v>
      </c>
      <c r="I141" s="11">
        <v>0</v>
      </c>
      <c r="J141" s="50"/>
      <c r="K141" s="11"/>
      <c r="L141" s="68">
        <f>F141/$K$142</f>
        <v>0.48623656927056957</v>
      </c>
      <c r="M141" s="68">
        <v>0.04</v>
      </c>
      <c r="N141" s="45">
        <f t="shared" si="21"/>
        <v>914.73979999999995</v>
      </c>
      <c r="O141" s="45">
        <f t="shared" si="22"/>
        <v>17.29</v>
      </c>
      <c r="P141" s="45"/>
      <c r="Q141" s="45"/>
      <c r="R141" s="45">
        <f t="shared" si="17"/>
        <v>932.02979999999991</v>
      </c>
      <c r="S141" s="11">
        <f>_xlfn.XLOOKUP(E:E,'[1]②7月-汇总'!$D:$D,'[1]②7月-汇总'!$AP:$AP)</f>
        <v>31</v>
      </c>
      <c r="T141" s="45">
        <v>2000</v>
      </c>
      <c r="U141" s="11">
        <f>_xlfn.XLOOKUP(E:E,'[2]手工、项目数、消耗'!$C:$C,'[2]手工、项目数、消耗'!$E:$E)</f>
        <v>21935.93</v>
      </c>
      <c r="V141" s="11">
        <f>_xlfn.XLOOKUP(E:E,'[2]手工、项目数、消耗'!$C:$C,'[2]手工、项目数、消耗'!$D:$D)</f>
        <v>108</v>
      </c>
      <c r="W141" s="11">
        <f>_xlfn.XLOOKUP(E:E,'[2]手工、项目数、消耗'!$C:$C,'[2]手工、项目数、消耗'!$H:$H)</f>
        <v>1371</v>
      </c>
      <c r="X141" s="11">
        <f>_xlfn.XLOOKUP(E:E,'[1]②7月-汇总'!$D:$D,'[1]②7月-汇总'!$W:$W)</f>
        <v>0</v>
      </c>
      <c r="Y141" s="11">
        <f>_xlfn.XLOOKUP(E:E,'[1]②7月-汇总'!$D:$D,'[1]②7月-汇总'!$Z:$Z)</f>
        <v>0</v>
      </c>
      <c r="Z141" s="11">
        <f>_xlfn.XLOOKUP(E:E,'[1]②7月-汇总'!$D:$D,'[1]②7月-汇总'!$AI:$AI)</f>
        <v>0</v>
      </c>
      <c r="AA141" s="45">
        <f t="shared" si="18"/>
        <v>4303.0298000000003</v>
      </c>
      <c r="AB141" s="11"/>
      <c r="AC141" s="50"/>
      <c r="AD141" s="11">
        <f>_xlfn.XLOOKUP(E:E,'[1]②7月-汇总'!$D:$D,'[1]②7月-汇总'!$AC:$AC)</f>
        <v>100</v>
      </c>
      <c r="AE141" s="11"/>
      <c r="AF141" s="11">
        <f>_xlfn.XLOOKUP(E:E,'[1]②7月-汇总'!$D:$D,'[1]②7月-汇总'!$AD:$AD)</f>
        <v>0</v>
      </c>
      <c r="AG141" s="11">
        <f>_xlfn.XLOOKUP(E:E,'[1]②7月-汇总'!$D:$D,'[1]②7月-汇总'!$Y:$Y)</f>
        <v>0</v>
      </c>
      <c r="AH141" s="11">
        <f>_xlfn.XLOOKUP(E:E,'[1]②7月-汇总'!$D:$D,'[1]②7月-汇总'!$L:$L)</f>
        <v>0</v>
      </c>
      <c r="AI141" s="11">
        <f>_xlfn.XLOOKUP(E:E,'[1]②7月-汇总'!$D:$D,'[1]②7月-汇总'!$X:$X)</f>
        <v>0</v>
      </c>
      <c r="AJ141" s="11">
        <f>_xlfn.XLOOKUP(E:E,'[1]②7月-汇总'!$D:$D,'[1]②7月-汇总'!$AB:$AB)</f>
        <v>0</v>
      </c>
      <c r="AK141" s="11">
        <f>_xlfn.XLOOKUP(E:E,'[1]②7月-汇总'!$D:$D,'[1]②7月-汇总'!$AE:$AE)</f>
        <v>0</v>
      </c>
      <c r="AL141" s="96"/>
      <c r="AM141" s="45">
        <f t="shared" si="19"/>
        <v>4203.0298000000003</v>
      </c>
      <c r="AN141" s="11">
        <f>_xlfn.XLOOKUP(E:E,'[1]①7月-花名册'!$E:$E,'[1]①7月-花名册'!$T:$T)</f>
        <v>0</v>
      </c>
      <c r="AO141" s="67"/>
      <c r="AP141" s="142">
        <f>_xlfn.XLOOKUP(E141,[9]工资核对的全字段!$C:$C,[9]工资核对的全字段!$CW:$CW,0)</f>
        <v>4203.0298000000003</v>
      </c>
      <c r="AQ141" s="36">
        <f t="shared" si="20"/>
        <v>0</v>
      </c>
    </row>
    <row r="142" spans="1:43" x14ac:dyDescent="0.15">
      <c r="A142" s="55" t="s">
        <v>41</v>
      </c>
      <c r="B142" s="62" t="s">
        <v>196</v>
      </c>
      <c r="C142" s="57" t="s">
        <v>47</v>
      </c>
      <c r="D142" s="58" t="s">
        <v>47</v>
      </c>
      <c r="E142" s="61" t="s">
        <v>47</v>
      </c>
      <c r="F142" s="11">
        <f t="shared" si="23"/>
        <v>0</v>
      </c>
      <c r="G142" s="11">
        <v>0</v>
      </c>
      <c r="H142" s="11">
        <v>0</v>
      </c>
      <c r="I142" s="11">
        <v>0</v>
      </c>
      <c r="J142" s="50"/>
      <c r="K142" s="11">
        <v>50946.6</v>
      </c>
      <c r="L142" s="68"/>
      <c r="M142" s="68"/>
      <c r="N142" s="45">
        <f t="shared" si="21"/>
        <v>0</v>
      </c>
      <c r="O142" s="45">
        <f t="shared" si="22"/>
        <v>0</v>
      </c>
      <c r="P142" s="45"/>
      <c r="Q142" s="45"/>
      <c r="R142" s="45">
        <f t="shared" si="17"/>
        <v>0</v>
      </c>
      <c r="S142" s="11"/>
      <c r="T142" s="45"/>
      <c r="U142" s="11"/>
      <c r="V142" s="11"/>
      <c r="W142" s="11"/>
      <c r="X142" s="11"/>
      <c r="Y142" s="11"/>
      <c r="Z142" s="11"/>
      <c r="AA142" s="45">
        <f t="shared" si="18"/>
        <v>0</v>
      </c>
      <c r="AB142" s="11"/>
      <c r="AC142" s="50"/>
      <c r="AD142" s="11"/>
      <c r="AE142" s="11"/>
      <c r="AF142" s="11"/>
      <c r="AG142" s="11"/>
      <c r="AH142" s="11"/>
      <c r="AI142" s="11"/>
      <c r="AJ142" s="11"/>
      <c r="AK142" s="11"/>
      <c r="AL142" s="96"/>
      <c r="AM142" s="45">
        <f t="shared" si="19"/>
        <v>0</v>
      </c>
      <c r="AN142" s="11"/>
      <c r="AO142" s="67"/>
      <c r="AP142" s="142">
        <f>_xlfn.XLOOKUP(E142,[9]工资核对的全字段!$C:$C,[9]工资核对的全字段!$CW:$CW,0)</f>
        <v>0</v>
      </c>
      <c r="AQ142" s="36">
        <f t="shared" si="20"/>
        <v>0</v>
      </c>
    </row>
    <row r="143" spans="1:43" x14ac:dyDescent="0.15">
      <c r="A143" s="55" t="s">
        <v>41</v>
      </c>
      <c r="B143" s="62" t="str">
        <f>B142</f>
        <v>鹭岛</v>
      </c>
      <c r="C143" s="57" t="s">
        <v>165</v>
      </c>
      <c r="D143" s="58" t="s">
        <v>4</v>
      </c>
      <c r="E143" s="58" t="s">
        <v>202</v>
      </c>
      <c r="F143" s="11">
        <f t="shared" si="23"/>
        <v>0</v>
      </c>
      <c r="G143" s="11">
        <v>0</v>
      </c>
      <c r="H143" s="11">
        <v>0</v>
      </c>
      <c r="I143" s="11">
        <v>0</v>
      </c>
      <c r="J143" s="50"/>
      <c r="K143" s="11"/>
      <c r="L143" s="68"/>
      <c r="M143" s="68">
        <v>0</v>
      </c>
      <c r="N143" s="45">
        <f t="shared" si="21"/>
        <v>0</v>
      </c>
      <c r="O143" s="45">
        <f t="shared" si="22"/>
        <v>0</v>
      </c>
      <c r="P143" s="45"/>
      <c r="Q143" s="45"/>
      <c r="R143" s="45">
        <f t="shared" si="17"/>
        <v>0</v>
      </c>
      <c r="S143" s="11">
        <f>_xlfn.XLOOKUP(E:E,'[1]②7月-汇总'!$D:$D,'[1]②7月-汇总'!$AP:$AP)</f>
        <v>18</v>
      </c>
      <c r="T143" s="45">
        <f>1800/31*18</f>
        <v>1045.16129032258</v>
      </c>
      <c r="U143" s="11">
        <f>_xlfn.XLOOKUP(E:E,'[2]手工、项目数、消耗'!$C:$C,'[2]手工、项目数、消耗'!$E:$E)</f>
        <v>2623.68</v>
      </c>
      <c r="V143" s="11">
        <f>_xlfn.XLOOKUP(E:E,'[2]手工、项目数、消耗'!$C:$C,'[2]手工、项目数、消耗'!$D:$D)</f>
        <v>37</v>
      </c>
      <c r="W143" s="11">
        <f>_xlfn.XLOOKUP(E:E,'[2]手工、项目数、消耗'!$C:$C,'[2]手工、项目数、消耗'!$H:$H)</f>
        <v>493</v>
      </c>
      <c r="X143" s="11">
        <f>_xlfn.XLOOKUP(E:E,'[1]②7月-汇总'!$D:$D,'[1]②7月-汇总'!$W:$W)</f>
        <v>40</v>
      </c>
      <c r="Y143" s="11">
        <f>_xlfn.XLOOKUP(E:E,'[1]②7月-汇总'!$D:$D,'[1]②7月-汇总'!$Z:$Z)</f>
        <v>0</v>
      </c>
      <c r="Z143" s="11">
        <f>_xlfn.XLOOKUP(E:E,'[1]②7月-汇总'!$D:$D,'[1]②7月-汇总'!$AI:$AI)</f>
        <v>660</v>
      </c>
      <c r="AA143" s="45">
        <f t="shared" si="18"/>
        <v>2238.16129032258</v>
      </c>
      <c r="AB143" s="11"/>
      <c r="AC143" s="50"/>
      <c r="AD143" s="11">
        <f>_xlfn.XLOOKUP(E:E,'[1]②7月-汇总'!$D:$D,'[1]②7月-汇总'!$AC:$AC)</f>
        <v>0</v>
      </c>
      <c r="AE143" s="11"/>
      <c r="AF143" s="11">
        <f>_xlfn.XLOOKUP(E:E,'[1]②7月-汇总'!$D:$D,'[1]②7月-汇总'!$AD:$AD)</f>
        <v>130</v>
      </c>
      <c r="AG143" s="11">
        <f>_xlfn.XLOOKUP(E:E,'[1]②7月-汇总'!$D:$D,'[1]②7月-汇总'!$Y:$Y)</f>
        <v>0</v>
      </c>
      <c r="AH143" s="11">
        <f>_xlfn.XLOOKUP(E:E,'[1]②7月-汇总'!$D:$D,'[1]②7月-汇总'!$L:$L)</f>
        <v>0</v>
      </c>
      <c r="AI143" s="11">
        <f>_xlfn.XLOOKUP(E:E,'[1]②7月-汇总'!$D:$D,'[1]②7月-汇总'!$X:$X)</f>
        <v>0</v>
      </c>
      <c r="AJ143" s="11">
        <f>_xlfn.XLOOKUP(E:E,'[1]②7月-汇总'!$D:$D,'[1]②7月-汇总'!$AB:$AB)</f>
        <v>0</v>
      </c>
      <c r="AK143" s="11">
        <f>_xlfn.XLOOKUP(E:E,'[1]②7月-汇总'!$D:$D,'[1]②7月-汇总'!$AE:$AE)</f>
        <v>0</v>
      </c>
      <c r="AL143" s="96"/>
      <c r="AM143" s="45">
        <f t="shared" si="19"/>
        <v>2108.16129032258</v>
      </c>
      <c r="AN143" s="11">
        <f>_xlfn.XLOOKUP(E:E,'[1]①7月-花名册'!$E:$E,'[1]①7月-花名册'!$T:$T)</f>
        <v>0</v>
      </c>
      <c r="AO143" s="67"/>
      <c r="AP143" s="142">
        <f>_xlfn.XLOOKUP(E143,[9]工资核对的全字段!$C:$C,[9]工资核对的全字段!$CW:$CW,0)</f>
        <v>2108.1612903225805</v>
      </c>
      <c r="AQ143" s="36">
        <f t="shared" si="20"/>
        <v>0</v>
      </c>
    </row>
    <row r="144" spans="1:43" x14ac:dyDescent="0.15">
      <c r="A144" s="55" t="s">
        <v>41</v>
      </c>
      <c r="B144" s="62" t="s">
        <v>196</v>
      </c>
      <c r="C144" s="57" t="s">
        <v>165</v>
      </c>
      <c r="D144" s="58" t="s">
        <v>4</v>
      </c>
      <c r="E144" s="58" t="s">
        <v>203</v>
      </c>
      <c r="F144" s="11">
        <f t="shared" si="23"/>
        <v>1393</v>
      </c>
      <c r="G144" s="11">
        <v>1393</v>
      </c>
      <c r="H144" s="11">
        <v>0</v>
      </c>
      <c r="I144" s="11">
        <v>0</v>
      </c>
      <c r="J144" s="50"/>
      <c r="K144" s="11"/>
      <c r="L144" s="68"/>
      <c r="M144" s="68">
        <v>0</v>
      </c>
      <c r="N144" s="45">
        <f t="shared" si="21"/>
        <v>0</v>
      </c>
      <c r="O144" s="45">
        <f t="shared" si="22"/>
        <v>0</v>
      </c>
      <c r="P144" s="45"/>
      <c r="Q144" s="45"/>
      <c r="R144" s="45">
        <f t="shared" si="17"/>
        <v>0</v>
      </c>
      <c r="S144" s="11">
        <f>_xlfn.XLOOKUP(E:E,'[1]②7月-汇总'!$D:$D,'[1]②7月-汇总'!$AP:$AP)</f>
        <v>15</v>
      </c>
      <c r="T144" s="45">
        <f>2000/31*15</f>
        <v>967.74193548387098</v>
      </c>
      <c r="U144" s="11">
        <f>_xlfn.XLOOKUP(E:E,'[2]手工、项目数、消耗'!$C:$C,'[2]手工、项目数、消耗'!$E:$E)</f>
        <v>3564.77</v>
      </c>
      <c r="V144" s="11">
        <f>_xlfn.XLOOKUP(E:E,'[2]手工、项目数、消耗'!$C:$C,'[2]手工、项目数、消耗'!$D:$D)</f>
        <v>52</v>
      </c>
      <c r="W144" s="11">
        <f>_xlfn.XLOOKUP(E:E,'[2]手工、项目数、消耗'!$C:$C,'[2]手工、项目数、消耗'!$H:$H)</f>
        <v>605</v>
      </c>
      <c r="X144" s="11">
        <f>_xlfn.XLOOKUP(E:E,'[1]②7月-汇总'!$D:$D,'[1]②7月-汇总'!$W:$W)</f>
        <v>0</v>
      </c>
      <c r="Y144" s="11">
        <f>_xlfn.XLOOKUP(E:E,'[1]②7月-汇总'!$D:$D,'[1]②7月-汇总'!$Z:$Z)</f>
        <v>0</v>
      </c>
      <c r="Z144" s="11">
        <f>_xlfn.XLOOKUP(E:E,'[1]②7月-汇总'!$D:$D,'[1]②7月-汇总'!$AI:$AI)</f>
        <v>0</v>
      </c>
      <c r="AA144" s="45">
        <f t="shared" si="18"/>
        <v>1572.741935483871</v>
      </c>
      <c r="AB144" s="11"/>
      <c r="AC144" s="50"/>
      <c r="AD144" s="11">
        <f>_xlfn.XLOOKUP(E:E,'[1]②7月-汇总'!$D:$D,'[1]②7月-汇总'!$AC:$AC)</f>
        <v>0</v>
      </c>
      <c r="AE144" s="11"/>
      <c r="AF144" s="11">
        <f>_xlfn.XLOOKUP(E:E,'[1]②7月-汇总'!$D:$D,'[1]②7月-汇总'!$AD:$AD)</f>
        <v>0</v>
      </c>
      <c r="AG144" s="11">
        <f>_xlfn.XLOOKUP(E:E,'[1]②7月-汇总'!$D:$D,'[1]②7月-汇总'!$Y:$Y)</f>
        <v>0</v>
      </c>
      <c r="AH144" s="11">
        <f>_xlfn.XLOOKUP(E:E,'[1]②7月-汇总'!$D:$D,'[1]②7月-汇总'!$L:$L)</f>
        <v>2</v>
      </c>
      <c r="AI144" s="11">
        <f>_xlfn.XLOOKUP(E:E,'[1]②7月-汇总'!$D:$D,'[1]②7月-汇总'!$X:$X)</f>
        <v>0</v>
      </c>
      <c r="AJ144" s="11">
        <f>_xlfn.XLOOKUP(E:E,'[1]②7月-汇总'!$D:$D,'[1]②7月-汇总'!$AB:$AB)</f>
        <v>1000</v>
      </c>
      <c r="AK144" s="11">
        <f>_xlfn.XLOOKUP(E:E,'[1]②7月-汇总'!$D:$D,'[1]②7月-汇总'!$AE:$AE)</f>
        <v>300</v>
      </c>
      <c r="AL144" s="96"/>
      <c r="AM144" s="45">
        <f t="shared" si="19"/>
        <v>872.74193548387098</v>
      </c>
      <c r="AN144" s="11">
        <f>_xlfn.XLOOKUP(E:E,'[1]①7月-花名册'!$E:$E,'[1]①7月-花名册'!$T:$T)</f>
        <v>0</v>
      </c>
      <c r="AO144" s="67"/>
      <c r="AP144" s="142">
        <f>_xlfn.XLOOKUP(E144,[9]工资核对的全字段!$C:$C,[9]工资核对的全字段!$CW:$CW,0)</f>
        <v>872.74193548387098</v>
      </c>
      <c r="AQ144" s="36">
        <f t="shared" si="20"/>
        <v>0</v>
      </c>
    </row>
    <row r="145" spans="1:43" x14ac:dyDescent="0.15">
      <c r="A145" s="55" t="s">
        <v>41</v>
      </c>
      <c r="B145" s="62" t="s">
        <v>196</v>
      </c>
      <c r="C145" s="60" t="s">
        <v>9</v>
      </c>
      <c r="D145" s="61" t="s">
        <v>9</v>
      </c>
      <c r="E145" s="61" t="s">
        <v>204</v>
      </c>
      <c r="F145" s="11">
        <f t="shared" si="23"/>
        <v>7199.5</v>
      </c>
      <c r="G145" s="11">
        <v>3799.5</v>
      </c>
      <c r="H145" s="11">
        <v>3400</v>
      </c>
      <c r="I145" s="11">
        <v>0</v>
      </c>
      <c r="J145" s="50"/>
      <c r="K145" s="11"/>
      <c r="L145" s="68"/>
      <c r="M145" s="68"/>
      <c r="N145" s="45">
        <f t="shared" si="21"/>
        <v>0</v>
      </c>
      <c r="O145" s="45">
        <f t="shared" si="22"/>
        <v>0</v>
      </c>
      <c r="P145" s="45"/>
      <c r="Q145" s="45">
        <v>278</v>
      </c>
      <c r="R145" s="45">
        <f t="shared" si="17"/>
        <v>278</v>
      </c>
      <c r="S145" s="11"/>
      <c r="T145" s="45"/>
      <c r="U145" s="11"/>
      <c r="V145" s="11"/>
      <c r="W145" s="11"/>
      <c r="X145" s="11"/>
      <c r="Y145" s="11"/>
      <c r="Z145" s="11"/>
      <c r="AA145" s="45">
        <f t="shared" si="18"/>
        <v>278</v>
      </c>
      <c r="AB145" s="11"/>
      <c r="AC145" s="50"/>
      <c r="AD145" s="11"/>
      <c r="AE145" s="11"/>
      <c r="AF145" s="11"/>
      <c r="AG145" s="11"/>
      <c r="AH145" s="11"/>
      <c r="AI145" s="11"/>
      <c r="AJ145" s="11"/>
      <c r="AK145" s="11"/>
      <c r="AL145" s="96"/>
      <c r="AM145" s="45">
        <f t="shared" si="19"/>
        <v>278</v>
      </c>
      <c r="AN145" s="11"/>
      <c r="AO145" s="67"/>
      <c r="AP145" s="142">
        <f>_xlfn.XLOOKUP(E145,[9]工资核对的全字段!$C:$C,[9]工资核对的全字段!$CW:$CW,0)</f>
        <v>278.16750000000002</v>
      </c>
      <c r="AQ145" s="36">
        <f t="shared" si="20"/>
        <v>0.16750000000001819</v>
      </c>
    </row>
    <row r="146" spans="1:43" x14ac:dyDescent="0.15">
      <c r="A146" s="55" t="s">
        <v>41</v>
      </c>
      <c r="B146" s="62" t="s">
        <v>205</v>
      </c>
      <c r="C146" s="57" t="s">
        <v>206</v>
      </c>
      <c r="D146" s="58" t="s">
        <v>43</v>
      </c>
      <c r="E146" s="58" t="s">
        <v>207</v>
      </c>
      <c r="F146" s="11">
        <f t="shared" si="23"/>
        <v>25000.1</v>
      </c>
      <c r="G146" s="11">
        <v>37500.1</v>
      </c>
      <c r="H146" s="11">
        <v>-12500</v>
      </c>
      <c r="I146" s="11">
        <v>0</v>
      </c>
      <c r="J146" s="50"/>
      <c r="K146" s="11"/>
      <c r="L146" s="68">
        <f>F146/$K$148</f>
        <v>0.43044249311294763</v>
      </c>
      <c r="M146" s="68">
        <v>0.04</v>
      </c>
      <c r="N146" s="45">
        <f t="shared" si="21"/>
        <v>1425.0037999999997</v>
      </c>
      <c r="O146" s="45">
        <f t="shared" si="22"/>
        <v>-308.75</v>
      </c>
      <c r="P146" s="45">
        <v>0</v>
      </c>
      <c r="Q146" s="45"/>
      <c r="R146" s="45">
        <f t="shared" si="17"/>
        <v>1116.2537999999997</v>
      </c>
      <c r="S146" s="11">
        <f>_xlfn.XLOOKUP(E:E,'[1]②7月-汇总'!$D:$D,'[1]②7月-汇总'!$AP:$AP)</f>
        <v>31</v>
      </c>
      <c r="T146" s="45">
        <v>2000</v>
      </c>
      <c r="U146" s="11">
        <f>_xlfn.XLOOKUP(E:E,'[2]手工、项目数、消耗'!$C:$C,'[2]手工、项目数、消耗'!$E:$E)</f>
        <v>20521.48</v>
      </c>
      <c r="V146" s="11">
        <f>_xlfn.XLOOKUP(E:E,'[2]手工、项目数、消耗'!$C:$C,'[2]手工、项目数、消耗'!$D:$D)</f>
        <v>121</v>
      </c>
      <c r="W146" s="11">
        <f>_xlfn.XLOOKUP(E:E,'[2]手工、项目数、消耗'!$C:$C,'[2]手工、项目数、消耗'!$H:$H)</f>
        <v>1907</v>
      </c>
      <c r="X146" s="11">
        <f>_xlfn.XLOOKUP(E:E,'[1]②7月-汇总'!$D:$D,'[1]②7月-汇总'!$W:$W)</f>
        <v>0</v>
      </c>
      <c r="Y146" s="11">
        <f>_xlfn.XLOOKUP(E:E,'[1]②7月-汇总'!$D:$D,'[1]②7月-汇总'!$Z:$Z)</f>
        <v>50</v>
      </c>
      <c r="Z146" s="11">
        <f>_xlfn.XLOOKUP(E:E,'[1]②7月-汇总'!$D:$D,'[1]②7月-汇总'!$AI:$AI)</f>
        <v>0</v>
      </c>
      <c r="AA146" s="45">
        <f t="shared" si="18"/>
        <v>5073.2537999999995</v>
      </c>
      <c r="AB146" s="11"/>
      <c r="AC146" s="50"/>
      <c r="AD146" s="11">
        <f>_xlfn.XLOOKUP(E:E,'[1]②7月-汇总'!$D:$D,'[1]②7月-汇总'!$AC:$AC)</f>
        <v>100</v>
      </c>
      <c r="AE146" s="11">
        <f>_xlfn.XLOOKUP(E:E,[3]Sheet1!$B:$B,[3]Sheet1!$L:$L)</f>
        <v>644.16800000000001</v>
      </c>
      <c r="AF146" s="11">
        <f>_xlfn.XLOOKUP(E:E,'[1]②7月-汇总'!$D:$D,'[1]②7月-汇总'!$AD:$AD)</f>
        <v>0</v>
      </c>
      <c r="AG146" s="11">
        <f>_xlfn.XLOOKUP(E:E,'[1]②7月-汇总'!$D:$D,'[1]②7月-汇总'!$Y:$Y)</f>
        <v>0</v>
      </c>
      <c r="AH146" s="11">
        <f>_xlfn.XLOOKUP(E:E,'[1]②7月-汇总'!$D:$D,'[1]②7月-汇总'!$L:$L)</f>
        <v>0</v>
      </c>
      <c r="AI146" s="11">
        <f>_xlfn.XLOOKUP(E:E,'[1]②7月-汇总'!$D:$D,'[1]②7月-汇总'!$X:$X)</f>
        <v>0</v>
      </c>
      <c r="AJ146" s="11">
        <f>_xlfn.XLOOKUP(E:E,'[1]②7月-汇总'!$D:$D,'[1]②7月-汇总'!$AB:$AB)</f>
        <v>0</v>
      </c>
      <c r="AK146" s="11">
        <f>_xlfn.XLOOKUP(E:E,'[1]②7月-汇总'!$D:$D,'[1]②7月-汇总'!$AE:$AE)</f>
        <v>0</v>
      </c>
      <c r="AL146" s="96"/>
      <c r="AM146" s="45">
        <f t="shared" si="19"/>
        <v>4329.0857999999998</v>
      </c>
      <c r="AN146" s="11">
        <f>_xlfn.XLOOKUP(E:E,'[1]①7月-花名册'!$E:$E,'[1]①7月-花名册'!$T:$T)</f>
        <v>0</v>
      </c>
      <c r="AO146" s="67"/>
      <c r="AP146" s="142">
        <f>_xlfn.XLOOKUP(E146,[9]工资核对的全字段!$C:$C,[9]工资核对的全字段!$CW:$CW,0)</f>
        <v>4329.0858000000007</v>
      </c>
      <c r="AQ146" s="36">
        <f t="shared" si="20"/>
        <v>0</v>
      </c>
    </row>
    <row r="147" spans="1:43" x14ac:dyDescent="0.15">
      <c r="A147" s="55" t="s">
        <v>41</v>
      </c>
      <c r="B147" s="62" t="s">
        <v>205</v>
      </c>
      <c r="C147" s="57" t="s">
        <v>206</v>
      </c>
      <c r="D147" s="58" t="s">
        <v>4</v>
      </c>
      <c r="E147" s="58" t="s">
        <v>208</v>
      </c>
      <c r="F147" s="11">
        <f t="shared" si="23"/>
        <v>33079.9</v>
      </c>
      <c r="G147" s="11">
        <v>17513.900000000001</v>
      </c>
      <c r="H147" s="11">
        <v>14900</v>
      </c>
      <c r="I147" s="11">
        <v>666</v>
      </c>
      <c r="J147" s="50"/>
      <c r="K147" s="11"/>
      <c r="L147" s="68">
        <f>F147/$K$148</f>
        <v>0.56955750688705231</v>
      </c>
      <c r="M147" s="68">
        <v>0.04</v>
      </c>
      <c r="N147" s="45">
        <f t="shared" si="21"/>
        <v>665.52820000000008</v>
      </c>
      <c r="O147" s="45">
        <f t="shared" si="22"/>
        <v>368.03000000000003</v>
      </c>
      <c r="P147" s="45"/>
      <c r="Q147" s="45"/>
      <c r="R147" s="45">
        <f t="shared" si="17"/>
        <v>1033.5582000000002</v>
      </c>
      <c r="S147" s="11">
        <f>_xlfn.XLOOKUP(E:E,'[1]②7月-汇总'!$D:$D,'[1]②7月-汇总'!$AP:$AP)</f>
        <v>31</v>
      </c>
      <c r="T147" s="45">
        <v>2000</v>
      </c>
      <c r="U147" s="11">
        <f>_xlfn.XLOOKUP(E:E,'[2]手工、项目数、消耗'!$C:$C,'[2]手工、项目数、消耗'!$E:$E)</f>
        <v>9635.01</v>
      </c>
      <c r="V147" s="11">
        <f>_xlfn.XLOOKUP(E:E,'[2]手工、项目数、消耗'!$C:$C,'[2]手工、项目数、消耗'!$D:$D)</f>
        <v>106</v>
      </c>
      <c r="W147" s="11">
        <f>_xlfn.XLOOKUP(E:E,'[2]手工、项目数、消耗'!$C:$C,'[2]手工、项目数、消耗'!$H:$H)</f>
        <v>1965.5</v>
      </c>
      <c r="X147" s="11">
        <f>_xlfn.XLOOKUP(E:E,'[1]②7月-汇总'!$D:$D,'[1]②7月-汇总'!$W:$W)</f>
        <v>0</v>
      </c>
      <c r="Y147" s="11">
        <f>_xlfn.XLOOKUP(E:E,'[1]②7月-汇总'!$D:$D,'[1]②7月-汇总'!$Z:$Z)</f>
        <v>0</v>
      </c>
      <c r="Z147" s="11">
        <f>_xlfn.XLOOKUP(E:E,'[1]②7月-汇总'!$D:$D,'[1]②7月-汇总'!$AI:$AI)</f>
        <v>0</v>
      </c>
      <c r="AA147" s="45">
        <f t="shared" si="18"/>
        <v>4999.0582000000004</v>
      </c>
      <c r="AB147" s="11"/>
      <c r="AC147" s="50"/>
      <c r="AD147" s="11">
        <f>_xlfn.XLOOKUP(E:E,'[1]②7月-汇总'!$D:$D,'[1]②7月-汇总'!$AC:$AC)</f>
        <v>100</v>
      </c>
      <c r="AE147" s="11"/>
      <c r="AF147" s="11">
        <f>_xlfn.XLOOKUP(E:E,'[1]②7月-汇总'!$D:$D,'[1]②7月-汇总'!$AD:$AD)</f>
        <v>0</v>
      </c>
      <c r="AG147" s="11">
        <f>_xlfn.XLOOKUP(E:E,'[1]②7月-汇总'!$D:$D,'[1]②7月-汇总'!$Y:$Y)</f>
        <v>0</v>
      </c>
      <c r="AH147" s="11">
        <f>_xlfn.XLOOKUP(E:E,'[1]②7月-汇总'!$D:$D,'[1]②7月-汇总'!$L:$L)</f>
        <v>0</v>
      </c>
      <c r="AI147" s="11">
        <f>_xlfn.XLOOKUP(E:E,'[1]②7月-汇总'!$D:$D,'[1]②7月-汇总'!$X:$X)</f>
        <v>0</v>
      </c>
      <c r="AJ147" s="11">
        <f>_xlfn.XLOOKUP(E:E,'[1]②7月-汇总'!$D:$D,'[1]②7月-汇总'!$AB:$AB)</f>
        <v>0</v>
      </c>
      <c r="AK147" s="11">
        <f>_xlfn.XLOOKUP(E:E,'[1]②7月-汇总'!$D:$D,'[1]②7月-汇总'!$AE:$AE)</f>
        <v>0</v>
      </c>
      <c r="AL147" s="96"/>
      <c r="AM147" s="45">
        <f t="shared" si="19"/>
        <v>4899.0582000000004</v>
      </c>
      <c r="AN147" s="11">
        <f>_xlfn.XLOOKUP(E:E,'[1]①7月-花名册'!$E:$E,'[1]①7月-花名册'!$T:$T)</f>
        <v>0</v>
      </c>
      <c r="AO147" s="67"/>
      <c r="AP147" s="142">
        <f>_xlfn.XLOOKUP(E147,[9]工资核对的全字段!$C:$C,[9]工资核对的全字段!$CW:$CW,0)</f>
        <v>4899.0581999999995</v>
      </c>
      <c r="AQ147" s="36">
        <f t="shared" si="20"/>
        <v>0</v>
      </c>
    </row>
    <row r="148" spans="1:43" x14ac:dyDescent="0.15">
      <c r="A148" s="55" t="s">
        <v>41</v>
      </c>
      <c r="B148" s="62" t="s">
        <v>205</v>
      </c>
      <c r="C148" s="57" t="s">
        <v>47</v>
      </c>
      <c r="D148" s="58" t="s">
        <v>47</v>
      </c>
      <c r="E148" s="58" t="s">
        <v>47</v>
      </c>
      <c r="F148" s="11">
        <f t="shared" si="23"/>
        <v>0</v>
      </c>
      <c r="G148" s="11">
        <v>0</v>
      </c>
      <c r="H148" s="11">
        <v>0</v>
      </c>
      <c r="I148" s="11">
        <v>0</v>
      </c>
      <c r="J148" s="50"/>
      <c r="K148" s="11">
        <v>58080</v>
      </c>
      <c r="L148" s="68"/>
      <c r="M148" s="68"/>
      <c r="N148" s="45">
        <f t="shared" si="21"/>
        <v>0</v>
      </c>
      <c r="O148" s="45">
        <f t="shared" si="22"/>
        <v>0</v>
      </c>
      <c r="P148" s="45"/>
      <c r="Q148" s="45"/>
      <c r="R148" s="45">
        <f t="shared" si="17"/>
        <v>0</v>
      </c>
      <c r="S148" s="11"/>
      <c r="T148" s="45"/>
      <c r="U148" s="11"/>
      <c r="V148" s="11"/>
      <c r="W148" s="11"/>
      <c r="X148" s="11"/>
      <c r="Y148" s="11"/>
      <c r="Z148" s="11"/>
      <c r="AA148" s="45">
        <f t="shared" si="18"/>
        <v>0</v>
      </c>
      <c r="AB148" s="11"/>
      <c r="AC148" s="50"/>
      <c r="AD148" s="11"/>
      <c r="AE148" s="11"/>
      <c r="AF148" s="11"/>
      <c r="AG148" s="11"/>
      <c r="AH148" s="11"/>
      <c r="AI148" s="11"/>
      <c r="AJ148" s="11"/>
      <c r="AK148" s="11"/>
      <c r="AL148" s="96"/>
      <c r="AM148" s="45">
        <f t="shared" si="19"/>
        <v>0</v>
      </c>
      <c r="AN148" s="11"/>
      <c r="AO148" s="67"/>
      <c r="AP148" s="142">
        <f>_xlfn.XLOOKUP(E148,[9]工资核对的全字段!$C:$C,[9]工资核对的全字段!$CW:$CW,0)</f>
        <v>0</v>
      </c>
      <c r="AQ148" s="36">
        <f t="shared" si="20"/>
        <v>0</v>
      </c>
    </row>
    <row r="149" spans="1:43" x14ac:dyDescent="0.15">
      <c r="A149" s="55" t="s">
        <v>41</v>
      </c>
      <c r="B149" s="62" t="s">
        <v>205</v>
      </c>
      <c r="C149" s="57" t="s">
        <v>209</v>
      </c>
      <c r="D149" s="58" t="s">
        <v>43</v>
      </c>
      <c r="E149" s="58" t="s">
        <v>210</v>
      </c>
      <c r="F149" s="11">
        <f t="shared" si="23"/>
        <v>63805.2</v>
      </c>
      <c r="G149" s="11">
        <v>39297.199999999997</v>
      </c>
      <c r="H149" s="11">
        <v>23620</v>
      </c>
      <c r="I149" s="11">
        <v>888</v>
      </c>
      <c r="J149" s="50"/>
      <c r="K149" s="11"/>
      <c r="L149" s="68">
        <f>F149/$K$152</f>
        <v>0.79316294565163337</v>
      </c>
      <c r="M149" s="68">
        <v>0.04</v>
      </c>
      <c r="N149" s="45">
        <f t="shared" si="21"/>
        <v>1493.2936</v>
      </c>
      <c r="O149" s="45">
        <f t="shared" si="22"/>
        <v>583.41399999999999</v>
      </c>
      <c r="P149" s="45">
        <v>0</v>
      </c>
      <c r="Q149" s="45"/>
      <c r="R149" s="45">
        <f t="shared" si="17"/>
        <v>2076.7075999999997</v>
      </c>
      <c r="S149" s="11">
        <f>_xlfn.XLOOKUP(E:E,'[1]②7月-汇总'!$D:$D,'[1]②7月-汇总'!$AP:$AP)</f>
        <v>31</v>
      </c>
      <c r="T149" s="45">
        <v>2000</v>
      </c>
      <c r="U149" s="11">
        <f>_xlfn.XLOOKUP(E:E,'[2]手工、项目数、消耗'!$C:$C,'[2]手工、项目数、消耗'!$E:$E)</f>
        <v>14073.36</v>
      </c>
      <c r="V149" s="11">
        <f>_xlfn.XLOOKUP(E:E,'[2]手工、项目数、消耗'!$C:$C,'[2]手工、项目数、消耗'!$D:$D)</f>
        <v>100</v>
      </c>
      <c r="W149" s="11">
        <f>_xlfn.XLOOKUP(E:E,'[2]手工、项目数、消耗'!$C:$C,'[2]手工、项目数、消耗'!$H:$H)</f>
        <v>854</v>
      </c>
      <c r="X149" s="11">
        <f>_xlfn.XLOOKUP(E:E,'[1]②7月-汇总'!$D:$D,'[1]②7月-汇总'!$W:$W)</f>
        <v>0</v>
      </c>
      <c r="Y149" s="11">
        <f>_xlfn.XLOOKUP(E:E,'[1]②7月-汇总'!$D:$D,'[1]②7月-汇总'!$Z:$Z)</f>
        <v>0</v>
      </c>
      <c r="Z149" s="11">
        <f>_xlfn.XLOOKUP(E:E,'[1]②7月-汇总'!$D:$D,'[1]②7月-汇总'!$AI:$AI)</f>
        <v>0</v>
      </c>
      <c r="AA149" s="45">
        <f t="shared" si="18"/>
        <v>4930.7075999999997</v>
      </c>
      <c r="AB149" s="11"/>
      <c r="AC149" s="50"/>
      <c r="AD149" s="11">
        <f>_xlfn.XLOOKUP(E:E,'[1]②7月-汇总'!$D:$D,'[1]②7月-汇总'!$AC:$AC)</f>
        <v>100</v>
      </c>
      <c r="AE149" s="11">
        <f>_xlfn.XLOOKUP(E:E,[3]Sheet1!$B:$B,[3]Sheet1!$L:$L)</f>
        <v>640.55999999999995</v>
      </c>
      <c r="AF149" s="11">
        <f>_xlfn.XLOOKUP(E:E,'[1]②7月-汇总'!$D:$D,'[1]②7月-汇总'!$AD:$AD)</f>
        <v>0</v>
      </c>
      <c r="AG149" s="11">
        <f>_xlfn.XLOOKUP(E:E,'[1]②7月-汇总'!$D:$D,'[1]②7月-汇总'!$Y:$Y)</f>
        <v>0</v>
      </c>
      <c r="AH149" s="11">
        <f>_xlfn.XLOOKUP(E:E,'[1]②7月-汇总'!$D:$D,'[1]②7月-汇总'!$L:$L)</f>
        <v>0</v>
      </c>
      <c r="AI149" s="11">
        <f>_xlfn.XLOOKUP(E:E,'[1]②7月-汇总'!$D:$D,'[1]②7月-汇总'!$X:$X)</f>
        <v>0</v>
      </c>
      <c r="AJ149" s="11">
        <f>_xlfn.XLOOKUP(E:E,'[1]②7月-汇总'!$D:$D,'[1]②7月-汇总'!$AB:$AB)</f>
        <v>0</v>
      </c>
      <c r="AK149" s="11">
        <f>_xlfn.XLOOKUP(E:E,'[1]②7月-汇总'!$D:$D,'[1]②7月-汇总'!$AE:$AE)</f>
        <v>0</v>
      </c>
      <c r="AL149" s="96"/>
      <c r="AM149" s="45">
        <f t="shared" si="19"/>
        <v>4190.1476000000002</v>
      </c>
      <c r="AN149" s="11">
        <f>_xlfn.XLOOKUP(E:E,'[1]①7月-花名册'!$E:$E,'[1]①7月-花名册'!$T:$T)</f>
        <v>0</v>
      </c>
      <c r="AO149" s="67"/>
      <c r="AP149" s="142">
        <f>_xlfn.XLOOKUP(E149,[9]工资核对的全字段!$C:$C,[9]工资核对的全字段!$CW:$CW,0)</f>
        <v>4190.1476000000002</v>
      </c>
      <c r="AQ149" s="36">
        <f t="shared" si="20"/>
        <v>0</v>
      </c>
    </row>
    <row r="150" spans="1:43" x14ac:dyDescent="0.15">
      <c r="A150" s="55" t="s">
        <v>41</v>
      </c>
      <c r="B150" s="62" t="s">
        <v>205</v>
      </c>
      <c r="C150" s="57" t="s">
        <v>209</v>
      </c>
      <c r="D150" s="58" t="s">
        <v>4</v>
      </c>
      <c r="E150" s="58" t="s">
        <v>211</v>
      </c>
      <c r="F150" s="11">
        <f t="shared" si="23"/>
        <v>6753.4000000000015</v>
      </c>
      <c r="G150" s="11">
        <v>16533.400000000001</v>
      </c>
      <c r="H150" s="11">
        <v>-9780</v>
      </c>
      <c r="I150" s="11">
        <v>0</v>
      </c>
      <c r="J150" s="50"/>
      <c r="K150" s="11"/>
      <c r="L150" s="68">
        <f>F150/$K$152</f>
        <v>8.3951568793197776E-2</v>
      </c>
      <c r="M150" s="68">
        <v>0.04</v>
      </c>
      <c r="N150" s="45">
        <f t="shared" si="21"/>
        <v>628.26920000000007</v>
      </c>
      <c r="O150" s="45">
        <f t="shared" si="22"/>
        <v>-241.566</v>
      </c>
      <c r="P150" s="45"/>
      <c r="Q150" s="45"/>
      <c r="R150" s="45">
        <f t="shared" si="17"/>
        <v>386.70320000000004</v>
      </c>
      <c r="S150" s="11">
        <f>_xlfn.XLOOKUP(E:E,'[1]②7月-汇总'!$D:$D,'[1]②7月-汇总'!$AP:$AP)</f>
        <v>31</v>
      </c>
      <c r="T150" s="45">
        <v>2000</v>
      </c>
      <c r="U150" s="11">
        <f>_xlfn.XLOOKUP(E:E,'[2]手工、项目数、消耗'!$C:$C,'[2]手工、项目数、消耗'!$E:$E)</f>
        <v>9662.0400000000009</v>
      </c>
      <c r="V150" s="11">
        <f>_xlfn.XLOOKUP(E:E,'[2]手工、项目数、消耗'!$C:$C,'[2]手工、项目数、消耗'!$D:$D)</f>
        <v>110</v>
      </c>
      <c r="W150" s="11">
        <f>_xlfn.XLOOKUP(E:E,'[2]手工、项目数、消耗'!$C:$C,'[2]手工、项目数、消耗'!$H:$H)</f>
        <v>1154</v>
      </c>
      <c r="X150" s="11">
        <f>_xlfn.XLOOKUP(E:E,'[1]②7月-汇总'!$D:$D,'[1]②7月-汇总'!$W:$W)</f>
        <v>0</v>
      </c>
      <c r="Y150" s="11">
        <f>_xlfn.XLOOKUP(E:E,'[1]②7月-汇总'!$D:$D,'[1]②7月-汇总'!$Z:$Z)</f>
        <v>0</v>
      </c>
      <c r="Z150" s="11">
        <f>_xlfn.XLOOKUP(E:E,'[1]②7月-汇总'!$D:$D,'[1]②7月-汇总'!$AI:$AI)</f>
        <v>0</v>
      </c>
      <c r="AA150" s="45">
        <f t="shared" si="18"/>
        <v>3540.7031999999999</v>
      </c>
      <c r="AB150" s="11"/>
      <c r="AC150" s="50"/>
      <c r="AD150" s="11">
        <f>_xlfn.XLOOKUP(E:E,'[1]②7月-汇总'!$D:$D,'[1]②7月-汇总'!$AC:$AC)</f>
        <v>100</v>
      </c>
      <c r="AE150" s="11"/>
      <c r="AF150" s="11">
        <f>_xlfn.XLOOKUP(E:E,'[1]②7月-汇总'!$D:$D,'[1]②7月-汇总'!$AD:$AD)</f>
        <v>0</v>
      </c>
      <c r="AG150" s="11">
        <f>_xlfn.XLOOKUP(E:E,'[1]②7月-汇总'!$D:$D,'[1]②7月-汇总'!$Y:$Y)</f>
        <v>0</v>
      </c>
      <c r="AH150" s="11">
        <f>_xlfn.XLOOKUP(E:E,'[1]②7月-汇总'!$D:$D,'[1]②7月-汇总'!$L:$L)</f>
        <v>0</v>
      </c>
      <c r="AI150" s="11">
        <f>_xlfn.XLOOKUP(E:E,'[1]②7月-汇总'!$D:$D,'[1]②7月-汇总'!$X:$X)</f>
        <v>0</v>
      </c>
      <c r="AJ150" s="11">
        <f>_xlfn.XLOOKUP(E:E,'[1]②7月-汇总'!$D:$D,'[1]②7月-汇总'!$AB:$AB)</f>
        <v>0</v>
      </c>
      <c r="AK150" s="11">
        <f>_xlfn.XLOOKUP(E:E,'[1]②7月-汇总'!$D:$D,'[1]②7月-汇总'!$AE:$AE)</f>
        <v>0</v>
      </c>
      <c r="AL150" s="96"/>
      <c r="AM150" s="45">
        <f t="shared" si="19"/>
        <v>3440.7031999999999</v>
      </c>
      <c r="AN150" s="11">
        <f>_xlfn.XLOOKUP(E:E,'[1]①7月-花名册'!$E:$E,'[1]①7月-花名册'!$T:$T)</f>
        <v>0</v>
      </c>
      <c r="AO150" s="67"/>
      <c r="AP150" s="142">
        <f>_xlfn.XLOOKUP(E150,[9]工资核对的全字段!$C:$C,[9]工资核对的全字段!$CW:$CW,0)</f>
        <v>3440.7031999999999</v>
      </c>
      <c r="AQ150" s="36">
        <f t="shared" si="20"/>
        <v>0</v>
      </c>
    </row>
    <row r="151" spans="1:43" x14ac:dyDescent="0.15">
      <c r="A151" s="55" t="s">
        <v>41</v>
      </c>
      <c r="B151" s="62" t="s">
        <v>205</v>
      </c>
      <c r="C151" s="57" t="s">
        <v>209</v>
      </c>
      <c r="D151" s="58" t="s">
        <v>4</v>
      </c>
      <c r="E151" s="58" t="s">
        <v>212</v>
      </c>
      <c r="F151" s="11">
        <f t="shared" si="23"/>
        <v>9885.4</v>
      </c>
      <c r="G151" s="11">
        <v>6926.4</v>
      </c>
      <c r="H151" s="11">
        <v>2959</v>
      </c>
      <c r="I151" s="11">
        <v>0</v>
      </c>
      <c r="J151" s="50"/>
      <c r="K151" s="11"/>
      <c r="L151" s="68">
        <f>F151/$K$152</f>
        <v>0.1228854855551688</v>
      </c>
      <c r="M151" s="68">
        <v>0.04</v>
      </c>
      <c r="N151" s="45">
        <f t="shared" si="21"/>
        <v>263.20319999999998</v>
      </c>
      <c r="O151" s="45">
        <f t="shared" si="22"/>
        <v>73.087300000000013</v>
      </c>
      <c r="P151" s="45"/>
      <c r="Q151" s="45"/>
      <c r="R151" s="45">
        <f t="shared" si="17"/>
        <v>336.29050000000001</v>
      </c>
      <c r="S151" s="11">
        <f>_xlfn.XLOOKUP(E:E,'[1]②7月-汇总'!$D:$D,'[1]②7月-汇总'!$AP:$AP)</f>
        <v>31</v>
      </c>
      <c r="T151" s="45">
        <v>2000</v>
      </c>
      <c r="U151" s="11">
        <f>_xlfn.XLOOKUP(E:E,'[2]手工、项目数、消耗'!$C:$C,'[2]手工、项目数、消耗'!$E:$E)</f>
        <v>6148.22</v>
      </c>
      <c r="V151" s="11">
        <f>_xlfn.XLOOKUP(E:E,'[2]手工、项目数、消耗'!$C:$C,'[2]手工、项目数、消耗'!$D:$D)</f>
        <v>130</v>
      </c>
      <c r="W151" s="11">
        <f>_xlfn.XLOOKUP(E:E,'[2]手工、项目数、消耗'!$C:$C,'[2]手工、项目数、消耗'!$H:$H)</f>
        <v>1384</v>
      </c>
      <c r="X151" s="11">
        <f>_xlfn.XLOOKUP(E:E,'[1]②7月-汇总'!$D:$D,'[1]②7月-汇总'!$W:$W)</f>
        <v>0</v>
      </c>
      <c r="Y151" s="11">
        <f>_xlfn.XLOOKUP(E:E,'[1]②7月-汇总'!$D:$D,'[1]②7月-汇总'!$Z:$Z)</f>
        <v>50</v>
      </c>
      <c r="Z151" s="11">
        <f>_xlfn.XLOOKUP(E:E,'[1]②7月-汇总'!$D:$D,'[1]②7月-汇总'!$AI:$AI)</f>
        <v>0</v>
      </c>
      <c r="AA151" s="45">
        <f t="shared" si="18"/>
        <v>3770.2905000000001</v>
      </c>
      <c r="AB151" s="11"/>
      <c r="AC151" s="50"/>
      <c r="AD151" s="11">
        <f>_xlfn.XLOOKUP(E:E,'[1]②7月-汇总'!$D:$D,'[1]②7月-汇总'!$AC:$AC)</f>
        <v>0</v>
      </c>
      <c r="AE151" s="11"/>
      <c r="AF151" s="11">
        <f>_xlfn.XLOOKUP(E:E,'[1]②7月-汇总'!$D:$D,'[1]②7月-汇总'!$AD:$AD)</f>
        <v>0</v>
      </c>
      <c r="AG151" s="11">
        <f>_xlfn.XLOOKUP(E:E,'[1]②7月-汇总'!$D:$D,'[1]②7月-汇总'!$Y:$Y)</f>
        <v>0</v>
      </c>
      <c r="AH151" s="11">
        <f>_xlfn.XLOOKUP(E:E,'[1]②7月-汇总'!$D:$D,'[1]②7月-汇总'!$L:$L)</f>
        <v>0</v>
      </c>
      <c r="AI151" s="11">
        <f>_xlfn.XLOOKUP(E:E,'[1]②7月-汇总'!$D:$D,'[1]②7月-汇总'!$X:$X)</f>
        <v>0</v>
      </c>
      <c r="AJ151" s="11">
        <f>_xlfn.XLOOKUP(E:E,'[1]②7月-汇总'!$D:$D,'[1]②7月-汇总'!$AB:$AB)</f>
        <v>0</v>
      </c>
      <c r="AK151" s="11">
        <f>_xlfn.XLOOKUP(E:E,'[1]②7月-汇总'!$D:$D,'[1]②7月-汇总'!$AE:$AE)</f>
        <v>0</v>
      </c>
      <c r="AL151" s="96"/>
      <c r="AM151" s="45">
        <f t="shared" si="19"/>
        <v>3770.2905000000001</v>
      </c>
      <c r="AN151" s="11">
        <f>_xlfn.XLOOKUP(E:E,'[1]①7月-花名册'!$E:$E,'[1]①7月-花名册'!$T:$T)</f>
        <v>0</v>
      </c>
      <c r="AO151" s="67"/>
      <c r="AP151" s="142">
        <f>_xlfn.XLOOKUP(E151,[9]工资核对的全字段!$C:$C,[9]工资核对的全字段!$CW:$CW,0)</f>
        <v>3770.2905000000001</v>
      </c>
      <c r="AQ151" s="36">
        <f t="shared" si="20"/>
        <v>0</v>
      </c>
    </row>
    <row r="152" spans="1:43" x14ac:dyDescent="0.15">
      <c r="A152" s="55" t="s">
        <v>41</v>
      </c>
      <c r="B152" s="62" t="str">
        <f>B151</f>
        <v>南湖</v>
      </c>
      <c r="C152" s="57" t="s">
        <v>47</v>
      </c>
      <c r="D152" s="58" t="s">
        <v>47</v>
      </c>
      <c r="E152" s="58" t="s">
        <v>47</v>
      </c>
      <c r="F152" s="11">
        <f t="shared" si="23"/>
        <v>0</v>
      </c>
      <c r="G152" s="11">
        <v>0</v>
      </c>
      <c r="H152" s="11">
        <v>0</v>
      </c>
      <c r="I152" s="11">
        <v>0</v>
      </c>
      <c r="J152" s="50"/>
      <c r="K152" s="11">
        <v>80444</v>
      </c>
      <c r="L152" s="68"/>
      <c r="M152" s="68"/>
      <c r="N152" s="45">
        <f t="shared" si="21"/>
        <v>0</v>
      </c>
      <c r="O152" s="45">
        <f t="shared" si="22"/>
        <v>0</v>
      </c>
      <c r="P152" s="45"/>
      <c r="Q152" s="45"/>
      <c r="R152" s="45">
        <f t="shared" si="17"/>
        <v>0</v>
      </c>
      <c r="S152" s="11"/>
      <c r="T152" s="45"/>
      <c r="U152" s="11"/>
      <c r="V152" s="11"/>
      <c r="W152" s="11"/>
      <c r="X152" s="11"/>
      <c r="Y152" s="11"/>
      <c r="Z152" s="11"/>
      <c r="AA152" s="45">
        <f t="shared" si="18"/>
        <v>0</v>
      </c>
      <c r="AB152" s="11"/>
      <c r="AC152" s="50"/>
      <c r="AD152" s="11"/>
      <c r="AE152" s="11"/>
      <c r="AF152" s="11"/>
      <c r="AG152" s="11"/>
      <c r="AH152" s="11"/>
      <c r="AI152" s="11"/>
      <c r="AJ152" s="11"/>
      <c r="AK152" s="11"/>
      <c r="AL152" s="96"/>
      <c r="AM152" s="45">
        <f t="shared" si="19"/>
        <v>0</v>
      </c>
      <c r="AN152" s="11"/>
      <c r="AO152" s="67"/>
      <c r="AP152" s="142">
        <f>_xlfn.XLOOKUP(E152,[9]工资核对的全字段!$C:$C,[9]工资核对的全字段!$CW:$CW,0)</f>
        <v>0</v>
      </c>
      <c r="AQ152" s="36">
        <f t="shared" si="20"/>
        <v>0</v>
      </c>
    </row>
    <row r="153" spans="1:43" x14ac:dyDescent="0.15">
      <c r="A153" s="55" t="s">
        <v>41</v>
      </c>
      <c r="B153" s="62" t="str">
        <f>B152</f>
        <v>南湖</v>
      </c>
      <c r="C153" s="57" t="s">
        <v>165</v>
      </c>
      <c r="D153" s="58" t="s">
        <v>4</v>
      </c>
      <c r="E153" s="58" t="s">
        <v>213</v>
      </c>
      <c r="F153" s="11">
        <f t="shared" si="23"/>
        <v>498</v>
      </c>
      <c r="G153" s="11">
        <v>498</v>
      </c>
      <c r="H153" s="11">
        <v>0</v>
      </c>
      <c r="I153" s="11">
        <v>0</v>
      </c>
      <c r="J153" s="50"/>
      <c r="K153" s="11"/>
      <c r="L153" s="68"/>
      <c r="M153" s="68">
        <v>0</v>
      </c>
      <c r="N153" s="45">
        <f t="shared" si="21"/>
        <v>0</v>
      </c>
      <c r="O153" s="45">
        <f t="shared" si="22"/>
        <v>0</v>
      </c>
      <c r="P153" s="45"/>
      <c r="Q153" s="45"/>
      <c r="R153" s="45">
        <f t="shared" si="17"/>
        <v>0</v>
      </c>
      <c r="S153" s="11">
        <f>_xlfn.XLOOKUP(E:E,'[1]②7月-汇总'!$D:$D,'[1]②7月-汇总'!$AP:$AP)</f>
        <v>31</v>
      </c>
      <c r="T153" s="45">
        <v>1800</v>
      </c>
      <c r="U153" s="11">
        <f>_xlfn.XLOOKUP(E:E,'[2]手工、项目数、消耗'!$C:$C,'[2]手工、项目数、消耗'!$E:$E)</f>
        <v>5287.65</v>
      </c>
      <c r="V153" s="11">
        <f>_xlfn.XLOOKUP(E:E,'[2]手工、项目数、消耗'!$C:$C,'[2]手工、项目数、消耗'!$D:$D)</f>
        <v>79.5</v>
      </c>
      <c r="W153" s="11">
        <f>_xlfn.XLOOKUP(E:E,'[2]手工、项目数、消耗'!$C:$C,'[2]手工、项目数、消耗'!$H:$H)</f>
        <v>1021</v>
      </c>
      <c r="X153" s="11">
        <f>_xlfn.XLOOKUP(E:E,'[1]②7月-汇总'!$D:$D,'[1]②7月-汇总'!$W:$W)</f>
        <v>0</v>
      </c>
      <c r="Y153" s="11">
        <f>_xlfn.XLOOKUP(E:E,'[1]②7月-汇总'!$D:$D,'[1]②7月-汇总'!$Z:$Z)</f>
        <v>0</v>
      </c>
      <c r="Z153" s="11">
        <f>_xlfn.XLOOKUP(E:E,'[1]②7月-汇总'!$D:$D,'[1]②7月-汇总'!$AI:$AI)</f>
        <v>0</v>
      </c>
      <c r="AA153" s="45">
        <f t="shared" si="18"/>
        <v>2821</v>
      </c>
      <c r="AB153" s="11"/>
      <c r="AC153" s="11">
        <v>140</v>
      </c>
      <c r="AD153" s="11">
        <f>_xlfn.XLOOKUP(E:E,'[1]②7月-汇总'!$D:$D,'[1]②7月-汇总'!$AC:$AC)</f>
        <v>100</v>
      </c>
      <c r="AE153" s="11"/>
      <c r="AF153" s="11">
        <f>_xlfn.XLOOKUP(E:E,'[1]②7月-汇总'!$D:$D,'[1]②7月-汇总'!$AD:$AD)</f>
        <v>0</v>
      </c>
      <c r="AG153" s="11">
        <f>_xlfn.XLOOKUP(E:E,'[1]②7月-汇总'!$D:$D,'[1]②7月-汇总'!$Y:$Y)</f>
        <v>10</v>
      </c>
      <c r="AH153" s="11">
        <f>_xlfn.XLOOKUP(E:E,'[1]②7月-汇总'!$D:$D,'[1]②7月-汇总'!$L:$L)</f>
        <v>0</v>
      </c>
      <c r="AI153" s="11">
        <f>_xlfn.XLOOKUP(E:E,'[1]②7月-汇总'!$D:$D,'[1]②7月-汇总'!$X:$X)</f>
        <v>20</v>
      </c>
      <c r="AJ153" s="11">
        <f>_xlfn.XLOOKUP(E:E,'[1]②7月-汇总'!$D:$D,'[1]②7月-汇总'!$AB:$AB)</f>
        <v>0</v>
      </c>
      <c r="AK153" s="11">
        <f>_xlfn.XLOOKUP(E:E,'[1]②7月-汇总'!$D:$D,'[1]②7月-汇总'!$AE:$AE)</f>
        <v>0</v>
      </c>
      <c r="AL153" s="96">
        <v>679</v>
      </c>
      <c r="AM153" s="45">
        <f t="shared" si="19"/>
        <v>3230</v>
      </c>
      <c r="AN153" s="11">
        <f>_xlfn.XLOOKUP(E:E,'[1]①7月-花名册'!$E:$E,'[1]①7月-花名册'!$T:$T)</f>
        <v>3500</v>
      </c>
      <c r="AO153" s="67"/>
      <c r="AP153" s="142">
        <f>_xlfn.XLOOKUP(E153,[9]工资核对的全字段!$C:$C,[9]工资核对的全字段!$CW:$CW,0)</f>
        <v>3230</v>
      </c>
      <c r="AQ153" s="36">
        <f t="shared" si="20"/>
        <v>0</v>
      </c>
    </row>
    <row r="154" spans="1:43" x14ac:dyDescent="0.15">
      <c r="A154" s="55" t="s">
        <v>41</v>
      </c>
      <c r="B154" s="62" t="s">
        <v>205</v>
      </c>
      <c r="C154" s="60" t="s">
        <v>9</v>
      </c>
      <c r="D154" s="61" t="s">
        <v>9</v>
      </c>
      <c r="E154" s="61" t="s">
        <v>214</v>
      </c>
      <c r="F154" s="11">
        <f t="shared" si="23"/>
        <v>0</v>
      </c>
      <c r="G154" s="11">
        <v>0</v>
      </c>
      <c r="H154" s="11">
        <v>0</v>
      </c>
      <c r="I154" s="11">
        <v>0</v>
      </c>
      <c r="J154" s="50"/>
      <c r="K154" s="11"/>
      <c r="L154" s="68"/>
      <c r="M154" s="68"/>
      <c r="N154" s="45">
        <f t="shared" si="21"/>
        <v>0</v>
      </c>
      <c r="O154" s="45">
        <f t="shared" si="22"/>
        <v>0</v>
      </c>
      <c r="P154" s="45"/>
      <c r="Q154" s="45">
        <v>348</v>
      </c>
      <c r="R154" s="45">
        <f t="shared" si="17"/>
        <v>348</v>
      </c>
      <c r="S154" s="11"/>
      <c r="T154" s="45"/>
      <c r="U154" s="11"/>
      <c r="V154" s="11"/>
      <c r="W154" s="11"/>
      <c r="X154" s="11"/>
      <c r="Y154" s="11"/>
      <c r="Z154" s="11"/>
      <c r="AA154" s="45">
        <f t="shared" si="18"/>
        <v>348</v>
      </c>
      <c r="AB154" s="11"/>
      <c r="AC154" s="50"/>
      <c r="AD154" s="11"/>
      <c r="AE154" s="11"/>
      <c r="AF154" s="11"/>
      <c r="AG154" s="11"/>
      <c r="AH154" s="11"/>
      <c r="AI154" s="11"/>
      <c r="AJ154" s="11"/>
      <c r="AK154" s="11"/>
      <c r="AL154" s="96"/>
      <c r="AM154" s="45">
        <f t="shared" si="19"/>
        <v>348</v>
      </c>
      <c r="AN154" s="11"/>
      <c r="AO154" s="67"/>
      <c r="AP154" s="142">
        <f>_xlfn.XLOOKUP(E154,[9]工资核对的全字段!$C:$C,[9]工资核对的全字段!$CW:$CW,0)</f>
        <v>347.55500000000006</v>
      </c>
      <c r="AQ154" s="36">
        <f t="shared" si="20"/>
        <v>-0.44499999999993634</v>
      </c>
    </row>
    <row r="155" spans="1:43" x14ac:dyDescent="0.15">
      <c r="A155" s="55" t="s">
        <v>41</v>
      </c>
      <c r="B155" s="62" t="s">
        <v>215</v>
      </c>
      <c r="C155" s="57" t="s">
        <v>57</v>
      </c>
      <c r="D155" s="58" t="s">
        <v>43</v>
      </c>
      <c r="E155" s="58" t="s">
        <v>216</v>
      </c>
      <c r="F155" s="11">
        <f t="shared" si="23"/>
        <v>54654.2</v>
      </c>
      <c r="G155" s="11">
        <v>54654.2</v>
      </c>
      <c r="H155" s="11">
        <v>0</v>
      </c>
      <c r="I155" s="11">
        <v>0</v>
      </c>
      <c r="J155" s="50"/>
      <c r="K155" s="11"/>
      <c r="L155" s="68"/>
      <c r="M155" s="68">
        <v>0.04</v>
      </c>
      <c r="N155" s="45">
        <f t="shared" si="21"/>
        <v>2076.8595999999998</v>
      </c>
      <c r="O155" s="45">
        <f t="shared" si="22"/>
        <v>0</v>
      </c>
      <c r="P155" s="45"/>
      <c r="Q155" s="45"/>
      <c r="R155" s="45">
        <f t="shared" si="17"/>
        <v>2076.8595999999998</v>
      </c>
      <c r="S155" s="11">
        <f>_xlfn.XLOOKUP(E:E,'[1]②7月-汇总'!$D:$D,'[1]②7月-汇总'!$AP:$AP)</f>
        <v>31</v>
      </c>
      <c r="T155" s="45">
        <v>2000</v>
      </c>
      <c r="U155" s="11">
        <f>_xlfn.XLOOKUP(E:E,'[2]手工、项目数、消耗'!$C:$C,'[2]手工、项目数、消耗'!$E:$E)</f>
        <v>42959.34</v>
      </c>
      <c r="V155" s="11">
        <f>_xlfn.XLOOKUP(E:E,'[2]手工、项目数、消耗'!$C:$C,'[2]手工、项目数、消耗'!$D:$D)</f>
        <v>117</v>
      </c>
      <c r="W155" s="11">
        <f>_xlfn.XLOOKUP(E:E,'[2]手工、项目数、消耗'!$C:$C,'[2]手工、项目数、消耗'!$H:$H)</f>
        <v>2086</v>
      </c>
      <c r="X155" s="11">
        <f>_xlfn.XLOOKUP(E:E,'[1]②7月-汇总'!$D:$D,'[1]②7月-汇总'!$W:$W)</f>
        <v>0</v>
      </c>
      <c r="Y155" s="11">
        <f>_xlfn.XLOOKUP(E:E,'[1]②7月-汇总'!$D:$D,'[1]②7月-汇总'!$Z:$Z)</f>
        <v>0</v>
      </c>
      <c r="Z155" s="11">
        <f>_xlfn.XLOOKUP(E:E,'[1]②7月-汇总'!$D:$D,'[1]②7月-汇总'!$AI:$AI)</f>
        <v>0</v>
      </c>
      <c r="AA155" s="45">
        <f t="shared" si="18"/>
        <v>6162.8595999999998</v>
      </c>
      <c r="AB155" s="11">
        <v>500</v>
      </c>
      <c r="AC155" s="50"/>
      <c r="AD155" s="11">
        <f>_xlfn.XLOOKUP(E:E,'[1]②7月-汇总'!$D:$D,'[1]②7月-汇总'!$AC:$AC)</f>
        <v>0</v>
      </c>
      <c r="AE155" s="11"/>
      <c r="AF155" s="11">
        <f>_xlfn.XLOOKUP(E:E,'[1]②7月-汇总'!$D:$D,'[1]②7月-汇总'!$AD:$AD)</f>
        <v>0</v>
      </c>
      <c r="AG155" s="11">
        <f>_xlfn.XLOOKUP(E:E,'[1]②7月-汇总'!$D:$D,'[1]②7月-汇总'!$Y:$Y)</f>
        <v>0</v>
      </c>
      <c r="AH155" s="11">
        <f>_xlfn.XLOOKUP(E:E,'[1]②7月-汇总'!$D:$D,'[1]②7月-汇总'!$L:$L)</f>
        <v>0</v>
      </c>
      <c r="AI155" s="11">
        <f>_xlfn.XLOOKUP(E:E,'[1]②7月-汇总'!$D:$D,'[1]②7月-汇总'!$X:$X)</f>
        <v>0</v>
      </c>
      <c r="AJ155" s="11">
        <f>_xlfn.XLOOKUP(E:E,'[1]②7月-汇总'!$D:$D,'[1]②7月-汇总'!$AB:$AB)</f>
        <v>0</v>
      </c>
      <c r="AK155" s="11">
        <f>_xlfn.XLOOKUP(E:E,'[1]②7月-汇总'!$D:$D,'[1]②7月-汇总'!$AE:$AE)</f>
        <v>0</v>
      </c>
      <c r="AL155" s="96"/>
      <c r="AM155" s="45">
        <f t="shared" si="19"/>
        <v>6662.8595999999998</v>
      </c>
      <c r="AN155" s="11">
        <f>_xlfn.XLOOKUP(E:E,'[1]①7月-花名册'!$E:$E,'[1]①7月-花名册'!$T:$T)</f>
        <v>0</v>
      </c>
      <c r="AO155" s="67"/>
      <c r="AP155" s="142">
        <f>_xlfn.XLOOKUP(E155,[9]工资核对的全字段!$C:$C,[9]工资核对的全字段!$CW:$CW,0)</f>
        <v>6662.8595999999998</v>
      </c>
      <c r="AQ155" s="36">
        <f t="shared" si="20"/>
        <v>0</v>
      </c>
    </row>
    <row r="156" spans="1:43" x14ac:dyDescent="0.15">
      <c r="A156" s="55" t="s">
        <v>41</v>
      </c>
      <c r="B156" s="62" t="s">
        <v>215</v>
      </c>
      <c r="C156" s="57" t="s">
        <v>57</v>
      </c>
      <c r="D156" s="58" t="s">
        <v>4</v>
      </c>
      <c r="E156" s="58" t="s">
        <v>217</v>
      </c>
      <c r="F156" s="11">
        <f t="shared" si="23"/>
        <v>1433.4</v>
      </c>
      <c r="G156" s="11">
        <v>1433.4</v>
      </c>
      <c r="H156" s="11"/>
      <c r="I156" s="11"/>
      <c r="J156" s="50"/>
      <c r="K156" s="11"/>
      <c r="L156" s="68"/>
      <c r="M156" s="68">
        <v>0.04</v>
      </c>
      <c r="N156" s="45">
        <f t="shared" si="21"/>
        <v>54.469200000000001</v>
      </c>
      <c r="O156" s="45"/>
      <c r="P156" s="45"/>
      <c r="Q156" s="45"/>
      <c r="R156" s="45">
        <f t="shared" si="17"/>
        <v>54.469200000000001</v>
      </c>
      <c r="S156" s="11">
        <f>_xlfn.XLOOKUP(E:E,'[1]②7月-汇总'!$D:$D,'[1]②7月-汇总'!$AP:$AP)</f>
        <v>31</v>
      </c>
      <c r="T156" s="45">
        <v>1800</v>
      </c>
      <c r="U156" s="11">
        <f>_xlfn.XLOOKUP(E:E,'[2]手工、项目数、消耗'!$C:$C,'[2]手工、项目数、消耗'!$E:$E)</f>
        <v>4249.66</v>
      </c>
      <c r="V156" s="11">
        <f>_xlfn.XLOOKUP(E:E,'[2]手工、项目数、消耗'!$C:$C,'[2]手工、项目数、消耗'!$D:$D)</f>
        <v>73</v>
      </c>
      <c r="W156" s="11">
        <f>_xlfn.XLOOKUP(E:E,'[2]手工、项目数、消耗'!$C:$C,'[2]手工、项目数、消耗'!$H:$H)</f>
        <v>865</v>
      </c>
      <c r="X156" s="11">
        <f>_xlfn.XLOOKUP(E:E,'[1]②7月-汇总'!$D:$D,'[1]②7月-汇总'!$W:$W)</f>
        <v>0</v>
      </c>
      <c r="Y156" s="11">
        <f>_xlfn.XLOOKUP(E:E,'[1]②7月-汇总'!$D:$D,'[1]②7月-汇总'!$Z:$Z)</f>
        <v>0</v>
      </c>
      <c r="Z156" s="11">
        <f>_xlfn.XLOOKUP(E:E,'[1]②7月-汇总'!$D:$D,'[1]②7月-汇总'!$AI:$AI)</f>
        <v>0</v>
      </c>
      <c r="AA156" s="45">
        <f t="shared" si="18"/>
        <v>2719.4692</v>
      </c>
      <c r="AB156" s="11"/>
      <c r="AC156" s="50"/>
      <c r="AD156" s="11">
        <f>_xlfn.XLOOKUP(E:E,'[1]②7月-汇总'!$D:$D,'[1]②7月-汇总'!$AC:$AC)</f>
        <v>0</v>
      </c>
      <c r="AE156" s="11"/>
      <c r="AF156" s="11">
        <f>_xlfn.XLOOKUP(E:E,'[1]②7月-汇总'!$D:$D,'[1]②7月-汇总'!$AD:$AD)</f>
        <v>0</v>
      </c>
      <c r="AG156" s="11">
        <f>_xlfn.XLOOKUP(E:E,'[1]②7月-汇总'!$D:$D,'[1]②7月-汇总'!$Y:$Y)</f>
        <v>0</v>
      </c>
      <c r="AH156" s="11">
        <f>_xlfn.XLOOKUP(E:E,'[1]②7月-汇总'!$D:$D,'[1]②7月-汇总'!$L:$L)</f>
        <v>0</v>
      </c>
      <c r="AI156" s="11">
        <f>_xlfn.XLOOKUP(E:E,'[1]②7月-汇总'!$D:$D,'[1]②7月-汇总'!$X:$X)</f>
        <v>20</v>
      </c>
      <c r="AJ156" s="11">
        <f>_xlfn.XLOOKUP(E:E,'[1]②7月-汇总'!$D:$D,'[1]②7月-汇总'!$AB:$AB)</f>
        <v>0</v>
      </c>
      <c r="AK156" s="11">
        <f>_xlfn.XLOOKUP(E:E,'[1]②7月-汇总'!$D:$D,'[1]②7月-汇总'!$AE:$AE)</f>
        <v>0</v>
      </c>
      <c r="AL156" s="96">
        <v>781</v>
      </c>
      <c r="AM156" s="45">
        <f t="shared" si="19"/>
        <v>3480.4692</v>
      </c>
      <c r="AN156" s="11">
        <v>3500</v>
      </c>
      <c r="AO156" s="67"/>
      <c r="AP156" s="142">
        <f>_xlfn.XLOOKUP(E156,[9]工资核对的全字段!$C:$C,[9]工资核对的全字段!$CW:$CW,0)</f>
        <v>3480</v>
      </c>
      <c r="AQ156" s="36">
        <f t="shared" si="20"/>
        <v>-0.46920000000000073</v>
      </c>
    </row>
    <row r="157" spans="1:43" x14ac:dyDescent="0.15">
      <c r="A157" s="55" t="s">
        <v>41</v>
      </c>
      <c r="B157" s="62" t="s">
        <v>215</v>
      </c>
      <c r="C157" s="57" t="s">
        <v>47</v>
      </c>
      <c r="D157" s="58" t="s">
        <v>47</v>
      </c>
      <c r="E157" s="58" t="s">
        <v>47</v>
      </c>
      <c r="F157" s="11">
        <f t="shared" si="23"/>
        <v>0</v>
      </c>
      <c r="G157" s="11">
        <v>0</v>
      </c>
      <c r="H157" s="11">
        <v>0</v>
      </c>
      <c r="I157" s="11">
        <v>0</v>
      </c>
      <c r="J157" s="50"/>
      <c r="K157" s="11">
        <v>56087.6</v>
      </c>
      <c r="L157" s="68"/>
      <c r="M157" s="68"/>
      <c r="N157" s="45">
        <f t="shared" si="21"/>
        <v>0</v>
      </c>
      <c r="O157" s="45">
        <f t="shared" ref="O157:O162" si="24">H157*0.65*0.95*M157</f>
        <v>0</v>
      </c>
      <c r="P157" s="45"/>
      <c r="Q157" s="45"/>
      <c r="R157" s="45">
        <f t="shared" si="17"/>
        <v>0</v>
      </c>
      <c r="S157" s="11"/>
      <c r="T157" s="45"/>
      <c r="U157" s="11"/>
      <c r="V157" s="11"/>
      <c r="W157" s="11"/>
      <c r="X157" s="11"/>
      <c r="Y157" s="11"/>
      <c r="Z157" s="11"/>
      <c r="AA157" s="45">
        <f t="shared" si="18"/>
        <v>0</v>
      </c>
      <c r="AB157" s="11"/>
      <c r="AC157" s="50"/>
      <c r="AD157" s="11"/>
      <c r="AE157" s="11"/>
      <c r="AF157" s="11"/>
      <c r="AG157" s="11"/>
      <c r="AH157" s="11"/>
      <c r="AI157" s="11"/>
      <c r="AJ157" s="11"/>
      <c r="AK157" s="11"/>
      <c r="AL157" s="96"/>
      <c r="AM157" s="45">
        <f t="shared" si="19"/>
        <v>0</v>
      </c>
      <c r="AN157" s="11"/>
      <c r="AO157" s="67"/>
      <c r="AP157" s="142">
        <f>_xlfn.XLOOKUP(E157,[9]工资核对的全字段!$C:$C,[9]工资核对的全字段!$CW:$CW,0)</f>
        <v>0</v>
      </c>
      <c r="AQ157" s="36">
        <f t="shared" si="20"/>
        <v>0</v>
      </c>
    </row>
    <row r="158" spans="1:43" x14ac:dyDescent="0.15">
      <c r="A158" s="55" t="s">
        <v>41</v>
      </c>
      <c r="B158" s="62" t="s">
        <v>215</v>
      </c>
      <c r="C158" s="57" t="s">
        <v>169</v>
      </c>
      <c r="D158" s="58" t="s">
        <v>43</v>
      </c>
      <c r="E158" s="58" t="s">
        <v>218</v>
      </c>
      <c r="F158" s="11">
        <f t="shared" si="23"/>
        <v>40390.800000000003</v>
      </c>
      <c r="G158" s="11">
        <v>34626.800000000003</v>
      </c>
      <c r="H158" s="11">
        <v>3400</v>
      </c>
      <c r="I158" s="11">
        <v>2364</v>
      </c>
      <c r="J158" s="50"/>
      <c r="K158" s="11"/>
      <c r="L158" s="68">
        <f>F158/$K$161</f>
        <v>0.41715517989267176</v>
      </c>
      <c r="M158" s="68">
        <v>0.05</v>
      </c>
      <c r="N158" s="45">
        <f t="shared" si="21"/>
        <v>1644.7730000000001</v>
      </c>
      <c r="O158" s="45">
        <f t="shared" si="24"/>
        <v>104.97500000000001</v>
      </c>
      <c r="P158" s="45">
        <f>K161*0.008</f>
        <v>774.59519999999998</v>
      </c>
      <c r="Q158" s="45"/>
      <c r="R158" s="45">
        <f t="shared" si="17"/>
        <v>2524.3432000000003</v>
      </c>
      <c r="S158" s="11">
        <f>_xlfn.XLOOKUP(E:E,'[1]②7月-汇总'!$D:$D,'[1]②7月-汇总'!$AP:$AP)</f>
        <v>31</v>
      </c>
      <c r="T158" s="45">
        <v>2000</v>
      </c>
      <c r="U158" s="11">
        <f>_xlfn.XLOOKUP(E:E,'[2]手工、项目数、消耗'!$C:$C,'[2]手工、项目数、消耗'!$E:$E)</f>
        <v>25746.36</v>
      </c>
      <c r="V158" s="11">
        <f>_xlfn.XLOOKUP(E:E,'[2]手工、项目数、消耗'!$C:$C,'[2]手工、项目数、消耗'!$D:$D)</f>
        <v>123</v>
      </c>
      <c r="W158" s="11">
        <f>_xlfn.XLOOKUP(E:E,'[2]手工、项目数、消耗'!$C:$C,'[2]手工、项目数、消耗'!$H:$H)</f>
        <v>2285</v>
      </c>
      <c r="X158" s="11">
        <f>_xlfn.XLOOKUP(E:E,'[1]②7月-汇总'!$D:$D,'[1]②7月-汇总'!$W:$W)</f>
        <v>0</v>
      </c>
      <c r="Y158" s="11">
        <f>_xlfn.XLOOKUP(E:E,'[1]②7月-汇总'!$D:$D,'[1]②7月-汇总'!$Z:$Z)</f>
        <v>50</v>
      </c>
      <c r="Z158" s="11">
        <f>_xlfn.XLOOKUP(E:E,'[1]②7月-汇总'!$D:$D,'[1]②7月-汇总'!$AI:$AI)</f>
        <v>0</v>
      </c>
      <c r="AA158" s="45">
        <f t="shared" si="18"/>
        <v>6859.3432000000003</v>
      </c>
      <c r="AB158" s="11"/>
      <c r="AC158" s="50"/>
      <c r="AD158" s="11">
        <f>_xlfn.XLOOKUP(E:E,'[1]②7月-汇总'!$D:$D,'[1]②7月-汇总'!$AC:$AC)</f>
        <v>100</v>
      </c>
      <c r="AE158" s="11">
        <f>_xlfn.XLOOKUP(E:E,[3]Sheet1!$B:$B,[3]Sheet1!$L:$L)</f>
        <v>644.16800000000001</v>
      </c>
      <c r="AF158" s="11">
        <f>_xlfn.XLOOKUP(E:E,'[1]②7月-汇总'!$D:$D,'[1]②7月-汇总'!$AD:$AD)</f>
        <v>0</v>
      </c>
      <c r="AG158" s="11">
        <f>_xlfn.XLOOKUP(E:E,'[1]②7月-汇总'!$D:$D,'[1]②7月-汇总'!$Y:$Y)</f>
        <v>0</v>
      </c>
      <c r="AH158" s="11">
        <f>_xlfn.XLOOKUP(E:E,'[1]②7月-汇总'!$D:$D,'[1]②7月-汇总'!$L:$L)</f>
        <v>0</v>
      </c>
      <c r="AI158" s="11">
        <f>_xlfn.XLOOKUP(E:E,'[1]②7月-汇总'!$D:$D,'[1]②7月-汇总'!$X:$X)</f>
        <v>0</v>
      </c>
      <c r="AJ158" s="11">
        <f>_xlfn.XLOOKUP(E:E,'[1]②7月-汇总'!$D:$D,'[1]②7月-汇总'!$AB:$AB)</f>
        <v>0</v>
      </c>
      <c r="AK158" s="11">
        <f>_xlfn.XLOOKUP(E:E,'[1]②7月-汇总'!$D:$D,'[1]②7月-汇总'!$AE:$AE)</f>
        <v>0</v>
      </c>
      <c r="AL158" s="96"/>
      <c r="AM158" s="45">
        <f t="shared" si="19"/>
        <v>6115.1752000000006</v>
      </c>
      <c r="AN158" s="11">
        <f>_xlfn.XLOOKUP(E:E,'[1]①7月-花名册'!$E:$E,'[1]①7月-花名册'!$T:$T)</f>
        <v>0</v>
      </c>
      <c r="AO158" s="67"/>
      <c r="AP158" s="142">
        <f>_xlfn.XLOOKUP(E158,[9]工资核对的全字段!$C:$C,[9]工资核对的全字段!$CW:$CW,0)</f>
        <v>6115.18</v>
      </c>
      <c r="AQ158" s="36">
        <f t="shared" si="20"/>
        <v>4.7999999997045961E-3</v>
      </c>
    </row>
    <row r="159" spans="1:43" x14ac:dyDescent="0.15">
      <c r="A159" s="55" t="s">
        <v>41</v>
      </c>
      <c r="B159" s="62" t="s">
        <v>215</v>
      </c>
      <c r="C159" s="57" t="s">
        <v>169</v>
      </c>
      <c r="D159" s="58" t="s">
        <v>4</v>
      </c>
      <c r="E159" s="58" t="s">
        <v>219</v>
      </c>
      <c r="F159" s="11">
        <f t="shared" si="23"/>
        <v>40748.1</v>
      </c>
      <c r="G159" s="11">
        <v>40748.1</v>
      </c>
      <c r="H159" s="11">
        <v>0</v>
      </c>
      <c r="I159" s="11">
        <v>0</v>
      </c>
      <c r="J159" s="50"/>
      <c r="K159" s="11"/>
      <c r="L159" s="68">
        <f>F159/$K$161</f>
        <v>0.42084536542441781</v>
      </c>
      <c r="M159" s="68">
        <v>0.05</v>
      </c>
      <c r="N159" s="45">
        <f t="shared" si="21"/>
        <v>1935.53475</v>
      </c>
      <c r="O159" s="45">
        <f t="shared" si="24"/>
        <v>0</v>
      </c>
      <c r="P159" s="45"/>
      <c r="Q159" s="45"/>
      <c r="R159" s="45">
        <f t="shared" si="17"/>
        <v>1935.53475</v>
      </c>
      <c r="S159" s="11">
        <f>_xlfn.XLOOKUP(E:E,'[1]②7月-汇总'!$D:$D,'[1]②7月-汇总'!$AP:$AP)</f>
        <v>31</v>
      </c>
      <c r="T159" s="45">
        <v>2000</v>
      </c>
      <c r="U159" s="11">
        <f>_xlfn.XLOOKUP(E:E,'[2]手工、项目数、消耗'!$C:$C,'[2]手工、项目数、消耗'!$E:$E)</f>
        <v>37325.57</v>
      </c>
      <c r="V159" s="11">
        <f>_xlfn.XLOOKUP(E:E,'[2]手工、项目数、消耗'!$C:$C,'[2]手工、项目数、消耗'!$D:$D)</f>
        <v>116</v>
      </c>
      <c r="W159" s="11">
        <f>_xlfn.XLOOKUP(E:E,'[2]手工、项目数、消耗'!$C:$C,'[2]手工、项目数、消耗'!$H:$H)</f>
        <v>1301</v>
      </c>
      <c r="X159" s="11">
        <f>_xlfn.XLOOKUP(E:E,'[1]②7月-汇总'!$D:$D,'[1]②7月-汇总'!$W:$W)</f>
        <v>0</v>
      </c>
      <c r="Y159" s="11">
        <f>_xlfn.XLOOKUP(E:E,'[1]②7月-汇总'!$D:$D,'[1]②7月-汇总'!$Z:$Z)</f>
        <v>0</v>
      </c>
      <c r="Z159" s="11">
        <f>_xlfn.XLOOKUP(E:E,'[1]②7月-汇总'!$D:$D,'[1]②7月-汇总'!$AI:$AI)</f>
        <v>0</v>
      </c>
      <c r="AA159" s="45">
        <f t="shared" si="18"/>
        <v>5236.5347499999998</v>
      </c>
      <c r="AB159" s="11"/>
      <c r="AC159" s="50"/>
      <c r="AD159" s="11">
        <f>_xlfn.XLOOKUP(E:E,'[1]②7月-汇总'!$D:$D,'[1]②7月-汇总'!$AC:$AC)</f>
        <v>100</v>
      </c>
      <c r="AE159" s="11">
        <f>_xlfn.XLOOKUP(E:E,[3]Sheet1!$B:$B,[3]Sheet1!$L:$L)</f>
        <v>644.16800000000001</v>
      </c>
      <c r="AF159" s="11">
        <f>_xlfn.XLOOKUP(E:E,'[1]②7月-汇总'!$D:$D,'[1]②7月-汇总'!$AD:$AD)</f>
        <v>0</v>
      </c>
      <c r="AG159" s="11">
        <f>_xlfn.XLOOKUP(E:E,'[1]②7月-汇总'!$D:$D,'[1]②7月-汇总'!$Y:$Y)</f>
        <v>0</v>
      </c>
      <c r="AH159" s="11">
        <f>_xlfn.XLOOKUP(E:E,'[1]②7月-汇总'!$D:$D,'[1]②7月-汇总'!$L:$L)</f>
        <v>0</v>
      </c>
      <c r="AI159" s="11">
        <f>_xlfn.XLOOKUP(E:E,'[1]②7月-汇总'!$D:$D,'[1]②7月-汇总'!$X:$X)</f>
        <v>0</v>
      </c>
      <c r="AJ159" s="11">
        <f>_xlfn.XLOOKUP(E:E,'[1]②7月-汇总'!$D:$D,'[1]②7月-汇总'!$AB:$AB)</f>
        <v>0</v>
      </c>
      <c r="AK159" s="11">
        <f>_xlfn.XLOOKUP(E:E,'[1]②7月-汇总'!$D:$D,'[1]②7月-汇总'!$AE:$AE)</f>
        <v>0</v>
      </c>
      <c r="AL159" s="96"/>
      <c r="AM159" s="45">
        <f t="shared" si="19"/>
        <v>4492.3667500000001</v>
      </c>
      <c r="AN159" s="11">
        <f>_xlfn.XLOOKUP(E:E,'[1]①7月-花名册'!$E:$E,'[1]①7月-花名册'!$T:$T)</f>
        <v>0</v>
      </c>
      <c r="AO159" s="67"/>
      <c r="AP159" s="142">
        <f>_xlfn.XLOOKUP(E159,[9]工资核对的全字段!$C:$C,[9]工资核对的全字段!$CW:$CW,0)</f>
        <v>4492.3667500000001</v>
      </c>
      <c r="AQ159" s="36">
        <f t="shared" si="20"/>
        <v>0</v>
      </c>
    </row>
    <row r="160" spans="1:43" x14ac:dyDescent="0.15">
      <c r="A160" s="55" t="s">
        <v>41</v>
      </c>
      <c r="B160" s="62" t="s">
        <v>215</v>
      </c>
      <c r="C160" s="57" t="s">
        <v>169</v>
      </c>
      <c r="D160" s="58" t="s">
        <v>4</v>
      </c>
      <c r="E160" s="58" t="s">
        <v>220</v>
      </c>
      <c r="F160" s="11">
        <f t="shared" si="23"/>
        <v>15685.5</v>
      </c>
      <c r="G160" s="11">
        <v>12285.5</v>
      </c>
      <c r="H160" s="11">
        <v>3400</v>
      </c>
      <c r="I160" s="11">
        <v>0</v>
      </c>
      <c r="J160" s="50"/>
      <c r="K160" s="11"/>
      <c r="L160" s="68">
        <f>F160/$K$161</f>
        <v>0.16199945468291052</v>
      </c>
      <c r="M160" s="68">
        <v>0.05</v>
      </c>
      <c r="N160" s="45">
        <f t="shared" si="21"/>
        <v>583.56124999999997</v>
      </c>
      <c r="O160" s="45">
        <f t="shared" si="24"/>
        <v>104.97500000000001</v>
      </c>
      <c r="P160" s="45"/>
      <c r="Q160" s="45"/>
      <c r="R160" s="45">
        <f t="shared" si="17"/>
        <v>688.53625</v>
      </c>
      <c r="S160" s="11">
        <f>_xlfn.XLOOKUP(E:E,'[1]②7月-汇总'!$D:$D,'[1]②7月-汇总'!$AP:$AP)</f>
        <v>31</v>
      </c>
      <c r="T160" s="45">
        <v>2000</v>
      </c>
      <c r="U160" s="11">
        <f>_xlfn.XLOOKUP(E:E,'[2]手工、项目数、消耗'!$C:$C,'[2]手工、项目数、消耗'!$E:$E)</f>
        <v>14841.44</v>
      </c>
      <c r="V160" s="11">
        <f>_xlfn.XLOOKUP(E:E,'[2]手工、项目数、消耗'!$C:$C,'[2]手工、项目数、消耗'!$D:$D)</f>
        <v>104.5</v>
      </c>
      <c r="W160" s="11">
        <f>_xlfn.XLOOKUP(E:E,'[2]手工、项目数、消耗'!$C:$C,'[2]手工、项目数、消耗'!$H:$H)</f>
        <v>1112</v>
      </c>
      <c r="X160" s="11">
        <f>_xlfn.XLOOKUP(E:E,'[1]②7月-汇总'!$D:$D,'[1]②7月-汇总'!$W:$W)</f>
        <v>0</v>
      </c>
      <c r="Y160" s="11">
        <f>_xlfn.XLOOKUP(E:E,'[1]②7月-汇总'!$D:$D,'[1]②7月-汇总'!$Z:$Z)</f>
        <v>0</v>
      </c>
      <c r="Z160" s="11">
        <f>_xlfn.XLOOKUP(E:E,'[1]②7月-汇总'!$D:$D,'[1]②7月-汇总'!$AI:$AI)</f>
        <v>0</v>
      </c>
      <c r="AA160" s="45">
        <f t="shared" si="18"/>
        <v>3800.5362500000001</v>
      </c>
      <c r="AB160" s="11"/>
      <c r="AC160" s="50"/>
      <c r="AD160" s="11">
        <f>_xlfn.XLOOKUP(E:E,'[1]②7月-汇总'!$D:$D,'[1]②7月-汇总'!$AC:$AC)</f>
        <v>100</v>
      </c>
      <c r="AE160" s="11"/>
      <c r="AF160" s="11">
        <f>_xlfn.XLOOKUP(E:E,'[1]②7月-汇总'!$D:$D,'[1]②7月-汇总'!$AD:$AD)</f>
        <v>0</v>
      </c>
      <c r="AG160" s="11">
        <f>_xlfn.XLOOKUP(E:E,'[1]②7月-汇总'!$D:$D,'[1]②7月-汇总'!$Y:$Y)</f>
        <v>0</v>
      </c>
      <c r="AH160" s="11">
        <f>_xlfn.XLOOKUP(E:E,'[1]②7月-汇总'!$D:$D,'[1]②7月-汇总'!$L:$L)</f>
        <v>0</v>
      </c>
      <c r="AI160" s="11">
        <f>_xlfn.XLOOKUP(E:E,'[1]②7月-汇总'!$D:$D,'[1]②7月-汇总'!$X:$X)</f>
        <v>10</v>
      </c>
      <c r="AJ160" s="11">
        <f>_xlfn.XLOOKUP(E:E,'[1]②7月-汇总'!$D:$D,'[1]②7月-汇总'!$AB:$AB)</f>
        <v>0</v>
      </c>
      <c r="AK160" s="11">
        <f>_xlfn.XLOOKUP(E:E,'[1]②7月-汇总'!$D:$D,'[1]②7月-汇总'!$AE:$AE)</f>
        <v>0</v>
      </c>
      <c r="AL160" s="96"/>
      <c r="AM160" s="45">
        <f t="shared" si="19"/>
        <v>3690.5362500000001</v>
      </c>
      <c r="AN160" s="11">
        <f>_xlfn.XLOOKUP(E:E,'[1]①7月-花名册'!$E:$E,'[1]①7月-花名册'!$T:$T)</f>
        <v>0</v>
      </c>
      <c r="AO160" s="67"/>
      <c r="AP160" s="142">
        <f>_xlfn.XLOOKUP(E160,[9]工资核对的全字段!$C:$C,[9]工资核对的全字段!$CW:$CW,0)</f>
        <v>3690.5362500000001</v>
      </c>
      <c r="AQ160" s="36">
        <f t="shared" si="20"/>
        <v>0</v>
      </c>
    </row>
    <row r="161" spans="1:43" x14ac:dyDescent="0.15">
      <c r="A161" s="55" t="s">
        <v>41</v>
      </c>
      <c r="B161" s="62" t="s">
        <v>215</v>
      </c>
      <c r="C161" s="57" t="s">
        <v>47</v>
      </c>
      <c r="D161" s="58" t="s">
        <v>47</v>
      </c>
      <c r="E161" s="58" t="s">
        <v>47</v>
      </c>
      <c r="F161" s="11">
        <f t="shared" si="23"/>
        <v>0</v>
      </c>
      <c r="G161" s="11">
        <v>0</v>
      </c>
      <c r="H161" s="11">
        <v>0</v>
      </c>
      <c r="I161" s="11">
        <v>0</v>
      </c>
      <c r="J161" s="50"/>
      <c r="K161" s="11">
        <v>96824.4</v>
      </c>
      <c r="L161" s="68"/>
      <c r="M161" s="68"/>
      <c r="N161" s="45">
        <f t="shared" si="21"/>
        <v>0</v>
      </c>
      <c r="O161" s="45">
        <f t="shared" si="24"/>
        <v>0</v>
      </c>
      <c r="P161" s="45"/>
      <c r="Q161" s="45"/>
      <c r="R161" s="45">
        <f t="shared" si="17"/>
        <v>0</v>
      </c>
      <c r="S161" s="11"/>
      <c r="T161" s="45"/>
      <c r="U161" s="11"/>
      <c r="V161" s="11"/>
      <c r="W161" s="11"/>
      <c r="X161" s="11"/>
      <c r="Y161" s="11"/>
      <c r="Z161" s="11"/>
      <c r="AA161" s="45">
        <f t="shared" si="18"/>
        <v>0</v>
      </c>
      <c r="AB161" s="11"/>
      <c r="AC161" s="50"/>
      <c r="AD161" s="11"/>
      <c r="AE161" s="11"/>
      <c r="AF161" s="11"/>
      <c r="AG161" s="11"/>
      <c r="AH161" s="11"/>
      <c r="AI161" s="11"/>
      <c r="AJ161" s="11"/>
      <c r="AK161" s="11"/>
      <c r="AL161" s="96"/>
      <c r="AM161" s="45">
        <f t="shared" si="19"/>
        <v>0</v>
      </c>
      <c r="AN161" s="11"/>
      <c r="AO161" s="67"/>
      <c r="AP161" s="142">
        <f>_xlfn.XLOOKUP(E161,[9]工资核对的全字段!$C:$C,[9]工资核对的全字段!$CW:$CW,0)</f>
        <v>0</v>
      </c>
      <c r="AQ161" s="36">
        <f t="shared" si="20"/>
        <v>0</v>
      </c>
    </row>
    <row r="162" spans="1:43" x14ac:dyDescent="0.15">
      <c r="A162" s="55" t="s">
        <v>41</v>
      </c>
      <c r="B162" s="62" t="s">
        <v>215</v>
      </c>
      <c r="C162" s="57" t="s">
        <v>165</v>
      </c>
      <c r="D162" s="58" t="s">
        <v>4</v>
      </c>
      <c r="E162" s="58" t="s">
        <v>221</v>
      </c>
      <c r="F162" s="11">
        <f t="shared" si="23"/>
        <v>0</v>
      </c>
      <c r="G162" s="11">
        <v>0</v>
      </c>
      <c r="H162" s="11">
        <v>0</v>
      </c>
      <c r="I162" s="11">
        <v>0</v>
      </c>
      <c r="J162" s="50"/>
      <c r="K162" s="11"/>
      <c r="L162" s="68"/>
      <c r="M162" s="68">
        <v>0</v>
      </c>
      <c r="N162" s="45">
        <f t="shared" si="21"/>
        <v>0</v>
      </c>
      <c r="O162" s="45">
        <f t="shared" si="24"/>
        <v>0</v>
      </c>
      <c r="P162" s="45"/>
      <c r="Q162" s="45"/>
      <c r="R162" s="45">
        <f t="shared" si="17"/>
        <v>0</v>
      </c>
      <c r="S162" s="11">
        <f>_xlfn.XLOOKUP(E:E,'[1]②7月-汇总'!$D:$D,'[1]②7月-汇总'!$AP:$AP)</f>
        <v>10</v>
      </c>
      <c r="T162" s="45">
        <f>1800/31*10</f>
        <v>580.64516129032302</v>
      </c>
      <c r="U162" s="11">
        <f>_xlfn.XLOOKUP(E:E,'[2]手工、项目数、消耗'!$C:$C,'[2]手工、项目数、消耗'!$E:$E)</f>
        <v>1149.21</v>
      </c>
      <c r="V162" s="11">
        <f>_xlfn.XLOOKUP(E:E,'[2]手工、项目数、消耗'!$C:$C,'[2]手工、项目数、消耗'!$D:$D)</f>
        <v>14</v>
      </c>
      <c r="W162" s="11">
        <f>_xlfn.XLOOKUP(E:E,'[2]手工、项目数、消耗'!$C:$C,'[2]手工、项目数、消耗'!$H:$H)</f>
        <v>178</v>
      </c>
      <c r="X162" s="11">
        <f>_xlfn.XLOOKUP(E:E,'[1]②7月-汇总'!$D:$D,'[1]②7月-汇总'!$W:$W)</f>
        <v>0</v>
      </c>
      <c r="Y162" s="11">
        <f>_xlfn.XLOOKUP(E:E,'[1]②7月-汇总'!$D:$D,'[1]②7月-汇总'!$Z:$Z)</f>
        <v>0</v>
      </c>
      <c r="Z162" s="11">
        <f>_xlfn.XLOOKUP(E:E,'[1]②7月-汇总'!$D:$D,'[1]②7月-汇总'!$AI:$AI)</f>
        <v>0</v>
      </c>
      <c r="AA162" s="45">
        <f t="shared" si="18"/>
        <v>758.64516129032302</v>
      </c>
      <c r="AB162" s="11"/>
      <c r="AC162" s="50"/>
      <c r="AD162" s="11">
        <f>_xlfn.XLOOKUP(E:E,'[1]②7月-汇总'!$D:$D,'[1]②7月-汇总'!$AC:$AC)</f>
        <v>0</v>
      </c>
      <c r="AE162" s="11"/>
      <c r="AF162" s="11">
        <f>_xlfn.XLOOKUP(E:E,'[1]②7月-汇总'!$D:$D,'[1]②7月-汇总'!$AD:$AD)</f>
        <v>130</v>
      </c>
      <c r="AG162" s="11">
        <f>_xlfn.XLOOKUP(E:E,'[1]②7月-汇总'!$D:$D,'[1]②7月-汇总'!$Y:$Y)</f>
        <v>0</v>
      </c>
      <c r="AH162" s="11">
        <f>_xlfn.XLOOKUP(E:E,'[1]②7月-汇总'!$D:$D,'[1]②7月-汇总'!$L:$L)</f>
        <v>0</v>
      </c>
      <c r="AI162" s="11">
        <f>_xlfn.XLOOKUP(E:E,'[1]②7月-汇总'!$D:$D,'[1]②7月-汇总'!$X:$X)</f>
        <v>0</v>
      </c>
      <c r="AJ162" s="11">
        <f>_xlfn.XLOOKUP(E:E,'[1]②7月-汇总'!$D:$D,'[1]②7月-汇总'!$AB:$AB)</f>
        <v>0</v>
      </c>
      <c r="AK162" s="11">
        <f>_xlfn.XLOOKUP(E:E,'[1]②7月-汇总'!$D:$D,'[1]②7月-汇总'!$AE:$AE)</f>
        <v>0</v>
      </c>
      <c r="AL162" s="96"/>
      <c r="AM162" s="45">
        <f t="shared" si="19"/>
        <v>628.64516129032302</v>
      </c>
      <c r="AN162" s="11">
        <f>_xlfn.XLOOKUP(E:E,'[1]①7月-花名册'!$E:$E,'[1]①7月-花名册'!$T:$T)</f>
        <v>0</v>
      </c>
      <c r="AO162" s="67"/>
      <c r="AP162" s="142">
        <f>_xlfn.XLOOKUP(E162,[9]工资核对的全字段!$C:$C,[9]工资核对的全字段!$CW:$CW,0)</f>
        <v>628.64516129032256</v>
      </c>
      <c r="AQ162" s="36">
        <f t="shared" si="20"/>
        <v>0</v>
      </c>
    </row>
    <row r="163" spans="1:43" x14ac:dyDescent="0.15">
      <c r="A163" s="55" t="s">
        <v>41</v>
      </c>
      <c r="B163" s="62" t="s">
        <v>215</v>
      </c>
      <c r="C163" s="60" t="s">
        <v>9</v>
      </c>
      <c r="D163" s="61" t="s">
        <v>9</v>
      </c>
      <c r="E163" s="61" t="s">
        <v>222</v>
      </c>
      <c r="F163" s="11">
        <f t="shared" ref="F163:F184" si="25">G163+H163+I163</f>
        <v>1038.5999999999999</v>
      </c>
      <c r="G163" s="11">
        <v>1038.5999999999999</v>
      </c>
      <c r="H163" s="11">
        <v>0</v>
      </c>
      <c r="I163" s="11">
        <v>0</v>
      </c>
      <c r="J163" s="50"/>
      <c r="K163" s="11"/>
      <c r="L163" s="68"/>
      <c r="M163" s="68"/>
      <c r="N163" s="45">
        <f t="shared" ref="N163:N184" si="26">G163*0.95*M163</f>
        <v>0</v>
      </c>
      <c r="O163" s="45">
        <f t="shared" ref="O163:O184" si="27">H163*0.65*0.95*M163</f>
        <v>0</v>
      </c>
      <c r="P163" s="45"/>
      <c r="Q163" s="45">
        <v>385</v>
      </c>
      <c r="R163" s="45">
        <f t="shared" ref="R163:R184" si="28">N163+O163+P163+Q163</f>
        <v>385</v>
      </c>
      <c r="S163" s="11"/>
      <c r="T163" s="45"/>
      <c r="U163" s="11"/>
      <c r="V163" s="11"/>
      <c r="W163" s="11"/>
      <c r="X163" s="11"/>
      <c r="Y163" s="11"/>
      <c r="Z163" s="11"/>
      <c r="AA163" s="45">
        <f t="shared" ref="AA163:AA184" si="29">R163+T163+W163+X163+Y163+Z163</f>
        <v>385</v>
      </c>
      <c r="AB163" s="11"/>
      <c r="AC163" s="50"/>
      <c r="AD163" s="11"/>
      <c r="AE163" s="11"/>
      <c r="AF163" s="11"/>
      <c r="AG163" s="11"/>
      <c r="AH163" s="11"/>
      <c r="AI163" s="11"/>
      <c r="AJ163" s="11"/>
      <c r="AK163" s="11"/>
      <c r="AL163" s="96"/>
      <c r="AM163" s="45">
        <f t="shared" ref="AM163:AM184" si="30">AA163+AB163-AC163-AD163-AE163-AF163-AG163-AI163-AJ163+AK163+AL163</f>
        <v>385</v>
      </c>
      <c r="AN163" s="11"/>
      <c r="AO163" s="67"/>
      <c r="AP163" s="142">
        <f>_xlfn.XLOOKUP(E163,[9]工资核对的全字段!$C:$C,[9]工资核对的全字段!$CW:$CW,0)</f>
        <v>384.87650000000008</v>
      </c>
      <c r="AQ163" s="36">
        <f t="shared" si="20"/>
        <v>-0.12349999999992178</v>
      </c>
    </row>
    <row r="164" spans="1:43" x14ac:dyDescent="0.15">
      <c r="A164" s="55" t="s">
        <v>41</v>
      </c>
      <c r="B164" s="62" t="s">
        <v>223</v>
      </c>
      <c r="C164" s="57" t="s">
        <v>224</v>
      </c>
      <c r="D164" s="58" t="s">
        <v>43</v>
      </c>
      <c r="E164" s="58" t="s">
        <v>225</v>
      </c>
      <c r="F164" s="11">
        <f t="shared" si="25"/>
        <v>106558.9</v>
      </c>
      <c r="G164" s="11">
        <v>96576.9</v>
      </c>
      <c r="H164" s="11">
        <v>9982</v>
      </c>
      <c r="I164" s="11">
        <v>0</v>
      </c>
      <c r="J164" s="50"/>
      <c r="K164" s="11"/>
      <c r="L164" s="68">
        <f>F164/$K$167</f>
        <v>0.41580975258752151</v>
      </c>
      <c r="M164" s="68">
        <v>7.0000000000000007E-2</v>
      </c>
      <c r="N164" s="45">
        <f t="shared" si="26"/>
        <v>6422.3638499999997</v>
      </c>
      <c r="O164" s="45">
        <f t="shared" si="27"/>
        <v>431.47195000000005</v>
      </c>
      <c r="P164" s="45">
        <f>K167*0.008</f>
        <v>2050.1471999999999</v>
      </c>
      <c r="Q164" s="45"/>
      <c r="R164" s="45">
        <f t="shared" si="28"/>
        <v>8903.9830000000002</v>
      </c>
      <c r="S164" s="11">
        <f>_xlfn.XLOOKUP(E:E,'[1]②7月-汇总'!$D:$D,'[1]②7月-汇总'!$AP:$AP)</f>
        <v>31</v>
      </c>
      <c r="T164" s="45">
        <v>2000</v>
      </c>
      <c r="U164" s="11">
        <f>_xlfn.XLOOKUP(E:E,'[2]手工、项目数、消耗'!$C:$C,'[2]手工、项目数、消耗'!$E:$E)</f>
        <v>53433.05</v>
      </c>
      <c r="V164" s="11">
        <f>_xlfn.XLOOKUP(E:E,'[2]手工、项目数、消耗'!$C:$C,'[2]手工、项目数、消耗'!$D:$D)</f>
        <v>120.5</v>
      </c>
      <c r="W164" s="11">
        <f>_xlfn.XLOOKUP(E:E,'[2]手工、项目数、消耗'!$C:$C,'[2]手工、项目数、消耗'!$H:$H)</f>
        <v>1927</v>
      </c>
      <c r="X164" s="11">
        <f>_xlfn.XLOOKUP(E:E,'[1]②7月-汇总'!$D:$D,'[1]②7月-汇总'!$W:$W)</f>
        <v>0</v>
      </c>
      <c r="Y164" s="11">
        <f>_xlfn.XLOOKUP(E:E,'[1]②7月-汇总'!$D:$D,'[1]②7月-汇总'!$Z:$Z)</f>
        <v>0</v>
      </c>
      <c r="Z164" s="11">
        <f>_xlfn.XLOOKUP(E:E,'[1]②7月-汇总'!$D:$D,'[1]②7月-汇总'!$AI:$AI)</f>
        <v>0</v>
      </c>
      <c r="AA164" s="45">
        <f t="shared" si="29"/>
        <v>12830.983</v>
      </c>
      <c r="AB164" s="11"/>
      <c r="AC164" s="50"/>
      <c r="AD164" s="11">
        <f>_xlfn.XLOOKUP(E:E,'[1]②7月-汇总'!$D:$D,'[1]②7月-汇总'!$AC:$AC)</f>
        <v>0</v>
      </c>
      <c r="AE164" s="11">
        <f>_xlfn.XLOOKUP(E:E,[3]Sheet1!$B:$B,[3]Sheet1!$L:$L)</f>
        <v>644.16800000000001</v>
      </c>
      <c r="AF164" s="11">
        <f>_xlfn.XLOOKUP(E:E,'[1]②7月-汇总'!$D:$D,'[1]②7月-汇总'!$AD:$AD)</f>
        <v>0</v>
      </c>
      <c r="AG164" s="11">
        <f>_xlfn.XLOOKUP(E:E,'[1]②7月-汇总'!$D:$D,'[1]②7月-汇总'!$Y:$Y)</f>
        <v>10</v>
      </c>
      <c r="AH164" s="11">
        <f>_xlfn.XLOOKUP(E:E,'[1]②7月-汇总'!$D:$D,'[1]②7月-汇总'!$L:$L)</f>
        <v>0</v>
      </c>
      <c r="AI164" s="11">
        <f>_xlfn.XLOOKUP(E:E,'[1]②7月-汇总'!$D:$D,'[1]②7月-汇总'!$X:$X)</f>
        <v>0</v>
      </c>
      <c r="AJ164" s="11">
        <f>_xlfn.XLOOKUP(E:E,'[1]②7月-汇总'!$D:$D,'[1]②7月-汇总'!$AB:$AB)</f>
        <v>0</v>
      </c>
      <c r="AK164" s="11">
        <f>_xlfn.XLOOKUP(E:E,'[1]②7月-汇总'!$D:$D,'[1]②7月-汇总'!$AE:$AE)</f>
        <v>0</v>
      </c>
      <c r="AL164" s="96"/>
      <c r="AM164" s="45">
        <f t="shared" si="30"/>
        <v>12176.815000000001</v>
      </c>
      <c r="AN164" s="11">
        <f>_xlfn.XLOOKUP(E:E,'[1]①7月-花名册'!$E:$E,'[1]①7月-花名册'!$T:$T)</f>
        <v>0</v>
      </c>
      <c r="AO164" s="67"/>
      <c r="AP164" s="142">
        <f>_xlfn.XLOOKUP(E164,[9]工资核对的全字段!$C:$C,[9]工资核对的全字段!$CW:$CW,0)</f>
        <v>12176.817800000001</v>
      </c>
      <c r="AQ164" s="36">
        <f t="shared" si="20"/>
        <v>2.8000000002066372E-3</v>
      </c>
    </row>
    <row r="165" spans="1:43" x14ac:dyDescent="0.15">
      <c r="A165" s="55" t="s">
        <v>41</v>
      </c>
      <c r="B165" s="62" t="s">
        <v>223</v>
      </c>
      <c r="C165" s="57" t="s">
        <v>224</v>
      </c>
      <c r="D165" s="58" t="s">
        <v>4</v>
      </c>
      <c r="E165" s="58" t="s">
        <v>226</v>
      </c>
      <c r="F165" s="11">
        <f t="shared" si="25"/>
        <v>112622.5</v>
      </c>
      <c r="G165" s="11">
        <v>105738.5</v>
      </c>
      <c r="H165" s="11">
        <v>6884</v>
      </c>
      <c r="I165" s="11">
        <v>0</v>
      </c>
      <c r="J165" s="50"/>
      <c r="K165" s="11"/>
      <c r="L165" s="68">
        <f>F165/$K$167</f>
        <v>0.4394708828712397</v>
      </c>
      <c r="M165" s="68">
        <v>7.0000000000000007E-2</v>
      </c>
      <c r="N165" s="45">
        <f t="shared" si="26"/>
        <v>7031.6102500000006</v>
      </c>
      <c r="O165" s="45">
        <f t="shared" si="27"/>
        <v>297.5609</v>
      </c>
      <c r="P165" s="45"/>
      <c r="Q165" s="45"/>
      <c r="R165" s="45">
        <f t="shared" si="28"/>
        <v>7329.171150000001</v>
      </c>
      <c r="S165" s="11">
        <f>_xlfn.XLOOKUP(E:E,'[1]②7月-汇总'!$D:$D,'[1]②7月-汇总'!$AP:$AP)</f>
        <v>31</v>
      </c>
      <c r="T165" s="45">
        <v>2200</v>
      </c>
      <c r="U165" s="11">
        <f>_xlfn.XLOOKUP(E:E,'[2]手工、项目数、消耗'!$C:$C,'[2]手工、项目数、消耗'!$E:$E)</f>
        <v>33731.67</v>
      </c>
      <c r="V165" s="11">
        <f>_xlfn.XLOOKUP(E:E,'[2]手工、项目数、消耗'!$C:$C,'[2]手工、项目数、消耗'!$D:$D)</f>
        <v>128</v>
      </c>
      <c r="W165" s="11">
        <f>_xlfn.XLOOKUP(E:E,'[2]手工、项目数、消耗'!$C:$C,'[2]手工、项目数、消耗'!$H:$H)</f>
        <v>1636</v>
      </c>
      <c r="X165" s="11">
        <f>_xlfn.XLOOKUP(E:E,'[1]②7月-汇总'!$D:$D,'[1]②7月-汇总'!$W:$W)</f>
        <v>0</v>
      </c>
      <c r="Y165" s="11">
        <f>_xlfn.XLOOKUP(E:E,'[1]②7月-汇总'!$D:$D,'[1]②7月-汇总'!$Z:$Z)</f>
        <v>0</v>
      </c>
      <c r="Z165" s="11">
        <f>_xlfn.XLOOKUP(E:E,'[1]②7月-汇总'!$D:$D,'[1]②7月-汇总'!$AI:$AI)</f>
        <v>0</v>
      </c>
      <c r="AA165" s="45">
        <f t="shared" si="29"/>
        <v>11165.171150000002</v>
      </c>
      <c r="AB165" s="11"/>
      <c r="AC165" s="50"/>
      <c r="AD165" s="11">
        <f>_xlfn.XLOOKUP(E:E,'[1]②7月-汇总'!$D:$D,'[1]②7月-汇总'!$AC:$AC)</f>
        <v>0</v>
      </c>
      <c r="AE165" s="11">
        <f>_xlfn.XLOOKUP(E:E,[3]Sheet1!$B:$B,[3]Sheet1!$L:$L)</f>
        <v>644.16800000000001</v>
      </c>
      <c r="AF165" s="11">
        <f>_xlfn.XLOOKUP(E:E,'[1]②7月-汇总'!$D:$D,'[1]②7月-汇总'!$AD:$AD)</f>
        <v>0</v>
      </c>
      <c r="AG165" s="11">
        <f>_xlfn.XLOOKUP(E:E,'[1]②7月-汇总'!$D:$D,'[1]②7月-汇总'!$Y:$Y)</f>
        <v>10</v>
      </c>
      <c r="AH165" s="11">
        <f>_xlfn.XLOOKUP(E:E,'[1]②7月-汇总'!$D:$D,'[1]②7月-汇总'!$L:$L)</f>
        <v>0</v>
      </c>
      <c r="AI165" s="11">
        <f>_xlfn.XLOOKUP(E:E,'[1]②7月-汇总'!$D:$D,'[1]②7月-汇总'!$X:$X)</f>
        <v>0</v>
      </c>
      <c r="AJ165" s="11">
        <f>_xlfn.XLOOKUP(E:E,'[1]②7月-汇总'!$D:$D,'[1]②7月-汇总'!$AB:$AB)</f>
        <v>0</v>
      </c>
      <c r="AK165" s="11">
        <f>_xlfn.XLOOKUP(E:E,'[1]②7月-汇总'!$D:$D,'[1]②7月-汇总'!$AE:$AE)</f>
        <v>0</v>
      </c>
      <c r="AL165" s="96"/>
      <c r="AM165" s="45">
        <f t="shared" si="30"/>
        <v>10511.003150000002</v>
      </c>
      <c r="AN165" s="11">
        <f>_xlfn.XLOOKUP(E:E,'[1]①7月-花名册'!$E:$E,'[1]①7月-花名册'!$T:$T)</f>
        <v>0</v>
      </c>
      <c r="AO165" s="67"/>
      <c r="AP165" s="142">
        <f>_xlfn.XLOOKUP(E165,[9]工资核对的全字段!$C:$C,[9]工资核对的全字段!$CW:$CW,0)</f>
        <v>10511.003150000002</v>
      </c>
      <c r="AQ165" s="36">
        <f t="shared" si="20"/>
        <v>0</v>
      </c>
    </row>
    <row r="166" spans="1:43" x14ac:dyDescent="0.15">
      <c r="A166" s="55" t="s">
        <v>41</v>
      </c>
      <c r="B166" s="62" t="s">
        <v>223</v>
      </c>
      <c r="C166" s="57" t="s">
        <v>224</v>
      </c>
      <c r="D166" s="58" t="s">
        <v>4</v>
      </c>
      <c r="E166" s="58" t="s">
        <v>227</v>
      </c>
      <c r="F166" s="11">
        <f t="shared" si="25"/>
        <v>37087</v>
      </c>
      <c r="G166" s="11">
        <v>12376</v>
      </c>
      <c r="H166" s="11">
        <v>24091</v>
      </c>
      <c r="I166" s="11">
        <v>620</v>
      </c>
      <c r="J166" s="50"/>
      <c r="K166" s="11"/>
      <c r="L166" s="68">
        <f>F166/$K$167</f>
        <v>0.14471936454123879</v>
      </c>
      <c r="M166" s="68">
        <v>7.0000000000000007E-2</v>
      </c>
      <c r="N166" s="45">
        <f t="shared" si="26"/>
        <v>823.00400000000002</v>
      </c>
      <c r="O166" s="45">
        <f t="shared" si="27"/>
        <v>1041.3334750000001</v>
      </c>
      <c r="P166" s="45"/>
      <c r="Q166" s="45"/>
      <c r="R166" s="45">
        <f t="shared" si="28"/>
        <v>1864.3374750000003</v>
      </c>
      <c r="S166" s="11">
        <f>_xlfn.XLOOKUP(E:E,'[1]②7月-汇总'!$D:$D,'[1]②7月-汇总'!$AP:$AP)</f>
        <v>31</v>
      </c>
      <c r="T166" s="45">
        <v>2000</v>
      </c>
      <c r="U166" s="11">
        <f>_xlfn.XLOOKUP(E:E,'[2]手工、项目数、消耗'!$C:$C,'[2]手工、项目数、消耗'!$E:$E)</f>
        <v>7885.26</v>
      </c>
      <c r="V166" s="11">
        <f>_xlfn.XLOOKUP(E:E,'[2]手工、项目数、消耗'!$C:$C,'[2]手工、项目数、消耗'!$D:$D)</f>
        <v>99</v>
      </c>
      <c r="W166" s="11">
        <f>_xlfn.XLOOKUP(E:E,'[2]手工、项目数、消耗'!$C:$C,'[2]手工、项目数、消耗'!$H:$H)</f>
        <v>1245.5</v>
      </c>
      <c r="X166" s="11">
        <f>_xlfn.XLOOKUP(E:E,'[1]②7月-汇总'!$D:$D,'[1]②7月-汇总'!$W:$W)</f>
        <v>0</v>
      </c>
      <c r="Y166" s="11">
        <f>_xlfn.XLOOKUP(E:E,'[1]②7月-汇总'!$D:$D,'[1]②7月-汇总'!$Z:$Z)</f>
        <v>0</v>
      </c>
      <c r="Z166" s="11">
        <f>_xlfn.XLOOKUP(E:E,'[1]②7月-汇总'!$D:$D,'[1]②7月-汇总'!$AI:$AI)</f>
        <v>0</v>
      </c>
      <c r="AA166" s="45">
        <f t="shared" si="29"/>
        <v>5109.8374750000003</v>
      </c>
      <c r="AB166" s="11"/>
      <c r="AC166" s="50"/>
      <c r="AD166" s="11">
        <f>_xlfn.XLOOKUP(E:E,'[1]②7月-汇总'!$D:$D,'[1]②7月-汇总'!$AC:$AC)</f>
        <v>0</v>
      </c>
      <c r="AE166" s="11"/>
      <c r="AF166" s="11">
        <f>_xlfn.XLOOKUP(E:E,'[1]②7月-汇总'!$D:$D,'[1]②7月-汇总'!$AD:$AD)</f>
        <v>0</v>
      </c>
      <c r="AG166" s="11">
        <f>_xlfn.XLOOKUP(E:E,'[1]②7月-汇总'!$D:$D,'[1]②7月-汇总'!$Y:$Y)</f>
        <v>10</v>
      </c>
      <c r="AH166" s="11">
        <f>_xlfn.XLOOKUP(E:E,'[1]②7月-汇总'!$D:$D,'[1]②7月-汇总'!$L:$L)</f>
        <v>0</v>
      </c>
      <c r="AI166" s="11">
        <f>_xlfn.XLOOKUP(E:E,'[1]②7月-汇总'!$D:$D,'[1]②7月-汇总'!$X:$X)</f>
        <v>0</v>
      </c>
      <c r="AJ166" s="11">
        <f>_xlfn.XLOOKUP(E:E,'[1]②7月-汇总'!$D:$D,'[1]②7月-汇总'!$AB:$AB)</f>
        <v>0</v>
      </c>
      <c r="AK166" s="11">
        <f>_xlfn.XLOOKUP(E:E,'[1]②7月-汇总'!$D:$D,'[1]②7月-汇总'!$AE:$AE)</f>
        <v>0</v>
      </c>
      <c r="AL166" s="96"/>
      <c r="AM166" s="45">
        <f t="shared" si="30"/>
        <v>5099.8374750000003</v>
      </c>
      <c r="AN166" s="11">
        <f>_xlfn.XLOOKUP(E:E,'[1]①7月-花名册'!$E:$E,'[1]①7月-花名册'!$T:$T)</f>
        <v>0</v>
      </c>
      <c r="AO166" s="67"/>
      <c r="AP166" s="142">
        <f>_xlfn.XLOOKUP(E166,[9]工资核对的全字段!$C:$C,[9]工资核对的全字段!$CW:$CW,0)</f>
        <v>5099.8374750000003</v>
      </c>
      <c r="AQ166" s="36">
        <f t="shared" si="20"/>
        <v>0</v>
      </c>
    </row>
    <row r="167" spans="1:43" x14ac:dyDescent="0.15">
      <c r="A167" s="55" t="s">
        <v>41</v>
      </c>
      <c r="B167" s="62" t="s">
        <v>223</v>
      </c>
      <c r="C167" s="57" t="s">
        <v>47</v>
      </c>
      <c r="D167" s="58" t="s">
        <v>47</v>
      </c>
      <c r="E167" s="58" t="s">
        <v>47</v>
      </c>
      <c r="F167" s="11">
        <f t="shared" si="25"/>
        <v>0</v>
      </c>
      <c r="G167" s="11">
        <v>0</v>
      </c>
      <c r="H167" s="11">
        <v>0</v>
      </c>
      <c r="I167" s="11">
        <v>0</v>
      </c>
      <c r="J167" s="50"/>
      <c r="K167" s="11">
        <v>256268.4</v>
      </c>
      <c r="L167" s="68"/>
      <c r="M167" s="68"/>
      <c r="N167" s="45">
        <f t="shared" si="26"/>
        <v>0</v>
      </c>
      <c r="O167" s="45">
        <f t="shared" si="27"/>
        <v>0</v>
      </c>
      <c r="P167" s="45"/>
      <c r="Q167" s="45"/>
      <c r="R167" s="45">
        <f t="shared" si="28"/>
        <v>0</v>
      </c>
      <c r="S167" s="11"/>
      <c r="T167" s="45"/>
      <c r="U167" s="11"/>
      <c r="V167" s="11"/>
      <c r="W167" s="11"/>
      <c r="X167" s="11"/>
      <c r="Y167" s="11"/>
      <c r="Z167" s="11"/>
      <c r="AA167" s="45">
        <f t="shared" si="29"/>
        <v>0</v>
      </c>
      <c r="AB167" s="11"/>
      <c r="AC167" s="50"/>
      <c r="AD167" s="11"/>
      <c r="AE167" s="11"/>
      <c r="AF167" s="11"/>
      <c r="AG167" s="11"/>
      <c r="AH167" s="11"/>
      <c r="AI167" s="11"/>
      <c r="AJ167" s="11"/>
      <c r="AK167" s="11"/>
      <c r="AL167" s="96"/>
      <c r="AM167" s="45">
        <f t="shared" si="30"/>
        <v>0</v>
      </c>
      <c r="AN167" s="11"/>
      <c r="AO167" s="67"/>
      <c r="AP167" s="142">
        <f>_xlfn.XLOOKUP(E167,[9]工资核对的全字段!$C:$C,[9]工资核对的全字段!$CW:$CW,0)</f>
        <v>0</v>
      </c>
      <c r="AQ167" s="36">
        <f t="shared" si="20"/>
        <v>0</v>
      </c>
    </row>
    <row r="168" spans="1:43" x14ac:dyDescent="0.15">
      <c r="A168" s="55" t="s">
        <v>41</v>
      </c>
      <c r="B168" s="62" t="s">
        <v>223</v>
      </c>
      <c r="C168" s="57" t="s">
        <v>228</v>
      </c>
      <c r="D168" s="58" t="s">
        <v>43</v>
      </c>
      <c r="E168" s="58" t="s">
        <v>229</v>
      </c>
      <c r="F168" s="11">
        <f t="shared" si="25"/>
        <v>107961.05</v>
      </c>
      <c r="G168" s="11">
        <v>107961.05</v>
      </c>
      <c r="H168" s="11">
        <v>0</v>
      </c>
      <c r="I168" s="11">
        <v>0</v>
      </c>
      <c r="J168" s="50"/>
      <c r="K168" s="11"/>
      <c r="L168" s="68">
        <f>F168/$K$170</f>
        <v>0.61006352035324118</v>
      </c>
      <c r="M168" s="68">
        <v>0.06</v>
      </c>
      <c r="N168" s="45">
        <f t="shared" si="26"/>
        <v>6153.7798499999999</v>
      </c>
      <c r="O168" s="45">
        <f t="shared" si="27"/>
        <v>0</v>
      </c>
      <c r="P168" s="45">
        <f>K170*0.003</f>
        <v>530.90070000000003</v>
      </c>
      <c r="Q168" s="45"/>
      <c r="R168" s="45">
        <f t="shared" si="28"/>
        <v>6684.68055</v>
      </c>
      <c r="S168" s="11">
        <f>_xlfn.XLOOKUP(E:E,'[1]②7月-汇总'!$D:$D,'[1]②7月-汇总'!$AP:$AP)</f>
        <v>31</v>
      </c>
      <c r="T168" s="45">
        <v>2000</v>
      </c>
      <c r="U168" s="11">
        <f>_xlfn.XLOOKUP(E:E,'[2]手工、项目数、消耗'!$C:$C,'[2]手工、项目数、消耗'!$E:$E)</f>
        <v>69681.67</v>
      </c>
      <c r="V168" s="11">
        <f>_xlfn.XLOOKUP(E:E,'[2]手工、项目数、消耗'!$C:$C,'[2]手工、项目数、消耗'!$D:$D)</f>
        <v>88</v>
      </c>
      <c r="W168" s="11">
        <f>_xlfn.XLOOKUP(E:E,'[2]手工、项目数、消耗'!$C:$C,'[2]手工、项目数、消耗'!$H:$H)</f>
        <v>1290</v>
      </c>
      <c r="X168" s="11">
        <f>_xlfn.XLOOKUP(E:E,'[1]②7月-汇总'!$D:$D,'[1]②7月-汇总'!$W:$W)</f>
        <v>0</v>
      </c>
      <c r="Y168" s="11">
        <f>_xlfn.XLOOKUP(E:E,'[1]②7月-汇总'!$D:$D,'[1]②7月-汇总'!$Z:$Z)</f>
        <v>0</v>
      </c>
      <c r="Z168" s="11">
        <f>_xlfn.XLOOKUP(E:E,'[1]②7月-汇总'!$D:$D,'[1]②7月-汇总'!$AI:$AI)</f>
        <v>0</v>
      </c>
      <c r="AA168" s="45">
        <f t="shared" si="29"/>
        <v>9974.6805500000009</v>
      </c>
      <c r="AB168" s="11"/>
      <c r="AC168" s="50"/>
      <c r="AD168" s="11">
        <f>_xlfn.XLOOKUP(E:E,'[1]②7月-汇总'!$D:$D,'[1]②7月-汇总'!$AC:$AC)</f>
        <v>0</v>
      </c>
      <c r="AE168" s="11">
        <f>_xlfn.XLOOKUP(E:E,[3]Sheet1!$B:$B,[3]Sheet1!$L:$L)</f>
        <v>644.16800000000001</v>
      </c>
      <c r="AF168" s="11">
        <f>_xlfn.XLOOKUP(E:E,'[1]②7月-汇总'!$D:$D,'[1]②7月-汇总'!$AD:$AD)</f>
        <v>0</v>
      </c>
      <c r="AG168" s="11">
        <f>_xlfn.XLOOKUP(E:E,'[1]②7月-汇总'!$D:$D,'[1]②7月-汇总'!$Y:$Y)</f>
        <v>0</v>
      </c>
      <c r="AH168" s="11">
        <f>_xlfn.XLOOKUP(E:E,'[1]②7月-汇总'!$D:$D,'[1]②7月-汇总'!$L:$L)</f>
        <v>0</v>
      </c>
      <c r="AI168" s="11">
        <f>_xlfn.XLOOKUP(E:E,'[1]②7月-汇总'!$D:$D,'[1]②7月-汇总'!$X:$X)</f>
        <v>0</v>
      </c>
      <c r="AJ168" s="11">
        <f>_xlfn.XLOOKUP(E:E,'[1]②7月-汇总'!$D:$D,'[1]②7月-汇总'!$AB:$AB)</f>
        <v>0</v>
      </c>
      <c r="AK168" s="11">
        <f>_xlfn.XLOOKUP(E:E,'[1]②7月-汇总'!$D:$D,'[1]②7月-汇总'!$AE:$AE)</f>
        <v>0</v>
      </c>
      <c r="AL168" s="96"/>
      <c r="AM168" s="45">
        <f t="shared" si="30"/>
        <v>9330.5125500000013</v>
      </c>
      <c r="AN168" s="11">
        <f>_xlfn.XLOOKUP(E:E,'[1]①7月-花名册'!$E:$E,'[1]①7月-花名册'!$T:$T)</f>
        <v>0</v>
      </c>
      <c r="AO168" s="67"/>
      <c r="AP168" s="142">
        <f>_xlfn.XLOOKUP(E168,[9]工资核对的全字段!$C:$C,[9]工资核对的全字段!$CW:$CW,0)</f>
        <v>9330.5218499999992</v>
      </c>
      <c r="AQ168" s="36">
        <f t="shared" si="20"/>
        <v>9.2999999978928827E-3</v>
      </c>
    </row>
    <row r="169" spans="1:43" x14ac:dyDescent="0.15">
      <c r="A169" s="55" t="s">
        <v>41</v>
      </c>
      <c r="B169" s="62" t="s">
        <v>223</v>
      </c>
      <c r="C169" s="57" t="s">
        <v>228</v>
      </c>
      <c r="D169" s="58" t="s">
        <v>4</v>
      </c>
      <c r="E169" s="58" t="s">
        <v>230</v>
      </c>
      <c r="F169" s="11">
        <f t="shared" si="25"/>
        <v>69005.850000000006</v>
      </c>
      <c r="G169" s="11">
        <v>40027.85</v>
      </c>
      <c r="H169" s="11">
        <v>28978</v>
      </c>
      <c r="I169" s="11">
        <v>0</v>
      </c>
      <c r="J169" s="50"/>
      <c r="K169" s="11"/>
      <c r="L169" s="68">
        <f>F169/$K$170</f>
        <v>0.38993647964675887</v>
      </c>
      <c r="M169" s="68">
        <v>0.06</v>
      </c>
      <c r="N169" s="45">
        <f t="shared" si="26"/>
        <v>2281.5874499999995</v>
      </c>
      <c r="O169" s="45">
        <f t="shared" si="27"/>
        <v>1073.6349</v>
      </c>
      <c r="P169" s="45"/>
      <c r="Q169" s="45"/>
      <c r="R169" s="45">
        <f t="shared" si="28"/>
        <v>3355.2223499999996</v>
      </c>
      <c r="S169" s="11">
        <f>_xlfn.XLOOKUP(E:E,'[1]②7月-汇总'!$D:$D,'[1]②7月-汇总'!$AP:$AP)</f>
        <v>31</v>
      </c>
      <c r="T169" s="45">
        <v>2000</v>
      </c>
      <c r="U169" s="11">
        <f>_xlfn.XLOOKUP(E:E,'[2]手工、项目数、消耗'!$C:$C,'[2]手工、项目数、消耗'!$E:$E)</f>
        <v>24707.94</v>
      </c>
      <c r="V169" s="11">
        <f>_xlfn.XLOOKUP(E:E,'[2]手工、项目数、消耗'!$C:$C,'[2]手工、项目数、消耗'!$D:$D)</f>
        <v>114</v>
      </c>
      <c r="W169" s="11">
        <f>_xlfn.XLOOKUP(E:E,'[2]手工、项目数、消耗'!$C:$C,'[2]手工、项目数、消耗'!$H:$H)</f>
        <v>1243.5</v>
      </c>
      <c r="X169" s="11">
        <f>_xlfn.XLOOKUP(E:E,'[1]②7月-汇总'!$D:$D,'[1]②7月-汇总'!$W:$W)</f>
        <v>0</v>
      </c>
      <c r="Y169" s="11">
        <f>_xlfn.XLOOKUP(E:E,'[1]②7月-汇总'!$D:$D,'[1]②7月-汇总'!$Z:$Z)</f>
        <v>0</v>
      </c>
      <c r="Z169" s="11">
        <f>_xlfn.XLOOKUP(E:E,'[1]②7月-汇总'!$D:$D,'[1]②7月-汇总'!$AI:$AI)</f>
        <v>0</v>
      </c>
      <c r="AA169" s="45">
        <f t="shared" si="29"/>
        <v>6598.72235</v>
      </c>
      <c r="AB169" s="11"/>
      <c r="AC169" s="50"/>
      <c r="AD169" s="11">
        <f>_xlfn.XLOOKUP(E:E,'[1]②7月-汇总'!$D:$D,'[1]②7月-汇总'!$AC:$AC)</f>
        <v>0</v>
      </c>
      <c r="AE169" s="11">
        <f>_xlfn.XLOOKUP(E:E,[3]Sheet1!$B:$B,[3]Sheet1!$L:$L)</f>
        <v>644.16800000000001</v>
      </c>
      <c r="AF169" s="11">
        <f>_xlfn.XLOOKUP(E:E,'[1]②7月-汇总'!$D:$D,'[1]②7月-汇总'!$AD:$AD)</f>
        <v>0</v>
      </c>
      <c r="AG169" s="11">
        <f>_xlfn.XLOOKUP(E:E,'[1]②7月-汇总'!$D:$D,'[1]②7月-汇总'!$Y:$Y)</f>
        <v>10</v>
      </c>
      <c r="AH169" s="11">
        <f>_xlfn.XLOOKUP(E:E,'[1]②7月-汇总'!$D:$D,'[1]②7月-汇总'!$L:$L)</f>
        <v>0</v>
      </c>
      <c r="AI169" s="11">
        <f>_xlfn.XLOOKUP(E:E,'[1]②7月-汇总'!$D:$D,'[1]②7月-汇总'!$X:$X)</f>
        <v>10</v>
      </c>
      <c r="AJ169" s="11">
        <f>_xlfn.XLOOKUP(E:E,'[1]②7月-汇总'!$D:$D,'[1]②7月-汇总'!$AB:$AB)</f>
        <v>0</v>
      </c>
      <c r="AK169" s="11">
        <f>_xlfn.XLOOKUP(E:E,'[1]②7月-汇总'!$D:$D,'[1]②7月-汇总'!$AE:$AE)</f>
        <v>0</v>
      </c>
      <c r="AL169" s="96"/>
      <c r="AM169" s="45">
        <f t="shared" si="30"/>
        <v>5934.5543500000003</v>
      </c>
      <c r="AN169" s="11">
        <f>_xlfn.XLOOKUP(E:E,'[1]①7月-花名册'!$E:$E,'[1]①7月-花名册'!$T:$T)</f>
        <v>0</v>
      </c>
      <c r="AO169" s="67"/>
      <c r="AP169" s="142">
        <f>_xlfn.XLOOKUP(E169,[9]工资核对的全字段!$C:$C,[9]工资核对的全字段!$CW:$CW,0)</f>
        <v>5934.5543500000003</v>
      </c>
      <c r="AQ169" s="36">
        <f t="shared" si="20"/>
        <v>0</v>
      </c>
    </row>
    <row r="170" spans="1:43" x14ac:dyDescent="0.15">
      <c r="A170" s="55" t="s">
        <v>41</v>
      </c>
      <c r="B170" s="62" t="s">
        <v>223</v>
      </c>
      <c r="C170" s="57" t="s">
        <v>47</v>
      </c>
      <c r="D170" s="58" t="s">
        <v>47</v>
      </c>
      <c r="E170" s="58" t="s">
        <v>47</v>
      </c>
      <c r="F170" s="11">
        <f t="shared" si="25"/>
        <v>0</v>
      </c>
      <c r="G170" s="11">
        <v>0</v>
      </c>
      <c r="H170" s="11">
        <v>0</v>
      </c>
      <c r="I170" s="11">
        <v>0</v>
      </c>
      <c r="J170" s="50"/>
      <c r="K170" s="11">
        <v>176966.9</v>
      </c>
      <c r="L170" s="68"/>
      <c r="M170" s="68"/>
      <c r="N170" s="45">
        <f t="shared" si="26"/>
        <v>0</v>
      </c>
      <c r="O170" s="45">
        <f t="shared" si="27"/>
        <v>0</v>
      </c>
      <c r="P170" s="45"/>
      <c r="Q170" s="45"/>
      <c r="R170" s="45">
        <f t="shared" si="28"/>
        <v>0</v>
      </c>
      <c r="S170" s="11"/>
      <c r="T170" s="45"/>
      <c r="U170" s="11"/>
      <c r="V170" s="11"/>
      <c r="W170" s="11"/>
      <c r="X170" s="11"/>
      <c r="Y170" s="11"/>
      <c r="Z170" s="11"/>
      <c r="AA170" s="45">
        <f t="shared" si="29"/>
        <v>0</v>
      </c>
      <c r="AB170" s="11"/>
      <c r="AC170" s="50"/>
      <c r="AD170" s="11"/>
      <c r="AE170" s="11"/>
      <c r="AF170" s="11"/>
      <c r="AG170" s="11"/>
      <c r="AH170" s="11"/>
      <c r="AI170" s="11"/>
      <c r="AJ170" s="11"/>
      <c r="AK170" s="11"/>
      <c r="AL170" s="96"/>
      <c r="AM170" s="45">
        <f t="shared" si="30"/>
        <v>0</v>
      </c>
      <c r="AN170" s="11"/>
      <c r="AO170" s="67"/>
      <c r="AP170" s="142">
        <f>_xlfn.XLOOKUP(E170,[9]工资核对的全字段!$C:$C,[9]工资核对的全字段!$CW:$CW,0)</f>
        <v>0</v>
      </c>
      <c r="AQ170" s="36">
        <f t="shared" si="20"/>
        <v>0</v>
      </c>
    </row>
    <row r="171" spans="1:43" x14ac:dyDescent="0.15">
      <c r="A171" s="55" t="s">
        <v>41</v>
      </c>
      <c r="B171" s="62" t="s">
        <v>223</v>
      </c>
      <c r="C171" s="102" t="s">
        <v>159</v>
      </c>
      <c r="D171" s="103" t="s">
        <v>43</v>
      </c>
      <c r="E171" s="58" t="s">
        <v>231</v>
      </c>
      <c r="F171" s="11">
        <f t="shared" si="25"/>
        <v>45839.8</v>
      </c>
      <c r="G171" s="11">
        <v>37511.800000000003</v>
      </c>
      <c r="H171" s="11">
        <v>6884</v>
      </c>
      <c r="I171" s="11">
        <v>1444</v>
      </c>
      <c r="J171" s="50"/>
      <c r="K171" s="11"/>
      <c r="L171" s="68">
        <f>F171/$K$174</f>
        <v>0.52375952203307341</v>
      </c>
      <c r="M171" s="68">
        <v>0.04</v>
      </c>
      <c r="N171" s="45">
        <f t="shared" si="26"/>
        <v>1425.4484</v>
      </c>
      <c r="O171" s="45">
        <f t="shared" si="27"/>
        <v>170.03479999999999</v>
      </c>
      <c r="P171" s="45">
        <f>K174*0.008</f>
        <v>700.16560000000004</v>
      </c>
      <c r="Q171" s="45"/>
      <c r="R171" s="45">
        <f t="shared" si="28"/>
        <v>2295.6487999999999</v>
      </c>
      <c r="S171" s="11">
        <f>_xlfn.XLOOKUP(E:E,'[1]②7月-汇总'!$D:$D,'[1]②7月-汇总'!$AP:$AP)</f>
        <v>31</v>
      </c>
      <c r="T171" s="45">
        <v>2000</v>
      </c>
      <c r="U171" s="11">
        <f>_xlfn.XLOOKUP(E:E,'[2]手工、项目数、消耗'!$C:$C,'[2]手工、项目数、消耗'!$E:$E)</f>
        <v>29465.21</v>
      </c>
      <c r="V171" s="11">
        <f>_xlfn.XLOOKUP(E:E,'[2]手工、项目数、消耗'!$C:$C,'[2]手工、项目数、消耗'!$D:$D)</f>
        <v>120.5</v>
      </c>
      <c r="W171" s="11">
        <f>_xlfn.XLOOKUP(E:E,'[2]手工、项目数、消耗'!$C:$C,'[2]手工、项目数、消耗'!$H:$H)</f>
        <v>1735</v>
      </c>
      <c r="X171" s="11">
        <f>_xlfn.XLOOKUP(E:E,'[1]②7月-汇总'!$D:$D,'[1]②7月-汇总'!$W:$W)</f>
        <v>0</v>
      </c>
      <c r="Y171" s="11">
        <f>_xlfn.XLOOKUP(E:E,'[1]②7月-汇总'!$D:$D,'[1]②7月-汇总'!$Z:$Z)</f>
        <v>50</v>
      </c>
      <c r="Z171" s="11">
        <f>_xlfn.XLOOKUP(E:E,'[1]②7月-汇总'!$D:$D,'[1]②7月-汇总'!$AI:$AI)</f>
        <v>0</v>
      </c>
      <c r="AA171" s="45">
        <f t="shared" si="29"/>
        <v>6080.6487999999999</v>
      </c>
      <c r="AB171" s="11">
        <v>2000</v>
      </c>
      <c r="AC171" s="50"/>
      <c r="AD171" s="11">
        <f>_xlfn.XLOOKUP(E:E,'[1]②7月-汇总'!$D:$D,'[1]②7月-汇总'!$AC:$AC)</f>
        <v>0</v>
      </c>
      <c r="AE171" s="11"/>
      <c r="AF171" s="11">
        <f>_xlfn.XLOOKUP(E:E,'[1]②7月-汇总'!$D:$D,'[1]②7月-汇总'!$AD:$AD)</f>
        <v>0</v>
      </c>
      <c r="AG171" s="11">
        <f>_xlfn.XLOOKUP(E:E,'[1]②7月-汇总'!$D:$D,'[1]②7月-汇总'!$Y:$Y)</f>
        <v>0</v>
      </c>
      <c r="AH171" s="11">
        <f>_xlfn.XLOOKUP(E:E,'[1]②7月-汇总'!$D:$D,'[1]②7月-汇总'!$L:$L)</f>
        <v>0</v>
      </c>
      <c r="AI171" s="11">
        <f>_xlfn.XLOOKUP(E:E,'[1]②7月-汇总'!$D:$D,'[1]②7月-汇总'!$X:$X)</f>
        <v>0</v>
      </c>
      <c r="AJ171" s="11">
        <f>_xlfn.XLOOKUP(E:E,'[1]②7月-汇总'!$D:$D,'[1]②7月-汇总'!$AB:$AB)</f>
        <v>0</v>
      </c>
      <c r="AK171" s="11">
        <f>_xlfn.XLOOKUP(E:E,'[1]②7月-汇总'!$D:$D,'[1]②7月-汇总'!$AE:$AE)</f>
        <v>0</v>
      </c>
      <c r="AL171" s="96"/>
      <c r="AM171" s="45">
        <f t="shared" si="30"/>
        <v>8080.6487999999999</v>
      </c>
      <c r="AN171" s="11">
        <f>_xlfn.XLOOKUP(E:E,'[1]①7月-花名册'!$E:$E,'[1]①7月-花名册'!$T:$T)</f>
        <v>0</v>
      </c>
      <c r="AO171" s="67"/>
      <c r="AP171" s="142">
        <f>_xlfn.XLOOKUP(E171,[9]工资核对的全字段!$C:$C,[9]工资核对的全字段!$CW:$CW,0)</f>
        <v>8080.6532000000007</v>
      </c>
      <c r="AQ171" s="36">
        <f t="shared" si="20"/>
        <v>4.400000000714499E-3</v>
      </c>
    </row>
    <row r="172" spans="1:43" x14ac:dyDescent="0.15">
      <c r="A172" s="55" t="s">
        <v>41</v>
      </c>
      <c r="B172" s="62" t="s">
        <v>223</v>
      </c>
      <c r="C172" s="102" t="s">
        <v>159</v>
      </c>
      <c r="D172" s="103" t="s">
        <v>4</v>
      </c>
      <c r="E172" s="58" t="s">
        <v>232</v>
      </c>
      <c r="F172" s="11">
        <f t="shared" si="25"/>
        <v>32030.5</v>
      </c>
      <c r="G172" s="11">
        <v>22890.5</v>
      </c>
      <c r="H172" s="11">
        <v>9140</v>
      </c>
      <c r="I172" s="11">
        <v>0</v>
      </c>
      <c r="J172" s="50"/>
      <c r="K172" s="11"/>
      <c r="L172" s="68">
        <f>F172/$K$174</f>
        <v>0.36597627761203921</v>
      </c>
      <c r="M172" s="68">
        <v>0.04</v>
      </c>
      <c r="N172" s="45">
        <f t="shared" si="26"/>
        <v>869.83899999999994</v>
      </c>
      <c r="O172" s="45">
        <f t="shared" si="27"/>
        <v>225.75800000000001</v>
      </c>
      <c r="P172" s="45"/>
      <c r="Q172" s="45"/>
      <c r="R172" s="45">
        <f t="shared" si="28"/>
        <v>1095.597</v>
      </c>
      <c r="S172" s="11">
        <f>_xlfn.XLOOKUP(E:E,'[1]②7月-汇总'!$D:$D,'[1]②7月-汇总'!$AP:$AP)</f>
        <v>31</v>
      </c>
      <c r="T172" s="45">
        <v>2000</v>
      </c>
      <c r="U172" s="11">
        <f>_xlfn.XLOOKUP(E:E,'[2]手工、项目数、消耗'!$C:$C,'[2]手工、项目数、消耗'!$E:$E)</f>
        <v>31398.68</v>
      </c>
      <c r="V172" s="11">
        <f>_xlfn.XLOOKUP(E:E,'[2]手工、项目数、消耗'!$C:$C,'[2]手工、项目数、消耗'!$D:$D)</f>
        <v>100</v>
      </c>
      <c r="W172" s="11">
        <f>_xlfn.XLOOKUP(E:E,'[2]手工、项目数、消耗'!$C:$C,'[2]手工、项目数、消耗'!$H:$H)</f>
        <v>1087.5</v>
      </c>
      <c r="X172" s="11">
        <f>_xlfn.XLOOKUP(E:E,'[1]②7月-汇总'!$D:$D,'[1]②7月-汇总'!$W:$W)</f>
        <v>0</v>
      </c>
      <c r="Y172" s="11">
        <f>_xlfn.XLOOKUP(E:E,'[1]②7月-汇总'!$D:$D,'[1]②7月-汇总'!$Z:$Z)</f>
        <v>0</v>
      </c>
      <c r="Z172" s="11">
        <f>_xlfn.XLOOKUP(E:E,'[1]②7月-汇总'!$D:$D,'[1]②7月-汇总'!$AI:$AI)</f>
        <v>0</v>
      </c>
      <c r="AA172" s="45">
        <f t="shared" si="29"/>
        <v>4183.0969999999998</v>
      </c>
      <c r="AB172" s="11"/>
      <c r="AC172" s="50"/>
      <c r="AD172" s="11">
        <f>_xlfn.XLOOKUP(E:E,'[1]②7月-汇总'!$D:$D,'[1]②7月-汇总'!$AC:$AC)</f>
        <v>100</v>
      </c>
      <c r="AE172" s="11"/>
      <c r="AF172" s="11">
        <f>_xlfn.XLOOKUP(E:E,'[1]②7月-汇总'!$D:$D,'[1]②7月-汇总'!$AD:$AD)</f>
        <v>0</v>
      </c>
      <c r="AG172" s="11">
        <f>_xlfn.XLOOKUP(E:E,'[1]②7月-汇总'!$D:$D,'[1]②7月-汇总'!$Y:$Y)</f>
        <v>10</v>
      </c>
      <c r="AH172" s="11">
        <f>_xlfn.XLOOKUP(E:E,'[1]②7月-汇总'!$D:$D,'[1]②7月-汇总'!$L:$L)</f>
        <v>0</v>
      </c>
      <c r="AI172" s="11">
        <f>_xlfn.XLOOKUP(E:E,'[1]②7月-汇总'!$D:$D,'[1]②7月-汇总'!$X:$X)</f>
        <v>0</v>
      </c>
      <c r="AJ172" s="11">
        <f>_xlfn.XLOOKUP(E:E,'[1]②7月-汇总'!$D:$D,'[1]②7月-汇总'!$AB:$AB)</f>
        <v>0</v>
      </c>
      <c r="AK172" s="11">
        <f>_xlfn.XLOOKUP(E:E,'[1]②7月-汇总'!$D:$D,'[1]②7月-汇总'!$AE:$AE)</f>
        <v>0</v>
      </c>
      <c r="AL172" s="96"/>
      <c r="AM172" s="45">
        <f t="shared" si="30"/>
        <v>4073.0969999999998</v>
      </c>
      <c r="AN172" s="11">
        <f>_xlfn.XLOOKUP(E:E,'[1]①7月-花名册'!$E:$E,'[1]①7月-花名册'!$T:$T)</f>
        <v>0</v>
      </c>
      <c r="AO172" s="67"/>
      <c r="AP172" s="142">
        <f>_xlfn.XLOOKUP(E172,[9]工资核对的全字段!$C:$C,[9]工资核对的全字段!$CW:$CW,0)</f>
        <v>4073.0969999999998</v>
      </c>
      <c r="AQ172" s="36">
        <f t="shared" si="20"/>
        <v>0</v>
      </c>
    </row>
    <row r="173" spans="1:43" x14ac:dyDescent="0.15">
      <c r="A173" s="55" t="s">
        <v>41</v>
      </c>
      <c r="B173" s="62" t="s">
        <v>223</v>
      </c>
      <c r="C173" s="102" t="s">
        <v>159</v>
      </c>
      <c r="D173" s="103" t="s">
        <v>4</v>
      </c>
      <c r="E173" s="58" t="s">
        <v>233</v>
      </c>
      <c r="F173" s="11">
        <f t="shared" si="25"/>
        <v>9650.4</v>
      </c>
      <c r="G173" s="11">
        <v>9650.4</v>
      </c>
      <c r="H173" s="11">
        <v>0</v>
      </c>
      <c r="I173" s="11">
        <v>0</v>
      </c>
      <c r="J173" s="50"/>
      <c r="K173" s="11"/>
      <c r="L173" s="68">
        <f>F173/$K$174</f>
        <v>0.11026420035488747</v>
      </c>
      <c r="M173" s="68">
        <v>0.04</v>
      </c>
      <c r="N173" s="45">
        <f t="shared" si="26"/>
        <v>366.71519999999998</v>
      </c>
      <c r="O173" s="45">
        <f t="shared" si="27"/>
        <v>0</v>
      </c>
      <c r="P173" s="45"/>
      <c r="Q173" s="45"/>
      <c r="R173" s="45">
        <f t="shared" si="28"/>
        <v>366.71519999999998</v>
      </c>
      <c r="S173" s="11">
        <f>_xlfn.XLOOKUP(E:E,'[1]②7月-汇总'!$D:$D,'[1]②7月-汇总'!$AP:$AP)</f>
        <v>26</v>
      </c>
      <c r="T173" s="45">
        <f>2000/31*26</f>
        <v>1677.41935483871</v>
      </c>
      <c r="U173" s="11">
        <f>_xlfn.XLOOKUP(E:E,'[2]手工、项目数、消耗'!$C:$C,'[2]手工、项目数、消耗'!$E:$E)</f>
        <v>15849.5</v>
      </c>
      <c r="V173" s="11">
        <f>_xlfn.XLOOKUP(E:E,'[2]手工、项目数、消耗'!$C:$C,'[2]手工、项目数、消耗'!$D:$D)</f>
        <v>83</v>
      </c>
      <c r="W173" s="11">
        <f>_xlfn.XLOOKUP(E:E,'[2]手工、项目数、消耗'!$C:$C,'[2]手工、项目数、消耗'!$H:$H)</f>
        <v>1074.5</v>
      </c>
      <c r="X173" s="11">
        <f>_xlfn.XLOOKUP(E:E,'[1]②7月-汇总'!$D:$D,'[1]②7月-汇总'!$W:$W)</f>
        <v>0</v>
      </c>
      <c r="Y173" s="11">
        <f>_xlfn.XLOOKUP(E:E,'[1]②7月-汇总'!$D:$D,'[1]②7月-汇总'!$Z:$Z)</f>
        <v>0</v>
      </c>
      <c r="Z173" s="11">
        <f>_xlfn.XLOOKUP(E:E,'[1]②7月-汇总'!$D:$D,'[1]②7月-汇总'!$AI:$AI)</f>
        <v>0</v>
      </c>
      <c r="AA173" s="45">
        <f t="shared" si="29"/>
        <v>3118.6345548387098</v>
      </c>
      <c r="AB173" s="11"/>
      <c r="AC173" s="50"/>
      <c r="AD173" s="11">
        <f>_xlfn.XLOOKUP(E:E,'[1]②7月-汇总'!$D:$D,'[1]②7月-汇总'!$AC:$AC)</f>
        <v>0</v>
      </c>
      <c r="AE173" s="11"/>
      <c r="AF173" s="11">
        <f>_xlfn.XLOOKUP(E:E,'[1]②7月-汇总'!$D:$D,'[1]②7月-汇总'!$AD:$AD)</f>
        <v>0</v>
      </c>
      <c r="AG173" s="11">
        <f>_xlfn.XLOOKUP(E:E,'[1]②7月-汇总'!$D:$D,'[1]②7月-汇总'!$Y:$Y)</f>
        <v>0</v>
      </c>
      <c r="AH173" s="11">
        <f>_xlfn.XLOOKUP(E:E,'[1]②7月-汇总'!$D:$D,'[1]②7月-汇总'!$L:$L)</f>
        <v>0</v>
      </c>
      <c r="AI173" s="11">
        <f>_xlfn.XLOOKUP(E:E,'[1]②7月-汇总'!$D:$D,'[1]②7月-汇总'!$X:$X)</f>
        <v>0</v>
      </c>
      <c r="AJ173" s="11">
        <f>_xlfn.XLOOKUP(E:E,'[1]②7月-汇总'!$D:$D,'[1]②7月-汇总'!$AB:$AB)</f>
        <v>1211</v>
      </c>
      <c r="AK173" s="11">
        <f>_xlfn.XLOOKUP(E:E,'[1]②7月-汇总'!$D:$D,'[1]②7月-汇总'!$AE:$AE)</f>
        <v>300</v>
      </c>
      <c r="AL173" s="96"/>
      <c r="AM173" s="45">
        <f t="shared" si="30"/>
        <v>2207.6345548387098</v>
      </c>
      <c r="AN173" s="11">
        <f>_xlfn.XLOOKUP(E:E,'[1]①7月-花名册'!$E:$E,'[1]①7月-花名册'!$T:$T)</f>
        <v>0</v>
      </c>
      <c r="AO173" s="67"/>
      <c r="AP173" s="142">
        <f>_xlfn.XLOOKUP(E173,[9]工资核对的全字段!$C:$C,[9]工资核对的全字段!$CW:$CW,0)</f>
        <v>2207.6345548387098</v>
      </c>
      <c r="AQ173" s="36">
        <f t="shared" si="20"/>
        <v>0</v>
      </c>
    </row>
    <row r="174" spans="1:43" x14ac:dyDescent="0.15">
      <c r="A174" s="55" t="s">
        <v>41</v>
      </c>
      <c r="B174" s="62" t="s">
        <v>223</v>
      </c>
      <c r="C174" s="57" t="s">
        <v>47</v>
      </c>
      <c r="D174" s="58" t="s">
        <v>47</v>
      </c>
      <c r="E174" s="58" t="s">
        <v>47</v>
      </c>
      <c r="F174" s="11">
        <f t="shared" si="25"/>
        <v>0</v>
      </c>
      <c r="G174" s="11">
        <v>0</v>
      </c>
      <c r="H174" s="11">
        <v>0</v>
      </c>
      <c r="I174" s="11">
        <v>0</v>
      </c>
      <c r="J174" s="50"/>
      <c r="K174" s="11">
        <v>87520.7</v>
      </c>
      <c r="L174" s="68"/>
      <c r="M174" s="68"/>
      <c r="N174" s="45">
        <f t="shared" si="26"/>
        <v>0</v>
      </c>
      <c r="O174" s="45">
        <f t="shared" si="27"/>
        <v>0</v>
      </c>
      <c r="P174" s="45"/>
      <c r="Q174" s="45"/>
      <c r="R174" s="45">
        <f t="shared" si="28"/>
        <v>0</v>
      </c>
      <c r="S174" s="11"/>
      <c r="T174" s="45"/>
      <c r="U174" s="11"/>
      <c r="V174" s="11"/>
      <c r="W174" s="11"/>
      <c r="X174" s="11"/>
      <c r="Y174" s="11"/>
      <c r="Z174" s="11"/>
      <c r="AA174" s="45">
        <f t="shared" si="29"/>
        <v>0</v>
      </c>
      <c r="AB174" s="11"/>
      <c r="AC174" s="50"/>
      <c r="AD174" s="11"/>
      <c r="AE174" s="11"/>
      <c r="AF174" s="11"/>
      <c r="AG174" s="11"/>
      <c r="AH174" s="11"/>
      <c r="AI174" s="11"/>
      <c r="AJ174" s="11"/>
      <c r="AK174" s="11"/>
      <c r="AL174" s="96"/>
      <c r="AM174" s="45">
        <f t="shared" si="30"/>
        <v>0</v>
      </c>
      <c r="AN174" s="11"/>
      <c r="AO174" s="67"/>
      <c r="AP174" s="142">
        <f>_xlfn.XLOOKUP(E174,[9]工资核对的全字段!$C:$C,[9]工资核对的全字段!$CW:$CW,0)</f>
        <v>0</v>
      </c>
      <c r="AQ174" s="36">
        <f t="shared" si="20"/>
        <v>0</v>
      </c>
    </row>
    <row r="175" spans="1:43" x14ac:dyDescent="0.15">
      <c r="A175" s="55" t="s">
        <v>41</v>
      </c>
      <c r="B175" s="62" t="s">
        <v>223</v>
      </c>
      <c r="C175" s="104" t="s">
        <v>9</v>
      </c>
      <c r="D175" s="105" t="s">
        <v>9</v>
      </c>
      <c r="E175" s="61" t="s">
        <v>234</v>
      </c>
      <c r="F175" s="11">
        <f t="shared" si="25"/>
        <v>2000</v>
      </c>
      <c r="G175" s="11">
        <v>2000</v>
      </c>
      <c r="H175" s="11">
        <v>0</v>
      </c>
      <c r="I175" s="11">
        <v>0</v>
      </c>
      <c r="J175" s="50"/>
      <c r="K175" s="11"/>
      <c r="L175" s="68"/>
      <c r="M175" s="68"/>
      <c r="N175" s="45">
        <f t="shared" si="26"/>
        <v>0</v>
      </c>
      <c r="O175" s="45">
        <f t="shared" si="27"/>
        <v>0</v>
      </c>
      <c r="P175" s="45"/>
      <c r="Q175" s="45">
        <v>1307</v>
      </c>
      <c r="R175" s="45">
        <f t="shared" si="28"/>
        <v>1307</v>
      </c>
      <c r="S175" s="11"/>
      <c r="T175" s="45"/>
      <c r="U175" s="11"/>
      <c r="V175" s="11"/>
      <c r="W175" s="11"/>
      <c r="X175" s="11"/>
      <c r="Y175" s="11"/>
      <c r="Z175" s="11"/>
      <c r="AA175" s="45">
        <f t="shared" si="29"/>
        <v>1307</v>
      </c>
      <c r="AB175" s="11"/>
      <c r="AC175" s="50"/>
      <c r="AD175" s="11"/>
      <c r="AE175" s="11"/>
      <c r="AF175" s="11"/>
      <c r="AG175" s="11"/>
      <c r="AH175" s="11"/>
      <c r="AI175" s="11"/>
      <c r="AJ175" s="11"/>
      <c r="AK175" s="11"/>
      <c r="AL175" s="96"/>
      <c r="AM175" s="45">
        <f t="shared" si="30"/>
        <v>1307</v>
      </c>
      <c r="AN175" s="11"/>
      <c r="AO175" s="67"/>
      <c r="AP175" s="142">
        <f>_xlfn.XLOOKUP(E175,[9]工资核对的全字段!$C:$C,[9]工资核对的全字段!$CW:$CW,0)</f>
        <v>1306.8900000000003</v>
      </c>
      <c r="AQ175" s="36">
        <f t="shared" si="20"/>
        <v>-0.10999999999967258</v>
      </c>
    </row>
    <row r="176" spans="1:43" x14ac:dyDescent="0.15">
      <c r="A176" s="55" t="s">
        <v>41</v>
      </c>
      <c r="B176" s="62" t="s">
        <v>235</v>
      </c>
      <c r="C176" s="57" t="s">
        <v>236</v>
      </c>
      <c r="D176" s="58" t="s">
        <v>43</v>
      </c>
      <c r="E176" s="58" t="s">
        <v>237</v>
      </c>
      <c r="F176" s="11">
        <f t="shared" si="25"/>
        <v>113442</v>
      </c>
      <c r="G176" s="11">
        <v>22234</v>
      </c>
      <c r="H176" s="11">
        <v>89700</v>
      </c>
      <c r="I176" s="11">
        <v>1508</v>
      </c>
      <c r="J176" s="50"/>
      <c r="K176" s="11"/>
      <c r="L176" s="68">
        <f>F176/$K$179</f>
        <v>0.65722139987312334</v>
      </c>
      <c r="M176" s="68">
        <v>7.0000000000000007E-2</v>
      </c>
      <c r="N176" s="45">
        <f t="shared" si="26"/>
        <v>1478.5610000000001</v>
      </c>
      <c r="O176" s="45">
        <f t="shared" si="27"/>
        <v>3877.2825000000003</v>
      </c>
      <c r="P176" s="45">
        <v>0</v>
      </c>
      <c r="Q176" s="45"/>
      <c r="R176" s="45">
        <f t="shared" si="28"/>
        <v>5355.8435000000009</v>
      </c>
      <c r="S176" s="11">
        <f>_xlfn.XLOOKUP(E:E,'[1]②7月-汇总'!$D:$D,'[1]②7月-汇总'!$AP:$AP)</f>
        <v>31</v>
      </c>
      <c r="T176" s="45">
        <v>2200</v>
      </c>
      <c r="U176" s="11">
        <f>_xlfn.XLOOKUP(E:E,'[2]手工、项目数、消耗'!$C:$C,'[2]手工、项目数、消耗'!$E:$E)</f>
        <v>28989.86</v>
      </c>
      <c r="V176" s="11">
        <f>_xlfn.XLOOKUP(E:E,'[2]手工、项目数、消耗'!$C:$C,'[2]手工、项目数、消耗'!$D:$D)</f>
        <v>144.5</v>
      </c>
      <c r="W176" s="11">
        <f>_xlfn.XLOOKUP(E:E,'[2]手工、项目数、消耗'!$C:$C,'[2]手工、项目数、消耗'!$H:$H)</f>
        <v>1895</v>
      </c>
      <c r="X176" s="11">
        <f>_xlfn.XLOOKUP(E:E,'[1]②7月-汇总'!$D:$D,'[1]②7月-汇总'!$W:$W)</f>
        <v>0</v>
      </c>
      <c r="Y176" s="11">
        <f>_xlfn.XLOOKUP(E:E,'[1]②7月-汇总'!$D:$D,'[1]②7月-汇总'!$Z:$Z)</f>
        <v>50</v>
      </c>
      <c r="Z176" s="11">
        <f>_xlfn.XLOOKUP(E:E,'[1]②7月-汇总'!$D:$D,'[1]②7月-汇总'!$AI:$AI)</f>
        <v>0</v>
      </c>
      <c r="AA176" s="45">
        <f t="shared" si="29"/>
        <v>9500.8435000000009</v>
      </c>
      <c r="AB176" s="11"/>
      <c r="AC176" s="50"/>
      <c r="AD176" s="11">
        <f>_xlfn.XLOOKUP(E:E,'[1]②7月-汇总'!$D:$D,'[1]②7月-汇总'!$AC:$AC)</f>
        <v>0</v>
      </c>
      <c r="AE176" s="11"/>
      <c r="AF176" s="11">
        <f>_xlfn.XLOOKUP(E:E,'[1]②7月-汇总'!$D:$D,'[1]②7月-汇总'!$AD:$AD)</f>
        <v>0</v>
      </c>
      <c r="AG176" s="11">
        <f>_xlfn.XLOOKUP(E:E,'[1]②7月-汇总'!$D:$D,'[1]②7月-汇总'!$Y:$Y)</f>
        <v>0</v>
      </c>
      <c r="AH176" s="11">
        <f>_xlfn.XLOOKUP(E:E,'[1]②7月-汇总'!$D:$D,'[1]②7月-汇总'!$L:$L)</f>
        <v>0</v>
      </c>
      <c r="AI176" s="11">
        <f>_xlfn.XLOOKUP(E:E,'[1]②7月-汇总'!$D:$D,'[1]②7月-汇总'!$X:$X)</f>
        <v>0</v>
      </c>
      <c r="AJ176" s="11">
        <f>_xlfn.XLOOKUP(E:E,'[1]②7月-汇总'!$D:$D,'[1]②7月-汇总'!$AB:$AB)</f>
        <v>0</v>
      </c>
      <c r="AK176" s="11">
        <f>_xlfn.XLOOKUP(E:E,'[1]②7月-汇总'!$D:$D,'[1]②7月-汇总'!$AE:$AE)</f>
        <v>0</v>
      </c>
      <c r="AL176" s="96"/>
      <c r="AM176" s="45">
        <f t="shared" si="30"/>
        <v>9500.8435000000009</v>
      </c>
      <c r="AN176" s="11">
        <f>_xlfn.XLOOKUP(E:E,'[1]①7月-花名册'!$E:$E,'[1]①7月-花名册'!$T:$T)</f>
        <v>0</v>
      </c>
      <c r="AO176" s="67"/>
      <c r="AP176" s="142">
        <f>_xlfn.XLOOKUP(E176,[9]工资核对的全字段!$C:$C,[9]工资核对的全字段!$CW:$CW,0)</f>
        <v>9500.843499999999</v>
      </c>
      <c r="AQ176" s="36">
        <f t="shared" si="20"/>
        <v>0</v>
      </c>
    </row>
    <row r="177" spans="1:43" x14ac:dyDescent="0.15">
      <c r="A177" s="55" t="s">
        <v>41</v>
      </c>
      <c r="B177" s="62" t="s">
        <v>235</v>
      </c>
      <c r="C177" s="57" t="s">
        <v>236</v>
      </c>
      <c r="D177" s="58" t="s">
        <v>4</v>
      </c>
      <c r="E177" s="58" t="s">
        <v>238</v>
      </c>
      <c r="F177" s="11">
        <f t="shared" si="25"/>
        <v>49998.5</v>
      </c>
      <c r="G177" s="11">
        <v>22458.5</v>
      </c>
      <c r="H177" s="11">
        <v>27540</v>
      </c>
      <c r="I177" s="11">
        <v>0</v>
      </c>
      <c r="J177" s="50"/>
      <c r="K177" s="11"/>
      <c r="L177" s="68">
        <f>F177/$K$179</f>
        <v>0.28966418223899748</v>
      </c>
      <c r="M177" s="68">
        <v>7.0000000000000007E-2</v>
      </c>
      <c r="N177" s="45">
        <f t="shared" si="26"/>
        <v>1493.4902500000003</v>
      </c>
      <c r="O177" s="45">
        <f t="shared" si="27"/>
        <v>1190.4165000000003</v>
      </c>
      <c r="P177" s="45"/>
      <c r="Q177" s="45"/>
      <c r="R177" s="45">
        <f t="shared" si="28"/>
        <v>2683.9067500000006</v>
      </c>
      <c r="S177" s="11">
        <f>_xlfn.XLOOKUP(E:E,'[1]②7月-汇总'!$D:$D,'[1]②7月-汇总'!$AP:$AP)</f>
        <v>31</v>
      </c>
      <c r="T177" s="45">
        <v>2200</v>
      </c>
      <c r="U177" s="11">
        <f>_xlfn.XLOOKUP(E:E,'[2]手工、项目数、消耗'!$C:$C,'[2]手工、项目数、消耗'!$E:$E)</f>
        <v>20314.169999999998</v>
      </c>
      <c r="V177" s="11">
        <f>_xlfn.XLOOKUP(E:E,'[2]手工、项目数、消耗'!$C:$C,'[2]手工、项目数、消耗'!$D:$D)</f>
        <v>139.5</v>
      </c>
      <c r="W177" s="11">
        <f>_xlfn.XLOOKUP(E:E,'[2]手工、项目数、消耗'!$C:$C,'[2]手工、项目数、消耗'!$H:$H)</f>
        <v>1763</v>
      </c>
      <c r="X177" s="11">
        <f>_xlfn.XLOOKUP(E:E,'[1]②7月-汇总'!$D:$D,'[1]②7月-汇总'!$W:$W)</f>
        <v>0</v>
      </c>
      <c r="Y177" s="11">
        <f>_xlfn.XLOOKUP(E:E,'[1]②7月-汇总'!$D:$D,'[1]②7月-汇总'!$Z:$Z)</f>
        <v>0</v>
      </c>
      <c r="Z177" s="11">
        <f>_xlfn.XLOOKUP(E:E,'[1]②7月-汇总'!$D:$D,'[1]②7月-汇总'!$AI:$AI)</f>
        <v>0</v>
      </c>
      <c r="AA177" s="45">
        <f t="shared" si="29"/>
        <v>6646.9067500000001</v>
      </c>
      <c r="AB177" s="11"/>
      <c r="AC177" s="50"/>
      <c r="AD177" s="11">
        <f>_xlfn.XLOOKUP(E:E,'[1]②7月-汇总'!$D:$D,'[1]②7月-汇总'!$AC:$AC)</f>
        <v>100</v>
      </c>
      <c r="AE177" s="11"/>
      <c r="AF177" s="11">
        <f>_xlfn.XLOOKUP(E:E,'[1]②7月-汇总'!$D:$D,'[1]②7月-汇总'!$AD:$AD)</f>
        <v>0</v>
      </c>
      <c r="AG177" s="11">
        <f>_xlfn.XLOOKUP(E:E,'[1]②7月-汇总'!$D:$D,'[1]②7月-汇总'!$Y:$Y)</f>
        <v>0</v>
      </c>
      <c r="AH177" s="11">
        <f>_xlfn.XLOOKUP(E:E,'[1]②7月-汇总'!$D:$D,'[1]②7月-汇总'!$L:$L)</f>
        <v>0</v>
      </c>
      <c r="AI177" s="11">
        <f>_xlfn.XLOOKUP(E:E,'[1]②7月-汇总'!$D:$D,'[1]②7月-汇总'!$X:$X)</f>
        <v>20</v>
      </c>
      <c r="AJ177" s="11">
        <f>_xlfn.XLOOKUP(E:E,'[1]②7月-汇总'!$D:$D,'[1]②7月-汇总'!$AB:$AB)</f>
        <v>0</v>
      </c>
      <c r="AK177" s="11">
        <f>_xlfn.XLOOKUP(E:E,'[1]②7月-汇总'!$D:$D,'[1]②7月-汇总'!$AE:$AE)</f>
        <v>0</v>
      </c>
      <c r="AL177" s="96"/>
      <c r="AM177" s="45">
        <f t="shared" si="30"/>
        <v>6526.9067500000001</v>
      </c>
      <c r="AN177" s="11">
        <f>_xlfn.XLOOKUP(E:E,'[1]①7月-花名册'!$E:$E,'[1]①7月-花名册'!$T:$T)</f>
        <v>0</v>
      </c>
      <c r="AO177" s="67"/>
      <c r="AP177" s="142">
        <f>_xlfn.XLOOKUP(E177,[9]工资核对的全字段!$C:$C,[9]工资核对的全字段!$CW:$CW,0)</f>
        <v>6526.9067500000001</v>
      </c>
      <c r="AQ177" s="36">
        <f t="shared" si="20"/>
        <v>0</v>
      </c>
    </row>
    <row r="178" spans="1:43" x14ac:dyDescent="0.15">
      <c r="A178" s="55" t="s">
        <v>41</v>
      </c>
      <c r="B178" s="62" t="s">
        <v>235</v>
      </c>
      <c r="C178" s="57" t="s">
        <v>236</v>
      </c>
      <c r="D178" s="58" t="s">
        <v>4</v>
      </c>
      <c r="E178" s="58" t="s">
        <v>239</v>
      </c>
      <c r="F178" s="11">
        <f t="shared" si="25"/>
        <v>9168</v>
      </c>
      <c r="G178" s="11">
        <v>398</v>
      </c>
      <c r="H178" s="11">
        <v>8770</v>
      </c>
      <c r="I178" s="11">
        <v>0</v>
      </c>
      <c r="J178" s="50"/>
      <c r="K178" s="11"/>
      <c r="L178" s="68">
        <f>F178/$K$179</f>
        <v>5.3114417887879219E-2</v>
      </c>
      <c r="M178" s="68">
        <v>7.0000000000000007E-2</v>
      </c>
      <c r="N178" s="45">
        <f t="shared" si="26"/>
        <v>26.466999999999999</v>
      </c>
      <c r="O178" s="45">
        <f t="shared" si="27"/>
        <v>379.08325000000002</v>
      </c>
      <c r="P178" s="45"/>
      <c r="Q178" s="45"/>
      <c r="R178" s="45">
        <f t="shared" si="28"/>
        <v>405.55025000000001</v>
      </c>
      <c r="S178" s="11">
        <f>_xlfn.XLOOKUP(E:E,'[1]②7月-汇总'!$D:$D,'[1]②7月-汇总'!$AP:$AP)</f>
        <v>31</v>
      </c>
      <c r="T178" s="45">
        <v>2000</v>
      </c>
      <c r="U178" s="11">
        <f>_xlfn.XLOOKUP(E:E,'[2]手工、项目数、消耗'!$C:$C,'[2]手工、项目数、消耗'!$E:$E)</f>
        <v>8687.26</v>
      </c>
      <c r="V178" s="11">
        <f>_xlfn.XLOOKUP(E:E,'[2]手工、项目数、消耗'!$C:$C,'[2]手工、项目数、消耗'!$D:$D)</f>
        <v>114</v>
      </c>
      <c r="W178" s="11">
        <f>_xlfn.XLOOKUP(E:E,'[2]手工、项目数、消耗'!$C:$C,'[2]手工、项目数、消耗'!$H:$H)</f>
        <v>1449</v>
      </c>
      <c r="X178" s="11">
        <f>_xlfn.XLOOKUP(E:E,'[1]②7月-汇总'!$D:$D,'[1]②7月-汇总'!$W:$W)</f>
        <v>0</v>
      </c>
      <c r="Y178" s="11">
        <f>_xlfn.XLOOKUP(E:E,'[1]②7月-汇总'!$D:$D,'[1]②7月-汇总'!$Z:$Z)</f>
        <v>0</v>
      </c>
      <c r="Z178" s="11">
        <f>_xlfn.XLOOKUP(E:E,'[1]②7月-汇总'!$D:$D,'[1]②7月-汇总'!$AI:$AI)</f>
        <v>0</v>
      </c>
      <c r="AA178" s="45">
        <f t="shared" si="29"/>
        <v>3854.5502500000002</v>
      </c>
      <c r="AB178" s="11"/>
      <c r="AC178" s="11">
        <v>90</v>
      </c>
      <c r="AD178" s="11">
        <f>_xlfn.XLOOKUP(E:E,'[1]②7月-汇总'!$D:$D,'[1]②7月-汇总'!$AC:$AC)</f>
        <v>0</v>
      </c>
      <c r="AE178" s="11"/>
      <c r="AF178" s="11">
        <f>_xlfn.XLOOKUP(E:E,'[1]②7月-汇总'!$D:$D,'[1]②7月-汇总'!$AD:$AD)</f>
        <v>0</v>
      </c>
      <c r="AG178" s="11">
        <f>_xlfn.XLOOKUP(E:E,'[1]②7月-汇总'!$D:$D,'[1]②7月-汇总'!$Y:$Y)</f>
        <v>20</v>
      </c>
      <c r="AH178" s="11">
        <f>_xlfn.XLOOKUP(E:E,'[1]②7月-汇总'!$D:$D,'[1]②7月-汇总'!$L:$L)</f>
        <v>0</v>
      </c>
      <c r="AI178" s="11">
        <f>_xlfn.XLOOKUP(E:E,'[1]②7月-汇总'!$D:$D,'[1]②7月-汇总'!$X:$X)</f>
        <v>10</v>
      </c>
      <c r="AJ178" s="11">
        <f>_xlfn.XLOOKUP(E:E,'[1]②7月-汇总'!$D:$D,'[1]②7月-汇总'!$AB:$AB)</f>
        <v>0</v>
      </c>
      <c r="AK178" s="11">
        <f>_xlfn.XLOOKUP(E:E,'[1]②7月-汇总'!$D:$D,'[1]②7月-汇总'!$AE:$AE)</f>
        <v>0</v>
      </c>
      <c r="AL178" s="96">
        <v>145</v>
      </c>
      <c r="AM178" s="45">
        <f t="shared" si="30"/>
        <v>3879.5502500000002</v>
      </c>
      <c r="AN178" s="11">
        <f>_xlfn.XLOOKUP(E:E,'[1]①7月-花名册'!$E:$E,'[1]①7月-花名册'!$T:$T)</f>
        <v>4000</v>
      </c>
      <c r="AO178" s="67"/>
      <c r="AP178" s="142">
        <f>_xlfn.XLOOKUP(E178,[9]工资核对的全字段!$C:$C,[9]工资核对的全字段!$CW:$CW,0)</f>
        <v>3880</v>
      </c>
      <c r="AQ178" s="36">
        <f t="shared" si="20"/>
        <v>0.44974999999976717</v>
      </c>
    </row>
    <row r="179" spans="1:43" x14ac:dyDescent="0.15">
      <c r="A179" s="55" t="s">
        <v>41</v>
      </c>
      <c r="B179" s="62" t="s">
        <v>235</v>
      </c>
      <c r="C179" s="57" t="s">
        <v>47</v>
      </c>
      <c r="D179" s="58" t="s">
        <v>47</v>
      </c>
      <c r="E179" s="58" t="s">
        <v>47</v>
      </c>
      <c r="F179" s="11">
        <f t="shared" si="25"/>
        <v>0</v>
      </c>
      <c r="G179" s="11">
        <v>0</v>
      </c>
      <c r="H179" s="11">
        <v>0</v>
      </c>
      <c r="I179" s="11">
        <v>0</v>
      </c>
      <c r="J179" s="50"/>
      <c r="K179" s="11">
        <v>172608.5</v>
      </c>
      <c r="L179" s="68"/>
      <c r="M179" s="68"/>
      <c r="N179" s="45">
        <f t="shared" si="26"/>
        <v>0</v>
      </c>
      <c r="O179" s="45">
        <f t="shared" si="27"/>
        <v>0</v>
      </c>
      <c r="P179" s="45"/>
      <c r="Q179" s="45"/>
      <c r="R179" s="45">
        <f t="shared" si="28"/>
        <v>0</v>
      </c>
      <c r="S179" s="11"/>
      <c r="T179" s="45"/>
      <c r="U179" s="11"/>
      <c r="V179" s="11"/>
      <c r="W179" s="11"/>
      <c r="X179" s="11"/>
      <c r="Y179" s="11"/>
      <c r="Z179" s="11"/>
      <c r="AA179" s="45">
        <f t="shared" si="29"/>
        <v>0</v>
      </c>
      <c r="AB179" s="11"/>
      <c r="AC179" s="50"/>
      <c r="AD179" s="11"/>
      <c r="AE179" s="11"/>
      <c r="AF179" s="11"/>
      <c r="AG179" s="11"/>
      <c r="AH179" s="11"/>
      <c r="AI179" s="11"/>
      <c r="AJ179" s="11"/>
      <c r="AK179" s="11"/>
      <c r="AL179" s="96"/>
      <c r="AM179" s="45">
        <f t="shared" si="30"/>
        <v>0</v>
      </c>
      <c r="AN179" s="11"/>
      <c r="AO179" s="67"/>
      <c r="AP179" s="142">
        <f>_xlfn.XLOOKUP(E179,[9]工资核对的全字段!$C:$C,[9]工资核对的全字段!$CW:$CW,0)</f>
        <v>0</v>
      </c>
      <c r="AQ179" s="36">
        <f t="shared" si="20"/>
        <v>0</v>
      </c>
    </row>
    <row r="180" spans="1:43" x14ac:dyDescent="0.15">
      <c r="A180" s="55" t="s">
        <v>41</v>
      </c>
      <c r="B180" s="62" t="s">
        <v>235</v>
      </c>
      <c r="C180" s="57" t="s">
        <v>240</v>
      </c>
      <c r="D180" s="58" t="s">
        <v>43</v>
      </c>
      <c r="E180" s="58" t="s">
        <v>241</v>
      </c>
      <c r="F180" s="11">
        <f t="shared" si="25"/>
        <v>96356</v>
      </c>
      <c r="G180" s="11">
        <v>27310</v>
      </c>
      <c r="H180" s="11">
        <v>66750</v>
      </c>
      <c r="I180" s="11">
        <v>2296</v>
      </c>
      <c r="J180" s="50"/>
      <c r="K180" s="11"/>
      <c r="L180" s="68">
        <f>F180/$K$182</f>
        <v>0.69112283432374955</v>
      </c>
      <c r="M180" s="68">
        <v>0.06</v>
      </c>
      <c r="N180" s="45">
        <f t="shared" si="26"/>
        <v>1556.6699999999998</v>
      </c>
      <c r="O180" s="45">
        <f t="shared" si="27"/>
        <v>2473.0875000000001</v>
      </c>
      <c r="P180" s="45">
        <f>K182*0.003</f>
        <v>418.25850000000003</v>
      </c>
      <c r="Q180" s="45"/>
      <c r="R180" s="45">
        <f t="shared" si="28"/>
        <v>4448.0159999999996</v>
      </c>
      <c r="S180" s="11">
        <f>_xlfn.XLOOKUP(E:E,'[1]②7月-汇总'!$D:$D,'[1]②7月-汇总'!$AP:$AP)</f>
        <v>31</v>
      </c>
      <c r="T180" s="45">
        <v>2200</v>
      </c>
      <c r="U180" s="11">
        <f>_xlfn.XLOOKUP(E:E,'[2]手工、项目数、消耗'!$C:$C,'[2]手工、项目数、消耗'!$E:$E)</f>
        <v>25042.22</v>
      </c>
      <c r="V180" s="11">
        <f>_xlfn.XLOOKUP(E:E,'[2]手工、项目数、消耗'!$C:$C,'[2]手工、项目数、消耗'!$D:$D)</f>
        <v>129.5</v>
      </c>
      <c r="W180" s="11">
        <f>_xlfn.XLOOKUP(E:E,'[2]手工、项目数、消耗'!$C:$C,'[2]手工、项目数、消耗'!$H:$H)</f>
        <v>2109</v>
      </c>
      <c r="X180" s="11">
        <f>_xlfn.XLOOKUP(E:E,'[1]②7月-汇总'!$D:$D,'[1]②7月-汇总'!$W:$W)</f>
        <v>0</v>
      </c>
      <c r="Y180" s="11">
        <f>_xlfn.XLOOKUP(E:E,'[1]②7月-汇总'!$D:$D,'[1]②7月-汇总'!$Z:$Z)</f>
        <v>0</v>
      </c>
      <c r="Z180" s="11">
        <f>_xlfn.XLOOKUP(E:E,'[1]②7月-汇总'!$D:$D,'[1]②7月-汇总'!$AI:$AI)</f>
        <v>0</v>
      </c>
      <c r="AA180" s="45">
        <f t="shared" si="29"/>
        <v>8757.0159999999996</v>
      </c>
      <c r="AB180" s="11"/>
      <c r="AC180" s="50"/>
      <c r="AD180" s="11">
        <f>_xlfn.XLOOKUP(E:E,'[1]②7月-汇总'!$D:$D,'[1]②7月-汇总'!$AC:$AC)</f>
        <v>100</v>
      </c>
      <c r="AE180" s="11"/>
      <c r="AF180" s="11">
        <f>_xlfn.XLOOKUP(E:E,'[1]②7月-汇总'!$D:$D,'[1]②7月-汇总'!$AD:$AD)</f>
        <v>0</v>
      </c>
      <c r="AG180" s="11">
        <f>_xlfn.XLOOKUP(E:E,'[1]②7月-汇总'!$D:$D,'[1]②7月-汇总'!$Y:$Y)</f>
        <v>0</v>
      </c>
      <c r="AH180" s="11">
        <f>_xlfn.XLOOKUP(E:E,'[1]②7月-汇总'!$D:$D,'[1]②7月-汇总'!$L:$L)</f>
        <v>0</v>
      </c>
      <c r="AI180" s="11">
        <f>_xlfn.XLOOKUP(E:E,'[1]②7月-汇总'!$D:$D,'[1]②7月-汇总'!$X:$X)</f>
        <v>20</v>
      </c>
      <c r="AJ180" s="11">
        <f>_xlfn.XLOOKUP(E:E,'[1]②7月-汇总'!$D:$D,'[1]②7月-汇总'!$AB:$AB)</f>
        <v>0</v>
      </c>
      <c r="AK180" s="11">
        <f>_xlfn.XLOOKUP(E:E,'[1]②7月-汇总'!$D:$D,'[1]②7月-汇总'!$AE:$AE)</f>
        <v>300</v>
      </c>
      <c r="AL180" s="96"/>
      <c r="AM180" s="45">
        <f t="shared" si="30"/>
        <v>8937.0159999999996</v>
      </c>
      <c r="AN180" s="11">
        <f>_xlfn.XLOOKUP(E:E,'[1]①7月-花名册'!$E:$E,'[1]①7月-花名册'!$T:$T)</f>
        <v>0</v>
      </c>
      <c r="AO180" s="67"/>
      <c r="AP180" s="142">
        <f>_xlfn.XLOOKUP(E180,[9]工资核对的全字段!$C:$C,[9]工资核对的全字段!$CW:$CW,0)</f>
        <v>8937.0174999999999</v>
      </c>
      <c r="AQ180" s="36">
        <f t="shared" si="20"/>
        <v>1.5000000003055902E-3</v>
      </c>
    </row>
    <row r="181" spans="1:43" x14ac:dyDescent="0.15">
      <c r="A181" s="55" t="s">
        <v>41</v>
      </c>
      <c r="B181" s="62" t="s">
        <v>235</v>
      </c>
      <c r="C181" s="57" t="s">
        <v>240</v>
      </c>
      <c r="D181" s="58" t="s">
        <v>4</v>
      </c>
      <c r="E181" s="58" t="s">
        <v>242</v>
      </c>
      <c r="F181" s="11">
        <f t="shared" si="25"/>
        <v>43063.5</v>
      </c>
      <c r="G181" s="11">
        <v>16423.5</v>
      </c>
      <c r="H181" s="11">
        <v>26640</v>
      </c>
      <c r="I181" s="11">
        <v>0</v>
      </c>
      <c r="J181" s="50"/>
      <c r="K181" s="11"/>
      <c r="L181" s="68">
        <f>F181/$K$182</f>
        <v>0.30887716567625045</v>
      </c>
      <c r="M181" s="68">
        <v>0.06</v>
      </c>
      <c r="N181" s="45">
        <f t="shared" si="26"/>
        <v>936.13949999999988</v>
      </c>
      <c r="O181" s="45">
        <f t="shared" si="27"/>
        <v>987.01200000000006</v>
      </c>
      <c r="P181" s="45"/>
      <c r="Q181" s="45"/>
      <c r="R181" s="45">
        <f t="shared" si="28"/>
        <v>1923.1514999999999</v>
      </c>
      <c r="S181" s="11">
        <f>_xlfn.XLOOKUP(E:E,'[1]②7月-汇总'!$D:$D,'[1]②7月-汇总'!$AP:$AP)</f>
        <v>31</v>
      </c>
      <c r="T181" s="45">
        <v>2200</v>
      </c>
      <c r="U181" s="11">
        <f>_xlfn.XLOOKUP(E:E,'[2]手工、项目数、消耗'!$C:$C,'[2]手工、项目数、消耗'!$E:$E)</f>
        <v>21667.48</v>
      </c>
      <c r="V181" s="11">
        <f>_xlfn.XLOOKUP(E:E,'[2]手工、项目数、消耗'!$C:$C,'[2]手工、项目数、消耗'!$D:$D)</f>
        <v>130</v>
      </c>
      <c r="W181" s="11">
        <f>_xlfn.XLOOKUP(E:E,'[2]手工、项目数、消耗'!$C:$C,'[2]手工、项目数、消耗'!$H:$H)</f>
        <v>1342.5</v>
      </c>
      <c r="X181" s="11">
        <f>_xlfn.XLOOKUP(E:E,'[1]②7月-汇总'!$D:$D,'[1]②7月-汇总'!$W:$W)</f>
        <v>0</v>
      </c>
      <c r="Y181" s="11">
        <f>_xlfn.XLOOKUP(E:E,'[1]②7月-汇总'!$D:$D,'[1]②7月-汇总'!$Z:$Z)</f>
        <v>0</v>
      </c>
      <c r="Z181" s="11">
        <f>_xlfn.XLOOKUP(E:E,'[1]②7月-汇总'!$D:$D,'[1]②7月-汇总'!$AI:$AI)</f>
        <v>0</v>
      </c>
      <c r="AA181" s="45">
        <f t="shared" si="29"/>
        <v>5465.6514999999999</v>
      </c>
      <c r="AB181" s="11"/>
      <c r="AC181" s="50"/>
      <c r="AD181" s="11">
        <f>_xlfn.XLOOKUP(E:E,'[1]②7月-汇总'!$D:$D,'[1]②7月-汇总'!$AC:$AC)</f>
        <v>100</v>
      </c>
      <c r="AE181" s="11"/>
      <c r="AF181" s="11">
        <f>_xlfn.XLOOKUP(E:E,'[1]②7月-汇总'!$D:$D,'[1]②7月-汇总'!$AD:$AD)</f>
        <v>0</v>
      </c>
      <c r="AG181" s="11">
        <f>_xlfn.XLOOKUP(E:E,'[1]②7月-汇总'!$D:$D,'[1]②7月-汇总'!$Y:$Y)</f>
        <v>0</v>
      </c>
      <c r="AH181" s="11">
        <f>_xlfn.XLOOKUP(E:E,'[1]②7月-汇总'!$D:$D,'[1]②7月-汇总'!$L:$L)</f>
        <v>0</v>
      </c>
      <c r="AI181" s="11">
        <f>_xlfn.XLOOKUP(E:E,'[1]②7月-汇总'!$D:$D,'[1]②7月-汇总'!$X:$X)</f>
        <v>0</v>
      </c>
      <c r="AJ181" s="11">
        <f>_xlfn.XLOOKUP(E:E,'[1]②7月-汇总'!$D:$D,'[1]②7月-汇总'!$AB:$AB)</f>
        <v>0</v>
      </c>
      <c r="AK181" s="11">
        <f>_xlfn.XLOOKUP(E:E,'[1]②7月-汇总'!$D:$D,'[1]②7月-汇总'!$AE:$AE)</f>
        <v>0</v>
      </c>
      <c r="AL181" s="96"/>
      <c r="AM181" s="45">
        <f t="shared" si="30"/>
        <v>5365.6514999999999</v>
      </c>
      <c r="AN181" s="11">
        <f>_xlfn.XLOOKUP(E:E,'[1]①7月-花名册'!$E:$E,'[1]①7月-花名册'!$T:$T)</f>
        <v>0</v>
      </c>
      <c r="AO181" s="67"/>
      <c r="AP181" s="142">
        <f>_xlfn.XLOOKUP(E181,[9]工资核对的全字段!$C:$C,[9]工资核对的全字段!$CW:$CW,0)</f>
        <v>5365.6514999999999</v>
      </c>
      <c r="AQ181" s="36">
        <f t="shared" si="20"/>
        <v>0</v>
      </c>
    </row>
    <row r="182" spans="1:43" x14ac:dyDescent="0.15">
      <c r="A182" s="55" t="s">
        <v>41</v>
      </c>
      <c r="B182" s="62" t="str">
        <f>B180</f>
        <v>双流</v>
      </c>
      <c r="C182" s="57" t="s">
        <v>47</v>
      </c>
      <c r="D182" s="58" t="s">
        <v>47</v>
      </c>
      <c r="E182" s="58" t="s">
        <v>47</v>
      </c>
      <c r="F182" s="11">
        <f t="shared" si="25"/>
        <v>0</v>
      </c>
      <c r="G182" s="11">
        <v>0</v>
      </c>
      <c r="H182" s="11">
        <v>0</v>
      </c>
      <c r="I182" s="11">
        <v>0</v>
      </c>
      <c r="J182" s="50"/>
      <c r="K182" s="11">
        <v>139419.5</v>
      </c>
      <c r="L182" s="68"/>
      <c r="M182" s="68"/>
      <c r="N182" s="45">
        <f t="shared" si="26"/>
        <v>0</v>
      </c>
      <c r="O182" s="45">
        <f t="shared" si="27"/>
        <v>0</v>
      </c>
      <c r="P182" s="45"/>
      <c r="Q182" s="45"/>
      <c r="R182" s="45">
        <f t="shared" si="28"/>
        <v>0</v>
      </c>
      <c r="S182" s="11"/>
      <c r="T182" s="45"/>
      <c r="U182" s="11"/>
      <c r="V182" s="11"/>
      <c r="W182" s="11"/>
      <c r="X182" s="11"/>
      <c r="Y182" s="11"/>
      <c r="Z182" s="11"/>
      <c r="AA182" s="45">
        <f t="shared" si="29"/>
        <v>0</v>
      </c>
      <c r="AB182" s="11"/>
      <c r="AC182" s="50"/>
      <c r="AD182" s="11"/>
      <c r="AE182" s="11"/>
      <c r="AF182" s="11"/>
      <c r="AG182" s="11"/>
      <c r="AH182" s="11"/>
      <c r="AI182" s="11"/>
      <c r="AJ182" s="11"/>
      <c r="AK182" s="11"/>
      <c r="AL182" s="96"/>
      <c r="AM182" s="45">
        <f t="shared" si="30"/>
        <v>0</v>
      </c>
      <c r="AN182" s="11"/>
      <c r="AO182" s="67"/>
      <c r="AP182" s="142">
        <f>_xlfn.XLOOKUP(E182,[9]工资核对的全字段!$C:$C,[9]工资核对的全字段!$CW:$CW,0)</f>
        <v>0</v>
      </c>
      <c r="AQ182" s="36">
        <f t="shared" si="20"/>
        <v>0</v>
      </c>
    </row>
    <row r="183" spans="1:43" x14ac:dyDescent="0.15">
      <c r="A183" s="55" t="s">
        <v>41</v>
      </c>
      <c r="B183" s="62" t="s">
        <v>235</v>
      </c>
      <c r="C183" s="60" t="s">
        <v>9</v>
      </c>
      <c r="D183" s="61" t="s">
        <v>9</v>
      </c>
      <c r="E183" s="61" t="s">
        <v>243</v>
      </c>
      <c r="F183" s="11">
        <f t="shared" si="25"/>
        <v>-920</v>
      </c>
      <c r="G183" s="11">
        <v>-920</v>
      </c>
      <c r="H183" s="11">
        <v>0</v>
      </c>
      <c r="I183" s="11">
        <v>0</v>
      </c>
      <c r="J183" s="50"/>
      <c r="K183" s="11"/>
      <c r="L183" s="68"/>
      <c r="M183" s="68"/>
      <c r="N183" s="45">
        <f t="shared" si="26"/>
        <v>0</v>
      </c>
      <c r="O183" s="45">
        <f t="shared" si="27"/>
        <v>0</v>
      </c>
      <c r="P183" s="45"/>
      <c r="Q183" s="45">
        <v>778</v>
      </c>
      <c r="R183" s="45">
        <f t="shared" si="28"/>
        <v>778</v>
      </c>
      <c r="S183" s="11"/>
      <c r="T183" s="45"/>
      <c r="U183" s="11"/>
      <c r="V183" s="11"/>
      <c r="W183" s="11"/>
      <c r="X183" s="11"/>
      <c r="Y183" s="11"/>
      <c r="Z183" s="11"/>
      <c r="AA183" s="45">
        <f t="shared" si="29"/>
        <v>778</v>
      </c>
      <c r="AB183" s="11"/>
      <c r="AC183" s="50"/>
      <c r="AD183" s="11"/>
      <c r="AE183" s="11"/>
      <c r="AF183" s="11"/>
      <c r="AG183" s="11"/>
      <c r="AH183" s="11"/>
      <c r="AI183" s="11"/>
      <c r="AJ183" s="11"/>
      <c r="AK183" s="11"/>
      <c r="AL183" s="96"/>
      <c r="AM183" s="45">
        <f t="shared" si="30"/>
        <v>778</v>
      </c>
      <c r="AN183" s="11"/>
      <c r="AO183" s="67"/>
      <c r="AP183" s="142">
        <f>_xlfn.XLOOKUP(E183,[9]工资核对的全字段!$C:$C,[9]工资核对的全字段!$CW:$CW,0)</f>
        <v>777.7700000000001</v>
      </c>
      <c r="AQ183" s="36">
        <f t="shared" si="20"/>
        <v>-0.2299999999999045</v>
      </c>
    </row>
    <row r="184" spans="1:43" x14ac:dyDescent="0.15">
      <c r="A184" s="55" t="s">
        <v>41</v>
      </c>
      <c r="B184" s="62" t="s">
        <v>244</v>
      </c>
      <c r="C184" s="57" t="s">
        <v>245</v>
      </c>
      <c r="D184" s="58" t="s">
        <v>43</v>
      </c>
      <c r="E184" s="58" t="s">
        <v>246</v>
      </c>
      <c r="F184" s="11">
        <f t="shared" si="25"/>
        <v>17665.8</v>
      </c>
      <c r="G184" s="11">
        <v>14865.8</v>
      </c>
      <c r="H184" s="11">
        <v>2800</v>
      </c>
      <c r="I184" s="11">
        <v>0</v>
      </c>
      <c r="J184" s="50"/>
      <c r="K184" s="11"/>
      <c r="L184" s="68">
        <f>F184/$K$186</f>
        <v>0.30694251148050267</v>
      </c>
      <c r="M184" s="68">
        <v>0.03</v>
      </c>
      <c r="N184" s="45">
        <f t="shared" si="26"/>
        <v>423.67529999999994</v>
      </c>
      <c r="O184" s="45">
        <f t="shared" si="27"/>
        <v>51.87</v>
      </c>
      <c r="P184" s="45">
        <v>0</v>
      </c>
      <c r="Q184" s="45"/>
      <c r="R184" s="45">
        <f t="shared" si="28"/>
        <v>475.54529999999994</v>
      </c>
      <c r="S184" s="11">
        <f>_xlfn.XLOOKUP(E:E,'[1]②7月-汇总'!$D:$D,'[1]②7月-汇总'!$AP:$AP)</f>
        <v>31</v>
      </c>
      <c r="T184" s="45">
        <v>2000</v>
      </c>
      <c r="U184" s="11">
        <f>_xlfn.XLOOKUP(E:E,'[2]手工、项目数、消耗'!$C:$C,'[2]手工、项目数、消耗'!$E:$E)</f>
        <v>12053.89</v>
      </c>
      <c r="V184" s="11">
        <f>_xlfn.XLOOKUP(E:E,'[2]手工、项目数、消耗'!$C:$C,'[2]手工、项目数、消耗'!$D:$D)</f>
        <v>78</v>
      </c>
      <c r="W184" s="11">
        <f>_xlfn.XLOOKUP(E:E,'[2]手工、项目数、消耗'!$C:$C,'[2]手工、项目数、消耗'!$H:$H)</f>
        <v>819</v>
      </c>
      <c r="X184" s="11">
        <f>_xlfn.XLOOKUP(E:E,'[1]②7月-汇总'!$D:$D,'[1]②7月-汇总'!$W:$W)</f>
        <v>0</v>
      </c>
      <c r="Y184" s="11">
        <f>_xlfn.XLOOKUP(E:E,'[1]②7月-汇总'!$D:$D,'[1]②7月-汇总'!$Z:$Z)</f>
        <v>0</v>
      </c>
      <c r="Z184" s="11">
        <f>_xlfn.XLOOKUP(E:E,'[1]②7月-汇总'!$D:$D,'[1]②7月-汇总'!$AI:$AI)</f>
        <v>0</v>
      </c>
      <c r="AA184" s="45">
        <f t="shared" si="29"/>
        <v>3294.5452999999998</v>
      </c>
      <c r="AB184" s="11"/>
      <c r="AC184" s="50"/>
      <c r="AD184" s="11">
        <f>_xlfn.XLOOKUP(E:E,'[1]②7月-汇总'!$D:$D,'[1]②7月-汇总'!$AC:$AC)</f>
        <v>0</v>
      </c>
      <c r="AE184" s="11"/>
      <c r="AF184" s="11">
        <f>_xlfn.XLOOKUP(E:E,'[1]②7月-汇总'!$D:$D,'[1]②7月-汇总'!$AD:$AD)</f>
        <v>0</v>
      </c>
      <c r="AG184" s="11">
        <f>_xlfn.XLOOKUP(E:E,'[1]②7月-汇总'!$D:$D,'[1]②7月-汇总'!$Y:$Y)</f>
        <v>0</v>
      </c>
      <c r="AH184" s="11">
        <f>_xlfn.XLOOKUP(E:E,'[1]②7月-汇总'!$D:$D,'[1]②7月-汇总'!$L:$L)</f>
        <v>0</v>
      </c>
      <c r="AI184" s="11">
        <f>_xlfn.XLOOKUP(E:E,'[1]②7月-汇总'!$D:$D,'[1]②7月-汇总'!$X:$X)</f>
        <v>0</v>
      </c>
      <c r="AJ184" s="11">
        <f>_xlfn.XLOOKUP(E:E,'[1]②7月-汇总'!$D:$D,'[1]②7月-汇总'!$AB:$AB)</f>
        <v>0</v>
      </c>
      <c r="AK184" s="11">
        <f>_xlfn.XLOOKUP(E:E,'[1]②7月-汇总'!$D:$D,'[1]②7月-汇总'!$AE:$AE)</f>
        <v>0</v>
      </c>
      <c r="AL184" s="96"/>
      <c r="AM184" s="45">
        <f t="shared" si="30"/>
        <v>3294.5452999999998</v>
      </c>
      <c r="AN184" s="11">
        <f>_xlfn.XLOOKUP(E:E,'[1]①7月-花名册'!$E:$E,'[1]①7月-花名册'!$T:$T)</f>
        <v>0</v>
      </c>
      <c r="AO184" s="67"/>
      <c r="AP184" s="142">
        <f>_xlfn.XLOOKUP(E184,[9]工资核对的全字段!$C:$C,[9]工资核对的全字段!$CW:$CW,0)</f>
        <v>3294.5452999999998</v>
      </c>
      <c r="AQ184" s="36">
        <f t="shared" si="20"/>
        <v>0</v>
      </c>
    </row>
    <row r="185" spans="1:43" x14ac:dyDescent="0.15">
      <c r="A185" s="55" t="s">
        <v>41</v>
      </c>
      <c r="B185" s="62" t="s">
        <v>244</v>
      </c>
      <c r="C185" s="57" t="s">
        <v>245</v>
      </c>
      <c r="D185" s="58" t="s">
        <v>4</v>
      </c>
      <c r="E185" s="58" t="s">
        <v>247</v>
      </c>
      <c r="F185" s="11">
        <f t="shared" ref="F185:F197" si="31">G185+H185+I185</f>
        <v>25092.6</v>
      </c>
      <c r="G185" s="11">
        <v>10792.6</v>
      </c>
      <c r="H185" s="11">
        <v>14300</v>
      </c>
      <c r="I185" s="11">
        <v>0</v>
      </c>
      <c r="J185" s="50"/>
      <c r="K185" s="11"/>
      <c r="L185" s="68">
        <f>F185/$K$186</f>
        <v>0.43598284049268426</v>
      </c>
      <c r="M185" s="68">
        <v>0.03</v>
      </c>
      <c r="N185" s="45">
        <f t="shared" ref="N185:N197" si="32">G185*0.95*M185</f>
        <v>307.58909999999997</v>
      </c>
      <c r="O185" s="45">
        <f t="shared" ref="O185:O197" si="33">H185*0.65*0.95*M185</f>
        <v>264.90749999999997</v>
      </c>
      <c r="P185" s="45"/>
      <c r="Q185" s="45"/>
      <c r="R185" s="45">
        <f t="shared" ref="R185:R194" si="34">N185+O185+P185+Q185</f>
        <v>572.49659999999994</v>
      </c>
      <c r="S185" s="11">
        <f>_xlfn.XLOOKUP(E:E,'[1]②7月-汇总'!$D:$D,'[1]②7月-汇总'!$AP:$AP)</f>
        <v>31</v>
      </c>
      <c r="T185" s="45">
        <v>2000</v>
      </c>
      <c r="U185" s="11">
        <f>_xlfn.XLOOKUP(E:E,'[2]手工、项目数、消耗'!$C:$C,'[2]手工、项目数、消耗'!$E:$E)</f>
        <v>5913.88</v>
      </c>
      <c r="V185" s="11">
        <f>_xlfn.XLOOKUP(E:E,'[2]手工、项目数、消耗'!$C:$C,'[2]手工、项目数、消耗'!$D:$D)</f>
        <v>102</v>
      </c>
      <c r="W185" s="11">
        <f>_xlfn.XLOOKUP(E:E,'[2]手工、项目数、消耗'!$C:$C,'[2]手工、项目数、消耗'!$H:$H)</f>
        <v>1115</v>
      </c>
      <c r="X185" s="11">
        <f>_xlfn.XLOOKUP(E:E,'[1]②7月-汇总'!$D:$D,'[1]②7月-汇总'!$W:$W)</f>
        <v>0</v>
      </c>
      <c r="Y185" s="11">
        <f>_xlfn.XLOOKUP(E:E,'[1]②7月-汇总'!$D:$D,'[1]②7月-汇总'!$Z:$Z)</f>
        <v>0</v>
      </c>
      <c r="Z185" s="11">
        <f>_xlfn.XLOOKUP(E:E,'[1]②7月-汇总'!$D:$D,'[1]②7月-汇总'!$AI:$AI)</f>
        <v>0</v>
      </c>
      <c r="AA185" s="45">
        <f t="shared" ref="AA185:AA194" si="35">R185+T185+W185+X185+Y185+Z185</f>
        <v>3687.4965999999999</v>
      </c>
      <c r="AB185" s="11"/>
      <c r="AC185" s="50"/>
      <c r="AD185" s="11">
        <f>_xlfn.XLOOKUP(E:E,'[1]②7月-汇总'!$D:$D,'[1]②7月-汇总'!$AC:$AC)</f>
        <v>0</v>
      </c>
      <c r="AE185" s="11"/>
      <c r="AF185" s="11">
        <f>_xlfn.XLOOKUP(E:E,'[1]②7月-汇总'!$D:$D,'[1]②7月-汇总'!$AD:$AD)</f>
        <v>0</v>
      </c>
      <c r="AG185" s="11">
        <f>_xlfn.XLOOKUP(E:E,'[1]②7月-汇总'!$D:$D,'[1]②7月-汇总'!$Y:$Y)</f>
        <v>0</v>
      </c>
      <c r="AH185" s="11">
        <f>_xlfn.XLOOKUP(E:E,'[1]②7月-汇总'!$D:$D,'[1]②7月-汇总'!$L:$L)</f>
        <v>0</v>
      </c>
      <c r="AI185" s="11">
        <f>_xlfn.XLOOKUP(E:E,'[1]②7月-汇总'!$D:$D,'[1]②7月-汇总'!$X:$X)</f>
        <v>0</v>
      </c>
      <c r="AJ185" s="11">
        <f>_xlfn.XLOOKUP(E:E,'[1]②7月-汇总'!$D:$D,'[1]②7月-汇总'!$AB:$AB)</f>
        <v>0</v>
      </c>
      <c r="AK185" s="11">
        <f>_xlfn.XLOOKUP(E:E,'[1]②7月-汇总'!$D:$D,'[1]②7月-汇总'!$AE:$AE)</f>
        <v>0</v>
      </c>
      <c r="AL185" s="96"/>
      <c r="AM185" s="45">
        <f t="shared" ref="AM185:AM194" si="36">AA185+AB185-AC185-AD185-AE185-AF185-AG185-AI185-AJ185+AK185+AL185</f>
        <v>3687.4965999999999</v>
      </c>
      <c r="AN185" s="11">
        <f>_xlfn.XLOOKUP(E:E,'[1]①7月-花名册'!$E:$E,'[1]①7月-花名册'!$T:$T)</f>
        <v>0</v>
      </c>
      <c r="AO185" s="67"/>
      <c r="AP185" s="142">
        <f>_xlfn.XLOOKUP(E185,[9]工资核对的全字段!$C:$C,[9]工资核对的全字段!$CW:$CW,0)</f>
        <v>3687.4965999999999</v>
      </c>
      <c r="AQ185" s="36">
        <f t="shared" si="20"/>
        <v>0</v>
      </c>
    </row>
    <row r="186" spans="1:43" x14ac:dyDescent="0.15">
      <c r="A186" s="55" t="s">
        <v>41</v>
      </c>
      <c r="B186" s="62" t="s">
        <v>244</v>
      </c>
      <c r="C186" s="57" t="s">
        <v>47</v>
      </c>
      <c r="D186" s="58" t="s">
        <v>47</v>
      </c>
      <c r="E186" s="58" t="s">
        <v>47</v>
      </c>
      <c r="F186" s="11">
        <f t="shared" si="31"/>
        <v>0</v>
      </c>
      <c r="G186" s="11">
        <v>0</v>
      </c>
      <c r="H186" s="11">
        <v>0</v>
      </c>
      <c r="I186" s="11">
        <v>0</v>
      </c>
      <c r="J186" s="50"/>
      <c r="K186" s="11">
        <v>57554.1</v>
      </c>
      <c r="L186" s="68"/>
      <c r="M186" s="68"/>
      <c r="N186" s="45">
        <f t="shared" si="32"/>
        <v>0</v>
      </c>
      <c r="O186" s="45">
        <f t="shared" si="33"/>
        <v>0</v>
      </c>
      <c r="P186" s="45"/>
      <c r="Q186" s="45"/>
      <c r="R186" s="45">
        <f t="shared" si="34"/>
        <v>0</v>
      </c>
      <c r="S186" s="11"/>
      <c r="T186" s="45"/>
      <c r="U186" s="11"/>
      <c r="V186" s="11"/>
      <c r="W186" s="11"/>
      <c r="X186" s="11"/>
      <c r="Y186" s="11"/>
      <c r="Z186" s="11"/>
      <c r="AA186" s="45">
        <f t="shared" si="35"/>
        <v>0</v>
      </c>
      <c r="AB186" s="11"/>
      <c r="AC186" s="50"/>
      <c r="AD186" s="11"/>
      <c r="AE186" s="11"/>
      <c r="AF186" s="11"/>
      <c r="AG186" s="11"/>
      <c r="AH186" s="11"/>
      <c r="AI186" s="11"/>
      <c r="AJ186" s="11"/>
      <c r="AK186" s="11"/>
      <c r="AL186" s="96"/>
      <c r="AM186" s="45">
        <f t="shared" si="36"/>
        <v>0</v>
      </c>
      <c r="AN186" s="11"/>
      <c r="AO186" s="67"/>
      <c r="AP186" s="142">
        <f>_xlfn.XLOOKUP(E186,[9]工资核对的全字段!$C:$C,[9]工资核对的全字段!$CW:$CW,0)</f>
        <v>0</v>
      </c>
      <c r="AQ186" s="36">
        <f t="shared" si="20"/>
        <v>0</v>
      </c>
    </row>
    <row r="187" spans="1:43" x14ac:dyDescent="0.15">
      <c r="A187" s="55" t="s">
        <v>41</v>
      </c>
      <c r="B187" s="62" t="s">
        <v>244</v>
      </c>
      <c r="C187" s="57" t="s">
        <v>248</v>
      </c>
      <c r="D187" s="58" t="s">
        <v>43</v>
      </c>
      <c r="E187" s="58" t="s">
        <v>249</v>
      </c>
      <c r="F187" s="11">
        <f t="shared" si="31"/>
        <v>51450</v>
      </c>
      <c r="G187" s="11">
        <v>41778</v>
      </c>
      <c r="H187" s="11">
        <v>9672</v>
      </c>
      <c r="I187" s="11">
        <v>0</v>
      </c>
      <c r="J187" s="50"/>
      <c r="K187" s="11"/>
      <c r="L187" s="68">
        <f>F187/$K$189</f>
        <v>0.74911329446777286</v>
      </c>
      <c r="M187" s="68">
        <v>0.05</v>
      </c>
      <c r="N187" s="45">
        <f t="shared" si="32"/>
        <v>1984.4549999999999</v>
      </c>
      <c r="O187" s="45">
        <f t="shared" si="33"/>
        <v>298.62299999999999</v>
      </c>
      <c r="P187" s="45">
        <v>0</v>
      </c>
      <c r="Q187" s="45"/>
      <c r="R187" s="45">
        <f t="shared" si="34"/>
        <v>2283.078</v>
      </c>
      <c r="S187" s="11">
        <f>_xlfn.XLOOKUP(E:E,'[1]②7月-汇总'!$D:$D,'[1]②7月-汇总'!$AP:$AP)</f>
        <v>31</v>
      </c>
      <c r="T187" s="45">
        <v>2000</v>
      </c>
      <c r="U187" s="11">
        <f>_xlfn.XLOOKUP(E:E,'[2]手工、项目数、消耗'!$C:$C,'[2]手工、项目数、消耗'!$E:$E)</f>
        <v>17541.330000000002</v>
      </c>
      <c r="V187" s="11">
        <f>_xlfn.XLOOKUP(E:E,'[2]手工、项目数、消耗'!$C:$C,'[2]手工、项目数、消耗'!$D:$D)</f>
        <v>118</v>
      </c>
      <c r="W187" s="11">
        <f>_xlfn.XLOOKUP(E:E,'[2]手工、项目数、消耗'!$C:$C,'[2]手工、项目数、消耗'!$H:$H)</f>
        <v>1947</v>
      </c>
      <c r="X187" s="11">
        <f>_xlfn.XLOOKUP(E:E,'[1]②7月-汇总'!$D:$D,'[1]②7月-汇总'!$W:$W)</f>
        <v>0</v>
      </c>
      <c r="Y187" s="11">
        <f>_xlfn.XLOOKUP(E:E,'[1]②7月-汇总'!$D:$D,'[1]②7月-汇总'!$Z:$Z)</f>
        <v>0</v>
      </c>
      <c r="Z187" s="11">
        <f>_xlfn.XLOOKUP(E:E,'[1]②7月-汇总'!$D:$D,'[1]②7月-汇总'!$AI:$AI)</f>
        <v>0</v>
      </c>
      <c r="AA187" s="45">
        <f t="shared" si="35"/>
        <v>6230.0779999999995</v>
      </c>
      <c r="AB187" s="11"/>
      <c r="AC187" s="50"/>
      <c r="AD187" s="11">
        <f>_xlfn.XLOOKUP(E:E,'[1]②7月-汇总'!$D:$D,'[1]②7月-汇总'!$AC:$AC)</f>
        <v>0</v>
      </c>
      <c r="AE187" s="11"/>
      <c r="AF187" s="11">
        <f>_xlfn.XLOOKUP(E:E,'[1]②7月-汇总'!$D:$D,'[1]②7月-汇总'!$AD:$AD)</f>
        <v>0</v>
      </c>
      <c r="AG187" s="11">
        <f>_xlfn.XLOOKUP(E:E,'[1]②7月-汇总'!$D:$D,'[1]②7月-汇总'!$Y:$Y)</f>
        <v>0</v>
      </c>
      <c r="AH187" s="11">
        <f>_xlfn.XLOOKUP(E:E,'[1]②7月-汇总'!$D:$D,'[1]②7月-汇总'!$L:$L)</f>
        <v>0</v>
      </c>
      <c r="AI187" s="11">
        <f>_xlfn.XLOOKUP(E:E,'[1]②7月-汇总'!$D:$D,'[1]②7月-汇总'!$X:$X)</f>
        <v>0</v>
      </c>
      <c r="AJ187" s="11">
        <f>_xlfn.XLOOKUP(E:E,'[1]②7月-汇总'!$D:$D,'[1]②7月-汇总'!$AB:$AB)</f>
        <v>0</v>
      </c>
      <c r="AK187" s="11">
        <f>_xlfn.XLOOKUP(E:E,'[1]②7月-汇总'!$D:$D,'[1]②7月-汇总'!$AE:$AE)</f>
        <v>0</v>
      </c>
      <c r="AL187" s="96"/>
      <c r="AM187" s="45">
        <f t="shared" si="36"/>
        <v>6230.0779999999995</v>
      </c>
      <c r="AN187" s="11">
        <f>_xlfn.XLOOKUP(E:E,'[1]①7月-花名册'!$E:$E,'[1]①7月-花名册'!$T:$T)</f>
        <v>0</v>
      </c>
      <c r="AO187" s="67"/>
      <c r="AP187" s="142">
        <f>_xlfn.XLOOKUP(E187,[9]工资核对的全字段!$C:$C,[9]工资核对的全字段!$CW:$CW,0)</f>
        <v>6230.0779999999995</v>
      </c>
      <c r="AQ187" s="36">
        <f t="shared" si="20"/>
        <v>0</v>
      </c>
    </row>
    <row r="188" spans="1:43" x14ac:dyDescent="0.15">
      <c r="A188" s="55" t="s">
        <v>41</v>
      </c>
      <c r="B188" s="62" t="s">
        <v>244</v>
      </c>
      <c r="C188" s="57" t="s">
        <v>248</v>
      </c>
      <c r="D188" s="58" t="s">
        <v>4</v>
      </c>
      <c r="E188" s="58" t="s">
        <v>250</v>
      </c>
      <c r="F188" s="11">
        <f t="shared" si="31"/>
        <v>17231.2</v>
      </c>
      <c r="G188" s="11">
        <v>16043.2</v>
      </c>
      <c r="H188" s="11">
        <v>1188</v>
      </c>
      <c r="I188" s="11">
        <v>0</v>
      </c>
      <c r="J188" s="50"/>
      <c r="K188" s="11"/>
      <c r="L188" s="68">
        <f>F188/$K$189</f>
        <v>0.25088670553222719</v>
      </c>
      <c r="M188" s="68">
        <v>0.05</v>
      </c>
      <c r="N188" s="45">
        <f t="shared" si="32"/>
        <v>762.05200000000013</v>
      </c>
      <c r="O188" s="45">
        <f t="shared" si="33"/>
        <v>36.679500000000004</v>
      </c>
      <c r="P188" s="45"/>
      <c r="Q188" s="45"/>
      <c r="R188" s="45">
        <f t="shared" si="34"/>
        <v>798.7315000000001</v>
      </c>
      <c r="S188" s="11">
        <f>_xlfn.XLOOKUP(E:E,'[1]②7月-汇总'!$D:$D,'[1]②7月-汇总'!$AP:$AP)</f>
        <v>31</v>
      </c>
      <c r="T188" s="45">
        <v>2000</v>
      </c>
      <c r="U188" s="11">
        <f>_xlfn.XLOOKUP(E:E,'[2]手工、项目数、消耗'!$C:$C,'[2]手工、项目数、消耗'!$E:$E)</f>
        <v>8021.09</v>
      </c>
      <c r="V188" s="11">
        <f>_xlfn.XLOOKUP(E:E,'[2]手工、项目数、消耗'!$C:$C,'[2]手工、项目数、消耗'!$D:$D)</f>
        <v>115.5</v>
      </c>
      <c r="W188" s="11">
        <f>_xlfn.XLOOKUP(E:E,'[2]手工、项目数、消耗'!$C:$C,'[2]手工、项目数、消耗'!$H:$H)</f>
        <v>1344</v>
      </c>
      <c r="X188" s="11">
        <f>_xlfn.XLOOKUP(E:E,'[1]②7月-汇总'!$D:$D,'[1]②7月-汇总'!$W:$W)</f>
        <v>0</v>
      </c>
      <c r="Y188" s="11">
        <f>_xlfn.XLOOKUP(E:E,'[1]②7月-汇总'!$D:$D,'[1]②7月-汇总'!$Z:$Z)</f>
        <v>50</v>
      </c>
      <c r="Z188" s="11">
        <f>_xlfn.XLOOKUP(E:E,'[1]②7月-汇总'!$D:$D,'[1]②7月-汇总'!$AI:$AI)</f>
        <v>0</v>
      </c>
      <c r="AA188" s="45">
        <f t="shared" si="35"/>
        <v>4192.7314999999999</v>
      </c>
      <c r="AB188" s="11"/>
      <c r="AC188" s="50"/>
      <c r="AD188" s="11">
        <f>_xlfn.XLOOKUP(E:E,'[1]②7月-汇总'!$D:$D,'[1]②7月-汇总'!$AC:$AC)</f>
        <v>0</v>
      </c>
      <c r="AE188" s="11"/>
      <c r="AF188" s="11">
        <f>_xlfn.XLOOKUP(E:E,'[1]②7月-汇总'!$D:$D,'[1]②7月-汇总'!$AD:$AD)</f>
        <v>0</v>
      </c>
      <c r="AG188" s="11">
        <f>_xlfn.XLOOKUP(E:E,'[1]②7月-汇总'!$D:$D,'[1]②7月-汇总'!$Y:$Y)</f>
        <v>0</v>
      </c>
      <c r="AH188" s="11">
        <f>_xlfn.XLOOKUP(E:E,'[1]②7月-汇总'!$D:$D,'[1]②7月-汇总'!$L:$L)</f>
        <v>0</v>
      </c>
      <c r="AI188" s="11">
        <f>_xlfn.XLOOKUP(E:E,'[1]②7月-汇总'!$D:$D,'[1]②7月-汇总'!$X:$X)</f>
        <v>0</v>
      </c>
      <c r="AJ188" s="11">
        <f>_xlfn.XLOOKUP(E:E,'[1]②7月-汇总'!$D:$D,'[1]②7月-汇总'!$AB:$AB)</f>
        <v>0</v>
      </c>
      <c r="AK188" s="11">
        <f>_xlfn.XLOOKUP(E:E,'[1]②7月-汇总'!$D:$D,'[1]②7月-汇总'!$AE:$AE)</f>
        <v>0</v>
      </c>
      <c r="AL188" s="96"/>
      <c r="AM188" s="45">
        <f t="shared" si="36"/>
        <v>4192.7314999999999</v>
      </c>
      <c r="AN188" s="11">
        <f>_xlfn.XLOOKUP(E:E,'[1]①7月-花名册'!$E:$E,'[1]①7月-花名册'!$T:$T)</f>
        <v>0</v>
      </c>
      <c r="AO188" s="67"/>
      <c r="AP188" s="142">
        <f>_xlfn.XLOOKUP(E188,[9]工资核对的全字段!$C:$C,[9]工资核对的全字段!$CW:$CW,0)</f>
        <v>4192.7314999999999</v>
      </c>
      <c r="AQ188" s="36">
        <f t="shared" si="20"/>
        <v>0</v>
      </c>
    </row>
    <row r="189" spans="1:43" x14ac:dyDescent="0.15">
      <c r="A189" s="55" t="s">
        <v>41</v>
      </c>
      <c r="B189" s="62" t="s">
        <v>244</v>
      </c>
      <c r="C189" s="57" t="s">
        <v>47</v>
      </c>
      <c r="D189" s="58" t="s">
        <v>47</v>
      </c>
      <c r="E189" s="58" t="s">
        <v>47</v>
      </c>
      <c r="F189" s="11">
        <f t="shared" si="31"/>
        <v>0</v>
      </c>
      <c r="G189" s="11">
        <v>0</v>
      </c>
      <c r="H189" s="11">
        <v>0</v>
      </c>
      <c r="I189" s="11">
        <v>0</v>
      </c>
      <c r="J189" s="50"/>
      <c r="K189" s="11">
        <v>68681.2</v>
      </c>
      <c r="L189" s="68"/>
      <c r="M189" s="68"/>
      <c r="N189" s="45">
        <f t="shared" si="32"/>
        <v>0</v>
      </c>
      <c r="O189" s="45">
        <f t="shared" si="33"/>
        <v>0</v>
      </c>
      <c r="P189" s="45"/>
      <c r="Q189" s="45"/>
      <c r="R189" s="45">
        <f t="shared" si="34"/>
        <v>0</v>
      </c>
      <c r="S189" s="11"/>
      <c r="T189" s="45"/>
      <c r="U189" s="11"/>
      <c r="V189" s="11"/>
      <c r="W189" s="11"/>
      <c r="X189" s="11"/>
      <c r="Y189" s="11"/>
      <c r="Z189" s="11"/>
      <c r="AA189" s="45">
        <f t="shared" si="35"/>
        <v>0</v>
      </c>
      <c r="AB189" s="11"/>
      <c r="AC189" s="50"/>
      <c r="AD189" s="11"/>
      <c r="AE189" s="11"/>
      <c r="AF189" s="11"/>
      <c r="AG189" s="11"/>
      <c r="AH189" s="11"/>
      <c r="AI189" s="11"/>
      <c r="AJ189" s="11"/>
      <c r="AK189" s="11"/>
      <c r="AL189" s="96"/>
      <c r="AM189" s="45">
        <f t="shared" si="36"/>
        <v>0</v>
      </c>
      <c r="AN189" s="11"/>
      <c r="AO189" s="67"/>
      <c r="AP189" s="142">
        <f>_xlfn.XLOOKUP(E189,[9]工资核对的全字段!$C:$C,[9]工资核对的全字段!$CW:$CW,0)</f>
        <v>0</v>
      </c>
      <c r="AQ189" s="36">
        <f t="shared" si="20"/>
        <v>0</v>
      </c>
    </row>
    <row r="190" spans="1:43" x14ac:dyDescent="0.15">
      <c r="A190" s="55" t="s">
        <v>41</v>
      </c>
      <c r="B190" s="62" t="s">
        <v>244</v>
      </c>
      <c r="C190" s="60" t="s">
        <v>9</v>
      </c>
      <c r="D190" s="61" t="s">
        <v>9</v>
      </c>
      <c r="E190" s="61" t="s">
        <v>251</v>
      </c>
      <c r="F190" s="11">
        <f t="shared" si="31"/>
        <v>17521.7</v>
      </c>
      <c r="G190" s="11">
        <v>7961.7</v>
      </c>
      <c r="H190" s="11">
        <v>9560</v>
      </c>
      <c r="I190" s="11">
        <v>0</v>
      </c>
      <c r="J190" s="50"/>
      <c r="K190" s="11"/>
      <c r="L190" s="68"/>
      <c r="M190" s="68"/>
      <c r="N190" s="45">
        <f t="shared" si="32"/>
        <v>0</v>
      </c>
      <c r="O190" s="45">
        <f t="shared" si="33"/>
        <v>0</v>
      </c>
      <c r="P190" s="45"/>
      <c r="Q190" s="45">
        <v>359</v>
      </c>
      <c r="R190" s="45">
        <f t="shared" si="34"/>
        <v>359</v>
      </c>
      <c r="S190" s="11"/>
      <c r="T190" s="45"/>
      <c r="U190" s="11"/>
      <c r="V190" s="11"/>
      <c r="W190" s="11"/>
      <c r="X190" s="11"/>
      <c r="Y190" s="11"/>
      <c r="Z190" s="11"/>
      <c r="AA190" s="45">
        <f t="shared" si="35"/>
        <v>359</v>
      </c>
      <c r="AB190" s="11"/>
      <c r="AC190" s="50"/>
      <c r="AD190" s="11"/>
      <c r="AE190" s="11"/>
      <c r="AF190" s="11"/>
      <c r="AG190" s="11"/>
      <c r="AH190" s="11"/>
      <c r="AI190" s="11"/>
      <c r="AJ190" s="11"/>
      <c r="AK190" s="11"/>
      <c r="AL190" s="96"/>
      <c r="AM190" s="45">
        <f t="shared" si="36"/>
        <v>359</v>
      </c>
      <c r="AN190" s="11"/>
      <c r="AO190" s="67"/>
      <c r="AP190" s="142">
        <f>_xlfn.XLOOKUP(E190,[9]工资核对的全字段!$C:$C,[9]工资核对的全字段!$CW:$CW,0)</f>
        <v>359.39250000000004</v>
      </c>
      <c r="AQ190" s="36">
        <f t="shared" si="20"/>
        <v>0.39250000000004093</v>
      </c>
    </row>
    <row r="191" spans="1:43" x14ac:dyDescent="0.15">
      <c r="A191" s="55" t="s">
        <v>41</v>
      </c>
      <c r="B191" s="62" t="s">
        <v>252</v>
      </c>
      <c r="C191" s="57" t="s">
        <v>253</v>
      </c>
      <c r="D191" s="58" t="s">
        <v>43</v>
      </c>
      <c r="E191" s="58" t="s">
        <v>254</v>
      </c>
      <c r="F191" s="11">
        <f t="shared" si="31"/>
        <v>54822</v>
      </c>
      <c r="G191" s="11">
        <v>23867</v>
      </c>
      <c r="H191" s="11">
        <v>29179</v>
      </c>
      <c r="I191" s="11">
        <v>1776</v>
      </c>
      <c r="J191" s="50"/>
      <c r="K191" s="11"/>
      <c r="L191" s="68">
        <f>F191/$K$194</f>
        <v>0.57439518875140139</v>
      </c>
      <c r="M191" s="68">
        <v>0.05</v>
      </c>
      <c r="N191" s="45">
        <f t="shared" si="32"/>
        <v>1133.6824999999999</v>
      </c>
      <c r="O191" s="45">
        <f t="shared" si="33"/>
        <v>900.90162500000008</v>
      </c>
      <c r="P191" s="45">
        <f>K194*0.008</f>
        <v>763.54399999999998</v>
      </c>
      <c r="Q191" s="45"/>
      <c r="R191" s="45">
        <f t="shared" si="34"/>
        <v>2798.1281249999997</v>
      </c>
      <c r="S191" s="11">
        <f>_xlfn.XLOOKUP(E:E,'[1]②7月-汇总'!$D:$D,'[1]②7月-汇总'!$AP:$AP)</f>
        <v>31</v>
      </c>
      <c r="T191" s="45">
        <v>2000</v>
      </c>
      <c r="U191" s="11">
        <f>_xlfn.XLOOKUP(E:E,'[2]手工、项目数、消耗'!$C:$C,'[2]手工、项目数、消耗'!$E:$E)</f>
        <v>43190.45</v>
      </c>
      <c r="V191" s="11">
        <f>_xlfn.XLOOKUP(E:E,'[2]手工、项目数、消耗'!$C:$C,'[2]手工、项目数、消耗'!$D:$D)</f>
        <v>110</v>
      </c>
      <c r="W191" s="11">
        <f>_xlfn.XLOOKUP(E:E,'[2]手工、项目数、消耗'!$C:$C,'[2]手工、项目数、消耗'!$H:$H)</f>
        <v>1112</v>
      </c>
      <c r="X191" s="11">
        <f>_xlfn.XLOOKUP(E:E,'[1]②7月-汇总'!$D:$D,'[1]②7月-汇总'!$W:$W)</f>
        <v>20</v>
      </c>
      <c r="Y191" s="11">
        <f>_xlfn.XLOOKUP(E:E,'[1]②7月-汇总'!$D:$D,'[1]②7月-汇总'!$Z:$Z)</f>
        <v>0</v>
      </c>
      <c r="Z191" s="11">
        <f>_xlfn.XLOOKUP(E:E,'[1]②7月-汇总'!$D:$D,'[1]②7月-汇总'!$AI:$AI)</f>
        <v>0</v>
      </c>
      <c r="AA191" s="45">
        <f t="shared" si="35"/>
        <v>5930.1281249999993</v>
      </c>
      <c r="AB191" s="11"/>
      <c r="AC191" s="50"/>
      <c r="AD191" s="11">
        <f>_xlfn.XLOOKUP(E:E,'[1]②7月-汇总'!$D:$D,'[1]②7月-汇总'!$AC:$AC)</f>
        <v>0</v>
      </c>
      <c r="AE191" s="11">
        <f>_xlfn.XLOOKUP(E:E,[3]Sheet1!$B:$B,[3]Sheet1!$L:$L)</f>
        <v>638.75599999999997</v>
      </c>
      <c r="AF191" s="11">
        <f>_xlfn.XLOOKUP(E:E,'[1]②7月-汇总'!$D:$D,'[1]②7月-汇总'!$AD:$AD)</f>
        <v>0</v>
      </c>
      <c r="AG191" s="11">
        <f>_xlfn.XLOOKUP(E:E,'[1]②7月-汇总'!$D:$D,'[1]②7月-汇总'!$Y:$Y)</f>
        <v>0</v>
      </c>
      <c r="AH191" s="11">
        <f>_xlfn.XLOOKUP(E:E,'[1]②7月-汇总'!$D:$D,'[1]②7月-汇总'!$L:$L)</f>
        <v>0</v>
      </c>
      <c r="AI191" s="11">
        <f>_xlfn.XLOOKUP(E:E,'[1]②7月-汇总'!$D:$D,'[1]②7月-汇总'!$X:$X)</f>
        <v>0</v>
      </c>
      <c r="AJ191" s="11">
        <f>_xlfn.XLOOKUP(E:E,'[1]②7月-汇总'!$D:$D,'[1]②7月-汇总'!$AB:$AB)</f>
        <v>0</v>
      </c>
      <c r="AK191" s="11">
        <f>_xlfn.XLOOKUP(E:E,'[1]②7月-汇总'!$D:$D,'[1]②7月-汇总'!$AE:$AE)</f>
        <v>0</v>
      </c>
      <c r="AL191" s="96"/>
      <c r="AM191" s="45">
        <f t="shared" si="36"/>
        <v>5291.372124999999</v>
      </c>
      <c r="AN191" s="11">
        <f>_xlfn.XLOOKUP(E:E,'[1]①7月-花名册'!$E:$E,'[1]①7月-花名册'!$T:$T)</f>
        <v>0</v>
      </c>
      <c r="AO191" s="67"/>
      <c r="AP191" s="142">
        <f>_xlfn.XLOOKUP(E191,[9]工资核对的全字段!$C:$C,[9]工资核对的全字段!$CW:$CW,0)</f>
        <v>5291.3781250000002</v>
      </c>
      <c r="AQ191" s="36">
        <f t="shared" si="20"/>
        <v>6.0000000012223609E-3</v>
      </c>
    </row>
    <row r="192" spans="1:43" x14ac:dyDescent="0.15">
      <c r="A192" s="55" t="s">
        <v>41</v>
      </c>
      <c r="B192" s="62" t="s">
        <v>252</v>
      </c>
      <c r="C192" s="57" t="s">
        <v>253</v>
      </c>
      <c r="D192" s="58" t="s">
        <v>4</v>
      </c>
      <c r="E192" s="58" t="s">
        <v>255</v>
      </c>
      <c r="F192" s="11">
        <f t="shared" si="31"/>
        <v>14630</v>
      </c>
      <c r="G192" s="11">
        <v>7030</v>
      </c>
      <c r="H192" s="11">
        <v>6980</v>
      </c>
      <c r="I192" s="11">
        <v>620</v>
      </c>
      <c r="J192" s="50"/>
      <c r="K192" s="11"/>
      <c r="L192" s="68">
        <f>F192/$K$194</f>
        <v>0.15328520687740327</v>
      </c>
      <c r="M192" s="68">
        <v>0.05</v>
      </c>
      <c r="N192" s="45">
        <f t="shared" si="32"/>
        <v>333.92500000000001</v>
      </c>
      <c r="O192" s="45">
        <f t="shared" si="33"/>
        <v>215.50749999999999</v>
      </c>
      <c r="P192" s="45"/>
      <c r="Q192" s="45"/>
      <c r="R192" s="45">
        <f t="shared" si="34"/>
        <v>549.4325</v>
      </c>
      <c r="S192" s="11">
        <f>_xlfn.XLOOKUP(E:E,'[1]②7月-汇总'!$D:$D,'[1]②7月-汇总'!$AP:$AP)</f>
        <v>31</v>
      </c>
      <c r="T192" s="45">
        <v>2000</v>
      </c>
      <c r="U192" s="11">
        <f>_xlfn.XLOOKUP(E:E,'[2]手工、项目数、消耗'!$C:$C,'[2]手工、项目数、消耗'!$E:$E)</f>
        <v>14369.11</v>
      </c>
      <c r="V192" s="11">
        <f>_xlfn.XLOOKUP(E:E,'[2]手工、项目数、消耗'!$C:$C,'[2]手工、项目数、消耗'!$D:$D)</f>
        <v>95</v>
      </c>
      <c r="W192" s="11">
        <f>_xlfn.XLOOKUP(E:E,'[2]手工、项目数、消耗'!$C:$C,'[2]手工、项目数、消耗'!$H:$H)</f>
        <v>1073</v>
      </c>
      <c r="X192" s="11">
        <f>_xlfn.XLOOKUP(E:E,'[1]②7月-汇总'!$D:$D,'[1]②7月-汇总'!$W:$W)</f>
        <v>0</v>
      </c>
      <c r="Y192" s="11">
        <f>_xlfn.XLOOKUP(E:E,'[1]②7月-汇总'!$D:$D,'[1]②7月-汇总'!$Z:$Z)</f>
        <v>0</v>
      </c>
      <c r="Z192" s="11">
        <f>_xlfn.XLOOKUP(E:E,'[1]②7月-汇总'!$D:$D,'[1]②7月-汇总'!$AI:$AI)</f>
        <v>0</v>
      </c>
      <c r="AA192" s="45">
        <f t="shared" si="35"/>
        <v>3622.4324999999999</v>
      </c>
      <c r="AB192" s="11"/>
      <c r="AC192" s="50"/>
      <c r="AD192" s="11">
        <f>_xlfn.XLOOKUP(E:E,'[1]②7月-汇总'!$D:$D,'[1]②7月-汇总'!$AC:$AC)</f>
        <v>100</v>
      </c>
      <c r="AE192" s="11"/>
      <c r="AF192" s="11">
        <f>_xlfn.XLOOKUP(E:E,'[1]②7月-汇总'!$D:$D,'[1]②7月-汇总'!$AD:$AD)</f>
        <v>0</v>
      </c>
      <c r="AG192" s="11">
        <f>_xlfn.XLOOKUP(E:E,'[1]②7月-汇总'!$D:$D,'[1]②7月-汇总'!$Y:$Y)</f>
        <v>0</v>
      </c>
      <c r="AH192" s="11">
        <f>_xlfn.XLOOKUP(E:E,'[1]②7月-汇总'!$D:$D,'[1]②7月-汇总'!$L:$L)</f>
        <v>0</v>
      </c>
      <c r="AI192" s="11">
        <f>_xlfn.XLOOKUP(E:E,'[1]②7月-汇总'!$D:$D,'[1]②7月-汇总'!$X:$X)</f>
        <v>90</v>
      </c>
      <c r="AJ192" s="11">
        <f>_xlfn.XLOOKUP(E:E,'[1]②7月-汇总'!$D:$D,'[1]②7月-汇总'!$AB:$AB)</f>
        <v>0</v>
      </c>
      <c r="AK192" s="11">
        <f>_xlfn.XLOOKUP(E:E,'[1]②7月-汇总'!$D:$D,'[1]②7月-汇总'!$AE:$AE)</f>
        <v>0</v>
      </c>
      <c r="AL192" s="96"/>
      <c r="AM192" s="45">
        <f t="shared" si="36"/>
        <v>3432.4324999999999</v>
      </c>
      <c r="AN192" s="11">
        <f>_xlfn.XLOOKUP(E:E,'[1]①7月-花名册'!$E:$E,'[1]①7月-花名册'!$T:$T)</f>
        <v>0</v>
      </c>
      <c r="AO192" s="67"/>
      <c r="AP192" s="142">
        <f>_xlfn.XLOOKUP(E192,[9]工资核对的全字段!$C:$C,[9]工资核对的全字段!$CW:$CW,0)</f>
        <v>3432.4324999999999</v>
      </c>
      <c r="AQ192" s="36">
        <f t="shared" si="20"/>
        <v>0</v>
      </c>
    </row>
    <row r="193" spans="1:43" x14ac:dyDescent="0.15">
      <c r="A193" s="55" t="s">
        <v>41</v>
      </c>
      <c r="B193" s="62" t="s">
        <v>252</v>
      </c>
      <c r="C193" s="57" t="s">
        <v>253</v>
      </c>
      <c r="D193" s="58" t="s">
        <v>4</v>
      </c>
      <c r="E193" s="58" t="s">
        <v>256</v>
      </c>
      <c r="F193" s="11">
        <f t="shared" si="31"/>
        <v>25991</v>
      </c>
      <c r="G193" s="11">
        <v>22992</v>
      </c>
      <c r="H193" s="11">
        <v>2999</v>
      </c>
      <c r="I193" s="11">
        <v>0</v>
      </c>
      <c r="J193" s="50"/>
      <c r="K193" s="11"/>
      <c r="L193" s="68">
        <f>F193/$K$194</f>
        <v>0.2723196043711954</v>
      </c>
      <c r="M193" s="68">
        <v>0.05</v>
      </c>
      <c r="N193" s="45">
        <f t="shared" si="32"/>
        <v>1092.1199999999999</v>
      </c>
      <c r="O193" s="45">
        <f t="shared" si="33"/>
        <v>92.594125000000005</v>
      </c>
      <c r="P193" s="45"/>
      <c r="Q193" s="45"/>
      <c r="R193" s="45">
        <f t="shared" si="34"/>
        <v>1184.714125</v>
      </c>
      <c r="S193" s="11">
        <f>_xlfn.XLOOKUP(E:E,'[1]②7月-汇总'!$D:$D,'[1]②7月-汇总'!$AP:$AP)</f>
        <v>31</v>
      </c>
      <c r="T193" s="45">
        <v>2000</v>
      </c>
      <c r="U193" s="11">
        <f>_xlfn.XLOOKUP(E:E,'[2]手工、项目数、消耗'!$C:$C,'[2]手工、项目数、消耗'!$E:$E)</f>
        <v>12371.53</v>
      </c>
      <c r="V193" s="11">
        <f>_xlfn.XLOOKUP(E:E,'[2]手工、项目数、消耗'!$C:$C,'[2]手工、项目数、消耗'!$D:$D)</f>
        <v>97</v>
      </c>
      <c r="W193" s="11">
        <f>_xlfn.XLOOKUP(E:E,'[2]手工、项目数、消耗'!$C:$C,'[2]手工、项目数、消耗'!$H:$H)</f>
        <v>1064</v>
      </c>
      <c r="X193" s="11">
        <f>_xlfn.XLOOKUP(E:E,'[1]②7月-汇总'!$D:$D,'[1]②7月-汇总'!$W:$W)</f>
        <v>0</v>
      </c>
      <c r="Y193" s="11">
        <f>_xlfn.XLOOKUP(E:E,'[1]②7月-汇总'!$D:$D,'[1]②7月-汇总'!$Z:$Z)</f>
        <v>50</v>
      </c>
      <c r="Z193" s="11">
        <f>_xlfn.XLOOKUP(E:E,'[1]②7月-汇总'!$D:$D,'[1]②7月-汇总'!$AI:$AI)</f>
        <v>0</v>
      </c>
      <c r="AA193" s="45">
        <f t="shared" si="35"/>
        <v>4298.7141250000004</v>
      </c>
      <c r="AB193" s="11"/>
      <c r="AC193" s="50"/>
      <c r="AD193" s="11">
        <f>_xlfn.XLOOKUP(E:E,'[1]②7月-汇总'!$D:$D,'[1]②7月-汇总'!$AC:$AC)</f>
        <v>0</v>
      </c>
      <c r="AE193" s="11"/>
      <c r="AF193" s="11">
        <f>_xlfn.XLOOKUP(E:E,'[1]②7月-汇总'!$D:$D,'[1]②7月-汇总'!$AD:$AD)</f>
        <v>0</v>
      </c>
      <c r="AG193" s="11">
        <f>_xlfn.XLOOKUP(E:E,'[1]②7月-汇总'!$D:$D,'[1]②7月-汇总'!$Y:$Y)</f>
        <v>0</v>
      </c>
      <c r="AH193" s="11">
        <f>_xlfn.XLOOKUP(E:E,'[1]②7月-汇总'!$D:$D,'[1]②7月-汇总'!$L:$L)</f>
        <v>0</v>
      </c>
      <c r="AI193" s="11">
        <f>_xlfn.XLOOKUP(E:E,'[1]②7月-汇总'!$D:$D,'[1]②7月-汇总'!$X:$X)</f>
        <v>0</v>
      </c>
      <c r="AJ193" s="11">
        <f>_xlfn.XLOOKUP(E:E,'[1]②7月-汇总'!$D:$D,'[1]②7月-汇总'!$AB:$AB)</f>
        <v>0</v>
      </c>
      <c r="AK193" s="11">
        <f>_xlfn.XLOOKUP(E:E,'[1]②7月-汇总'!$D:$D,'[1]②7月-汇总'!$AE:$AE)</f>
        <v>0</v>
      </c>
      <c r="AL193" s="96"/>
      <c r="AM193" s="45">
        <f t="shared" si="36"/>
        <v>4298.7141250000004</v>
      </c>
      <c r="AN193" s="11">
        <f>_xlfn.XLOOKUP(E:E,'[1]①7月-花名册'!$E:$E,'[1]①7月-花名册'!$T:$T)</f>
        <v>0</v>
      </c>
      <c r="AO193" s="67"/>
      <c r="AP193" s="142">
        <f>_xlfn.XLOOKUP(E193,[9]工资核对的全字段!$C:$C,[9]工资核对的全字段!$CW:$CW,0)</f>
        <v>4298.7141250000004</v>
      </c>
      <c r="AQ193" s="36">
        <f t="shared" si="20"/>
        <v>0</v>
      </c>
    </row>
    <row r="194" spans="1:43" x14ac:dyDescent="0.15">
      <c r="A194" s="55" t="s">
        <v>41</v>
      </c>
      <c r="B194" s="62" t="str">
        <f>B193</f>
        <v>川师</v>
      </c>
      <c r="C194" s="57" t="s">
        <v>47</v>
      </c>
      <c r="D194" s="58" t="s">
        <v>47</v>
      </c>
      <c r="E194" s="58" t="s">
        <v>47</v>
      </c>
      <c r="F194" s="11">
        <f t="shared" si="31"/>
        <v>0</v>
      </c>
      <c r="G194" s="11">
        <v>0</v>
      </c>
      <c r="H194" s="11">
        <v>0</v>
      </c>
      <c r="I194" s="11">
        <v>0</v>
      </c>
      <c r="J194" s="50"/>
      <c r="K194" s="11">
        <v>95443</v>
      </c>
      <c r="L194" s="68"/>
      <c r="M194" s="68"/>
      <c r="N194" s="45">
        <f t="shared" si="32"/>
        <v>0</v>
      </c>
      <c r="O194" s="45">
        <f t="shared" si="33"/>
        <v>0</v>
      </c>
      <c r="P194" s="45"/>
      <c r="Q194" s="45"/>
      <c r="R194" s="45">
        <f t="shared" si="34"/>
        <v>0</v>
      </c>
      <c r="S194" s="11"/>
      <c r="T194" s="45"/>
      <c r="U194" s="11"/>
      <c r="V194" s="11"/>
      <c r="W194" s="11"/>
      <c r="X194" s="11"/>
      <c r="Y194" s="11"/>
      <c r="Z194" s="11"/>
      <c r="AA194" s="45">
        <f t="shared" si="35"/>
        <v>0</v>
      </c>
      <c r="AB194" s="11"/>
      <c r="AC194" s="50"/>
      <c r="AD194" s="11"/>
      <c r="AE194" s="11"/>
      <c r="AF194" s="11"/>
      <c r="AG194" s="11"/>
      <c r="AH194" s="11"/>
      <c r="AI194" s="11"/>
      <c r="AJ194" s="11"/>
      <c r="AK194" s="11"/>
      <c r="AL194" s="96"/>
      <c r="AM194" s="45">
        <f t="shared" si="36"/>
        <v>0</v>
      </c>
      <c r="AN194" s="11"/>
      <c r="AO194" s="67"/>
      <c r="AP194" s="142">
        <f>_xlfn.XLOOKUP(E194,[9]工资核对的全字段!$C:$C,[9]工资核对的全字段!$CW:$CW,0)</f>
        <v>0</v>
      </c>
      <c r="AQ194" s="36">
        <f t="shared" si="20"/>
        <v>0</v>
      </c>
    </row>
    <row r="195" spans="1:43" x14ac:dyDescent="0.15">
      <c r="A195" s="55" t="s">
        <v>41</v>
      </c>
      <c r="B195" s="62" t="s">
        <v>252</v>
      </c>
      <c r="C195" s="57" t="s">
        <v>257</v>
      </c>
      <c r="D195" s="58" t="s">
        <v>43</v>
      </c>
      <c r="E195" s="58" t="s">
        <v>258</v>
      </c>
      <c r="F195" s="11">
        <f t="shared" si="31"/>
        <v>61101</v>
      </c>
      <c r="G195" s="11">
        <v>57228</v>
      </c>
      <c r="H195" s="11">
        <v>2786</v>
      </c>
      <c r="I195" s="11">
        <v>1087</v>
      </c>
      <c r="J195" s="50"/>
      <c r="K195" s="11"/>
      <c r="L195" s="68">
        <f>F195/$K$197</f>
        <v>0.5564906144976639</v>
      </c>
      <c r="M195" s="68">
        <v>0.06</v>
      </c>
      <c r="N195" s="45">
        <f t="shared" si="32"/>
        <v>3261.9959999999996</v>
      </c>
      <c r="O195" s="45">
        <f t="shared" si="33"/>
        <v>103.2213</v>
      </c>
      <c r="P195" s="45">
        <f>K197*0.003</f>
        <v>329.39100000000002</v>
      </c>
      <c r="Q195" s="45"/>
      <c r="R195" s="45">
        <f t="shared" ref="R195:R232" si="37">N195+O195+P195+Q195</f>
        <v>3694.6082999999999</v>
      </c>
      <c r="S195" s="11">
        <f>_xlfn.XLOOKUP(E:E,'[1]②7月-汇总'!$D:$D,'[1]②7月-汇总'!$AP:$AP)</f>
        <v>31</v>
      </c>
      <c r="T195" s="45">
        <v>2000</v>
      </c>
      <c r="U195" s="11">
        <f>_xlfn.XLOOKUP(E:E,'[2]手工、项目数、消耗'!$C:$C,'[2]手工、项目数、消耗'!$E:$E)</f>
        <v>25702.1</v>
      </c>
      <c r="V195" s="11">
        <f>_xlfn.XLOOKUP(E:E,'[2]手工、项目数、消耗'!$C:$C,'[2]手工、项目数、消耗'!$D:$D)</f>
        <v>125</v>
      </c>
      <c r="W195" s="11">
        <f>_xlfn.XLOOKUP(E:E,'[2]手工、项目数、消耗'!$C:$C,'[2]手工、项目数、消耗'!$H:$H)</f>
        <v>1995</v>
      </c>
      <c r="X195" s="11">
        <f>_xlfn.XLOOKUP(E:E,'[1]②7月-汇总'!$D:$D,'[1]②7月-汇总'!$W:$W)</f>
        <v>0</v>
      </c>
      <c r="Y195" s="11">
        <f>_xlfn.XLOOKUP(E:E,'[1]②7月-汇总'!$D:$D,'[1]②7月-汇总'!$Z:$Z)</f>
        <v>0</v>
      </c>
      <c r="Z195" s="11">
        <f>_xlfn.XLOOKUP(E:E,'[1]②7月-汇总'!$D:$D,'[1]②7月-汇总'!$AI:$AI)</f>
        <v>0</v>
      </c>
      <c r="AA195" s="45">
        <f t="shared" ref="AA195:AA232" si="38">R195+T195+W195+X195+Y195+Z195</f>
        <v>7689.6082999999999</v>
      </c>
      <c r="AB195" s="11">
        <v>199</v>
      </c>
      <c r="AC195" s="50"/>
      <c r="AD195" s="11">
        <f>_xlfn.XLOOKUP(E:E,'[1]②7月-汇总'!$D:$D,'[1]②7月-汇总'!$AC:$AC)</f>
        <v>0</v>
      </c>
      <c r="AE195" s="11">
        <f>_xlfn.XLOOKUP(E:E,[3]Sheet1!$B:$B,[3]Sheet1!$L:$L)</f>
        <v>454.70800000000003</v>
      </c>
      <c r="AF195" s="11">
        <f>_xlfn.XLOOKUP(E:E,'[1]②7月-汇总'!$D:$D,'[1]②7月-汇总'!$AD:$AD)</f>
        <v>0</v>
      </c>
      <c r="AG195" s="11">
        <f>_xlfn.XLOOKUP(E:E,'[1]②7月-汇总'!$D:$D,'[1]②7月-汇总'!$Y:$Y)</f>
        <v>40</v>
      </c>
      <c r="AH195" s="11">
        <f>_xlfn.XLOOKUP(E:E,'[1]②7月-汇总'!$D:$D,'[1]②7月-汇总'!$L:$L)</f>
        <v>0</v>
      </c>
      <c r="AI195" s="11">
        <f>_xlfn.XLOOKUP(E:E,'[1]②7月-汇总'!$D:$D,'[1]②7月-汇总'!$X:$X)</f>
        <v>90</v>
      </c>
      <c r="AJ195" s="11">
        <f>_xlfn.XLOOKUP(E:E,'[1]②7月-汇总'!$D:$D,'[1]②7月-汇总'!$AB:$AB)</f>
        <v>0</v>
      </c>
      <c r="AK195" s="11">
        <f>_xlfn.XLOOKUP(E:E,'[1]②7月-汇总'!$D:$D,'[1]②7月-汇总'!$AE:$AE)</f>
        <v>300</v>
      </c>
      <c r="AL195" s="96"/>
      <c r="AM195" s="45">
        <f t="shared" ref="AM195:AM232" si="39">AA195+AB195-AC195-AD195-AE195-AF195-AG195-AI195-AJ195+AK195+AL195</f>
        <v>7603.9003000000002</v>
      </c>
      <c r="AN195" s="11">
        <f>_xlfn.XLOOKUP(E:E,'[1]①7月-花名册'!$E:$E,'[1]①7月-花名册'!$T:$T)</f>
        <v>0</v>
      </c>
      <c r="AO195" s="67"/>
      <c r="AP195" s="142">
        <f>_xlfn.XLOOKUP(E195,[9]工资核对的全字段!$C:$C,[9]工资核对的全字段!$CW:$CW,0)</f>
        <v>7603.9092999999993</v>
      </c>
      <c r="AQ195" s="36">
        <f t="shared" ref="AQ195:AQ232" si="40">AP195-AM195</f>
        <v>8.9999999991050572E-3</v>
      </c>
    </row>
    <row r="196" spans="1:43" x14ac:dyDescent="0.15">
      <c r="A196" s="55" t="s">
        <v>41</v>
      </c>
      <c r="B196" s="62" t="s">
        <v>252</v>
      </c>
      <c r="C196" s="57" t="s">
        <v>257</v>
      </c>
      <c r="D196" s="58" t="s">
        <v>4</v>
      </c>
      <c r="E196" s="58" t="s">
        <v>259</v>
      </c>
      <c r="F196" s="11">
        <f t="shared" si="31"/>
        <v>48696</v>
      </c>
      <c r="G196" s="11">
        <v>30216</v>
      </c>
      <c r="H196" s="11">
        <v>17592</v>
      </c>
      <c r="I196" s="11">
        <v>888</v>
      </c>
      <c r="J196" s="50"/>
      <c r="K196" s="11"/>
      <c r="L196" s="68">
        <f>F196/$K$197</f>
        <v>0.44350938550233615</v>
      </c>
      <c r="M196" s="68">
        <v>0.06</v>
      </c>
      <c r="N196" s="45">
        <f t="shared" si="32"/>
        <v>1722.3119999999997</v>
      </c>
      <c r="O196" s="45">
        <f t="shared" si="33"/>
        <v>651.78360000000009</v>
      </c>
      <c r="P196" s="45"/>
      <c r="Q196" s="45"/>
      <c r="R196" s="45">
        <f t="shared" si="37"/>
        <v>2374.0955999999996</v>
      </c>
      <c r="S196" s="11">
        <f>_xlfn.XLOOKUP(E:E,'[1]②7月-汇总'!$D:$D,'[1]②7月-汇总'!$AP:$AP)</f>
        <v>31</v>
      </c>
      <c r="T196" s="45">
        <v>2000</v>
      </c>
      <c r="U196" s="11">
        <f>_xlfn.XLOOKUP(E:E,'[2]手工、项目数、消耗'!$C:$C,'[2]手工、项目数、消耗'!$E:$E)</f>
        <v>31950.77</v>
      </c>
      <c r="V196" s="11">
        <f>_xlfn.XLOOKUP(E:E,'[2]手工、项目数、消耗'!$C:$C,'[2]手工、项目数、消耗'!$D:$D)</f>
        <v>113</v>
      </c>
      <c r="W196" s="11">
        <f>_xlfn.XLOOKUP(E:E,'[2]手工、项目数、消耗'!$C:$C,'[2]手工、项目数、消耗'!$H:$H)</f>
        <v>1231</v>
      </c>
      <c r="X196" s="11">
        <f>_xlfn.XLOOKUP(E:E,'[1]②7月-汇总'!$D:$D,'[1]②7月-汇总'!$W:$W)</f>
        <v>0</v>
      </c>
      <c r="Y196" s="11">
        <f>_xlfn.XLOOKUP(E:E,'[1]②7月-汇总'!$D:$D,'[1]②7月-汇总'!$Z:$Z)</f>
        <v>0</v>
      </c>
      <c r="Z196" s="11">
        <f>_xlfn.XLOOKUP(E:E,'[1]②7月-汇总'!$D:$D,'[1]②7月-汇总'!$AI:$AI)</f>
        <v>0</v>
      </c>
      <c r="AA196" s="45">
        <f t="shared" si="38"/>
        <v>5605.0955999999996</v>
      </c>
      <c r="AB196" s="11"/>
      <c r="AC196" s="50"/>
      <c r="AD196" s="11">
        <f>_xlfn.XLOOKUP(E:E,'[1]②7月-汇总'!$D:$D,'[1]②7月-汇总'!$AC:$AC)</f>
        <v>0</v>
      </c>
      <c r="AE196" s="11"/>
      <c r="AF196" s="11">
        <f>_xlfn.XLOOKUP(E:E,'[1]②7月-汇总'!$D:$D,'[1]②7月-汇总'!$AD:$AD)</f>
        <v>0</v>
      </c>
      <c r="AG196" s="11">
        <f>_xlfn.XLOOKUP(E:E,'[1]②7月-汇总'!$D:$D,'[1]②7月-汇总'!$Y:$Y)</f>
        <v>0</v>
      </c>
      <c r="AH196" s="11">
        <f>_xlfn.XLOOKUP(E:E,'[1]②7月-汇总'!$D:$D,'[1]②7月-汇总'!$L:$L)</f>
        <v>0</v>
      </c>
      <c r="AI196" s="11">
        <f>_xlfn.XLOOKUP(E:E,'[1]②7月-汇总'!$D:$D,'[1]②7月-汇总'!$X:$X)</f>
        <v>10</v>
      </c>
      <c r="AJ196" s="11">
        <f>_xlfn.XLOOKUP(E:E,'[1]②7月-汇总'!$D:$D,'[1]②7月-汇总'!$AB:$AB)</f>
        <v>0</v>
      </c>
      <c r="AK196" s="11">
        <f>_xlfn.XLOOKUP(E:E,'[1]②7月-汇总'!$D:$D,'[1]②7月-汇总'!$AE:$AE)</f>
        <v>0</v>
      </c>
      <c r="AL196" s="96"/>
      <c r="AM196" s="45">
        <f t="shared" si="39"/>
        <v>5595.0955999999996</v>
      </c>
      <c r="AN196" s="11">
        <f>_xlfn.XLOOKUP(E:E,'[1]①7月-花名册'!$E:$E,'[1]①7月-花名册'!$T:$T)</f>
        <v>0</v>
      </c>
      <c r="AO196" s="67"/>
      <c r="AP196" s="142">
        <f>_xlfn.XLOOKUP(E196,[9]工资核对的全字段!$C:$C,[9]工资核对的全字段!$CW:$CW,0)</f>
        <v>5595.0955999999996</v>
      </c>
      <c r="AQ196" s="36">
        <f t="shared" si="40"/>
        <v>0</v>
      </c>
    </row>
    <row r="197" spans="1:43" x14ac:dyDescent="0.15">
      <c r="A197" s="55" t="s">
        <v>41</v>
      </c>
      <c r="B197" s="62" t="str">
        <f>B196</f>
        <v>川师</v>
      </c>
      <c r="C197" s="57" t="s">
        <v>47</v>
      </c>
      <c r="D197" s="58" t="s">
        <v>47</v>
      </c>
      <c r="E197" s="58" t="s">
        <v>47</v>
      </c>
      <c r="F197" s="11">
        <f t="shared" si="31"/>
        <v>0</v>
      </c>
      <c r="G197" s="11">
        <v>0</v>
      </c>
      <c r="H197" s="11">
        <v>0</v>
      </c>
      <c r="I197" s="11">
        <v>0</v>
      </c>
      <c r="J197" s="50"/>
      <c r="K197" s="11">
        <v>109797</v>
      </c>
      <c r="L197" s="68"/>
      <c r="M197" s="68"/>
      <c r="N197" s="45">
        <f t="shared" si="32"/>
        <v>0</v>
      </c>
      <c r="O197" s="45">
        <f t="shared" si="33"/>
        <v>0</v>
      </c>
      <c r="P197" s="45"/>
      <c r="Q197" s="45"/>
      <c r="R197" s="45">
        <f t="shared" si="37"/>
        <v>0</v>
      </c>
      <c r="S197" s="11"/>
      <c r="T197" s="45"/>
      <c r="U197" s="11"/>
      <c r="V197" s="11"/>
      <c r="W197" s="11"/>
      <c r="X197" s="11"/>
      <c r="Y197" s="11"/>
      <c r="Z197" s="11"/>
      <c r="AA197" s="45">
        <f t="shared" si="38"/>
        <v>0</v>
      </c>
      <c r="AB197" s="11"/>
      <c r="AC197" s="50"/>
      <c r="AD197" s="11"/>
      <c r="AE197" s="11"/>
      <c r="AF197" s="11"/>
      <c r="AG197" s="11"/>
      <c r="AH197" s="11"/>
      <c r="AI197" s="11"/>
      <c r="AJ197" s="11"/>
      <c r="AK197" s="11"/>
      <c r="AL197" s="96"/>
      <c r="AM197" s="45">
        <f t="shared" si="39"/>
        <v>0</v>
      </c>
      <c r="AN197" s="11"/>
      <c r="AO197" s="67"/>
      <c r="AP197" s="142">
        <f>_xlfn.XLOOKUP(E197,[9]工资核对的全字段!$C:$C,[9]工资核对的全字段!$CW:$CW,0)</f>
        <v>0</v>
      </c>
      <c r="AQ197" s="36">
        <f t="shared" si="40"/>
        <v>0</v>
      </c>
    </row>
    <row r="198" spans="1:43" x14ac:dyDescent="0.15">
      <c r="A198" s="55" t="s">
        <v>41</v>
      </c>
      <c r="B198" s="62" t="s">
        <v>252</v>
      </c>
      <c r="C198" s="60" t="s">
        <v>9</v>
      </c>
      <c r="D198" s="61" t="s">
        <v>9</v>
      </c>
      <c r="E198" s="61" t="s">
        <v>260</v>
      </c>
      <c r="F198" s="11">
        <f t="shared" ref="F198:F232" si="41">G198+H198+I198</f>
        <v>-199</v>
      </c>
      <c r="G198" s="11">
        <v>0</v>
      </c>
      <c r="H198" s="11">
        <v>-199</v>
      </c>
      <c r="I198" s="11">
        <v>0</v>
      </c>
      <c r="J198" s="50"/>
      <c r="K198" s="11"/>
      <c r="L198" s="68"/>
      <c r="M198" s="68"/>
      <c r="N198" s="45">
        <f t="shared" ref="N198:N232" si="42">G198*0.95*M198</f>
        <v>0</v>
      </c>
      <c r="O198" s="45">
        <f t="shared" ref="O198:O232" si="43">H198*0.65*0.95*M198</f>
        <v>0</v>
      </c>
      <c r="P198" s="45"/>
      <c r="Q198" s="45">
        <v>513</v>
      </c>
      <c r="R198" s="45">
        <f t="shared" si="37"/>
        <v>513</v>
      </c>
      <c r="S198" s="11"/>
      <c r="T198" s="45"/>
      <c r="U198" s="11"/>
      <c r="V198" s="11"/>
      <c r="W198" s="11"/>
      <c r="X198" s="11"/>
      <c r="Y198" s="11"/>
      <c r="Z198" s="11"/>
      <c r="AA198" s="45">
        <f t="shared" si="38"/>
        <v>513</v>
      </c>
      <c r="AB198" s="11"/>
      <c r="AC198" s="50"/>
      <c r="AD198" s="11"/>
      <c r="AE198" s="11"/>
      <c r="AF198" s="11"/>
      <c r="AG198" s="11"/>
      <c r="AH198" s="11"/>
      <c r="AI198" s="11"/>
      <c r="AJ198" s="11"/>
      <c r="AK198" s="11"/>
      <c r="AL198" s="96"/>
      <c r="AM198" s="45">
        <f t="shared" si="39"/>
        <v>513</v>
      </c>
      <c r="AN198" s="11"/>
      <c r="AO198" s="67"/>
      <c r="AP198" s="142">
        <f>_xlfn.XLOOKUP(E198,[9]工资核对的全字段!$C:$C,[9]工资核对的全字段!$CW:$CW,0)</f>
        <v>512.60250000000008</v>
      </c>
      <c r="AQ198" s="36">
        <f t="shared" si="40"/>
        <v>-0.39749999999992269</v>
      </c>
    </row>
    <row r="199" spans="1:43" x14ac:dyDescent="0.15">
      <c r="A199" s="55" t="s">
        <v>41</v>
      </c>
      <c r="B199" s="62" t="s">
        <v>261</v>
      </c>
      <c r="C199" s="57" t="s">
        <v>42</v>
      </c>
      <c r="D199" s="58" t="s">
        <v>43</v>
      </c>
      <c r="E199" s="11" t="s">
        <v>262</v>
      </c>
      <c r="F199" s="11">
        <f t="shared" si="41"/>
        <v>44080</v>
      </c>
      <c r="G199" s="11">
        <v>42992</v>
      </c>
      <c r="H199" s="11">
        <v>200</v>
      </c>
      <c r="I199" s="11">
        <v>888</v>
      </c>
      <c r="J199" s="50"/>
      <c r="K199" s="11"/>
      <c r="L199" s="68">
        <f>F199/$K$201</f>
        <v>0.81187608207168382</v>
      </c>
      <c r="M199" s="68">
        <v>0.04</v>
      </c>
      <c r="N199" s="45">
        <f t="shared" si="42"/>
        <v>1633.6960000000001</v>
      </c>
      <c r="O199" s="45">
        <f t="shared" si="43"/>
        <v>4.9400000000000004</v>
      </c>
      <c r="P199" s="45">
        <v>0</v>
      </c>
      <c r="Q199" s="45"/>
      <c r="R199" s="45">
        <f t="shared" si="37"/>
        <v>1638.6360000000002</v>
      </c>
      <c r="S199" s="11">
        <f>_xlfn.XLOOKUP(E:E,'[1]②7月-汇总'!$D:$D,'[1]②7月-汇总'!$AP:$AP)</f>
        <v>31</v>
      </c>
      <c r="T199" s="45">
        <v>2200</v>
      </c>
      <c r="U199" s="11">
        <f>_xlfn.XLOOKUP(E:E,'[2]手工、项目数、消耗'!$C:$C,'[2]手工、项目数、消耗'!$E:$E)</f>
        <v>25735.17</v>
      </c>
      <c r="V199" s="11">
        <f>_xlfn.XLOOKUP(E:E,'[2]手工、项目数、消耗'!$C:$C,'[2]手工、项目数、消耗'!$D:$D)</f>
        <v>140</v>
      </c>
      <c r="W199" s="11">
        <f>_xlfn.XLOOKUP(E:E,'[2]手工、项目数、消耗'!$C:$C,'[2]手工、项目数、消耗'!$H:$H)</f>
        <v>2064</v>
      </c>
      <c r="X199" s="11">
        <f>_xlfn.XLOOKUP(E:E,'[1]②7月-汇总'!$D:$D,'[1]②7月-汇总'!$W:$W)</f>
        <v>0</v>
      </c>
      <c r="Y199" s="11">
        <f>_xlfn.XLOOKUP(E:E,'[1]②7月-汇总'!$D:$D,'[1]②7月-汇总'!$Z:$Z)</f>
        <v>0</v>
      </c>
      <c r="Z199" s="11">
        <f>_xlfn.XLOOKUP(E:E,'[1]②7月-汇总'!$D:$D,'[1]②7月-汇总'!$AI:$AI)</f>
        <v>0</v>
      </c>
      <c r="AA199" s="45">
        <f t="shared" si="38"/>
        <v>5902.6360000000004</v>
      </c>
      <c r="AB199" s="11"/>
      <c r="AC199" s="50"/>
      <c r="AD199" s="11">
        <f>_xlfn.XLOOKUP(E:E,'[1]②7月-汇总'!$D:$D,'[1]②7月-汇总'!$AC:$AC)</f>
        <v>0</v>
      </c>
      <c r="AE199" s="11">
        <f>_xlfn.XLOOKUP(E:E,[3]Sheet1!$B:$B,[3]Sheet1!$L:$L)</f>
        <v>644.16800000000001</v>
      </c>
      <c r="AF199" s="11">
        <f>_xlfn.XLOOKUP(E:E,'[1]②7月-汇总'!$D:$D,'[1]②7月-汇总'!$AD:$AD)</f>
        <v>0</v>
      </c>
      <c r="AG199" s="11">
        <f>_xlfn.XLOOKUP(E:E,'[1]②7月-汇总'!$D:$D,'[1]②7月-汇总'!$Y:$Y)</f>
        <v>0</v>
      </c>
      <c r="AH199" s="11">
        <f>_xlfn.XLOOKUP(E:E,'[1]②7月-汇总'!$D:$D,'[1]②7月-汇总'!$L:$L)</f>
        <v>0</v>
      </c>
      <c r="AI199" s="11">
        <f>_xlfn.XLOOKUP(E:E,'[1]②7月-汇总'!$D:$D,'[1]②7月-汇总'!$X:$X)</f>
        <v>10</v>
      </c>
      <c r="AJ199" s="11">
        <f>_xlfn.XLOOKUP(E:E,'[1]②7月-汇总'!$D:$D,'[1]②7月-汇总'!$AB:$AB)</f>
        <v>0</v>
      </c>
      <c r="AK199" s="11">
        <f>_xlfn.XLOOKUP(E:E,'[1]②7月-汇总'!$D:$D,'[1]②7月-汇总'!$AE:$AE)</f>
        <v>0</v>
      </c>
      <c r="AL199" s="96"/>
      <c r="AM199" s="45">
        <f t="shared" si="39"/>
        <v>5248.4680000000008</v>
      </c>
      <c r="AN199" s="11">
        <f>_xlfn.XLOOKUP(E:E,'[1]①7月-花名册'!$E:$E,'[1]①7月-花名册'!$T:$T)</f>
        <v>0</v>
      </c>
      <c r="AO199" s="67"/>
      <c r="AP199" s="142">
        <f>_xlfn.XLOOKUP(E199,[9]工资核对的全字段!$C:$C,[9]工资核对的全字段!$CW:$CW,0)</f>
        <v>5248.4680000000008</v>
      </c>
      <c r="AQ199" s="36">
        <f t="shared" si="40"/>
        <v>0</v>
      </c>
    </row>
    <row r="200" spans="1:43" x14ac:dyDescent="0.15">
      <c r="A200" s="55" t="s">
        <v>41</v>
      </c>
      <c r="B200" s="62" t="s">
        <v>261</v>
      </c>
      <c r="C200" s="57" t="s">
        <v>42</v>
      </c>
      <c r="D200" s="58" t="s">
        <v>4</v>
      </c>
      <c r="E200" s="58" t="s">
        <v>263</v>
      </c>
      <c r="F200" s="11">
        <f>G200+H200+I200</f>
        <v>10214</v>
      </c>
      <c r="G200" s="11">
        <v>10214</v>
      </c>
      <c r="H200" s="11">
        <v>0</v>
      </c>
      <c r="I200" s="11">
        <v>0</v>
      </c>
      <c r="J200" s="50"/>
      <c r="K200" s="11"/>
      <c r="L200" s="68">
        <f>F200/$K$201</f>
        <v>0.1881239179283162</v>
      </c>
      <c r="M200" s="68">
        <v>0.04</v>
      </c>
      <c r="N200" s="45">
        <f>G200*0.95*M200</f>
        <v>388.13200000000001</v>
      </c>
      <c r="O200" s="45">
        <f>H200*0.65*0.95*M200</f>
        <v>0</v>
      </c>
      <c r="P200" s="45"/>
      <c r="Q200" s="45"/>
      <c r="R200" s="45">
        <f>N200+O200+P200+Q200</f>
        <v>388.13200000000001</v>
      </c>
      <c r="S200" s="11">
        <f>_xlfn.XLOOKUP(E:E,'[1]②7月-汇总'!$D:$D,'[1]②7月-汇总'!$AP:$AP)</f>
        <v>30</v>
      </c>
      <c r="T200" s="45">
        <f>1800/31*30</f>
        <v>1741.9354838709701</v>
      </c>
      <c r="U200" s="11">
        <f>_xlfn.XLOOKUP(E:E,'[2]手工、项目数、消耗'!$C:$C,'[2]手工、项目数、消耗'!$E:$E)</f>
        <v>4125.03</v>
      </c>
      <c r="V200" s="11">
        <f>_xlfn.XLOOKUP(E:E,'[2]手工、项目数、消耗'!$C:$C,'[2]手工、项目数、消耗'!$D:$D)</f>
        <v>76</v>
      </c>
      <c r="W200" s="11">
        <f>_xlfn.XLOOKUP(E:E,'[2]手工、项目数、消耗'!$C:$C,'[2]手工、项目数、消耗'!$H:$H)</f>
        <v>1064</v>
      </c>
      <c r="X200" s="11">
        <f>_xlfn.XLOOKUP(E:E,'[1]②7月-汇总'!$D:$D,'[1]②7月-汇总'!$W:$W)</f>
        <v>0</v>
      </c>
      <c r="Y200" s="11">
        <f>_xlfn.XLOOKUP(E:E,'[1]②7月-汇总'!$D:$D,'[1]②7月-汇总'!$Z:$Z)</f>
        <v>0</v>
      </c>
      <c r="Z200" s="11">
        <f>_xlfn.XLOOKUP(E:E,'[1]②7月-汇总'!$D:$D,'[1]②7月-汇总'!$AI:$AI)</f>
        <v>0</v>
      </c>
      <c r="AA200" s="45">
        <f>R200+T200+W200+X200+Y200+Z200</f>
        <v>3194.0674838709701</v>
      </c>
      <c r="AB200" s="11"/>
      <c r="AC200" s="42">
        <v>40</v>
      </c>
      <c r="AD200" s="11">
        <f>_xlfn.XLOOKUP(E:E,'[1]②7月-汇总'!$D:$D,'[1]②7月-汇总'!$AC:$AC)</f>
        <v>0</v>
      </c>
      <c r="AE200" s="11"/>
      <c r="AF200" s="11">
        <f>_xlfn.XLOOKUP(E:E,'[1]②7月-汇总'!$D:$D,'[1]②7月-汇总'!$AD:$AD)</f>
        <v>0</v>
      </c>
      <c r="AG200" s="11">
        <f>_xlfn.XLOOKUP(E:E,'[1]②7月-汇总'!$D:$D,'[1]②7月-汇总'!$Y:$Y)</f>
        <v>0</v>
      </c>
      <c r="AH200" s="11">
        <f>_xlfn.XLOOKUP(E:E,'[1]②7月-汇总'!$D:$D,'[1]②7月-汇总'!$L:$L)</f>
        <v>1</v>
      </c>
      <c r="AI200" s="11">
        <f>_xlfn.XLOOKUP(E:E,'[1]②7月-汇总'!$D:$D,'[1]②7月-汇总'!$X:$X)</f>
        <v>0</v>
      </c>
      <c r="AJ200" s="11">
        <f>_xlfn.XLOOKUP(E:E,'[1]②7月-汇总'!$D:$D,'[1]②7月-汇总'!$AB:$AB)</f>
        <v>0</v>
      </c>
      <c r="AK200" s="11">
        <f>_xlfn.XLOOKUP(E:E,'[1]②7月-汇总'!$D:$D,'[1]②7月-汇总'!$AE:$AE)</f>
        <v>0</v>
      </c>
      <c r="AL200" s="96">
        <v>193</v>
      </c>
      <c r="AM200" s="45">
        <f>AA200+AB200-AC200-AD200-AE200-AF200-AG200-AI200-AJ200+AK200+AL200</f>
        <v>3347.0674838709701</v>
      </c>
      <c r="AN200" s="11">
        <v>3387</v>
      </c>
      <c r="AO200" s="67"/>
      <c r="AP200" s="142">
        <f>_xlfn.XLOOKUP(E200,[9]工资核对的全字段!$C:$C,[9]工资核对的全字段!$CW:$CW,0)</f>
        <v>3347.0967741935483</v>
      </c>
      <c r="AQ200" s="36">
        <f>AP200-AM200</f>
        <v>2.9290322578162886E-2</v>
      </c>
    </row>
    <row r="201" spans="1:43" x14ac:dyDescent="0.15">
      <c r="A201" s="55" t="s">
        <v>41</v>
      </c>
      <c r="B201" s="62" t="s">
        <v>261</v>
      </c>
      <c r="C201" s="57" t="s">
        <v>47</v>
      </c>
      <c r="D201" s="58" t="s">
        <v>47</v>
      </c>
      <c r="E201" s="58" t="s">
        <v>47</v>
      </c>
      <c r="F201" s="11">
        <f>G201+H201+I201</f>
        <v>0</v>
      </c>
      <c r="G201" s="11">
        <v>0</v>
      </c>
      <c r="H201" s="11">
        <v>0</v>
      </c>
      <c r="I201" s="11">
        <v>0</v>
      </c>
      <c r="J201" s="50"/>
      <c r="K201" s="11">
        <v>54294</v>
      </c>
      <c r="L201" s="68"/>
      <c r="M201" s="68"/>
      <c r="N201" s="45">
        <f>G201*0.95*M201</f>
        <v>0</v>
      </c>
      <c r="O201" s="45">
        <f>H201*0.65*0.95*M201</f>
        <v>0</v>
      </c>
      <c r="P201" s="45"/>
      <c r="Q201" s="45"/>
      <c r="R201" s="45">
        <f>N201+O201+P201+Q201</f>
        <v>0</v>
      </c>
      <c r="S201" s="11"/>
      <c r="T201" s="45"/>
      <c r="U201" s="11"/>
      <c r="V201" s="11"/>
      <c r="W201" s="11"/>
      <c r="X201" s="11"/>
      <c r="Y201" s="11"/>
      <c r="Z201" s="11"/>
      <c r="AA201" s="45">
        <f>R201+T201+W201+X201+Y201+Z201</f>
        <v>0</v>
      </c>
      <c r="AB201" s="11"/>
      <c r="AC201" s="50"/>
      <c r="AD201" s="11"/>
      <c r="AE201" s="11"/>
      <c r="AF201" s="11"/>
      <c r="AG201" s="11"/>
      <c r="AH201" s="11"/>
      <c r="AI201" s="11"/>
      <c r="AJ201" s="11"/>
      <c r="AK201" s="11"/>
      <c r="AL201" s="96"/>
      <c r="AM201" s="45">
        <f>AA201+AB201-AC201-AD201-AE201-AF201-AG201-AI201-AJ201+AK201+AL201</f>
        <v>0</v>
      </c>
      <c r="AN201" s="11"/>
      <c r="AO201" s="67"/>
      <c r="AP201" s="142">
        <f>_xlfn.XLOOKUP(E201,[9]工资核对的全字段!$C:$C,[9]工资核对的全字段!$CW:$CW,0)</f>
        <v>0</v>
      </c>
      <c r="AQ201" s="36">
        <f>AP201-AM201</f>
        <v>0</v>
      </c>
    </row>
    <row r="202" spans="1:43" x14ac:dyDescent="0.15">
      <c r="A202" s="55" t="s">
        <v>41</v>
      </c>
      <c r="B202" s="62" t="s">
        <v>261</v>
      </c>
      <c r="C202" s="57" t="s">
        <v>165</v>
      </c>
      <c r="D202" s="58" t="s">
        <v>4</v>
      </c>
      <c r="E202" s="58" t="s">
        <v>264</v>
      </c>
      <c r="F202" s="11">
        <f>G202+H202+I202</f>
        <v>30057</v>
      </c>
      <c r="G202" s="11">
        <v>29169</v>
      </c>
      <c r="H202" s="11">
        <v>0</v>
      </c>
      <c r="I202" s="11">
        <v>888</v>
      </c>
      <c r="J202" s="50"/>
      <c r="K202" s="11"/>
      <c r="L202" s="68"/>
      <c r="M202" s="68">
        <v>0.04</v>
      </c>
      <c r="N202" s="45">
        <f>G202*0.95*M202</f>
        <v>1108.422</v>
      </c>
      <c r="O202" s="45">
        <f>H202*0.65*0.95*M202</f>
        <v>0</v>
      </c>
      <c r="P202" s="45"/>
      <c r="Q202" s="45"/>
      <c r="R202" s="45">
        <f>N202+O202+P202+Q202</f>
        <v>1108.422</v>
      </c>
      <c r="S202" s="11">
        <f>_xlfn.XLOOKUP(E:E,'[1]②7月-汇总'!$D:$D,'[1]②7月-汇总'!$AP:$AP)</f>
        <v>31</v>
      </c>
      <c r="T202" s="45">
        <v>2000</v>
      </c>
      <c r="U202" s="11">
        <f>_xlfn.XLOOKUP(E:E,'[2]手工、项目数、消耗'!$C:$C,'[2]手工、项目数、消耗'!$E:$E)</f>
        <v>11864.38</v>
      </c>
      <c r="V202" s="11">
        <f>_xlfn.XLOOKUP(E:E,'[2]手工、项目数、消耗'!$C:$C,'[2]手工、项目数、消耗'!$D:$D)</f>
        <v>109.5</v>
      </c>
      <c r="W202" s="11">
        <f>_xlfn.XLOOKUP(E:E,'[2]手工、项目数、消耗'!$C:$C,'[2]手工、项目数、消耗'!$H:$H)</f>
        <v>1552</v>
      </c>
      <c r="X202" s="11">
        <f>_xlfn.XLOOKUP(E:E,'[1]②7月-汇总'!$D:$D,'[1]②7月-汇总'!$W:$W)</f>
        <v>0</v>
      </c>
      <c r="Y202" s="11">
        <f>_xlfn.XLOOKUP(E:E,'[1]②7月-汇总'!$D:$D,'[1]②7月-汇总'!$Z:$Z)</f>
        <v>50</v>
      </c>
      <c r="Z202" s="11">
        <f>_xlfn.XLOOKUP(E:E,'[1]②7月-汇总'!$D:$D,'[1]②7月-汇总'!$AI:$AI)</f>
        <v>0</v>
      </c>
      <c r="AA202" s="45">
        <f>R202+T202+W202+X202+Y202+Z202</f>
        <v>4710.4220000000005</v>
      </c>
      <c r="AB202" s="11">
        <v>500</v>
      </c>
      <c r="AC202" s="50"/>
      <c r="AD202" s="11">
        <f>_xlfn.XLOOKUP(E:E,'[1]②7月-汇总'!$D:$D,'[1]②7月-汇总'!$AC:$AC)</f>
        <v>0</v>
      </c>
      <c r="AE202" s="11">
        <f>_xlfn.XLOOKUP(E:E,[3]Sheet1!$B:$B,[3]Sheet1!$L:$L)</f>
        <v>644.16800000000001</v>
      </c>
      <c r="AF202" s="11">
        <f>_xlfn.XLOOKUP(E:E,'[1]②7月-汇总'!$D:$D,'[1]②7月-汇总'!$AD:$AD)</f>
        <v>0</v>
      </c>
      <c r="AG202" s="11">
        <f>_xlfn.XLOOKUP(E:E,'[1]②7月-汇总'!$D:$D,'[1]②7月-汇总'!$Y:$Y)</f>
        <v>0</v>
      </c>
      <c r="AH202" s="11">
        <f>_xlfn.XLOOKUP(E:E,'[1]②7月-汇总'!$D:$D,'[1]②7月-汇总'!$L:$L)</f>
        <v>0</v>
      </c>
      <c r="AI202" s="11">
        <f>_xlfn.XLOOKUP(E:E,'[1]②7月-汇总'!$D:$D,'[1]②7月-汇总'!$X:$X)</f>
        <v>0</v>
      </c>
      <c r="AJ202" s="11">
        <f>_xlfn.XLOOKUP(E:E,'[1]②7月-汇总'!$D:$D,'[1]②7月-汇总'!$AB:$AB)</f>
        <v>0</v>
      </c>
      <c r="AK202" s="11">
        <f>_xlfn.XLOOKUP(E:E,'[1]②7月-汇总'!$D:$D,'[1]②7月-汇总'!$AE:$AE)</f>
        <v>0</v>
      </c>
      <c r="AL202" s="96"/>
      <c r="AM202" s="45">
        <f>AA202+AB202-AC202-AD202-AE202-AF202-AG202-AI202-AJ202+AK202+AL202</f>
        <v>4566.2540000000008</v>
      </c>
      <c r="AN202" s="11">
        <f>_xlfn.XLOOKUP(E:E,'[1]①7月-花名册'!$E:$E,'[1]①7月-花名册'!$T:$T)</f>
        <v>0</v>
      </c>
      <c r="AO202" s="67"/>
      <c r="AP202" s="142">
        <f>_xlfn.XLOOKUP(E202,[9]工资核对的全字段!$C:$C,[9]工资核对的全字段!$CW:$CW,0)</f>
        <v>4566.2540000000008</v>
      </c>
      <c r="AQ202" s="36">
        <f>AP202-AM202</f>
        <v>0</v>
      </c>
    </row>
    <row r="203" spans="1:43" x14ac:dyDescent="0.15">
      <c r="A203" s="55" t="s">
        <v>41</v>
      </c>
      <c r="B203" s="62" t="s">
        <v>261</v>
      </c>
      <c r="C203" s="57" t="s">
        <v>165</v>
      </c>
      <c r="D203" s="58" t="s">
        <v>4</v>
      </c>
      <c r="E203" s="58" t="s">
        <v>265</v>
      </c>
      <c r="F203" s="11">
        <f>G203+H203+I203</f>
        <v>198</v>
      </c>
      <c r="G203" s="11">
        <v>198</v>
      </c>
      <c r="H203" s="11">
        <v>0</v>
      </c>
      <c r="I203" s="11">
        <v>0</v>
      </c>
      <c r="J203" s="50"/>
      <c r="K203" s="11"/>
      <c r="L203" s="68"/>
      <c r="M203" s="68">
        <v>0</v>
      </c>
      <c r="N203" s="45">
        <f>G203*0.95*M203</f>
        <v>0</v>
      </c>
      <c r="O203" s="45">
        <f>H203*0.65*0.95*M203</f>
        <v>0</v>
      </c>
      <c r="P203" s="45"/>
      <c r="Q203" s="45"/>
      <c r="R203" s="45">
        <f>N203+O203+P203+Q203</f>
        <v>0</v>
      </c>
      <c r="S203" s="11">
        <f>_xlfn.XLOOKUP(E:E,'[1]②7月-汇总'!$D:$D,'[1]②7月-汇总'!$AP:$AP)</f>
        <v>19</v>
      </c>
      <c r="T203" s="45">
        <f>2000/31*19</f>
        <v>1225.8064516129</v>
      </c>
      <c r="U203" s="11">
        <f>_xlfn.XLOOKUP(E:E,'[2]手工、项目数、消耗'!$C:$C,'[2]手工、项目数、消耗'!$E:$E)</f>
        <v>7654.79</v>
      </c>
      <c r="V203" s="11">
        <f>_xlfn.XLOOKUP(E:E,'[2]手工、项目数、消耗'!$C:$C,'[2]手工、项目数、消耗'!$D:$D)</f>
        <v>71</v>
      </c>
      <c r="W203" s="11">
        <f>_xlfn.XLOOKUP(E:E,'[2]手工、项目数、消耗'!$C:$C,'[2]手工、项目数、消耗'!$H:$H)</f>
        <v>892</v>
      </c>
      <c r="X203" s="11">
        <f>_xlfn.XLOOKUP(E:E,'[1]②7月-汇总'!$D:$D,'[1]②7月-汇总'!$W:$W)</f>
        <v>0</v>
      </c>
      <c r="Y203" s="11">
        <f>_xlfn.XLOOKUP(E:E,'[1]②7月-汇总'!$D:$D,'[1]②7月-汇总'!$Z:$Z)</f>
        <v>0</v>
      </c>
      <c r="Z203" s="11">
        <f>_xlfn.XLOOKUP(E:E,'[1]②7月-汇总'!$D:$D,'[1]②7月-汇总'!$AI:$AI)</f>
        <v>0</v>
      </c>
      <c r="AA203" s="45">
        <f>R203+T203+W203+X203+Y203+Z203</f>
        <v>2117.8064516128998</v>
      </c>
      <c r="AB203" s="11"/>
      <c r="AC203" s="50"/>
      <c r="AD203" s="11">
        <f>_xlfn.XLOOKUP(E:E,'[1]②7月-汇总'!$D:$D,'[1]②7月-汇总'!$AC:$AC)</f>
        <v>0</v>
      </c>
      <c r="AE203" s="11"/>
      <c r="AF203" s="11">
        <f>_xlfn.XLOOKUP(E:E,'[1]②7月-汇总'!$D:$D,'[1]②7月-汇总'!$AD:$AD)</f>
        <v>0</v>
      </c>
      <c r="AG203" s="11">
        <f>_xlfn.XLOOKUP(E:E,'[1]②7月-汇总'!$D:$D,'[1]②7月-汇总'!$Y:$Y)</f>
        <v>0</v>
      </c>
      <c r="AH203" s="11">
        <f>_xlfn.XLOOKUP(E:E,'[1]②7月-汇总'!$D:$D,'[1]②7月-汇总'!$L:$L)</f>
        <v>1</v>
      </c>
      <c r="AI203" s="11">
        <f>_xlfn.XLOOKUP(E:E,'[1]②7月-汇总'!$D:$D,'[1]②7月-汇总'!$X:$X)</f>
        <v>0</v>
      </c>
      <c r="AJ203" s="11">
        <f>_xlfn.XLOOKUP(E:E,'[1]②7月-汇总'!$D:$D,'[1]②7月-汇总'!$AB:$AB)</f>
        <v>760</v>
      </c>
      <c r="AK203" s="11">
        <f>_xlfn.XLOOKUP(E:E,'[1]②7月-汇总'!$D:$D,'[1]②7月-汇总'!$AE:$AE)</f>
        <v>300</v>
      </c>
      <c r="AL203" s="96"/>
      <c r="AM203" s="45">
        <f>AA203+AB203-AC203-AD203-AE203-AF203-AG203-AI203-AJ203+AK203+AL203</f>
        <v>1657.8064516128998</v>
      </c>
      <c r="AN203" s="11">
        <f>_xlfn.XLOOKUP(E:E,'[1]①7月-花名册'!$E:$E,'[1]①7月-花名册'!$T:$T)</f>
        <v>0</v>
      </c>
      <c r="AO203" s="67"/>
      <c r="AP203" s="142">
        <f>_xlfn.XLOOKUP(E203,[9]工资核对的全字段!$C:$C,[9]工资核对的全字段!$CW:$CW,0)</f>
        <v>1657.8064516129034</v>
      </c>
      <c r="AQ203" s="36">
        <f>AP203-AM203</f>
        <v>3.637978807091713E-12</v>
      </c>
    </row>
    <row r="204" spans="1:43" x14ac:dyDescent="0.15">
      <c r="A204" s="55" t="s">
        <v>41</v>
      </c>
      <c r="B204" s="62" t="s">
        <v>261</v>
      </c>
      <c r="C204" s="57" t="s">
        <v>165</v>
      </c>
      <c r="D204" s="58" t="s">
        <v>4</v>
      </c>
      <c r="E204" s="58" t="s">
        <v>266</v>
      </c>
      <c r="F204" s="11">
        <f>G204+H204+I204</f>
        <v>5838</v>
      </c>
      <c r="G204" s="11">
        <v>5838</v>
      </c>
      <c r="H204" s="11">
        <v>0</v>
      </c>
      <c r="I204" s="11">
        <v>0</v>
      </c>
      <c r="J204" s="50"/>
      <c r="K204" s="11"/>
      <c r="L204" s="68"/>
      <c r="M204" s="68">
        <v>0.03</v>
      </c>
      <c r="N204" s="45">
        <f>G204*0.95*M204</f>
        <v>166.38299999999998</v>
      </c>
      <c r="O204" s="45">
        <f>H204*0.65*0.95*M204</f>
        <v>0</v>
      </c>
      <c r="P204" s="45"/>
      <c r="Q204" s="45"/>
      <c r="R204" s="45">
        <f>N204+O204+P204+Q204</f>
        <v>166.38299999999998</v>
      </c>
      <c r="S204" s="11">
        <f>_xlfn.XLOOKUP(E:E,'[1]②7月-汇总'!$D:$D,'[1]②7月-汇总'!$AP:$AP)</f>
        <v>13</v>
      </c>
      <c r="T204" s="45">
        <f>1800/31*13</f>
        <v>754.83870967741905</v>
      </c>
      <c r="U204" s="11">
        <f>_xlfn.XLOOKUP(E:E,'[2]手工、项目数、消耗'!$C:$C,'[2]手工、项目数、消耗'!$E:$E)</f>
        <v>2543.87</v>
      </c>
      <c r="V204" s="11">
        <f>_xlfn.XLOOKUP(E:E,'[2]手工、项目数、消耗'!$C:$C,'[2]手工、项目数、消耗'!$D:$D)</f>
        <v>39</v>
      </c>
      <c r="W204" s="11">
        <f>_xlfn.XLOOKUP(E:E,'[2]手工、项目数、消耗'!$C:$C,'[2]手工、项目数、消耗'!$H:$H)</f>
        <v>536</v>
      </c>
      <c r="X204" s="11">
        <f>_xlfn.XLOOKUP(E:E,'[1]②7月-汇总'!$D:$D,'[1]②7月-汇总'!$W:$W)</f>
        <v>20</v>
      </c>
      <c r="Y204" s="11">
        <f>_xlfn.XLOOKUP(E:E,'[1]②7月-汇总'!$D:$D,'[1]②7月-汇总'!$Z:$Z)</f>
        <v>0</v>
      </c>
      <c r="Z204" s="11">
        <f>_xlfn.XLOOKUP(E:E,'[1]②7月-汇总'!$D:$D,'[1]②7月-汇总'!$AI:$AI)</f>
        <v>480</v>
      </c>
      <c r="AA204" s="45">
        <f>R204+T204+W204+X204+Y204+Z204</f>
        <v>1957.2217096774191</v>
      </c>
      <c r="AB204" s="11"/>
      <c r="AC204" s="50"/>
      <c r="AD204" s="11">
        <f>_xlfn.XLOOKUP(E:E,'[1]②7月-汇总'!$D:$D,'[1]②7月-汇总'!$AC:$AC)</f>
        <v>0</v>
      </c>
      <c r="AE204" s="11"/>
      <c r="AF204" s="11">
        <f>_xlfn.XLOOKUP(E:E,'[1]②7月-汇总'!$D:$D,'[1]②7月-汇总'!$AD:$AD)</f>
        <v>130</v>
      </c>
      <c r="AG204" s="11">
        <f>_xlfn.XLOOKUP(E:E,'[1]②7月-汇总'!$D:$D,'[1]②7月-汇总'!$Y:$Y)</f>
        <v>0</v>
      </c>
      <c r="AH204" s="11">
        <f>_xlfn.XLOOKUP(E:E,'[1]②7月-汇总'!$D:$D,'[1]②7月-汇总'!$L:$L)</f>
        <v>0</v>
      </c>
      <c r="AI204" s="11">
        <f>_xlfn.XLOOKUP(E:E,'[1]②7月-汇总'!$D:$D,'[1]②7月-汇总'!$X:$X)</f>
        <v>0</v>
      </c>
      <c r="AJ204" s="11">
        <f>_xlfn.XLOOKUP(E:E,'[1]②7月-汇总'!$D:$D,'[1]②7月-汇总'!$AB:$AB)</f>
        <v>0</v>
      </c>
      <c r="AK204" s="11">
        <f>_xlfn.XLOOKUP(E:E,'[1]②7月-汇总'!$D:$D,'[1]②7月-汇总'!$AE:$AE)</f>
        <v>0</v>
      </c>
      <c r="AL204" s="96"/>
      <c r="AM204" s="45">
        <f>AA204+AB204-AC204-AD204-AE204-AF204-AG204-AI204-AJ204+AK204+AL204</f>
        <v>1827.2217096774191</v>
      </c>
      <c r="AN204" s="11">
        <f>_xlfn.XLOOKUP(E:E,'[1]①7月-花名册'!$E:$E,'[1]①7月-花名册'!$T:$T)</f>
        <v>0</v>
      </c>
      <c r="AO204" s="67"/>
      <c r="AP204" s="142">
        <f>_xlfn.XLOOKUP(E204,[9]工资核对的全字段!$C:$C,[9]工资核对的全字段!$CW:$CW,0)</f>
        <v>1827.2217096774193</v>
      </c>
      <c r="AQ204" s="36">
        <f>AP204-AM204</f>
        <v>0</v>
      </c>
    </row>
    <row r="205" spans="1:43" x14ac:dyDescent="0.15">
      <c r="A205" s="55" t="s">
        <v>41</v>
      </c>
      <c r="B205" s="62" t="s">
        <v>261</v>
      </c>
      <c r="C205" s="57" t="s">
        <v>165</v>
      </c>
      <c r="D205" s="58" t="s">
        <v>4</v>
      </c>
      <c r="E205" s="58" t="s">
        <v>267</v>
      </c>
      <c r="F205" s="11">
        <f t="shared" si="41"/>
        <v>1096</v>
      </c>
      <c r="G205" s="11">
        <v>1096</v>
      </c>
      <c r="H205" s="11">
        <v>0</v>
      </c>
      <c r="I205" s="11">
        <v>0</v>
      </c>
      <c r="J205" s="50"/>
      <c r="K205" s="11"/>
      <c r="L205" s="68"/>
      <c r="M205" s="68">
        <v>0</v>
      </c>
      <c r="N205" s="45">
        <f t="shared" si="42"/>
        <v>0</v>
      </c>
      <c r="O205" s="45">
        <f t="shared" si="43"/>
        <v>0</v>
      </c>
      <c r="P205" s="45"/>
      <c r="Q205" s="45"/>
      <c r="R205" s="45">
        <f t="shared" si="37"/>
        <v>0</v>
      </c>
      <c r="S205" s="11">
        <f>_xlfn.XLOOKUP(E:E,'[1]②7月-汇总'!$D:$D,'[1]②7月-汇总'!$AP:$AP)</f>
        <v>8</v>
      </c>
      <c r="T205" s="45">
        <f>1800/31*8</f>
        <v>464.51612903225799</v>
      </c>
      <c r="U205" s="11">
        <f>_xlfn.XLOOKUP(E:E,'[2]手工、项目数、消耗'!$C:$C,'[2]手工、项目数、消耗'!$E:$E)</f>
        <v>1250.07</v>
      </c>
      <c r="V205" s="11">
        <f>_xlfn.XLOOKUP(E:E,'[2]手工、项目数、消耗'!$C:$C,'[2]手工、项目数、消耗'!$D:$D)</f>
        <v>18</v>
      </c>
      <c r="W205" s="11">
        <f>_xlfn.XLOOKUP(E:E,'[2]手工、项目数、消耗'!$C:$C,'[2]手工、项目数、消耗'!$H:$H)</f>
        <v>233</v>
      </c>
      <c r="X205" s="11">
        <f>_xlfn.XLOOKUP(E:E,'[1]②7月-汇总'!$D:$D,'[1]②7月-汇总'!$W:$W)</f>
        <v>20</v>
      </c>
      <c r="Y205" s="11">
        <f>_xlfn.XLOOKUP(E:E,'[1]②7月-汇总'!$D:$D,'[1]②7月-汇总'!$Z:$Z)</f>
        <v>0</v>
      </c>
      <c r="Z205" s="11">
        <f>_xlfn.XLOOKUP(E:E,'[1]②7月-汇总'!$D:$D,'[1]②7月-汇总'!$AI:$AI)</f>
        <v>600</v>
      </c>
      <c r="AA205" s="45">
        <f t="shared" si="38"/>
        <v>1317.516129032258</v>
      </c>
      <c r="AB205" s="11"/>
      <c r="AC205" s="50"/>
      <c r="AD205" s="11">
        <f>_xlfn.XLOOKUP(E:E,'[1]②7月-汇总'!$D:$D,'[1]②7月-汇总'!$AC:$AC)</f>
        <v>0</v>
      </c>
      <c r="AE205" s="11"/>
      <c r="AF205" s="11">
        <f>_xlfn.XLOOKUP(E:E,'[1]②7月-汇总'!$D:$D,'[1]②7月-汇总'!$AD:$AD)</f>
        <v>130</v>
      </c>
      <c r="AG205" s="11">
        <f>_xlfn.XLOOKUP(E:E,'[1]②7月-汇总'!$D:$D,'[1]②7月-汇总'!$Y:$Y)</f>
        <v>0</v>
      </c>
      <c r="AH205" s="11">
        <f>_xlfn.XLOOKUP(E:E,'[1]②7月-汇总'!$D:$D,'[1]②7月-汇总'!$L:$L)</f>
        <v>0</v>
      </c>
      <c r="AI205" s="11">
        <f>_xlfn.XLOOKUP(E:E,'[1]②7月-汇总'!$D:$D,'[1]②7月-汇总'!$X:$X)</f>
        <v>0</v>
      </c>
      <c r="AJ205" s="11">
        <f>_xlfn.XLOOKUP(E:E,'[1]②7月-汇总'!$D:$D,'[1]②7月-汇总'!$AB:$AB)</f>
        <v>0</v>
      </c>
      <c r="AK205" s="11">
        <f>_xlfn.XLOOKUP(E:E,'[1]②7月-汇总'!$D:$D,'[1]②7月-汇总'!$AE:$AE)</f>
        <v>0</v>
      </c>
      <c r="AL205" s="96"/>
      <c r="AM205" s="45">
        <f t="shared" si="39"/>
        <v>1187.516129032258</v>
      </c>
      <c r="AN205" s="11">
        <f>_xlfn.XLOOKUP(E:E,'[1]①7月-花名册'!$E:$E,'[1]①7月-花名册'!$T:$T)</f>
        <v>0</v>
      </c>
      <c r="AO205" s="67"/>
      <c r="AP205" s="142">
        <f>_xlfn.XLOOKUP(E205,[9]工资核对的全字段!$C:$C,[9]工资核对的全字段!$CW:$CW,0)</f>
        <v>1187.516129032258</v>
      </c>
      <c r="AQ205" s="36">
        <f t="shared" si="40"/>
        <v>0</v>
      </c>
    </row>
    <row r="206" spans="1:43" x14ac:dyDescent="0.15">
      <c r="A206" s="55" t="s">
        <v>41</v>
      </c>
      <c r="B206" s="62" t="s">
        <v>261</v>
      </c>
      <c r="C206" s="60" t="s">
        <v>9</v>
      </c>
      <c r="D206" s="61" t="s">
        <v>9</v>
      </c>
      <c r="E206" s="61" t="s">
        <v>268</v>
      </c>
      <c r="F206" s="11">
        <f t="shared" si="41"/>
        <v>888</v>
      </c>
      <c r="G206" s="11">
        <v>888</v>
      </c>
      <c r="H206" s="11">
        <v>0</v>
      </c>
      <c r="I206" s="11">
        <v>0</v>
      </c>
      <c r="J206" s="50"/>
      <c r="K206" s="11"/>
      <c r="L206" s="68"/>
      <c r="M206" s="68"/>
      <c r="N206" s="45">
        <f t="shared" si="42"/>
        <v>0</v>
      </c>
      <c r="O206" s="45">
        <f t="shared" si="43"/>
        <v>0</v>
      </c>
      <c r="P206" s="45"/>
      <c r="Q206" s="45">
        <v>231</v>
      </c>
      <c r="R206" s="45">
        <f t="shared" si="37"/>
        <v>231</v>
      </c>
      <c r="S206" s="11"/>
      <c r="T206" s="45"/>
      <c r="U206" s="11"/>
      <c r="V206" s="11"/>
      <c r="W206" s="11"/>
      <c r="X206" s="11"/>
      <c r="Y206" s="11"/>
      <c r="Z206" s="11"/>
      <c r="AA206" s="45">
        <f t="shared" si="38"/>
        <v>231</v>
      </c>
      <c r="AB206" s="11"/>
      <c r="AC206" s="50"/>
      <c r="AD206" s="11"/>
      <c r="AE206" s="11"/>
      <c r="AF206" s="11"/>
      <c r="AG206" s="11"/>
      <c r="AH206" s="11"/>
      <c r="AI206" s="11"/>
      <c r="AJ206" s="11"/>
      <c r="AK206" s="11"/>
      <c r="AL206" s="96"/>
      <c r="AM206" s="45">
        <f t="shared" si="39"/>
        <v>231</v>
      </c>
      <c r="AN206" s="11"/>
      <c r="AO206" s="67"/>
      <c r="AP206" s="142">
        <f>_xlfn.XLOOKUP(E206,[9]工资核对的全字段!$C:$C,[9]工资核对的全字段!$CW:$CW,0)</f>
        <v>230.92750000000001</v>
      </c>
      <c r="AQ206" s="36">
        <f t="shared" si="40"/>
        <v>-7.2499999999990905E-2</v>
      </c>
    </row>
    <row r="207" spans="1:43" x14ac:dyDescent="0.15">
      <c r="A207" s="55" t="s">
        <v>41</v>
      </c>
      <c r="B207" s="62" t="s">
        <v>269</v>
      </c>
      <c r="C207" s="57" t="s">
        <v>270</v>
      </c>
      <c r="D207" s="58" t="s">
        <v>43</v>
      </c>
      <c r="E207" s="58" t="s">
        <v>271</v>
      </c>
      <c r="F207" s="11">
        <f t="shared" si="41"/>
        <v>47556.4</v>
      </c>
      <c r="G207" s="11">
        <v>47556.4</v>
      </c>
      <c r="H207" s="11">
        <v>0</v>
      </c>
      <c r="I207" s="11">
        <v>0</v>
      </c>
      <c r="J207" s="50"/>
      <c r="K207" s="11"/>
      <c r="L207" s="68">
        <f>F207/$K$209</f>
        <v>0.76873985658586419</v>
      </c>
      <c r="M207" s="68">
        <v>0.05</v>
      </c>
      <c r="N207" s="45">
        <f t="shared" si="42"/>
        <v>2258.9290000000001</v>
      </c>
      <c r="O207" s="45">
        <f t="shared" si="43"/>
        <v>0</v>
      </c>
      <c r="P207" s="45">
        <v>0</v>
      </c>
      <c r="Q207" s="45"/>
      <c r="R207" s="45">
        <f t="shared" si="37"/>
        <v>2258.9290000000001</v>
      </c>
      <c r="S207" s="11">
        <f>_xlfn.XLOOKUP(E:E,'[1]②7月-汇总'!$D:$D,'[1]②7月-汇总'!$AP:$AP)</f>
        <v>31</v>
      </c>
      <c r="T207" s="45">
        <v>2000</v>
      </c>
      <c r="U207" s="11">
        <f>_xlfn.XLOOKUP(E:E,'[2]手工、项目数、消耗'!$C:$C,'[2]手工、项目数、消耗'!$E:$E)</f>
        <v>23569.279999999999</v>
      </c>
      <c r="V207" s="11">
        <f>_xlfn.XLOOKUP(E:E,'[2]手工、项目数、消耗'!$C:$C,'[2]手工、项目数、消耗'!$D:$D)</f>
        <v>103</v>
      </c>
      <c r="W207" s="11">
        <f>_xlfn.XLOOKUP(E:E,'[2]手工、项目数、消耗'!$C:$C,'[2]手工、项目数、消耗'!$H:$H)</f>
        <v>1655</v>
      </c>
      <c r="X207" s="11">
        <f>_xlfn.XLOOKUP(E:E,'[1]②7月-汇总'!$D:$D,'[1]②7月-汇总'!$W:$W)</f>
        <v>0</v>
      </c>
      <c r="Y207" s="11">
        <f>_xlfn.XLOOKUP(E:E,'[1]②7月-汇总'!$D:$D,'[1]②7月-汇总'!$Z:$Z)</f>
        <v>0</v>
      </c>
      <c r="Z207" s="11">
        <f>_xlfn.XLOOKUP(E:E,'[1]②7月-汇总'!$D:$D,'[1]②7月-汇总'!$AI:$AI)</f>
        <v>0</v>
      </c>
      <c r="AA207" s="45">
        <f t="shared" si="38"/>
        <v>5913.9290000000001</v>
      </c>
      <c r="AB207" s="11"/>
      <c r="AC207" s="50"/>
      <c r="AD207" s="11">
        <f>_xlfn.XLOOKUP(E:E,'[1]②7月-汇总'!$D:$D,'[1]②7月-汇总'!$AC:$AC)</f>
        <v>0</v>
      </c>
      <c r="AE207" s="11">
        <f>_xlfn.XLOOKUP(E:E,[3]Sheet1!$B:$B,[3]Sheet1!$L:$L)</f>
        <v>644.16800000000001</v>
      </c>
      <c r="AF207" s="11">
        <f>_xlfn.XLOOKUP(E:E,'[1]②7月-汇总'!$D:$D,'[1]②7月-汇总'!$AD:$AD)</f>
        <v>0</v>
      </c>
      <c r="AG207" s="11">
        <f>_xlfn.XLOOKUP(E:E,'[1]②7月-汇总'!$D:$D,'[1]②7月-汇总'!$Y:$Y)</f>
        <v>0</v>
      </c>
      <c r="AH207" s="11">
        <f>_xlfn.XLOOKUP(E:E,'[1]②7月-汇总'!$D:$D,'[1]②7月-汇总'!$L:$L)</f>
        <v>0</v>
      </c>
      <c r="AI207" s="11">
        <f>_xlfn.XLOOKUP(E:E,'[1]②7月-汇总'!$D:$D,'[1]②7月-汇总'!$X:$X)</f>
        <v>10</v>
      </c>
      <c r="AJ207" s="11">
        <f>_xlfn.XLOOKUP(E:E,'[1]②7月-汇总'!$D:$D,'[1]②7月-汇总'!$AB:$AB)</f>
        <v>0</v>
      </c>
      <c r="AK207" s="11">
        <f>_xlfn.XLOOKUP(E:E,'[1]②7月-汇总'!$D:$D,'[1]②7月-汇总'!$AE:$AE)</f>
        <v>0</v>
      </c>
      <c r="AL207" s="96"/>
      <c r="AM207" s="45">
        <f t="shared" si="39"/>
        <v>5259.7610000000004</v>
      </c>
      <c r="AN207" s="11">
        <f>_xlfn.XLOOKUP(E:E,'[1]①7月-花名册'!$E:$E,'[1]①7月-花名册'!$T:$T)</f>
        <v>0</v>
      </c>
      <c r="AO207" s="67"/>
      <c r="AP207" s="142">
        <f>_xlfn.XLOOKUP(E207,[9]工资核对的全字段!$C:$C,[9]工资核对的全字段!$CW:$CW,0)</f>
        <v>5259.7610000000004</v>
      </c>
      <c r="AQ207" s="36">
        <f t="shared" si="40"/>
        <v>0</v>
      </c>
    </row>
    <row r="208" spans="1:43" x14ac:dyDescent="0.15">
      <c r="A208" s="55" t="s">
        <v>41</v>
      </c>
      <c r="B208" s="62" t="s">
        <v>269</v>
      </c>
      <c r="C208" s="57" t="s">
        <v>270</v>
      </c>
      <c r="D208" s="58" t="s">
        <v>4</v>
      </c>
      <c r="E208" s="58" t="s">
        <v>272</v>
      </c>
      <c r="F208" s="11">
        <f t="shared" si="41"/>
        <v>14306.400000000001</v>
      </c>
      <c r="G208" s="11">
        <v>20045.400000000001</v>
      </c>
      <c r="H208" s="11">
        <v>-5739</v>
      </c>
      <c r="I208" s="11">
        <v>0</v>
      </c>
      <c r="J208" s="50"/>
      <c r="K208" s="11"/>
      <c r="L208" s="68">
        <f>F208/$K$209</f>
        <v>0.23126014341413581</v>
      </c>
      <c r="M208" s="68">
        <v>0.05</v>
      </c>
      <c r="N208" s="45">
        <f t="shared" si="42"/>
        <v>952.15650000000005</v>
      </c>
      <c r="O208" s="45">
        <f t="shared" si="43"/>
        <v>-177.19162499999999</v>
      </c>
      <c r="P208" s="45"/>
      <c r="Q208" s="45"/>
      <c r="R208" s="45">
        <f t="shared" si="37"/>
        <v>774.96487500000012</v>
      </c>
      <c r="S208" s="11">
        <f>_xlfn.XLOOKUP(E:E,'[1]②7月-汇总'!$D:$D,'[1]②7月-汇总'!$AP:$AP)</f>
        <v>31</v>
      </c>
      <c r="T208" s="45">
        <v>2000</v>
      </c>
      <c r="U208" s="11">
        <f>_xlfn.XLOOKUP(E:E,'[2]手工、项目数、消耗'!$C:$C,'[2]手工、项目数、消耗'!$E:$E)</f>
        <v>8434.52</v>
      </c>
      <c r="V208" s="11">
        <f>_xlfn.XLOOKUP(E:E,'[2]手工、项目数、消耗'!$C:$C,'[2]手工、项目数、消耗'!$D:$D)</f>
        <v>111</v>
      </c>
      <c r="W208" s="11">
        <f>_xlfn.XLOOKUP(E:E,'[2]手工、项目数、消耗'!$C:$C,'[2]手工、项目数、消耗'!$H:$H)</f>
        <v>1161</v>
      </c>
      <c r="X208" s="11">
        <f>_xlfn.XLOOKUP(E:E,'[1]②7月-汇总'!$D:$D,'[1]②7月-汇总'!$W:$W)</f>
        <v>0</v>
      </c>
      <c r="Y208" s="11">
        <f>_xlfn.XLOOKUP(E:E,'[1]②7月-汇总'!$D:$D,'[1]②7月-汇总'!$Z:$Z)</f>
        <v>50</v>
      </c>
      <c r="Z208" s="11">
        <f>_xlfn.XLOOKUP(E:E,'[1]②7月-汇总'!$D:$D,'[1]②7月-汇总'!$AI:$AI)</f>
        <v>0</v>
      </c>
      <c r="AA208" s="45">
        <f t="shared" si="38"/>
        <v>3985.9648750000001</v>
      </c>
      <c r="AB208" s="11"/>
      <c r="AC208" s="50"/>
      <c r="AD208" s="11">
        <f>_xlfn.XLOOKUP(E:E,'[1]②7月-汇总'!$D:$D,'[1]②7月-汇总'!$AC:$AC)</f>
        <v>0</v>
      </c>
      <c r="AE208" s="11"/>
      <c r="AF208" s="11">
        <f>_xlfn.XLOOKUP(E:E,'[1]②7月-汇总'!$D:$D,'[1]②7月-汇总'!$AD:$AD)</f>
        <v>0</v>
      </c>
      <c r="AG208" s="11">
        <f>_xlfn.XLOOKUP(E:E,'[1]②7月-汇总'!$D:$D,'[1]②7月-汇总'!$Y:$Y)</f>
        <v>0</v>
      </c>
      <c r="AH208" s="11">
        <f>_xlfn.XLOOKUP(E:E,'[1]②7月-汇总'!$D:$D,'[1]②7月-汇总'!$L:$L)</f>
        <v>0</v>
      </c>
      <c r="AI208" s="11">
        <f>_xlfn.XLOOKUP(E:E,'[1]②7月-汇总'!$D:$D,'[1]②7月-汇总'!$X:$X)</f>
        <v>0</v>
      </c>
      <c r="AJ208" s="11">
        <f>_xlfn.XLOOKUP(E:E,'[1]②7月-汇总'!$D:$D,'[1]②7月-汇总'!$AB:$AB)</f>
        <v>0</v>
      </c>
      <c r="AK208" s="11">
        <f>_xlfn.XLOOKUP(E:E,'[1]②7月-汇总'!$D:$D,'[1]②7月-汇总'!$AE:$AE)</f>
        <v>0</v>
      </c>
      <c r="AL208" s="96"/>
      <c r="AM208" s="45">
        <f t="shared" si="39"/>
        <v>3985.9648750000001</v>
      </c>
      <c r="AN208" s="11">
        <f>_xlfn.XLOOKUP(E:E,'[1]①7月-花名册'!$E:$E,'[1]①7月-花名册'!$T:$T)</f>
        <v>0</v>
      </c>
      <c r="AO208" s="67"/>
      <c r="AP208" s="142">
        <f>_xlfn.XLOOKUP(E208,[9]工资核对的全字段!$C:$C,[9]工资核对的全字段!$CW:$CW,0)</f>
        <v>3985.9648750000001</v>
      </c>
      <c r="AQ208" s="36">
        <f t="shared" si="40"/>
        <v>0</v>
      </c>
    </row>
    <row r="209" spans="1:43" x14ac:dyDescent="0.15">
      <c r="A209" s="55" t="s">
        <v>41</v>
      </c>
      <c r="B209" s="62" t="str">
        <f>B207</f>
        <v>千禧</v>
      </c>
      <c r="C209" s="57" t="s">
        <v>47</v>
      </c>
      <c r="D209" s="58" t="s">
        <v>47</v>
      </c>
      <c r="E209" s="58" t="s">
        <v>47</v>
      </c>
      <c r="F209" s="11">
        <f t="shared" si="41"/>
        <v>0</v>
      </c>
      <c r="G209" s="11">
        <v>0</v>
      </c>
      <c r="H209" s="11">
        <v>0</v>
      </c>
      <c r="I209" s="11">
        <v>0</v>
      </c>
      <c r="J209" s="50"/>
      <c r="K209" s="11">
        <v>61862.8</v>
      </c>
      <c r="L209" s="68"/>
      <c r="M209" s="68"/>
      <c r="N209" s="45">
        <f t="shared" si="42"/>
        <v>0</v>
      </c>
      <c r="O209" s="45">
        <f t="shared" si="43"/>
        <v>0</v>
      </c>
      <c r="P209" s="45"/>
      <c r="Q209" s="45"/>
      <c r="R209" s="45">
        <f t="shared" si="37"/>
        <v>0</v>
      </c>
      <c r="S209" s="11"/>
      <c r="T209" s="45"/>
      <c r="U209" s="11"/>
      <c r="V209" s="11"/>
      <c r="W209" s="11"/>
      <c r="X209" s="11"/>
      <c r="Y209" s="11"/>
      <c r="Z209" s="11"/>
      <c r="AA209" s="45">
        <f t="shared" si="38"/>
        <v>0</v>
      </c>
      <c r="AB209" s="11"/>
      <c r="AC209" s="50"/>
      <c r="AD209" s="11"/>
      <c r="AE209" s="11"/>
      <c r="AF209" s="11"/>
      <c r="AG209" s="11"/>
      <c r="AH209" s="11"/>
      <c r="AI209" s="11"/>
      <c r="AJ209" s="11"/>
      <c r="AK209" s="11"/>
      <c r="AL209" s="96"/>
      <c r="AM209" s="45">
        <f t="shared" si="39"/>
        <v>0</v>
      </c>
      <c r="AN209" s="11"/>
      <c r="AO209" s="67"/>
      <c r="AP209" s="142">
        <f>_xlfn.XLOOKUP(E209,[9]工资核对的全字段!$C:$C,[9]工资核对的全字段!$CW:$CW,0)</f>
        <v>0</v>
      </c>
      <c r="AQ209" s="36">
        <f t="shared" si="40"/>
        <v>0</v>
      </c>
    </row>
    <row r="210" spans="1:43" x14ac:dyDescent="0.15">
      <c r="A210" s="55" t="s">
        <v>41</v>
      </c>
      <c r="B210" s="62" t="s">
        <v>269</v>
      </c>
      <c r="C210" s="57" t="s">
        <v>169</v>
      </c>
      <c r="D210" s="58" t="s">
        <v>43</v>
      </c>
      <c r="E210" s="58" t="s">
        <v>273</v>
      </c>
      <c r="F210" s="11">
        <f t="shared" si="41"/>
        <v>61643</v>
      </c>
      <c r="G210" s="11">
        <v>68765</v>
      </c>
      <c r="H210" s="11">
        <v>-8010</v>
      </c>
      <c r="I210" s="11">
        <v>888</v>
      </c>
      <c r="J210" s="50"/>
      <c r="K210" s="11"/>
      <c r="L210" s="68">
        <f>F210/$K$213</f>
        <v>0.85358963778210428</v>
      </c>
      <c r="M210" s="68">
        <v>0.04</v>
      </c>
      <c r="N210" s="45">
        <f t="shared" si="42"/>
        <v>2613.0700000000002</v>
      </c>
      <c r="O210" s="45">
        <f t="shared" si="43"/>
        <v>-197.84700000000001</v>
      </c>
      <c r="P210" s="45">
        <v>0</v>
      </c>
      <c r="Q210" s="45"/>
      <c r="R210" s="45">
        <f t="shared" si="37"/>
        <v>2415.223</v>
      </c>
      <c r="S210" s="11">
        <f>_xlfn.XLOOKUP(E:E,'[1]②7月-汇总'!$D:$D,'[1]②7月-汇总'!$AP:$AP)</f>
        <v>31</v>
      </c>
      <c r="T210" s="45">
        <v>2000</v>
      </c>
      <c r="U210" s="11">
        <f>_xlfn.XLOOKUP(E:E,'[2]手工、项目数、消耗'!$C:$C,'[2]手工、项目数、消耗'!$E:$E)</f>
        <v>67533.37</v>
      </c>
      <c r="V210" s="11">
        <f>_xlfn.XLOOKUP(E:E,'[2]手工、项目数、消耗'!$C:$C,'[2]手工、项目数、消耗'!$D:$D)</f>
        <v>106</v>
      </c>
      <c r="W210" s="11">
        <f>_xlfn.XLOOKUP(E:E,'[2]手工、项目数、消耗'!$C:$C,'[2]手工、项目数、消耗'!$H:$H)</f>
        <v>1372</v>
      </c>
      <c r="X210" s="11">
        <f>_xlfn.XLOOKUP(E:E,'[1]②7月-汇总'!$D:$D,'[1]②7月-汇总'!$W:$W)</f>
        <v>0</v>
      </c>
      <c r="Y210" s="11">
        <f>_xlfn.XLOOKUP(E:E,'[1]②7月-汇总'!$D:$D,'[1]②7月-汇总'!$Z:$Z)</f>
        <v>0</v>
      </c>
      <c r="Z210" s="11">
        <f>_xlfn.XLOOKUP(E:E,'[1]②7月-汇总'!$D:$D,'[1]②7月-汇总'!$AI:$AI)</f>
        <v>0</v>
      </c>
      <c r="AA210" s="45">
        <f t="shared" si="38"/>
        <v>5787.223</v>
      </c>
      <c r="AB210" s="11"/>
      <c r="AC210" s="50"/>
      <c r="AD210" s="11">
        <f>_xlfn.XLOOKUP(E:E,'[1]②7月-汇总'!$D:$D,'[1]②7月-汇总'!$AC:$AC)</f>
        <v>0</v>
      </c>
      <c r="AE210" s="11">
        <f>_xlfn.XLOOKUP(E:E,[3]Sheet1!$B:$B,[3]Sheet1!$L:$L)</f>
        <v>644.16800000000001</v>
      </c>
      <c r="AF210" s="11">
        <f>_xlfn.XLOOKUP(E:E,'[1]②7月-汇总'!$D:$D,'[1]②7月-汇总'!$AD:$AD)</f>
        <v>0</v>
      </c>
      <c r="AG210" s="11">
        <f>_xlfn.XLOOKUP(E:E,'[1]②7月-汇总'!$D:$D,'[1]②7月-汇总'!$Y:$Y)</f>
        <v>0</v>
      </c>
      <c r="AH210" s="11">
        <f>_xlfn.XLOOKUP(E:E,'[1]②7月-汇总'!$D:$D,'[1]②7月-汇总'!$L:$L)</f>
        <v>0</v>
      </c>
      <c r="AI210" s="11">
        <f>_xlfn.XLOOKUP(E:E,'[1]②7月-汇总'!$D:$D,'[1]②7月-汇总'!$X:$X)</f>
        <v>0</v>
      </c>
      <c r="AJ210" s="11">
        <f>_xlfn.XLOOKUP(E:E,'[1]②7月-汇总'!$D:$D,'[1]②7月-汇总'!$AB:$AB)</f>
        <v>0</v>
      </c>
      <c r="AK210" s="11">
        <f>_xlfn.XLOOKUP(E:E,'[1]②7月-汇总'!$D:$D,'[1]②7月-汇总'!$AE:$AE)</f>
        <v>0</v>
      </c>
      <c r="AL210" s="96"/>
      <c r="AM210" s="45">
        <f t="shared" si="39"/>
        <v>5143.0550000000003</v>
      </c>
      <c r="AN210" s="11">
        <f>_xlfn.XLOOKUP(E:E,'[1]①7月-花名册'!$E:$E,'[1]①7月-花名册'!$T:$T)</f>
        <v>0</v>
      </c>
      <c r="AO210" s="67"/>
      <c r="AP210" s="142">
        <f>_xlfn.XLOOKUP(E210,[9]工资核对的全字段!$C:$C,[9]工资核对的全字段!$CW:$CW,0)</f>
        <v>5143.0550000000003</v>
      </c>
      <c r="AQ210" s="36">
        <f t="shared" si="40"/>
        <v>0</v>
      </c>
    </row>
    <row r="211" spans="1:43" x14ac:dyDescent="0.15">
      <c r="A211" s="55" t="s">
        <v>41</v>
      </c>
      <c r="B211" s="62" t="s">
        <v>269</v>
      </c>
      <c r="C211" s="57" t="s">
        <v>169</v>
      </c>
      <c r="D211" s="58" t="s">
        <v>4</v>
      </c>
      <c r="E211" s="58" t="s">
        <v>274</v>
      </c>
      <c r="F211" s="11">
        <f t="shared" si="41"/>
        <v>6959.2</v>
      </c>
      <c r="G211" s="11">
        <v>6959.2</v>
      </c>
      <c r="H211" s="11">
        <v>0</v>
      </c>
      <c r="I211" s="11">
        <v>0</v>
      </c>
      <c r="J211" s="50"/>
      <c r="K211" s="11"/>
      <c r="L211" s="68">
        <f>F211/$K$213</f>
        <v>9.636618930378503E-2</v>
      </c>
      <c r="M211" s="68">
        <v>0.04</v>
      </c>
      <c r="N211" s="45">
        <f t="shared" si="42"/>
        <v>264.44959999999998</v>
      </c>
      <c r="O211" s="45">
        <f t="shared" si="43"/>
        <v>0</v>
      </c>
      <c r="P211" s="45"/>
      <c r="Q211" s="45"/>
      <c r="R211" s="45">
        <f t="shared" si="37"/>
        <v>264.44959999999998</v>
      </c>
      <c r="S211" s="11">
        <f>_xlfn.XLOOKUP(E:E,'[1]②7月-汇总'!$D:$D,'[1]②7月-汇总'!$AP:$AP)</f>
        <v>31</v>
      </c>
      <c r="T211" s="45">
        <v>1800</v>
      </c>
      <c r="U211" s="11">
        <f>_xlfn.XLOOKUP(E:E,'[2]手工、项目数、消耗'!$C:$C,'[2]手工、项目数、消耗'!$E:$E)</f>
        <v>5771.98</v>
      </c>
      <c r="V211" s="11">
        <f>_xlfn.XLOOKUP(E:E,'[2]手工、项目数、消耗'!$C:$C,'[2]手工、项目数、消耗'!$D:$D)</f>
        <v>79</v>
      </c>
      <c r="W211" s="11">
        <f>_xlfn.XLOOKUP(E:E,'[2]手工、项目数、消耗'!$C:$C,'[2]手工、项目数、消耗'!$H:$H)</f>
        <v>1129</v>
      </c>
      <c r="X211" s="11">
        <f>_xlfn.XLOOKUP(E:E,'[1]②7月-汇总'!$D:$D,'[1]②7月-汇总'!$W:$W)</f>
        <v>0</v>
      </c>
      <c r="Y211" s="11">
        <f>_xlfn.XLOOKUP(E:E,'[1]②7月-汇总'!$D:$D,'[1]②7月-汇总'!$Z:$Z)</f>
        <v>0</v>
      </c>
      <c r="Z211" s="11">
        <f>_xlfn.XLOOKUP(E:E,'[1]②7月-汇总'!$D:$D,'[1]②7月-汇总'!$AI:$AI)</f>
        <v>0</v>
      </c>
      <c r="AA211" s="45">
        <f t="shared" si="38"/>
        <v>3193.4495999999999</v>
      </c>
      <c r="AB211" s="11"/>
      <c r="AC211" s="11">
        <v>0</v>
      </c>
      <c r="AD211" s="11">
        <f>_xlfn.XLOOKUP(E:E,'[1]②7月-汇总'!$D:$D,'[1]②7月-汇总'!$AC:$AC)</f>
        <v>0</v>
      </c>
      <c r="AE211" s="11"/>
      <c r="AF211" s="11">
        <f>_xlfn.XLOOKUP(E:E,'[1]②7月-汇总'!$D:$D,'[1]②7月-汇总'!$AD:$AD)</f>
        <v>0</v>
      </c>
      <c r="AG211" s="11">
        <f>_xlfn.XLOOKUP(E:E,'[1]②7月-汇总'!$D:$D,'[1]②7月-汇总'!$Y:$Y)</f>
        <v>0</v>
      </c>
      <c r="AH211" s="11">
        <f>_xlfn.XLOOKUP(E:E,'[1]②7月-汇总'!$D:$D,'[1]②7月-汇总'!$L:$L)</f>
        <v>0</v>
      </c>
      <c r="AI211" s="11">
        <f>_xlfn.XLOOKUP(E:E,'[1]②7月-汇总'!$D:$D,'[1]②7月-汇总'!$X:$X)</f>
        <v>0</v>
      </c>
      <c r="AJ211" s="11">
        <f>_xlfn.XLOOKUP(E:E,'[1]②7月-汇总'!$D:$D,'[1]②7月-汇总'!$AB:$AB)</f>
        <v>0</v>
      </c>
      <c r="AK211" s="11">
        <f>_xlfn.XLOOKUP(E:E,'[1]②7月-汇总'!$D:$D,'[1]②7月-汇总'!$AE:$AE)</f>
        <v>0</v>
      </c>
      <c r="AL211" s="96">
        <v>807</v>
      </c>
      <c r="AM211" s="45">
        <f t="shared" si="39"/>
        <v>4000.4495999999999</v>
      </c>
      <c r="AN211" s="11">
        <f>_xlfn.XLOOKUP(E:E,'[1]①7月-花名册'!$E:$E,'[1]①7月-花名册'!$T:$T)</f>
        <v>4000</v>
      </c>
      <c r="AO211" s="67"/>
      <c r="AP211" s="142">
        <f>_xlfn.XLOOKUP(E211,[9]工资核对的全字段!$C:$C,[9]工资核对的全字段!$CW:$CW,0)</f>
        <v>4000</v>
      </c>
      <c r="AQ211" s="36">
        <f t="shared" si="40"/>
        <v>-0.44959999999991851</v>
      </c>
    </row>
    <row r="212" spans="1:43" x14ac:dyDescent="0.15">
      <c r="A212" s="55" t="s">
        <v>41</v>
      </c>
      <c r="B212" s="62" t="s">
        <v>269</v>
      </c>
      <c r="C212" s="57" t="s">
        <v>169</v>
      </c>
      <c r="D212" s="58" t="s">
        <v>4</v>
      </c>
      <c r="E212" s="58" t="s">
        <v>275</v>
      </c>
      <c r="F212" s="11">
        <f t="shared" si="41"/>
        <v>3614</v>
      </c>
      <c r="G212" s="11">
        <v>3614</v>
      </c>
      <c r="H212" s="11">
        <v>0</v>
      </c>
      <c r="I212" s="11">
        <v>0</v>
      </c>
      <c r="J212" s="50"/>
      <c r="K212" s="11"/>
      <c r="L212" s="68">
        <f>F212/$K$213</f>
        <v>5.0044172914110688E-2</v>
      </c>
      <c r="M212" s="68">
        <v>0.04</v>
      </c>
      <c r="N212" s="45">
        <f t="shared" si="42"/>
        <v>137.33199999999999</v>
      </c>
      <c r="O212" s="45">
        <f t="shared" si="43"/>
        <v>0</v>
      </c>
      <c r="P212" s="45"/>
      <c r="Q212" s="45"/>
      <c r="R212" s="45">
        <f t="shared" si="37"/>
        <v>137.33199999999999</v>
      </c>
      <c r="S212" s="11">
        <f>_xlfn.XLOOKUP(E:E,'[1]②7月-汇总'!$D:$D,'[1]②7月-汇总'!$AP:$AP)</f>
        <v>31</v>
      </c>
      <c r="T212" s="45">
        <v>1800</v>
      </c>
      <c r="U212" s="11">
        <f>_xlfn.XLOOKUP(E:E,'[2]手工、项目数、消耗'!$C:$C,'[2]手工、项目数、消耗'!$E:$E)</f>
        <v>4789.33</v>
      </c>
      <c r="V212" s="11">
        <f>_xlfn.XLOOKUP(E:E,'[2]手工、项目数、消耗'!$C:$C,'[2]手工、项目数、消耗'!$D:$D)</f>
        <v>71</v>
      </c>
      <c r="W212" s="11">
        <f>_xlfn.XLOOKUP(E:E,'[2]手工、项目数、消耗'!$C:$C,'[2]手工、项目数、消耗'!$H:$H)</f>
        <v>952</v>
      </c>
      <c r="X212" s="11">
        <f>_xlfn.XLOOKUP(E:E,'[1]②7月-汇总'!$D:$D,'[1]②7月-汇总'!$W:$W)</f>
        <v>0</v>
      </c>
      <c r="Y212" s="11">
        <f>_xlfn.XLOOKUP(E:E,'[1]②7月-汇总'!$D:$D,'[1]②7月-汇总'!$Z:$Z)</f>
        <v>0</v>
      </c>
      <c r="Z212" s="11">
        <f>_xlfn.XLOOKUP(E:E,'[1]②7月-汇总'!$D:$D,'[1]②7月-汇总'!$AI:$AI)</f>
        <v>0</v>
      </c>
      <c r="AA212" s="45">
        <f t="shared" si="38"/>
        <v>2889.3319999999999</v>
      </c>
      <c r="AB212" s="11"/>
      <c r="AC212" s="11">
        <v>0</v>
      </c>
      <c r="AD212" s="11">
        <f>_xlfn.XLOOKUP(E:E,'[1]②7月-汇总'!$D:$D,'[1]②7月-汇总'!$AC:$AC)</f>
        <v>100</v>
      </c>
      <c r="AE212" s="11"/>
      <c r="AF212" s="11">
        <f>_xlfn.XLOOKUP(E:E,'[1]②7月-汇总'!$D:$D,'[1]②7月-汇总'!$AD:$AD)</f>
        <v>0</v>
      </c>
      <c r="AG212" s="11">
        <f>_xlfn.XLOOKUP(E:E,'[1]②7月-汇总'!$D:$D,'[1]②7月-汇总'!$Y:$Y)</f>
        <v>10</v>
      </c>
      <c r="AH212" s="11">
        <f>_xlfn.XLOOKUP(E:E,'[1]②7月-汇总'!$D:$D,'[1]②7月-汇总'!$L:$L)</f>
        <v>0</v>
      </c>
      <c r="AI212" s="11">
        <f>_xlfn.XLOOKUP(E:E,'[1]②7月-汇总'!$D:$D,'[1]②7月-汇总'!$X:$X)</f>
        <v>10</v>
      </c>
      <c r="AJ212" s="11">
        <f>_xlfn.XLOOKUP(E:E,'[1]②7月-汇总'!$D:$D,'[1]②7月-汇总'!$AB:$AB)</f>
        <v>0</v>
      </c>
      <c r="AK212" s="11">
        <f>_xlfn.XLOOKUP(E:E,'[1]②7月-汇总'!$D:$D,'[1]②7月-汇总'!$AE:$AE)</f>
        <v>0</v>
      </c>
      <c r="AL212" s="96">
        <v>611</v>
      </c>
      <c r="AM212" s="45">
        <f t="shared" si="39"/>
        <v>3380.3319999999999</v>
      </c>
      <c r="AN212" s="11">
        <f>_xlfn.XLOOKUP(E:E,'[1]①7月-花名册'!$E:$E,'[1]①7月-花名册'!$T:$T)</f>
        <v>3500</v>
      </c>
      <c r="AO212" s="67"/>
      <c r="AP212" s="142">
        <f>_xlfn.XLOOKUP(E212,[9]工资核对的全字段!$C:$C,[9]工资核对的全字段!$CW:$CW,0)</f>
        <v>3380</v>
      </c>
      <c r="AQ212" s="36">
        <f t="shared" si="40"/>
        <v>-0.33199999999987995</v>
      </c>
    </row>
    <row r="213" spans="1:43" x14ac:dyDescent="0.15">
      <c r="A213" s="55" t="s">
        <v>41</v>
      </c>
      <c r="B213" s="62" t="str">
        <f>B211</f>
        <v>千禧</v>
      </c>
      <c r="C213" s="57" t="s">
        <v>47</v>
      </c>
      <c r="D213" s="58" t="s">
        <v>47</v>
      </c>
      <c r="E213" s="58" t="s">
        <v>47</v>
      </c>
      <c r="F213" s="11">
        <f t="shared" si="41"/>
        <v>0</v>
      </c>
      <c r="G213" s="11">
        <v>0</v>
      </c>
      <c r="H213" s="11">
        <v>0</v>
      </c>
      <c r="I213" s="11">
        <v>0</v>
      </c>
      <c r="J213" s="50"/>
      <c r="K213" s="11">
        <v>72216.2</v>
      </c>
      <c r="L213" s="68"/>
      <c r="M213" s="68"/>
      <c r="N213" s="45">
        <f t="shared" si="42"/>
        <v>0</v>
      </c>
      <c r="O213" s="45">
        <f t="shared" si="43"/>
        <v>0</v>
      </c>
      <c r="P213" s="45"/>
      <c r="Q213" s="45"/>
      <c r="R213" s="45">
        <f t="shared" si="37"/>
        <v>0</v>
      </c>
      <c r="S213" s="11"/>
      <c r="T213" s="45"/>
      <c r="U213" s="11"/>
      <c r="V213" s="11"/>
      <c r="W213" s="11"/>
      <c r="X213" s="11"/>
      <c r="Y213" s="11"/>
      <c r="Z213" s="11"/>
      <c r="AA213" s="45">
        <f t="shared" si="38"/>
        <v>0</v>
      </c>
      <c r="AB213" s="11"/>
      <c r="AC213" s="50"/>
      <c r="AD213" s="11"/>
      <c r="AE213" s="11"/>
      <c r="AF213" s="11"/>
      <c r="AG213" s="11"/>
      <c r="AH213" s="11"/>
      <c r="AI213" s="11"/>
      <c r="AJ213" s="11"/>
      <c r="AK213" s="11"/>
      <c r="AL213" s="96"/>
      <c r="AM213" s="45">
        <f t="shared" si="39"/>
        <v>0</v>
      </c>
      <c r="AN213" s="11"/>
      <c r="AO213" s="67"/>
      <c r="AP213" s="142">
        <f>_xlfn.XLOOKUP(E213,[9]工资核对的全字段!$C:$C,[9]工资核对的全字段!$CW:$CW,0)</f>
        <v>0</v>
      </c>
      <c r="AQ213" s="36">
        <f t="shared" si="40"/>
        <v>0</v>
      </c>
    </row>
    <row r="214" spans="1:43" x14ac:dyDescent="0.15">
      <c r="A214" s="55" t="s">
        <v>41</v>
      </c>
      <c r="B214" s="62" t="s">
        <v>269</v>
      </c>
      <c r="C214" s="60" t="s">
        <v>9</v>
      </c>
      <c r="D214" s="61" t="s">
        <v>9</v>
      </c>
      <c r="E214" s="61" t="s">
        <v>276</v>
      </c>
      <c r="F214" s="11">
        <f t="shared" si="41"/>
        <v>17050</v>
      </c>
      <c r="G214" s="11">
        <v>17670</v>
      </c>
      <c r="H214" s="11">
        <v>-620</v>
      </c>
      <c r="I214" s="11">
        <v>0</v>
      </c>
      <c r="J214" s="50"/>
      <c r="K214" s="11"/>
      <c r="L214" s="68"/>
      <c r="M214" s="68"/>
      <c r="N214" s="45">
        <f t="shared" si="42"/>
        <v>0</v>
      </c>
      <c r="O214" s="45">
        <f t="shared" si="43"/>
        <v>0</v>
      </c>
      <c r="P214" s="45"/>
      <c r="Q214" s="45">
        <v>378</v>
      </c>
      <c r="R214" s="45">
        <f t="shared" si="37"/>
        <v>378</v>
      </c>
      <c r="S214" s="11"/>
      <c r="T214" s="45"/>
      <c r="U214" s="11"/>
      <c r="V214" s="11"/>
      <c r="W214" s="11"/>
      <c r="X214" s="11"/>
      <c r="Y214" s="11"/>
      <c r="Z214" s="11"/>
      <c r="AA214" s="45">
        <f t="shared" si="38"/>
        <v>378</v>
      </c>
      <c r="AB214" s="11"/>
      <c r="AC214" s="50"/>
      <c r="AD214" s="11"/>
      <c r="AE214" s="11"/>
      <c r="AF214" s="11"/>
      <c r="AG214" s="11"/>
      <c r="AH214" s="11"/>
      <c r="AI214" s="11"/>
      <c r="AJ214" s="11"/>
      <c r="AK214" s="11"/>
      <c r="AL214" s="96"/>
      <c r="AM214" s="45">
        <f t="shared" si="39"/>
        <v>378</v>
      </c>
      <c r="AN214" s="11"/>
      <c r="AO214" s="67"/>
      <c r="AP214" s="142">
        <f>_xlfn.XLOOKUP(E214,[9]工资核对的全字段!$C:$C,[9]工资核对的全字段!$CW:$CW,0)</f>
        <v>377.82250000000005</v>
      </c>
      <c r="AQ214" s="36">
        <f t="shared" si="40"/>
        <v>-0.17749999999995225</v>
      </c>
    </row>
    <row r="215" spans="1:43" x14ac:dyDescent="0.15">
      <c r="A215" s="55" t="s">
        <v>41</v>
      </c>
      <c r="B215" s="62" t="s">
        <v>277</v>
      </c>
      <c r="C215" s="57" t="s">
        <v>48</v>
      </c>
      <c r="D215" s="58" t="s">
        <v>43</v>
      </c>
      <c r="E215" s="58" t="s">
        <v>278</v>
      </c>
      <c r="F215" s="11">
        <f t="shared" si="41"/>
        <v>80534.86</v>
      </c>
      <c r="G215" s="11">
        <v>72929.259999999995</v>
      </c>
      <c r="H215" s="11">
        <v>7017.6</v>
      </c>
      <c r="I215" s="11">
        <v>588</v>
      </c>
      <c r="J215" s="50"/>
      <c r="K215" s="11"/>
      <c r="L215" s="68">
        <f>F215/$K$218</f>
        <v>0.55632520091570858</v>
      </c>
      <c r="M215" s="68">
        <v>0.06</v>
      </c>
      <c r="N215" s="45">
        <f t="shared" si="42"/>
        <v>4156.9678199999989</v>
      </c>
      <c r="O215" s="45">
        <f t="shared" si="43"/>
        <v>260.00208000000003</v>
      </c>
      <c r="P215" s="45">
        <f>K218*0.008</f>
        <v>1158.0976000000001</v>
      </c>
      <c r="Q215" s="45"/>
      <c r="R215" s="45">
        <f t="shared" si="37"/>
        <v>5575.0674999999992</v>
      </c>
      <c r="S215" s="11">
        <f>_xlfn.XLOOKUP(E:E,'[1]②7月-汇总'!$D:$D,'[1]②7月-汇总'!$AP:$AP)</f>
        <v>31</v>
      </c>
      <c r="T215" s="45">
        <v>2400</v>
      </c>
      <c r="U215" s="11">
        <f>_xlfn.XLOOKUP(E:E,'[2]手工、项目数、消耗'!$C:$C,'[2]手工、项目数、消耗'!$E:$E)</f>
        <v>57021.5</v>
      </c>
      <c r="V215" s="11">
        <f>_xlfn.XLOOKUP(E:E,'[2]手工、项目数、消耗'!$C:$C,'[2]手工、项目数、消耗'!$D:$D)</f>
        <v>159</v>
      </c>
      <c r="W215" s="11">
        <f>_xlfn.XLOOKUP(E:E,'[2]手工、项目数、消耗'!$C:$C,'[2]手工、项目数、消耗'!$H:$H)</f>
        <v>2067</v>
      </c>
      <c r="X215" s="11">
        <f>_xlfn.XLOOKUP(E:E,'[1]②7月-汇总'!$D:$D,'[1]②7月-汇总'!$W:$W)</f>
        <v>0</v>
      </c>
      <c r="Y215" s="11">
        <f>_xlfn.XLOOKUP(E:E,'[1]②7月-汇总'!$D:$D,'[1]②7月-汇总'!$Z:$Z)</f>
        <v>50</v>
      </c>
      <c r="Z215" s="11">
        <f>_xlfn.XLOOKUP(E:E,'[1]②7月-汇总'!$D:$D,'[1]②7月-汇总'!$AI:$AI)</f>
        <v>0</v>
      </c>
      <c r="AA215" s="45">
        <f t="shared" si="38"/>
        <v>10092.067499999999</v>
      </c>
      <c r="AB215" s="11"/>
      <c r="AC215" s="50"/>
      <c r="AD215" s="11">
        <f>_xlfn.XLOOKUP(E:E,'[1]②7月-汇总'!$D:$D,'[1]②7月-汇总'!$AC:$AC)</f>
        <v>0</v>
      </c>
      <c r="AE215" s="11">
        <f>_xlfn.XLOOKUP(E:E,[3]Sheet1!$B:$B,[3]Sheet1!$L:$L)</f>
        <v>640.55999999999995</v>
      </c>
      <c r="AF215" s="11">
        <f>_xlfn.XLOOKUP(E:E,'[1]②7月-汇总'!$D:$D,'[1]②7月-汇总'!$AD:$AD)</f>
        <v>0</v>
      </c>
      <c r="AG215" s="11">
        <f>_xlfn.XLOOKUP(E:E,'[1]②7月-汇总'!$D:$D,'[1]②7月-汇总'!$Y:$Y)</f>
        <v>0</v>
      </c>
      <c r="AH215" s="11">
        <f>_xlfn.XLOOKUP(E:E,'[1]②7月-汇总'!$D:$D,'[1]②7月-汇总'!$L:$L)</f>
        <v>0</v>
      </c>
      <c r="AI215" s="11">
        <f>_xlfn.XLOOKUP(E:E,'[1]②7月-汇总'!$D:$D,'[1]②7月-汇总'!$X:$X)</f>
        <v>0</v>
      </c>
      <c r="AJ215" s="11">
        <f>_xlfn.XLOOKUP(E:E,'[1]②7月-汇总'!$D:$D,'[1]②7月-汇总'!$AB:$AB)</f>
        <v>0</v>
      </c>
      <c r="AK215" s="11">
        <f>_xlfn.XLOOKUP(E:E,'[1]②7月-汇总'!$D:$D,'[1]②7月-汇总'!$AE:$AE)</f>
        <v>0</v>
      </c>
      <c r="AL215" s="96"/>
      <c r="AM215" s="45">
        <f t="shared" si="39"/>
        <v>9451.5074999999997</v>
      </c>
      <c r="AN215" s="11">
        <f>_xlfn.XLOOKUP(E:E,'[1]①7月-花名册'!$E:$E,'[1]①7月-花名册'!$T:$T)</f>
        <v>0</v>
      </c>
      <c r="AO215" s="67"/>
      <c r="AP215" s="142">
        <f>_xlfn.XLOOKUP(E215,[9]工资核对的全字段!$C:$C,[9]工资核对的全字段!$CW:$CW,0)</f>
        <v>9451.5098999999991</v>
      </c>
      <c r="AQ215" s="36">
        <f t="shared" si="40"/>
        <v>2.3999999993975507E-3</v>
      </c>
    </row>
    <row r="216" spans="1:43" x14ac:dyDescent="0.15">
      <c r="A216" s="55" t="s">
        <v>41</v>
      </c>
      <c r="B216" s="62" t="s">
        <v>277</v>
      </c>
      <c r="C216" s="57" t="s">
        <v>48</v>
      </c>
      <c r="D216" s="58" t="s">
        <v>4</v>
      </c>
      <c r="E216" s="58" t="s">
        <v>279</v>
      </c>
      <c r="F216" s="11">
        <f t="shared" si="41"/>
        <v>61761.340000000004</v>
      </c>
      <c r="G216" s="11">
        <v>33070.94</v>
      </c>
      <c r="H216" s="11">
        <v>28070.400000000001</v>
      </c>
      <c r="I216" s="11">
        <v>620</v>
      </c>
      <c r="J216" s="50"/>
      <c r="K216" s="11"/>
      <c r="L216" s="68">
        <f>F216/$K$218</f>
        <v>0.42663996540533372</v>
      </c>
      <c r="M216" s="68">
        <v>0.06</v>
      </c>
      <c r="N216" s="45">
        <f t="shared" si="42"/>
        <v>1885.04358</v>
      </c>
      <c r="O216" s="45">
        <f t="shared" si="43"/>
        <v>1040.0083200000001</v>
      </c>
      <c r="P216" s="45"/>
      <c r="Q216" s="45"/>
      <c r="R216" s="45">
        <f t="shared" si="37"/>
        <v>2925.0519000000004</v>
      </c>
      <c r="S216" s="11">
        <f>_xlfn.XLOOKUP(E:E,'[1]②7月-汇总'!$D:$D,'[1]②7月-汇总'!$AP:$AP)</f>
        <v>31</v>
      </c>
      <c r="T216" s="45">
        <v>2000</v>
      </c>
      <c r="U216" s="11">
        <f>_xlfn.XLOOKUP(E:E,'[2]手工、项目数、消耗'!$C:$C,'[2]手工、项目数、消耗'!$E:$E)</f>
        <v>17876.88</v>
      </c>
      <c r="V216" s="11">
        <f>_xlfn.XLOOKUP(E:E,'[2]手工、项目数、消耗'!$C:$C,'[2]手工、项目数、消耗'!$D:$D)</f>
        <v>134</v>
      </c>
      <c r="W216" s="11">
        <f>_xlfn.XLOOKUP(E:E,'[2]手工、项目数、消耗'!$C:$C,'[2]手工、项目数、消耗'!$H:$H)</f>
        <v>2018</v>
      </c>
      <c r="X216" s="11">
        <f>_xlfn.XLOOKUP(E:E,'[1]②7月-汇总'!$D:$D,'[1]②7月-汇总'!$W:$W)</f>
        <v>0</v>
      </c>
      <c r="Y216" s="11">
        <f>_xlfn.XLOOKUP(E:E,'[1]②7月-汇总'!$D:$D,'[1]②7月-汇总'!$Z:$Z)</f>
        <v>0</v>
      </c>
      <c r="Z216" s="11">
        <f>_xlfn.XLOOKUP(E:E,'[1]②7月-汇总'!$D:$D,'[1]②7月-汇总'!$AI:$AI)</f>
        <v>0</v>
      </c>
      <c r="AA216" s="45">
        <f t="shared" si="38"/>
        <v>6943.0519000000004</v>
      </c>
      <c r="AB216" s="11"/>
      <c r="AC216" s="50"/>
      <c r="AD216" s="11">
        <f>_xlfn.XLOOKUP(E:E,'[1]②7月-汇总'!$D:$D,'[1]②7月-汇总'!$AC:$AC)</f>
        <v>0</v>
      </c>
      <c r="AE216" s="11"/>
      <c r="AF216" s="11">
        <f>_xlfn.XLOOKUP(E:E,'[1]②7月-汇总'!$D:$D,'[1]②7月-汇总'!$AD:$AD)</f>
        <v>0</v>
      </c>
      <c r="AG216" s="11">
        <f>_xlfn.XLOOKUP(E:E,'[1]②7月-汇总'!$D:$D,'[1]②7月-汇总'!$Y:$Y)</f>
        <v>0</v>
      </c>
      <c r="AH216" s="11">
        <f>_xlfn.XLOOKUP(E:E,'[1]②7月-汇总'!$D:$D,'[1]②7月-汇总'!$L:$L)</f>
        <v>0</v>
      </c>
      <c r="AI216" s="11">
        <f>_xlfn.XLOOKUP(E:E,'[1]②7月-汇总'!$D:$D,'[1]②7月-汇总'!$X:$X)</f>
        <v>0</v>
      </c>
      <c r="AJ216" s="11">
        <f>_xlfn.XLOOKUP(E:E,'[1]②7月-汇总'!$D:$D,'[1]②7月-汇总'!$AB:$AB)</f>
        <v>0</v>
      </c>
      <c r="AK216" s="11">
        <f>_xlfn.XLOOKUP(E:E,'[1]②7月-汇总'!$D:$D,'[1]②7月-汇总'!$AE:$AE)</f>
        <v>0</v>
      </c>
      <c r="AL216" s="96"/>
      <c r="AM216" s="45">
        <f t="shared" si="39"/>
        <v>6943.0519000000004</v>
      </c>
      <c r="AN216" s="11">
        <f>_xlfn.XLOOKUP(E:E,'[1]①7月-花名册'!$E:$E,'[1]①7月-花名册'!$T:$T)</f>
        <v>0</v>
      </c>
      <c r="AO216" s="67"/>
      <c r="AP216" s="142">
        <f>_xlfn.XLOOKUP(E216,[9]工资核对的全字段!$C:$C,[9]工资核对的全字段!$CW:$CW,0)</f>
        <v>6943.0518999999995</v>
      </c>
      <c r="AQ216" s="36">
        <f t="shared" si="40"/>
        <v>0</v>
      </c>
    </row>
    <row r="217" spans="1:43" x14ac:dyDescent="0.15">
      <c r="A217" s="55" t="s">
        <v>41</v>
      </c>
      <c r="B217" s="62" t="s">
        <v>277</v>
      </c>
      <c r="C217" s="57" t="s">
        <v>48</v>
      </c>
      <c r="D217" s="58" t="s">
        <v>4</v>
      </c>
      <c r="E217" s="58" t="s">
        <v>280</v>
      </c>
      <c r="F217" s="11">
        <f t="shared" si="41"/>
        <v>2466</v>
      </c>
      <c r="G217" s="11">
        <v>2466</v>
      </c>
      <c r="H217" s="11">
        <v>0</v>
      </c>
      <c r="I217" s="11">
        <v>0</v>
      </c>
      <c r="J217" s="50"/>
      <c r="K217" s="11"/>
      <c r="L217" s="68">
        <f>F217/$K$218</f>
        <v>1.7034833678957625E-2</v>
      </c>
      <c r="M217" s="68">
        <v>0.06</v>
      </c>
      <c r="N217" s="45">
        <f t="shared" si="42"/>
        <v>140.56199999999998</v>
      </c>
      <c r="O217" s="45">
        <f t="shared" si="43"/>
        <v>0</v>
      </c>
      <c r="P217" s="45"/>
      <c r="Q217" s="45"/>
      <c r="R217" s="45">
        <f t="shared" si="37"/>
        <v>140.56199999999998</v>
      </c>
      <c r="S217" s="11">
        <f>_xlfn.XLOOKUP(E:E,'[1]②7月-汇总'!$D:$D,'[1]②7月-汇总'!$AP:$AP)</f>
        <v>31</v>
      </c>
      <c r="T217" s="45">
        <v>1800</v>
      </c>
      <c r="U217" s="11">
        <f>_xlfn.XLOOKUP(E:E,'[2]手工、项目数、消耗'!$C:$C,'[2]手工、项目数、消耗'!$E:$E)</f>
        <v>4540.6499999999996</v>
      </c>
      <c r="V217" s="11">
        <f>_xlfn.XLOOKUP(E:E,'[2]手工、项目数、消耗'!$C:$C,'[2]手工、项目数、消耗'!$D:$D)</f>
        <v>81</v>
      </c>
      <c r="W217" s="11">
        <f>_xlfn.XLOOKUP(E:E,'[2]手工、项目数、消耗'!$C:$C,'[2]手工、项目数、消耗'!$H:$H)</f>
        <v>1039</v>
      </c>
      <c r="X217" s="11">
        <f>_xlfn.XLOOKUP(E:E,'[1]②7月-汇总'!$D:$D,'[1]②7月-汇总'!$W:$W)</f>
        <v>0</v>
      </c>
      <c r="Y217" s="11">
        <f>_xlfn.XLOOKUP(E:E,'[1]②7月-汇总'!$D:$D,'[1]②7月-汇总'!$Z:$Z)</f>
        <v>0</v>
      </c>
      <c r="Z217" s="11">
        <f>_xlfn.XLOOKUP(E:E,'[1]②7月-汇总'!$D:$D,'[1]②7月-汇总'!$AI:$AI)</f>
        <v>0</v>
      </c>
      <c r="AA217" s="45">
        <f t="shared" si="38"/>
        <v>2979.5619999999999</v>
      </c>
      <c r="AB217" s="11"/>
      <c r="AC217" s="50"/>
      <c r="AD217" s="11">
        <f>_xlfn.XLOOKUP(E:E,'[1]②7月-汇总'!$D:$D,'[1]②7月-汇总'!$AC:$AC)</f>
        <v>0</v>
      </c>
      <c r="AE217" s="11"/>
      <c r="AF217" s="11">
        <f>_xlfn.XLOOKUP(E:E,'[1]②7月-汇总'!$D:$D,'[1]②7月-汇总'!$AD:$AD)</f>
        <v>0</v>
      </c>
      <c r="AG217" s="11">
        <f>_xlfn.XLOOKUP(E:E,'[1]②7月-汇总'!$D:$D,'[1]②7月-汇总'!$Y:$Y)</f>
        <v>0</v>
      </c>
      <c r="AH217" s="11">
        <f>_xlfn.XLOOKUP(E:E,'[1]②7月-汇总'!$D:$D,'[1]②7月-汇总'!$L:$L)</f>
        <v>0</v>
      </c>
      <c r="AI217" s="11">
        <f>_xlfn.XLOOKUP(E:E,'[1]②7月-汇总'!$D:$D,'[1]②7月-汇总'!$X:$X)</f>
        <v>0</v>
      </c>
      <c r="AJ217" s="11">
        <f>_xlfn.XLOOKUP(E:E,'[1]②7月-汇总'!$D:$D,'[1]②7月-汇总'!$AB:$AB)</f>
        <v>900</v>
      </c>
      <c r="AK217" s="11">
        <f>_xlfn.XLOOKUP(E:E,'[1]②7月-汇总'!$D:$D,'[1]②7月-汇总'!$AE:$AE)</f>
        <v>300</v>
      </c>
      <c r="AL217" s="96"/>
      <c r="AM217" s="45">
        <f t="shared" si="39"/>
        <v>2379.5619999999999</v>
      </c>
      <c r="AN217" s="11">
        <f>_xlfn.XLOOKUP(E:E,'[1]①7月-花名册'!$E:$E,'[1]①7月-花名册'!$T:$T)</f>
        <v>0</v>
      </c>
      <c r="AO217" s="67"/>
      <c r="AP217" s="142">
        <f>_xlfn.XLOOKUP(E217,[9]工资核对的全字段!$C:$C,[9]工资核对的全字段!$CW:$CW,0)</f>
        <v>2379.5619999999999</v>
      </c>
      <c r="AQ217" s="36">
        <f t="shared" si="40"/>
        <v>0</v>
      </c>
    </row>
    <row r="218" spans="1:43" x14ac:dyDescent="0.15">
      <c r="A218" s="55" t="s">
        <v>41</v>
      </c>
      <c r="B218" s="62" t="s">
        <v>277</v>
      </c>
      <c r="C218" s="57" t="s">
        <v>47</v>
      </c>
      <c r="D218" s="58" t="s">
        <v>47</v>
      </c>
      <c r="E218" s="58" t="s">
        <v>47</v>
      </c>
      <c r="F218" s="11">
        <f t="shared" si="41"/>
        <v>0</v>
      </c>
      <c r="G218" s="11">
        <v>0</v>
      </c>
      <c r="H218" s="11">
        <v>0</v>
      </c>
      <c r="I218" s="11">
        <v>0</v>
      </c>
      <c r="J218" s="50"/>
      <c r="K218" s="11">
        <v>144762.20000000001</v>
      </c>
      <c r="L218" s="68"/>
      <c r="M218" s="68"/>
      <c r="N218" s="45">
        <f t="shared" si="42"/>
        <v>0</v>
      </c>
      <c r="O218" s="45">
        <f t="shared" si="43"/>
        <v>0</v>
      </c>
      <c r="P218" s="45"/>
      <c r="Q218" s="45"/>
      <c r="R218" s="45">
        <f t="shared" si="37"/>
        <v>0</v>
      </c>
      <c r="S218" s="11"/>
      <c r="T218" s="45"/>
      <c r="U218" s="11"/>
      <c r="V218" s="11"/>
      <c r="W218" s="11"/>
      <c r="X218" s="11"/>
      <c r="Y218" s="11"/>
      <c r="Z218" s="11"/>
      <c r="AA218" s="45">
        <f t="shared" si="38"/>
        <v>0</v>
      </c>
      <c r="AB218" s="11"/>
      <c r="AC218" s="50"/>
      <c r="AD218" s="11"/>
      <c r="AE218" s="11"/>
      <c r="AF218" s="11"/>
      <c r="AG218" s="11"/>
      <c r="AH218" s="11"/>
      <c r="AI218" s="11"/>
      <c r="AJ218" s="11"/>
      <c r="AK218" s="11"/>
      <c r="AL218" s="96"/>
      <c r="AM218" s="45">
        <f t="shared" si="39"/>
        <v>0</v>
      </c>
      <c r="AN218" s="11"/>
      <c r="AO218" s="67"/>
      <c r="AP218" s="142">
        <f>_xlfn.XLOOKUP(E218,[9]工资核对的全字段!$C:$C,[9]工资核对的全字段!$CW:$CW,0)</f>
        <v>0</v>
      </c>
      <c r="AQ218" s="36">
        <f t="shared" si="40"/>
        <v>0</v>
      </c>
    </row>
    <row r="219" spans="1:43" x14ac:dyDescent="0.15">
      <c r="A219" s="55" t="s">
        <v>41</v>
      </c>
      <c r="B219" s="62" t="s">
        <v>277</v>
      </c>
      <c r="C219" s="57" t="s">
        <v>42</v>
      </c>
      <c r="D219" s="58" t="s">
        <v>43</v>
      </c>
      <c r="E219" s="58" t="s">
        <v>281</v>
      </c>
      <c r="F219" s="11">
        <f t="shared" si="41"/>
        <v>37656.9</v>
      </c>
      <c r="G219" s="11">
        <v>37212.9</v>
      </c>
      <c r="H219" s="11">
        <v>0</v>
      </c>
      <c r="I219" s="11">
        <v>444</v>
      </c>
      <c r="J219" s="50"/>
      <c r="K219" s="11"/>
      <c r="L219" s="68">
        <f>F219/$K$221</f>
        <v>0.73047430423675053</v>
      </c>
      <c r="M219" s="68">
        <v>0.04</v>
      </c>
      <c r="N219" s="45">
        <f t="shared" si="42"/>
        <v>1414.0901999999999</v>
      </c>
      <c r="O219" s="45">
        <f t="shared" si="43"/>
        <v>0</v>
      </c>
      <c r="P219" s="45">
        <v>0</v>
      </c>
      <c r="Q219" s="45"/>
      <c r="R219" s="45">
        <f t="shared" si="37"/>
        <v>1414.0901999999999</v>
      </c>
      <c r="S219" s="11">
        <f>_xlfn.XLOOKUP(E:E,'[1]②7月-汇总'!$D:$D,'[1]②7月-汇总'!$AP:$AP)</f>
        <v>31</v>
      </c>
      <c r="T219" s="45">
        <v>2400</v>
      </c>
      <c r="U219" s="11">
        <f>_xlfn.XLOOKUP(E:E,'[2]手工、项目数、消耗'!$C:$C,'[2]手工、项目数、消耗'!$E:$E)</f>
        <v>51418.54</v>
      </c>
      <c r="V219" s="11">
        <f>_xlfn.XLOOKUP(E:E,'[2]手工、项目数、消耗'!$C:$C,'[2]手工、项目数、消耗'!$D:$D)</f>
        <v>156</v>
      </c>
      <c r="W219" s="11">
        <f>_xlfn.XLOOKUP(E:E,'[2]手工、项目数、消耗'!$C:$C,'[2]手工、项目数、消耗'!$H:$H)</f>
        <v>2700</v>
      </c>
      <c r="X219" s="11">
        <f>_xlfn.XLOOKUP(E:E,'[1]②7月-汇总'!$D:$D,'[1]②7月-汇总'!$W:$W)</f>
        <v>0</v>
      </c>
      <c r="Y219" s="11">
        <f>_xlfn.XLOOKUP(E:E,'[1]②7月-汇总'!$D:$D,'[1]②7月-汇总'!$Z:$Z)</f>
        <v>0</v>
      </c>
      <c r="Z219" s="11">
        <f>_xlfn.XLOOKUP(E:E,'[1]②7月-汇总'!$D:$D,'[1]②7月-汇总'!$AI:$AI)</f>
        <v>0</v>
      </c>
      <c r="AA219" s="45">
        <f t="shared" si="38"/>
        <v>6514.0901999999996</v>
      </c>
      <c r="AB219" s="11"/>
      <c r="AC219" s="50"/>
      <c r="AD219" s="11">
        <f>_xlfn.XLOOKUP(E:E,'[1]②7月-汇总'!$D:$D,'[1]②7月-汇总'!$AC:$AC)</f>
        <v>0</v>
      </c>
      <c r="AE219" s="11">
        <f>_xlfn.XLOOKUP(E:E,[3]Sheet1!$B:$B,[3]Sheet1!$L:$L)</f>
        <v>644.16800000000001</v>
      </c>
      <c r="AF219" s="11">
        <f>_xlfn.XLOOKUP(E:E,'[1]②7月-汇总'!$D:$D,'[1]②7月-汇总'!$AD:$AD)</f>
        <v>0</v>
      </c>
      <c r="AG219" s="11">
        <f>_xlfn.XLOOKUP(E:E,'[1]②7月-汇总'!$D:$D,'[1]②7月-汇总'!$Y:$Y)</f>
        <v>0</v>
      </c>
      <c r="AH219" s="11">
        <f>_xlfn.XLOOKUP(E:E,'[1]②7月-汇总'!$D:$D,'[1]②7月-汇总'!$L:$L)</f>
        <v>0</v>
      </c>
      <c r="AI219" s="11">
        <f>_xlfn.XLOOKUP(E:E,'[1]②7月-汇总'!$D:$D,'[1]②7月-汇总'!$X:$X)</f>
        <v>0</v>
      </c>
      <c r="AJ219" s="11">
        <f>_xlfn.XLOOKUP(E:E,'[1]②7月-汇总'!$D:$D,'[1]②7月-汇总'!$AB:$AB)</f>
        <v>0</v>
      </c>
      <c r="AK219" s="11">
        <f>_xlfn.XLOOKUP(E:E,'[1]②7月-汇总'!$D:$D,'[1]②7月-汇总'!$AE:$AE)</f>
        <v>0</v>
      </c>
      <c r="AL219" s="96"/>
      <c r="AM219" s="45">
        <f t="shared" si="39"/>
        <v>5869.9222</v>
      </c>
      <c r="AN219" s="11">
        <f>_xlfn.XLOOKUP(E:E,'[1]①7月-花名册'!$E:$E,'[1]①7月-花名册'!$T:$T)</f>
        <v>0</v>
      </c>
      <c r="AO219" s="67"/>
      <c r="AP219" s="142">
        <f>_xlfn.XLOOKUP(E219,[9]工资核对的全字段!$C:$C,[9]工资核对的全字段!$CW:$CW,0)</f>
        <v>5869.9222000000009</v>
      </c>
      <c r="AQ219" s="36">
        <f t="shared" si="40"/>
        <v>0</v>
      </c>
    </row>
    <row r="220" spans="1:43" x14ac:dyDescent="0.15">
      <c r="A220" s="55" t="s">
        <v>41</v>
      </c>
      <c r="B220" s="62" t="s">
        <v>277</v>
      </c>
      <c r="C220" s="57" t="s">
        <v>42</v>
      </c>
      <c r="D220" s="58" t="s">
        <v>4</v>
      </c>
      <c r="E220" s="58" t="s">
        <v>282</v>
      </c>
      <c r="F220" s="11">
        <f t="shared" si="41"/>
        <v>13894.4</v>
      </c>
      <c r="G220" s="11">
        <v>13274.4</v>
      </c>
      <c r="H220" s="11">
        <v>0</v>
      </c>
      <c r="I220" s="11">
        <v>620</v>
      </c>
      <c r="J220" s="50"/>
      <c r="K220" s="11"/>
      <c r="L220" s="68">
        <f>F220/$K$221</f>
        <v>0.26952569576324942</v>
      </c>
      <c r="M220" s="68">
        <v>0.04</v>
      </c>
      <c r="N220" s="45">
        <f t="shared" si="42"/>
        <v>504.42719999999997</v>
      </c>
      <c r="O220" s="45">
        <f t="shared" si="43"/>
        <v>0</v>
      </c>
      <c r="P220" s="45"/>
      <c r="Q220" s="45"/>
      <c r="R220" s="45">
        <f t="shared" si="37"/>
        <v>504.42719999999997</v>
      </c>
      <c r="S220" s="11">
        <f>_xlfn.XLOOKUP(E:E,'[1]②7月-汇总'!$D:$D,'[1]②7月-汇总'!$AP:$AP)</f>
        <v>31</v>
      </c>
      <c r="T220" s="45">
        <v>2000</v>
      </c>
      <c r="U220" s="11">
        <f>_xlfn.XLOOKUP(E:E,'[2]手工、项目数、消耗'!$C:$C,'[2]手工、项目数、消耗'!$E:$E)</f>
        <v>10085.799999999999</v>
      </c>
      <c r="V220" s="11">
        <f>_xlfn.XLOOKUP(E:E,'[2]手工、项目数、消耗'!$C:$C,'[2]手工、项目数、消耗'!$D:$D)</f>
        <v>97</v>
      </c>
      <c r="W220" s="11">
        <f>_xlfn.XLOOKUP(E:E,'[2]手工、项目数、消耗'!$C:$C,'[2]手工、项目数、消耗'!$H:$H)</f>
        <v>1256</v>
      </c>
      <c r="X220" s="11">
        <f>_xlfn.XLOOKUP(E:E,'[1]②7月-汇总'!$D:$D,'[1]②7月-汇总'!$W:$W)</f>
        <v>0</v>
      </c>
      <c r="Y220" s="11">
        <f>_xlfn.XLOOKUP(E:E,'[1]②7月-汇总'!$D:$D,'[1]②7月-汇总'!$Z:$Z)</f>
        <v>0</v>
      </c>
      <c r="Z220" s="11">
        <f>_xlfn.XLOOKUP(E:E,'[1]②7月-汇总'!$D:$D,'[1]②7月-汇总'!$AI:$AI)</f>
        <v>0</v>
      </c>
      <c r="AA220" s="45">
        <f t="shared" si="38"/>
        <v>3760.4272000000001</v>
      </c>
      <c r="AB220" s="11"/>
      <c r="AC220" s="50"/>
      <c r="AD220" s="11">
        <f>_xlfn.XLOOKUP(E:E,'[1]②7月-汇总'!$D:$D,'[1]②7月-汇总'!$AC:$AC)</f>
        <v>0</v>
      </c>
      <c r="AE220" s="11"/>
      <c r="AF220" s="11">
        <f>_xlfn.XLOOKUP(E:E,'[1]②7月-汇总'!$D:$D,'[1]②7月-汇总'!$AD:$AD)</f>
        <v>0</v>
      </c>
      <c r="AG220" s="11">
        <f>_xlfn.XLOOKUP(E:E,'[1]②7月-汇总'!$D:$D,'[1]②7月-汇总'!$Y:$Y)</f>
        <v>0</v>
      </c>
      <c r="AH220" s="11">
        <f>_xlfn.XLOOKUP(E:E,'[1]②7月-汇总'!$D:$D,'[1]②7月-汇总'!$L:$L)</f>
        <v>0</v>
      </c>
      <c r="AI220" s="11">
        <f>_xlfn.XLOOKUP(E:E,'[1]②7月-汇总'!$D:$D,'[1]②7月-汇总'!$X:$X)</f>
        <v>0</v>
      </c>
      <c r="AJ220" s="11">
        <f>_xlfn.XLOOKUP(E:E,'[1]②7月-汇总'!$D:$D,'[1]②7月-汇总'!$AB:$AB)</f>
        <v>0</v>
      </c>
      <c r="AK220" s="11">
        <f>_xlfn.XLOOKUP(E:E,'[1]②7月-汇总'!$D:$D,'[1]②7月-汇总'!$AE:$AE)</f>
        <v>0</v>
      </c>
      <c r="AL220" s="96"/>
      <c r="AM220" s="45">
        <f t="shared" si="39"/>
        <v>3760.4272000000001</v>
      </c>
      <c r="AN220" s="11">
        <f>_xlfn.XLOOKUP(E:E,'[1]①7月-花名册'!$E:$E,'[1]①7月-花名册'!$T:$T)</f>
        <v>0</v>
      </c>
      <c r="AO220" s="67"/>
      <c r="AP220" s="142">
        <f>_xlfn.XLOOKUP(E220,[9]工资核对的全字段!$C:$C,[9]工资核对的全字段!$CW:$CW,0)</f>
        <v>3760.4272000000001</v>
      </c>
      <c r="AQ220" s="36">
        <f t="shared" si="40"/>
        <v>0</v>
      </c>
    </row>
    <row r="221" spans="1:43" x14ac:dyDescent="0.15">
      <c r="A221" s="55" t="s">
        <v>41</v>
      </c>
      <c r="B221" s="62" t="s">
        <v>277</v>
      </c>
      <c r="C221" s="57" t="s">
        <v>47</v>
      </c>
      <c r="D221" s="58" t="s">
        <v>47</v>
      </c>
      <c r="E221" s="58" t="s">
        <v>47</v>
      </c>
      <c r="F221" s="11">
        <f>G221+H221+I221</f>
        <v>0</v>
      </c>
      <c r="G221" s="11">
        <v>0</v>
      </c>
      <c r="H221" s="11">
        <v>0</v>
      </c>
      <c r="I221" s="11">
        <v>0</v>
      </c>
      <c r="J221" s="50"/>
      <c r="K221" s="11">
        <v>51551.3</v>
      </c>
      <c r="L221" s="68"/>
      <c r="M221" s="68"/>
      <c r="N221" s="45">
        <f>G221*0.95*M221</f>
        <v>0</v>
      </c>
      <c r="O221" s="45">
        <f>H221*0.65*0.95*M221</f>
        <v>0</v>
      </c>
      <c r="P221" s="45"/>
      <c r="Q221" s="45"/>
      <c r="R221" s="45">
        <f>N221+O221+P221+Q221</f>
        <v>0</v>
      </c>
      <c r="S221" s="11"/>
      <c r="T221" s="45"/>
      <c r="U221" s="11"/>
      <c r="V221" s="11"/>
      <c r="W221" s="11"/>
      <c r="X221" s="11"/>
      <c r="Y221" s="11"/>
      <c r="Z221" s="11"/>
      <c r="AA221" s="45">
        <f>R221+T221+W221+X221+Y221+Z221</f>
        <v>0</v>
      </c>
      <c r="AB221" s="11"/>
      <c r="AC221" s="50"/>
      <c r="AD221" s="11"/>
      <c r="AE221" s="11"/>
      <c r="AF221" s="11"/>
      <c r="AG221" s="11"/>
      <c r="AH221" s="11"/>
      <c r="AI221" s="11"/>
      <c r="AJ221" s="11"/>
      <c r="AK221" s="11"/>
      <c r="AL221" s="96"/>
      <c r="AM221" s="45">
        <f>AA221+AB221-AC221-AD221-AE221-AF221-AG221-AI221-AJ221+AK221+AL221</f>
        <v>0</v>
      </c>
      <c r="AN221" s="11"/>
      <c r="AO221" s="67"/>
      <c r="AP221" s="142">
        <f>_xlfn.XLOOKUP(E221,[9]工资核对的全字段!$C:$C,[9]工资核对的全字段!$CW:$CW,0)</f>
        <v>0</v>
      </c>
      <c r="AQ221" s="36">
        <f>AP221-AM221</f>
        <v>0</v>
      </c>
    </row>
    <row r="222" spans="1:43" x14ac:dyDescent="0.15">
      <c r="A222" s="55" t="s">
        <v>41</v>
      </c>
      <c r="B222" s="62" t="s">
        <v>277</v>
      </c>
      <c r="C222" s="57" t="s">
        <v>165</v>
      </c>
      <c r="D222" s="58" t="s">
        <v>4</v>
      </c>
      <c r="E222" s="58" t="s">
        <v>283</v>
      </c>
      <c r="F222" s="11">
        <f>G222+H222+I222</f>
        <v>3736.2</v>
      </c>
      <c r="G222" s="11">
        <v>3292.2</v>
      </c>
      <c r="H222" s="11">
        <v>0</v>
      </c>
      <c r="I222" s="11">
        <v>444</v>
      </c>
      <c r="J222" s="50"/>
      <c r="K222" s="11"/>
      <c r="L222" s="68">
        <f>F222/$K$221</f>
        <v>7.2475378894421669E-2</v>
      </c>
      <c r="M222" s="68">
        <v>0</v>
      </c>
      <c r="N222" s="45">
        <f>G222*0.95*M222</f>
        <v>0</v>
      </c>
      <c r="O222" s="45">
        <f>H222*0.65*0.95*M222</f>
        <v>0</v>
      </c>
      <c r="P222" s="45"/>
      <c r="Q222" s="45"/>
      <c r="R222" s="45">
        <f>N222+O222+P222+Q222</f>
        <v>0</v>
      </c>
      <c r="S222" s="11">
        <f>_xlfn.XLOOKUP(E:E,'[1]②7月-汇总'!$D:$D,'[1]②7月-汇总'!$AP:$AP)</f>
        <v>15</v>
      </c>
      <c r="T222" s="45">
        <f>1800/31*15</f>
        <v>870.96774193548401</v>
      </c>
      <c r="U222" s="11">
        <f>_xlfn.XLOOKUP(E:E,'[2]手工、项目数、消耗'!$C:$C,'[2]手工、项目数、消耗'!$E:$E)</f>
        <v>2141.39</v>
      </c>
      <c r="V222" s="11">
        <f>_xlfn.XLOOKUP(E:E,'[2]手工、项目数、消耗'!$C:$C,'[2]手工、项目数、消耗'!$D:$D)</f>
        <v>33</v>
      </c>
      <c r="W222" s="11">
        <f>_xlfn.XLOOKUP(E:E,'[2]手工、项目数、消耗'!$C:$C,'[2]手工、项目数、消耗'!$H:$H)</f>
        <v>460</v>
      </c>
      <c r="X222" s="11">
        <f>_xlfn.XLOOKUP(E:E,'[1]②7月-汇总'!$D:$D,'[1]②7月-汇总'!$W:$W)</f>
        <v>0</v>
      </c>
      <c r="Y222" s="11">
        <f>_xlfn.XLOOKUP(E:E,'[1]②7月-汇总'!$D:$D,'[1]②7月-汇总'!$Z:$Z)</f>
        <v>0</v>
      </c>
      <c r="Z222" s="11">
        <v>500</v>
      </c>
      <c r="AA222" s="45">
        <f>R222+T222+W222+X222+Y222+Z222</f>
        <v>1830.9677419354839</v>
      </c>
      <c r="AB222" s="11"/>
      <c r="AC222" s="50"/>
      <c r="AD222" s="11">
        <f>_xlfn.XLOOKUP(E:E,'[1]②7月-汇总'!$D:$D,'[1]②7月-汇总'!$AC:$AC)</f>
        <v>0</v>
      </c>
      <c r="AE222" s="11"/>
      <c r="AF222" s="11">
        <f>_xlfn.XLOOKUP(E:E,'[1]②7月-汇总'!$D:$D,'[1]②7月-汇总'!$AD:$AD)</f>
        <v>130</v>
      </c>
      <c r="AG222" s="11">
        <f>_xlfn.XLOOKUP(E:E,'[1]②7月-汇总'!$D:$D,'[1]②7月-汇总'!$Y:$Y)</f>
        <v>0</v>
      </c>
      <c r="AH222" s="11">
        <f>_xlfn.XLOOKUP(E:E,'[1]②7月-汇总'!$D:$D,'[1]②7月-汇总'!$L:$L)</f>
        <v>0</v>
      </c>
      <c r="AI222" s="11">
        <f>_xlfn.XLOOKUP(E:E,'[1]②7月-汇总'!$D:$D,'[1]②7月-汇总'!$X:$X)</f>
        <v>0</v>
      </c>
      <c r="AJ222" s="11">
        <f>_xlfn.XLOOKUP(E:E,'[1]②7月-汇总'!$D:$D,'[1]②7月-汇总'!$AB:$AB)</f>
        <v>0</v>
      </c>
      <c r="AK222" s="11">
        <f>_xlfn.XLOOKUP(E:E,'[1]②7月-汇总'!$D:$D,'[1]②7月-汇总'!$AE:$AE)</f>
        <v>0</v>
      </c>
      <c r="AL222" s="96"/>
      <c r="AM222" s="45">
        <f>AA222+AB222-AC222-AD222-AE222-AF222-AG222-AI222-AJ222+AK222+AL222</f>
        <v>1700.9677419354839</v>
      </c>
      <c r="AN222" s="11">
        <f>_xlfn.XLOOKUP(E:E,'[1]①7月-花名册'!$E:$E,'[1]①7月-花名册'!$T:$T)</f>
        <v>0</v>
      </c>
      <c r="AO222" s="67"/>
      <c r="AP222" s="142">
        <f>_xlfn.XLOOKUP(E222,[9]工资核对的全字段!$C:$C,[9]工资核对的全字段!$CW:$CW,0)</f>
        <v>1700.9677419354839</v>
      </c>
      <c r="AQ222" s="36">
        <f>AP222-AM222</f>
        <v>0</v>
      </c>
    </row>
    <row r="223" spans="1:43" x14ac:dyDescent="0.15">
      <c r="A223" s="55" t="s">
        <v>41</v>
      </c>
      <c r="B223" s="62" t="s">
        <v>277</v>
      </c>
      <c r="C223" s="60" t="s">
        <v>9</v>
      </c>
      <c r="D223" s="61" t="s">
        <v>9</v>
      </c>
      <c r="E223" s="61" t="s">
        <v>284</v>
      </c>
      <c r="F223" s="11">
        <f t="shared" si="41"/>
        <v>0</v>
      </c>
      <c r="G223" s="11">
        <v>0</v>
      </c>
      <c r="H223" s="11">
        <v>0</v>
      </c>
      <c r="I223" s="11">
        <v>0</v>
      </c>
      <c r="J223" s="50"/>
      <c r="K223" s="11"/>
      <c r="L223" s="68"/>
      <c r="M223" s="68"/>
      <c r="N223" s="45">
        <f t="shared" si="42"/>
        <v>0</v>
      </c>
      <c r="O223" s="45">
        <f t="shared" si="43"/>
        <v>0</v>
      </c>
      <c r="P223" s="45"/>
      <c r="Q223" s="45">
        <v>500</v>
      </c>
      <c r="R223" s="45">
        <f t="shared" si="37"/>
        <v>500</v>
      </c>
      <c r="S223" s="11"/>
      <c r="T223" s="45"/>
      <c r="U223" s="11"/>
      <c r="V223" s="11"/>
      <c r="W223" s="11"/>
      <c r="X223" s="11"/>
      <c r="Y223" s="11"/>
      <c r="Z223" s="11"/>
      <c r="AA223" s="45">
        <f t="shared" si="38"/>
        <v>500</v>
      </c>
      <c r="AB223" s="11"/>
      <c r="AC223" s="50"/>
      <c r="AD223" s="11"/>
      <c r="AE223" s="11"/>
      <c r="AF223" s="11"/>
      <c r="AG223" s="11"/>
      <c r="AH223" s="11"/>
      <c r="AI223" s="11"/>
      <c r="AJ223" s="11"/>
      <c r="AK223" s="11"/>
      <c r="AL223" s="96"/>
      <c r="AM223" s="45">
        <f t="shared" si="39"/>
        <v>500</v>
      </c>
      <c r="AN223" s="11"/>
      <c r="AO223" s="67"/>
      <c r="AP223" s="142">
        <f>_xlfn.XLOOKUP(E223,[9]工资核对的全字段!$C:$C,[9]工资核对的全字段!$CW:$CW,0)</f>
        <v>500.12425000000007</v>
      </c>
      <c r="AQ223" s="36">
        <f t="shared" si="40"/>
        <v>0.12425000000007458</v>
      </c>
    </row>
    <row r="224" spans="1:43" x14ac:dyDescent="0.15">
      <c r="A224" s="55" t="s">
        <v>41</v>
      </c>
      <c r="B224" s="82" t="s">
        <v>285</v>
      </c>
      <c r="C224" s="57" t="s">
        <v>48</v>
      </c>
      <c r="D224" s="58" t="s">
        <v>43</v>
      </c>
      <c r="E224" s="58" t="s">
        <v>286</v>
      </c>
      <c r="F224" s="11">
        <f t="shared" si="41"/>
        <v>82953.3</v>
      </c>
      <c r="G224" s="11">
        <v>84943.3</v>
      </c>
      <c r="H224" s="11">
        <v>-1990</v>
      </c>
      <c r="I224" s="11">
        <v>0</v>
      </c>
      <c r="J224" s="50"/>
      <c r="K224" s="11"/>
      <c r="L224" s="68">
        <f>F224/$K$227</f>
        <v>0.77856063521262919</v>
      </c>
      <c r="M224" s="68">
        <v>0.05</v>
      </c>
      <c r="N224" s="45">
        <f t="shared" si="42"/>
        <v>4034.8067499999997</v>
      </c>
      <c r="O224" s="45">
        <f t="shared" si="43"/>
        <v>-61.441250000000004</v>
      </c>
      <c r="P224" s="45">
        <v>0</v>
      </c>
      <c r="Q224" s="45"/>
      <c r="R224" s="45">
        <f t="shared" si="37"/>
        <v>3973.3654999999999</v>
      </c>
      <c r="S224" s="11">
        <f>_xlfn.XLOOKUP(E:E,'[1]②7月-汇总'!$D:$D,'[1]②7月-汇总'!$AP:$AP)</f>
        <v>31</v>
      </c>
      <c r="T224" s="45">
        <v>2000</v>
      </c>
      <c r="U224" s="11">
        <f>_xlfn.XLOOKUP(E:E,'[2]手工、项目数、消耗'!$C:$C,'[2]手工、项目数、消耗'!$E:$E)</f>
        <v>26333.16</v>
      </c>
      <c r="V224" s="11">
        <f>_xlfn.XLOOKUP(E:E,'[2]手工、项目数、消耗'!$C:$C,'[2]手工、项目数、消耗'!$D:$D)</f>
        <v>99</v>
      </c>
      <c r="W224" s="11">
        <f>_xlfn.XLOOKUP(E:E,'[2]手工、项目数、消耗'!$C:$C,'[2]手工、项目数、消耗'!$H:$H)</f>
        <v>1625</v>
      </c>
      <c r="X224" s="11">
        <f>_xlfn.XLOOKUP(E:E,'[1]②7月-汇总'!$D:$D,'[1]②7月-汇总'!$W:$W)</f>
        <v>0</v>
      </c>
      <c r="Y224" s="11">
        <f>_xlfn.XLOOKUP(E:E,'[1]②7月-汇总'!$D:$D,'[1]②7月-汇总'!$Z:$Z)</f>
        <v>0</v>
      </c>
      <c r="Z224" s="11">
        <f>_xlfn.XLOOKUP(E:E,'[1]②7月-汇总'!$D:$D,'[1]②7月-汇总'!$AI:$AI)</f>
        <v>0</v>
      </c>
      <c r="AA224" s="45">
        <f t="shared" si="38"/>
        <v>7598.3654999999999</v>
      </c>
      <c r="AB224" s="11"/>
      <c r="AC224" s="50"/>
      <c r="AD224" s="11">
        <f>_xlfn.XLOOKUP(E:E,'[1]②7月-汇总'!$D:$D,'[1]②7月-汇总'!$AC:$AC)</f>
        <v>0</v>
      </c>
      <c r="AE224" s="11">
        <f>_xlfn.XLOOKUP(E:E,[3]Sheet1!$B:$B,[3]Sheet1!$L:$L)</f>
        <v>640.55999999999995</v>
      </c>
      <c r="AF224" s="11">
        <f>_xlfn.XLOOKUP(E:E,'[1]②7月-汇总'!$D:$D,'[1]②7月-汇总'!$AD:$AD)</f>
        <v>0</v>
      </c>
      <c r="AG224" s="11">
        <f>_xlfn.XLOOKUP(E:E,'[1]②7月-汇总'!$D:$D,'[1]②7月-汇总'!$Y:$Y)</f>
        <v>0</v>
      </c>
      <c r="AH224" s="11">
        <f>_xlfn.XLOOKUP(E:E,'[1]②7月-汇总'!$D:$D,'[1]②7月-汇总'!$L:$L)</f>
        <v>0</v>
      </c>
      <c r="AI224" s="11">
        <f>_xlfn.XLOOKUP(E:E,'[1]②7月-汇总'!$D:$D,'[1]②7月-汇总'!$X:$X)</f>
        <v>120</v>
      </c>
      <c r="AJ224" s="11">
        <f>_xlfn.XLOOKUP(E:E,'[1]②7月-汇总'!$D:$D,'[1]②7月-汇总'!$AB:$AB)</f>
        <v>0</v>
      </c>
      <c r="AK224" s="11">
        <f>_xlfn.XLOOKUP(E:E,'[1]②7月-汇总'!$D:$D,'[1]②7月-汇总'!$AE:$AE)</f>
        <v>0</v>
      </c>
      <c r="AL224" s="96"/>
      <c r="AM224" s="45">
        <f t="shared" si="39"/>
        <v>6837.8055000000004</v>
      </c>
      <c r="AN224" s="11">
        <f>_xlfn.XLOOKUP(E:E,'[1]①7月-花名册'!$E:$E,'[1]①7月-花名册'!$T:$T)</f>
        <v>0</v>
      </c>
      <c r="AO224" s="67"/>
      <c r="AP224" s="142">
        <f>_xlfn.XLOOKUP(E224,[9]工资核对的全字段!$C:$C,[9]工资核对的全字段!$CW:$CW,0)</f>
        <v>6837.8055000000004</v>
      </c>
      <c r="AQ224" s="36">
        <f t="shared" si="40"/>
        <v>0</v>
      </c>
    </row>
    <row r="225" spans="1:43" x14ac:dyDescent="0.15">
      <c r="A225" s="55" t="s">
        <v>41</v>
      </c>
      <c r="B225" s="82" t="s">
        <v>285</v>
      </c>
      <c r="C225" s="57" t="s">
        <v>48</v>
      </c>
      <c r="D225" s="58" t="s">
        <v>4</v>
      </c>
      <c r="E225" s="58" t="s">
        <v>287</v>
      </c>
      <c r="F225" s="11">
        <f t="shared" si="41"/>
        <v>15460.4</v>
      </c>
      <c r="G225" s="11">
        <v>14872.4</v>
      </c>
      <c r="H225" s="11">
        <v>0</v>
      </c>
      <c r="I225" s="11">
        <v>588</v>
      </c>
      <c r="J225" s="50"/>
      <c r="K225" s="11"/>
      <c r="L225" s="68">
        <f>F225/$K$227</f>
        <v>0.14510403859329685</v>
      </c>
      <c r="M225" s="68">
        <v>0.05</v>
      </c>
      <c r="N225" s="45">
        <f t="shared" si="42"/>
        <v>706.43899999999996</v>
      </c>
      <c r="O225" s="45">
        <f t="shared" si="43"/>
        <v>0</v>
      </c>
      <c r="P225" s="45"/>
      <c r="Q225" s="45"/>
      <c r="R225" s="45">
        <f t="shared" si="37"/>
        <v>706.43899999999996</v>
      </c>
      <c r="S225" s="11">
        <f>_xlfn.XLOOKUP(E:E,'[1]②7月-汇总'!$D:$D,'[1]②7月-汇总'!$AP:$AP)</f>
        <v>31</v>
      </c>
      <c r="T225" s="45">
        <v>1800</v>
      </c>
      <c r="U225" s="11">
        <f>_xlfn.XLOOKUP(E:E,'[2]手工、项目数、消耗'!$C:$C,'[2]手工、项目数、消耗'!$E:$E)</f>
        <v>5446.22</v>
      </c>
      <c r="V225" s="11">
        <f>_xlfn.XLOOKUP(E:E,'[2]手工、项目数、消耗'!$C:$C,'[2]手工、项目数、消耗'!$D:$D)</f>
        <v>85</v>
      </c>
      <c r="W225" s="11">
        <f>_xlfn.XLOOKUP(E:E,'[2]手工、项目数、消耗'!$C:$C,'[2]手工、项目数、消耗'!$H:$H)</f>
        <v>1109</v>
      </c>
      <c r="X225" s="11">
        <f>_xlfn.XLOOKUP(E:E,'[1]②7月-汇总'!$D:$D,'[1]②7月-汇总'!$W:$W)</f>
        <v>0</v>
      </c>
      <c r="Y225" s="11">
        <f>_xlfn.XLOOKUP(E:E,'[1]②7月-汇总'!$D:$D,'[1]②7月-汇总'!$Z:$Z)</f>
        <v>0</v>
      </c>
      <c r="Z225" s="11">
        <f>_xlfn.XLOOKUP(E:E,'[1]②7月-汇总'!$D:$D,'[1]②7月-汇总'!$AI:$AI)</f>
        <v>0</v>
      </c>
      <c r="AA225" s="45">
        <f t="shared" si="38"/>
        <v>3615.4389999999999</v>
      </c>
      <c r="AB225" s="11"/>
      <c r="AC225" s="50"/>
      <c r="AD225" s="11">
        <f>_xlfn.XLOOKUP(E:E,'[1]②7月-汇总'!$D:$D,'[1]②7月-汇总'!$AC:$AC)</f>
        <v>0</v>
      </c>
      <c r="AE225" s="11"/>
      <c r="AF225" s="11">
        <f>_xlfn.XLOOKUP(E:E,'[1]②7月-汇总'!$D:$D,'[1]②7月-汇总'!$AD:$AD)</f>
        <v>0</v>
      </c>
      <c r="AG225" s="11">
        <f>_xlfn.XLOOKUP(E:E,'[1]②7月-汇总'!$D:$D,'[1]②7月-汇总'!$Y:$Y)</f>
        <v>0</v>
      </c>
      <c r="AH225" s="11">
        <f>_xlfn.XLOOKUP(E:E,'[1]②7月-汇总'!$D:$D,'[1]②7月-汇总'!$L:$L)</f>
        <v>0</v>
      </c>
      <c r="AI225" s="11">
        <f>_xlfn.XLOOKUP(E:E,'[1]②7月-汇总'!$D:$D,'[1]②7月-汇总'!$X:$X)</f>
        <v>10</v>
      </c>
      <c r="AJ225" s="11">
        <f>_xlfn.XLOOKUP(E:E,'[1]②7月-汇总'!$D:$D,'[1]②7月-汇总'!$AB:$AB)</f>
        <v>0</v>
      </c>
      <c r="AK225" s="11">
        <f>_xlfn.XLOOKUP(E:E,'[1]②7月-汇总'!$D:$D,'[1]②7月-汇总'!$AE:$AE)</f>
        <v>0</v>
      </c>
      <c r="AL225" s="96"/>
      <c r="AM225" s="45">
        <f t="shared" si="39"/>
        <v>3605.4389999999999</v>
      </c>
      <c r="AN225" s="11">
        <f>_xlfn.XLOOKUP(E:E,'[1]①7月-花名册'!$E:$E,'[1]①7月-花名册'!$T:$T)</f>
        <v>0</v>
      </c>
      <c r="AO225" s="67"/>
      <c r="AP225" s="142">
        <f>_xlfn.XLOOKUP(E225,[9]工资核对的全字段!$C:$C,[9]工资核对的全字段!$CW:$CW,0)</f>
        <v>3605.4389999999999</v>
      </c>
      <c r="AQ225" s="36">
        <f t="shared" si="40"/>
        <v>0</v>
      </c>
    </row>
    <row r="226" spans="1:43" x14ac:dyDescent="0.15">
      <c r="A226" s="55" t="s">
        <v>41</v>
      </c>
      <c r="B226" s="82" t="s">
        <v>285</v>
      </c>
      <c r="C226" s="57" t="s">
        <v>48</v>
      </c>
      <c r="D226" s="58" t="s">
        <v>4</v>
      </c>
      <c r="E226" s="58" t="s">
        <v>288</v>
      </c>
      <c r="F226" s="11">
        <f t="shared" si="41"/>
        <v>8133.3</v>
      </c>
      <c r="G226" s="11">
        <v>8133.3</v>
      </c>
      <c r="H226" s="11">
        <v>0</v>
      </c>
      <c r="I226" s="11">
        <v>0</v>
      </c>
      <c r="J226" s="50"/>
      <c r="K226" s="11"/>
      <c r="L226" s="68">
        <f>F226/$K$227</f>
        <v>7.6335326194073974E-2</v>
      </c>
      <c r="M226" s="68">
        <v>0.05</v>
      </c>
      <c r="N226" s="45">
        <f t="shared" si="42"/>
        <v>386.33175000000006</v>
      </c>
      <c r="O226" s="45">
        <f t="shared" si="43"/>
        <v>0</v>
      </c>
      <c r="P226" s="45"/>
      <c r="Q226" s="45"/>
      <c r="R226" s="45">
        <f t="shared" si="37"/>
        <v>386.33175000000006</v>
      </c>
      <c r="S226" s="11">
        <f>_xlfn.XLOOKUP(E:E,'[1]②7月-汇总'!$D:$D,'[1]②7月-汇总'!$AP:$AP)</f>
        <v>31</v>
      </c>
      <c r="T226" s="45">
        <v>1800</v>
      </c>
      <c r="U226" s="11">
        <f>_xlfn.XLOOKUP(E:E,'[2]手工、项目数、消耗'!$C:$C,'[2]手工、项目数、消耗'!$E:$E)</f>
        <v>5713.5</v>
      </c>
      <c r="V226" s="11">
        <f>_xlfn.XLOOKUP(E:E,'[2]手工、项目数、消耗'!$C:$C,'[2]手工、项目数、消耗'!$D:$D)</f>
        <v>81</v>
      </c>
      <c r="W226" s="11">
        <f>_xlfn.XLOOKUP(E:E,'[2]手工、项目数、消耗'!$C:$C,'[2]手工、项目数、消耗'!$H:$H)</f>
        <v>1123</v>
      </c>
      <c r="X226" s="11">
        <f>_xlfn.XLOOKUP(E:E,'[1]②7月-汇总'!$D:$D,'[1]②7月-汇总'!$W:$W)</f>
        <v>0</v>
      </c>
      <c r="Y226" s="11">
        <f>_xlfn.XLOOKUP(E:E,'[1]②7月-汇总'!$D:$D,'[1]②7月-汇总'!$Z:$Z)</f>
        <v>0</v>
      </c>
      <c r="Z226" s="11">
        <f>_xlfn.XLOOKUP(E:E,'[1]②7月-汇总'!$D:$D,'[1]②7月-汇总'!$AI:$AI)</f>
        <v>0</v>
      </c>
      <c r="AA226" s="45">
        <f t="shared" si="38"/>
        <v>3309.3317500000003</v>
      </c>
      <c r="AB226" s="11"/>
      <c r="AC226" s="50"/>
      <c r="AD226" s="11">
        <f>_xlfn.XLOOKUP(E:E,'[1]②7月-汇总'!$D:$D,'[1]②7月-汇总'!$AC:$AC)</f>
        <v>0</v>
      </c>
      <c r="AE226" s="11"/>
      <c r="AF226" s="11">
        <f>_xlfn.XLOOKUP(E:E,'[1]②7月-汇总'!$D:$D,'[1]②7月-汇总'!$AD:$AD)</f>
        <v>0</v>
      </c>
      <c r="AG226" s="11">
        <f>_xlfn.XLOOKUP(E:E,'[1]②7月-汇总'!$D:$D,'[1]②7月-汇总'!$Y:$Y)</f>
        <v>0</v>
      </c>
      <c r="AH226" s="11">
        <f>_xlfn.XLOOKUP(E:E,'[1]②7月-汇总'!$D:$D,'[1]②7月-汇总'!$L:$L)</f>
        <v>0</v>
      </c>
      <c r="AI226" s="11">
        <f>_xlfn.XLOOKUP(E:E,'[1]②7月-汇总'!$D:$D,'[1]②7月-汇总'!$X:$X)</f>
        <v>0</v>
      </c>
      <c r="AJ226" s="11">
        <f>_xlfn.XLOOKUP(E:E,'[1]②7月-汇总'!$D:$D,'[1]②7月-汇总'!$AB:$AB)</f>
        <v>0</v>
      </c>
      <c r="AK226" s="11">
        <f>_xlfn.XLOOKUP(E:E,'[1]②7月-汇总'!$D:$D,'[1]②7月-汇总'!$AE:$AE)</f>
        <v>0</v>
      </c>
      <c r="AL226" s="96"/>
      <c r="AM226" s="45">
        <f t="shared" si="39"/>
        <v>3309.3317500000003</v>
      </c>
      <c r="AN226" s="11">
        <f>_xlfn.XLOOKUP(E:E,'[1]①7月-花名册'!$E:$E,'[1]①7月-花名册'!$T:$T)</f>
        <v>0</v>
      </c>
      <c r="AO226" s="67"/>
      <c r="AP226" s="142">
        <f>_xlfn.XLOOKUP(E226,[9]工资核对的全字段!$C:$C,[9]工资核对的全字段!$CW:$CW,0)</f>
        <v>3309.3317499999998</v>
      </c>
      <c r="AQ226" s="36">
        <f t="shared" si="40"/>
        <v>0</v>
      </c>
    </row>
    <row r="227" spans="1:43" x14ac:dyDescent="0.15">
      <c r="A227" s="55" t="s">
        <v>41</v>
      </c>
      <c r="B227" s="82" t="str">
        <f>B226</f>
        <v>凤凰山</v>
      </c>
      <c r="C227" s="57" t="s">
        <v>47</v>
      </c>
      <c r="D227" s="58" t="s">
        <v>47</v>
      </c>
      <c r="E227" s="58" t="s">
        <v>47</v>
      </c>
      <c r="F227" s="11">
        <f t="shared" si="41"/>
        <v>0</v>
      </c>
      <c r="G227" s="11">
        <v>0</v>
      </c>
      <c r="H227" s="11">
        <v>0</v>
      </c>
      <c r="I227" s="11">
        <v>0</v>
      </c>
      <c r="J227" s="50"/>
      <c r="K227" s="11">
        <v>106547</v>
      </c>
      <c r="L227" s="68"/>
      <c r="M227" s="68"/>
      <c r="N227" s="45">
        <f t="shared" si="42"/>
        <v>0</v>
      </c>
      <c r="O227" s="45">
        <f t="shared" si="43"/>
        <v>0</v>
      </c>
      <c r="P227" s="45"/>
      <c r="Q227" s="45"/>
      <c r="R227" s="45">
        <f t="shared" si="37"/>
        <v>0</v>
      </c>
      <c r="S227" s="11"/>
      <c r="T227" s="45"/>
      <c r="U227" s="11"/>
      <c r="V227" s="11"/>
      <c r="W227" s="11"/>
      <c r="X227" s="11"/>
      <c r="Y227" s="11"/>
      <c r="Z227" s="11"/>
      <c r="AA227" s="45">
        <f t="shared" si="38"/>
        <v>0</v>
      </c>
      <c r="AB227" s="11"/>
      <c r="AC227" s="50"/>
      <c r="AD227" s="11"/>
      <c r="AE227" s="11"/>
      <c r="AF227" s="11"/>
      <c r="AG227" s="11"/>
      <c r="AH227" s="11"/>
      <c r="AI227" s="11"/>
      <c r="AJ227" s="11"/>
      <c r="AK227" s="11"/>
      <c r="AL227" s="96"/>
      <c r="AM227" s="45">
        <f t="shared" si="39"/>
        <v>0</v>
      </c>
      <c r="AN227" s="11"/>
      <c r="AO227" s="67"/>
      <c r="AP227" s="142">
        <f>_xlfn.XLOOKUP(E227,[9]工资核对的全字段!$C:$C,[9]工资核对的全字段!$CW:$CW,0)</f>
        <v>0</v>
      </c>
      <c r="AQ227" s="36">
        <f t="shared" si="40"/>
        <v>0</v>
      </c>
    </row>
    <row r="228" spans="1:43" x14ac:dyDescent="0.15">
      <c r="A228" s="55" t="s">
        <v>41</v>
      </c>
      <c r="B228" s="82" t="s">
        <v>285</v>
      </c>
      <c r="C228" s="57" t="s">
        <v>289</v>
      </c>
      <c r="D228" s="58" t="s">
        <v>43</v>
      </c>
      <c r="E228" s="58" t="s">
        <v>290</v>
      </c>
      <c r="F228" s="11">
        <f t="shared" si="41"/>
        <v>57575.1</v>
      </c>
      <c r="G228" s="11">
        <v>51303.1</v>
      </c>
      <c r="H228" s="11">
        <v>6272</v>
      </c>
      <c r="I228" s="11">
        <v>0</v>
      </c>
      <c r="J228" s="50"/>
      <c r="K228" s="11"/>
      <c r="L228" s="68">
        <f>F228/$K$230</f>
        <v>0.8683005619248414</v>
      </c>
      <c r="M228" s="68">
        <v>0.05</v>
      </c>
      <c r="N228" s="45">
        <f t="shared" si="42"/>
        <v>2436.89725</v>
      </c>
      <c r="O228" s="45">
        <f t="shared" si="43"/>
        <v>193.64800000000002</v>
      </c>
      <c r="P228" s="45">
        <v>0</v>
      </c>
      <c r="Q228" s="45"/>
      <c r="R228" s="45">
        <f t="shared" si="37"/>
        <v>2630.5452500000001</v>
      </c>
      <c r="S228" s="11">
        <f>_xlfn.XLOOKUP(E:E,'[1]②7月-汇总'!$D:$D,'[1]②7月-汇总'!$AP:$AP)</f>
        <v>31</v>
      </c>
      <c r="T228" s="45">
        <v>2000</v>
      </c>
      <c r="U228" s="11">
        <f>_xlfn.XLOOKUP(E:E,'[2]手工、项目数、消耗'!$C:$C,'[2]手工、项目数、消耗'!$E:$E)</f>
        <v>20649.43</v>
      </c>
      <c r="V228" s="11">
        <f>_xlfn.XLOOKUP(E:E,'[2]手工、项目数、消耗'!$C:$C,'[2]手工、项目数、消耗'!$D:$D)</f>
        <v>92</v>
      </c>
      <c r="W228" s="11">
        <f>_xlfn.XLOOKUP(E:E,'[2]手工、项目数、消耗'!$C:$C,'[2]手工、项目数、消耗'!$H:$H)</f>
        <v>1220</v>
      </c>
      <c r="X228" s="11">
        <f>_xlfn.XLOOKUP(E:E,'[1]②7月-汇总'!$D:$D,'[1]②7月-汇总'!$W:$W)</f>
        <v>0</v>
      </c>
      <c r="Y228" s="11">
        <f>_xlfn.XLOOKUP(E:E,'[1]②7月-汇总'!$D:$D,'[1]②7月-汇总'!$Z:$Z)</f>
        <v>0</v>
      </c>
      <c r="Z228" s="11">
        <f>_xlfn.XLOOKUP(E:E,'[1]②7月-汇总'!$D:$D,'[1]②7月-汇总'!$AI:$AI)</f>
        <v>0</v>
      </c>
      <c r="AA228" s="45">
        <f t="shared" si="38"/>
        <v>5850.5452500000001</v>
      </c>
      <c r="AB228" s="11"/>
      <c r="AC228" s="50"/>
      <c r="AD228" s="11">
        <f>_xlfn.XLOOKUP(E:E,'[1]②7月-汇总'!$D:$D,'[1]②7月-汇总'!$AC:$AC)</f>
        <v>0</v>
      </c>
      <c r="AE228" s="11">
        <f>_xlfn.XLOOKUP(E:E,[3]Sheet1!$B:$B,[3]Sheet1!$L:$L)</f>
        <v>640.55999999999995</v>
      </c>
      <c r="AF228" s="11">
        <f>_xlfn.XLOOKUP(E:E,'[1]②7月-汇总'!$D:$D,'[1]②7月-汇总'!$AD:$AD)</f>
        <v>0</v>
      </c>
      <c r="AG228" s="11">
        <f>_xlfn.XLOOKUP(E:E,'[1]②7月-汇总'!$D:$D,'[1]②7月-汇总'!$Y:$Y)</f>
        <v>0</v>
      </c>
      <c r="AH228" s="11">
        <f>_xlfn.XLOOKUP(E:E,'[1]②7月-汇总'!$D:$D,'[1]②7月-汇总'!$L:$L)</f>
        <v>0</v>
      </c>
      <c r="AI228" s="11">
        <f>_xlfn.XLOOKUP(E:E,'[1]②7月-汇总'!$D:$D,'[1]②7月-汇总'!$X:$X)</f>
        <v>10</v>
      </c>
      <c r="AJ228" s="11">
        <f>_xlfn.XLOOKUP(E:E,'[1]②7月-汇总'!$D:$D,'[1]②7月-汇总'!$AB:$AB)</f>
        <v>0</v>
      </c>
      <c r="AK228" s="11">
        <f>_xlfn.XLOOKUP(E:E,'[1]②7月-汇总'!$D:$D,'[1]②7月-汇总'!$AE:$AE)</f>
        <v>0</v>
      </c>
      <c r="AL228" s="96"/>
      <c r="AM228" s="45">
        <f t="shared" si="39"/>
        <v>5199.9852499999997</v>
      </c>
      <c r="AN228" s="11">
        <f>_xlfn.XLOOKUP(E:E,'[1]①7月-花名册'!$E:$E,'[1]①7月-花名册'!$T:$T)</f>
        <v>0</v>
      </c>
      <c r="AO228" s="67"/>
      <c r="AP228" s="142">
        <f>_xlfn.XLOOKUP(E228,[9]工资核对的全字段!$C:$C,[9]工资核对的全字段!$CW:$CW,0)</f>
        <v>5199.9852499999997</v>
      </c>
      <c r="AQ228" s="36">
        <f t="shared" si="40"/>
        <v>0</v>
      </c>
    </row>
    <row r="229" spans="1:43" x14ac:dyDescent="0.15">
      <c r="A229" s="55" t="s">
        <v>41</v>
      </c>
      <c r="B229" s="82" t="s">
        <v>285</v>
      </c>
      <c r="C229" s="57" t="s">
        <v>289</v>
      </c>
      <c r="D229" s="58" t="s">
        <v>4</v>
      </c>
      <c r="E229" s="58" t="s">
        <v>291</v>
      </c>
      <c r="F229" s="11">
        <f t="shared" si="41"/>
        <v>8732.7000000000007</v>
      </c>
      <c r="G229" s="11">
        <v>5924.7</v>
      </c>
      <c r="H229" s="11">
        <v>1568</v>
      </c>
      <c r="I229" s="11">
        <v>1240</v>
      </c>
      <c r="J229" s="50"/>
      <c r="K229" s="11"/>
      <c r="L229" s="68">
        <f>F229/$K$230</f>
        <v>0.13169943807515858</v>
      </c>
      <c r="M229" s="68">
        <v>0.05</v>
      </c>
      <c r="N229" s="45">
        <f t="shared" si="42"/>
        <v>281.42325</v>
      </c>
      <c r="O229" s="45">
        <f t="shared" si="43"/>
        <v>48.412000000000006</v>
      </c>
      <c r="P229" s="45"/>
      <c r="Q229" s="45"/>
      <c r="R229" s="45">
        <f t="shared" si="37"/>
        <v>329.83524999999997</v>
      </c>
      <c r="S229" s="11">
        <f>_xlfn.XLOOKUP(E:E,'[1]②7月-汇总'!$D:$D,'[1]②7月-汇总'!$AP:$AP)</f>
        <v>31</v>
      </c>
      <c r="T229" s="45">
        <v>2000</v>
      </c>
      <c r="U229" s="11">
        <f>_xlfn.XLOOKUP(E:E,'[2]手工、项目数、消耗'!$C:$C,'[2]手工、项目数、消耗'!$E:$E)</f>
        <v>6608.24</v>
      </c>
      <c r="V229" s="11">
        <f>_xlfn.XLOOKUP(E:E,'[2]手工、项目数、消耗'!$C:$C,'[2]手工、项目数、消耗'!$D:$D)</f>
        <v>105</v>
      </c>
      <c r="W229" s="11">
        <f>_xlfn.XLOOKUP(E:E,'[2]手工、项目数、消耗'!$C:$C,'[2]手工、项目数、消耗'!$H:$H)</f>
        <v>1263</v>
      </c>
      <c r="X229" s="11">
        <f>_xlfn.XLOOKUP(E:E,'[1]②7月-汇总'!$D:$D,'[1]②7月-汇总'!$W:$W)</f>
        <v>0</v>
      </c>
      <c r="Y229" s="11">
        <f>_xlfn.XLOOKUP(E:E,'[1]②7月-汇总'!$D:$D,'[1]②7月-汇总'!$Z:$Z)</f>
        <v>0</v>
      </c>
      <c r="Z229" s="11">
        <f>_xlfn.XLOOKUP(E:E,'[1]②7月-汇总'!$D:$D,'[1]②7月-汇总'!$AI:$AI)</f>
        <v>0</v>
      </c>
      <c r="AA229" s="45">
        <f t="shared" si="38"/>
        <v>3592.8352500000001</v>
      </c>
      <c r="AB229" s="11"/>
      <c r="AC229" s="50"/>
      <c r="AD229" s="11">
        <f>_xlfn.XLOOKUP(E:E,'[1]②7月-汇总'!$D:$D,'[1]②7月-汇总'!$AC:$AC)</f>
        <v>0</v>
      </c>
      <c r="AE229" s="11"/>
      <c r="AF229" s="11">
        <f>_xlfn.XLOOKUP(E:E,'[1]②7月-汇总'!$D:$D,'[1]②7月-汇总'!$AD:$AD)</f>
        <v>0</v>
      </c>
      <c r="AG229" s="11">
        <f>_xlfn.XLOOKUP(E:E,'[1]②7月-汇总'!$D:$D,'[1]②7月-汇总'!$Y:$Y)</f>
        <v>0</v>
      </c>
      <c r="AH229" s="11">
        <f>_xlfn.XLOOKUP(E:E,'[1]②7月-汇总'!$D:$D,'[1]②7月-汇总'!$L:$L)</f>
        <v>0</v>
      </c>
      <c r="AI229" s="11">
        <f>_xlfn.XLOOKUP(E:E,'[1]②7月-汇总'!$D:$D,'[1]②7月-汇总'!$X:$X)</f>
        <v>0</v>
      </c>
      <c r="AJ229" s="11">
        <f>_xlfn.XLOOKUP(E:E,'[1]②7月-汇总'!$D:$D,'[1]②7月-汇总'!$AB:$AB)</f>
        <v>0</v>
      </c>
      <c r="AK229" s="11">
        <f>_xlfn.XLOOKUP(E:E,'[1]②7月-汇总'!$D:$D,'[1]②7月-汇总'!$AE:$AE)</f>
        <v>0</v>
      </c>
      <c r="AL229" s="96"/>
      <c r="AM229" s="45">
        <f t="shared" si="39"/>
        <v>3592.8352500000001</v>
      </c>
      <c r="AN229" s="11">
        <f>_xlfn.XLOOKUP(E:E,'[1]①7月-花名册'!$E:$E,'[1]①7月-花名册'!$T:$T)</f>
        <v>0</v>
      </c>
      <c r="AO229" s="67"/>
      <c r="AP229" s="142">
        <f>_xlfn.XLOOKUP(E229,[9]工资核对的全字段!$C:$C,[9]工资核对的全字段!$CW:$CW,0)</f>
        <v>3592.8352500000001</v>
      </c>
      <c r="AQ229" s="36">
        <f t="shared" si="40"/>
        <v>0</v>
      </c>
    </row>
    <row r="230" spans="1:43" x14ac:dyDescent="0.15">
      <c r="A230" s="55" t="s">
        <v>41</v>
      </c>
      <c r="B230" s="82" t="str">
        <f>B229</f>
        <v>凤凰山</v>
      </c>
      <c r="C230" s="57" t="s">
        <v>47</v>
      </c>
      <c r="D230" s="58" t="s">
        <v>47</v>
      </c>
      <c r="E230" s="58" t="s">
        <v>47</v>
      </c>
      <c r="F230" s="11">
        <f t="shared" si="41"/>
        <v>0</v>
      </c>
      <c r="G230" s="11">
        <v>0</v>
      </c>
      <c r="H230" s="11">
        <v>0</v>
      </c>
      <c r="I230" s="11">
        <v>0</v>
      </c>
      <c r="J230" s="50"/>
      <c r="K230" s="11">
        <v>66307.8</v>
      </c>
      <c r="L230" s="68"/>
      <c r="M230" s="68"/>
      <c r="N230" s="45">
        <f t="shared" si="42"/>
        <v>0</v>
      </c>
      <c r="O230" s="45">
        <f t="shared" si="43"/>
        <v>0</v>
      </c>
      <c r="P230" s="45"/>
      <c r="Q230" s="45"/>
      <c r="R230" s="45">
        <f t="shared" si="37"/>
        <v>0</v>
      </c>
      <c r="S230" s="11"/>
      <c r="T230" s="45"/>
      <c r="U230" s="11"/>
      <c r="V230" s="11"/>
      <c r="W230" s="11"/>
      <c r="X230" s="11"/>
      <c r="Y230" s="11"/>
      <c r="Z230" s="11"/>
      <c r="AA230" s="45">
        <f t="shared" si="38"/>
        <v>0</v>
      </c>
      <c r="AB230" s="11"/>
      <c r="AC230" s="50"/>
      <c r="AD230" s="11"/>
      <c r="AE230" s="11"/>
      <c r="AF230" s="11"/>
      <c r="AG230" s="11"/>
      <c r="AH230" s="11"/>
      <c r="AI230" s="11"/>
      <c r="AJ230" s="11"/>
      <c r="AK230" s="11"/>
      <c r="AL230" s="96"/>
      <c r="AM230" s="45">
        <f t="shared" si="39"/>
        <v>0</v>
      </c>
      <c r="AN230" s="11"/>
      <c r="AO230" s="67"/>
      <c r="AP230" s="142">
        <f>_xlfn.XLOOKUP(E230,[9]工资核对的全字段!$C:$C,[9]工资核对的全字段!$CW:$CW,0)</f>
        <v>0</v>
      </c>
      <c r="AQ230" s="36">
        <f t="shared" si="40"/>
        <v>0</v>
      </c>
    </row>
    <row r="231" spans="1:43" x14ac:dyDescent="0.15">
      <c r="A231" s="55" t="s">
        <v>41</v>
      </c>
      <c r="B231" s="82" t="s">
        <v>285</v>
      </c>
      <c r="C231" s="57" t="s">
        <v>165</v>
      </c>
      <c r="D231" s="58" t="s">
        <v>4</v>
      </c>
      <c r="E231" s="58" t="s">
        <v>292</v>
      </c>
      <c r="F231" s="11">
        <f t="shared" si="41"/>
        <v>6688</v>
      </c>
      <c r="G231" s="11">
        <v>8678</v>
      </c>
      <c r="H231" s="11">
        <v>-1990</v>
      </c>
      <c r="I231" s="11">
        <v>0</v>
      </c>
      <c r="J231" s="50"/>
      <c r="K231" s="11"/>
      <c r="L231" s="68"/>
      <c r="M231" s="68">
        <v>0.04</v>
      </c>
      <c r="N231" s="45">
        <f t="shared" si="42"/>
        <v>329.76400000000001</v>
      </c>
      <c r="O231" s="45">
        <f t="shared" si="43"/>
        <v>-49.153000000000006</v>
      </c>
      <c r="P231" s="45"/>
      <c r="Q231" s="45"/>
      <c r="R231" s="45">
        <f t="shared" si="37"/>
        <v>280.61099999999999</v>
      </c>
      <c r="S231" s="11">
        <f>_xlfn.XLOOKUP(E:E,'[1]②7月-汇总'!$D:$D,'[1]②7月-汇总'!$AP:$AP)</f>
        <v>7</v>
      </c>
      <c r="T231" s="45">
        <f>2000/31*7</f>
        <v>451.61290322580601</v>
      </c>
      <c r="U231" s="11">
        <f>_xlfn.XLOOKUP(E:E,'[2]手工、项目数、消耗'!$C:$C,'[2]手工、项目数、消耗'!$E:$E)</f>
        <v>8727.02</v>
      </c>
      <c r="V231" s="11">
        <f>_xlfn.XLOOKUP(E:E,'[2]手工、项目数、消耗'!$C:$C,'[2]手工、项目数、消耗'!$D:$D)</f>
        <v>12</v>
      </c>
      <c r="W231" s="11">
        <f>_xlfn.XLOOKUP(E:E,'[2]手工、项目数、消耗'!$C:$C,'[2]手工、项目数、消耗'!$H:$H)</f>
        <v>49</v>
      </c>
      <c r="X231" s="11">
        <f>_xlfn.XLOOKUP(E:E,'[1]②7月-汇总'!$D:$D,'[1]②7月-汇总'!$W:$W)</f>
        <v>0</v>
      </c>
      <c r="Y231" s="11">
        <f>_xlfn.XLOOKUP(E:E,'[1]②7月-汇总'!$D:$D,'[1]②7月-汇总'!$Z:$Z)</f>
        <v>0</v>
      </c>
      <c r="Z231" s="11">
        <f>_xlfn.XLOOKUP(E:E,'[1]②7月-汇总'!$D:$D,'[1]②7月-汇总'!$AI:$AI)</f>
        <v>0</v>
      </c>
      <c r="AA231" s="45">
        <f t="shared" si="38"/>
        <v>781.223903225806</v>
      </c>
      <c r="AB231" s="11"/>
      <c r="AC231" s="50"/>
      <c r="AD231" s="11">
        <f>_xlfn.XLOOKUP(E:E,'[1]②7月-汇总'!$D:$D,'[1]②7月-汇总'!$AC:$AC)</f>
        <v>0</v>
      </c>
      <c r="AE231" s="11">
        <f>_xlfn.XLOOKUP(E:E,[3]Sheet1!$B:$B,[3]Sheet1!$L:$L)</f>
        <v>644.16800000000001</v>
      </c>
      <c r="AF231" s="11">
        <f>_xlfn.XLOOKUP(E:E,'[1]②7月-汇总'!$D:$D,'[1]②7月-汇总'!$AD:$AD)</f>
        <v>0</v>
      </c>
      <c r="AG231" s="11">
        <f>_xlfn.XLOOKUP(E:E,'[1]②7月-汇总'!$D:$D,'[1]②7月-汇总'!$Y:$Y)</f>
        <v>0</v>
      </c>
      <c r="AH231" s="11">
        <f>_xlfn.XLOOKUP(E:E,'[1]②7月-汇总'!$D:$D,'[1]②7月-汇总'!$L:$L)</f>
        <v>0</v>
      </c>
      <c r="AI231" s="11">
        <f>_xlfn.XLOOKUP(E:E,'[1]②7月-汇总'!$D:$D,'[1]②7月-汇总'!$X:$X)</f>
        <v>0</v>
      </c>
      <c r="AJ231" s="11">
        <f>_xlfn.XLOOKUP(E:E,'[1]②7月-汇总'!$D:$D,'[1]②7月-汇总'!$AB:$AB)</f>
        <v>0</v>
      </c>
      <c r="AK231" s="11">
        <f>_xlfn.XLOOKUP(E:E,'[1]②7月-汇总'!$D:$D,'[1]②7月-汇总'!$AE:$AE)</f>
        <v>0</v>
      </c>
      <c r="AL231" s="96"/>
      <c r="AM231" s="45">
        <f t="shared" si="39"/>
        <v>137.05590322580599</v>
      </c>
      <c r="AN231" s="11">
        <f>_xlfn.XLOOKUP(E:E,'[1]①7月-花名册'!$E:$E,'[1]①7月-花名册'!$T:$T)</f>
        <v>0</v>
      </c>
      <c r="AO231" s="67"/>
      <c r="AP231" s="142">
        <f>_xlfn.XLOOKUP(E231,[9]工资核对的全字段!$C:$C,[9]工资核对的全字段!$CW:$CW,0)</f>
        <v>137.05590322580645</v>
      </c>
      <c r="AQ231" s="36">
        <f t="shared" si="40"/>
        <v>4.5474735088646412E-13</v>
      </c>
    </row>
    <row r="232" spans="1:43" x14ac:dyDescent="0.15">
      <c r="A232" s="55" t="s">
        <v>41</v>
      </c>
      <c r="B232" s="82" t="s">
        <v>285</v>
      </c>
      <c r="C232" s="60" t="s">
        <v>9</v>
      </c>
      <c r="D232" s="61" t="s">
        <v>9</v>
      </c>
      <c r="E232" s="61" t="s">
        <v>293</v>
      </c>
      <c r="F232" s="11">
        <f t="shared" si="41"/>
        <v>765</v>
      </c>
      <c r="G232" s="11">
        <v>-1195</v>
      </c>
      <c r="H232" s="11">
        <v>1960</v>
      </c>
      <c r="I232" s="11">
        <v>0</v>
      </c>
      <c r="J232" s="50"/>
      <c r="K232" s="11"/>
      <c r="L232" s="68"/>
      <c r="M232" s="68"/>
      <c r="N232" s="45">
        <f t="shared" si="42"/>
        <v>0</v>
      </c>
      <c r="O232" s="45">
        <f t="shared" si="43"/>
        <v>0</v>
      </c>
      <c r="P232" s="45"/>
      <c r="Q232" s="45">
        <v>451</v>
      </c>
      <c r="R232" s="45">
        <f t="shared" si="37"/>
        <v>451</v>
      </c>
      <c r="S232" s="11"/>
      <c r="T232" s="45"/>
      <c r="U232" s="11"/>
      <c r="V232" s="11"/>
      <c r="W232" s="11"/>
      <c r="X232" s="11"/>
      <c r="Y232" s="11"/>
      <c r="Z232" s="11"/>
      <c r="AA232" s="45">
        <f t="shared" si="38"/>
        <v>451</v>
      </c>
      <c r="AB232" s="11"/>
      <c r="AC232" s="50"/>
      <c r="AD232" s="11"/>
      <c r="AE232" s="11"/>
      <c r="AF232" s="11"/>
      <c r="AG232" s="11"/>
      <c r="AH232" s="11"/>
      <c r="AI232" s="11"/>
      <c r="AJ232" s="11"/>
      <c r="AK232" s="11"/>
      <c r="AL232" s="96"/>
      <c r="AM232" s="45">
        <f t="shared" si="39"/>
        <v>451</v>
      </c>
      <c r="AN232" s="11"/>
      <c r="AO232" s="67"/>
      <c r="AP232" s="142">
        <f>_xlfn.XLOOKUP(E232,[9]工资核对的全字段!$C:$C,[9]工资核对的全字段!$CW:$CW,0)</f>
        <v>450.76949999999999</v>
      </c>
      <c r="AQ232" s="36">
        <f t="shared" si="40"/>
        <v>-0.23050000000000637</v>
      </c>
    </row>
  </sheetData>
  <autoFilter ref="A1:AQ232" xr:uid="{00000000-0009-0000-0000-000000000000}"/>
  <phoneticPr fontId="20" type="noConversion"/>
  <conditionalFormatting sqref="E1">
    <cfRule type="duplicateValues" dxfId="11" priority="2"/>
  </conditionalFormatting>
  <conditionalFormatting sqref="E21">
    <cfRule type="duplicateValues" dxfId="10" priority="1"/>
  </conditionalFormatting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27"/>
  <sheetViews>
    <sheetView workbookViewId="0">
      <pane xSplit="5" topLeftCell="Q1" activePane="topRight" state="frozen"/>
      <selection pane="topRight" activeCell="T21" sqref="T21"/>
    </sheetView>
  </sheetViews>
  <sheetFormatPr defaultColWidth="9" defaultRowHeight="16.5" x14ac:dyDescent="0.15"/>
  <cols>
    <col min="6" max="10" width="9" customWidth="1"/>
    <col min="11" max="11" width="9.25" style="12" customWidth="1"/>
    <col min="12" max="12" width="10.875" style="12" customWidth="1"/>
    <col min="13" max="13" width="9" style="12" customWidth="1"/>
    <col min="14" max="14" width="12.875" style="51" customWidth="1"/>
    <col min="15" max="15" width="9" style="52" customWidth="1"/>
    <col min="16" max="16" width="9.25" style="51" customWidth="1"/>
    <col min="17" max="18" width="9" style="51" customWidth="1"/>
    <col min="19" max="19" width="9" style="36" customWidth="1"/>
    <col min="20" max="20" width="9" style="12" customWidth="1"/>
    <col min="21" max="21" width="6.375" style="51" customWidth="1"/>
    <col min="22" max="22" width="10.375" style="12" customWidth="1"/>
    <col min="23" max="26" width="9" style="12" customWidth="1"/>
    <col min="27" max="27" width="13.875" style="12" customWidth="1"/>
    <col min="28" max="28" width="10.375" style="51"/>
    <col min="29" max="29" width="9" style="53"/>
    <col min="30" max="35" width="9" style="12" hidden="1" customWidth="1"/>
    <col min="36" max="36" width="9" style="53" hidden="1" customWidth="1"/>
    <col min="37" max="37" width="9" style="12" hidden="1" customWidth="1"/>
    <col min="38" max="38" width="11.625" style="12" hidden="1" customWidth="1"/>
    <col min="39" max="39" width="11.625" style="51"/>
    <col min="40" max="40" width="9" style="12"/>
    <col min="41" max="41" width="31.25" style="53" customWidth="1"/>
    <col min="42" max="42" width="9" style="53"/>
  </cols>
  <sheetData>
    <row r="1" spans="1:43" ht="30.95" customHeight="1" x14ac:dyDescent="0.1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54" t="s">
        <v>5</v>
      </c>
      <c r="G1" s="54" t="s">
        <v>6</v>
      </c>
      <c r="H1" s="54" t="s">
        <v>7</v>
      </c>
      <c r="I1" s="54" t="s">
        <v>8</v>
      </c>
      <c r="J1" s="54" t="s">
        <v>9</v>
      </c>
      <c r="K1" s="7" t="s">
        <v>294</v>
      </c>
      <c r="L1" s="63" t="s">
        <v>295</v>
      </c>
      <c r="M1" s="63" t="s">
        <v>296</v>
      </c>
      <c r="N1" s="8" t="s">
        <v>297</v>
      </c>
      <c r="O1" s="63" t="s">
        <v>12</v>
      </c>
      <c r="P1" s="64" t="s">
        <v>13</v>
      </c>
      <c r="Q1" s="64" t="s">
        <v>14</v>
      </c>
      <c r="R1" s="64" t="s">
        <v>298</v>
      </c>
      <c r="S1" s="64" t="s">
        <v>17</v>
      </c>
      <c r="T1" s="69" t="s">
        <v>18</v>
      </c>
      <c r="U1" s="8" t="s">
        <v>19</v>
      </c>
      <c r="V1" s="8" t="s">
        <v>20</v>
      </c>
      <c r="W1" s="8" t="s">
        <v>21</v>
      </c>
      <c r="X1" s="8" t="s">
        <v>22</v>
      </c>
      <c r="Y1" s="70" t="s">
        <v>23</v>
      </c>
      <c r="Z1" s="70" t="s">
        <v>24</v>
      </c>
      <c r="AA1" s="8" t="s">
        <v>25</v>
      </c>
      <c r="AB1" s="71" t="s">
        <v>26</v>
      </c>
      <c r="AC1" s="7" t="s">
        <v>27</v>
      </c>
      <c r="AD1" s="7" t="s">
        <v>28</v>
      </c>
      <c r="AE1" s="70" t="s">
        <v>29</v>
      </c>
      <c r="AF1" s="7" t="s">
        <v>30</v>
      </c>
      <c r="AG1" s="70" t="s">
        <v>31</v>
      </c>
      <c r="AH1" s="70" t="s">
        <v>299</v>
      </c>
      <c r="AI1" s="70" t="s">
        <v>34</v>
      </c>
      <c r="AJ1" s="70" t="s">
        <v>300</v>
      </c>
      <c r="AK1" s="70" t="s">
        <v>36</v>
      </c>
      <c r="AL1" s="73" t="s">
        <v>37</v>
      </c>
      <c r="AM1" s="71" t="s">
        <v>38</v>
      </c>
      <c r="AN1" s="70" t="s">
        <v>39</v>
      </c>
      <c r="AO1" s="74" t="s">
        <v>40</v>
      </c>
      <c r="AP1" s="12"/>
    </row>
    <row r="2" spans="1:43" x14ac:dyDescent="0.15">
      <c r="A2" s="55" t="s">
        <v>41</v>
      </c>
      <c r="B2" s="56" t="s">
        <v>301</v>
      </c>
      <c r="C2" s="57" t="s">
        <v>165</v>
      </c>
      <c r="D2" s="58" t="s">
        <v>4</v>
      </c>
      <c r="E2" s="59" t="s">
        <v>302</v>
      </c>
      <c r="F2" s="11">
        <f t="shared" ref="F2:F17" si="0">G2+H2+I2</f>
        <v>41686</v>
      </c>
      <c r="G2" s="11">
        <v>18706</v>
      </c>
      <c r="H2" s="11">
        <v>22980</v>
      </c>
      <c r="I2" s="11">
        <v>0</v>
      </c>
      <c r="J2" s="65"/>
      <c r="K2" s="9">
        <v>5256</v>
      </c>
      <c r="L2" s="9"/>
      <c r="M2" s="66">
        <v>7.0000000000000007E-2</v>
      </c>
      <c r="N2" s="10">
        <f>K2*0.95*M2</f>
        <v>349.524</v>
      </c>
      <c r="O2" s="66">
        <v>0.05</v>
      </c>
      <c r="P2" s="10">
        <f>(G2-K2)*0.95*O2</f>
        <v>638.875</v>
      </c>
      <c r="Q2" s="10">
        <f>H2*0.95*0.65*O2</f>
        <v>709.50750000000005</v>
      </c>
      <c r="R2" s="10"/>
      <c r="S2" s="10">
        <f>P2+N2+Q2+R2</f>
        <v>1697.9065000000001</v>
      </c>
      <c r="T2" s="9">
        <f>_xlfn.XLOOKUP(E:E,'[1]②7月-汇总'!$D:$D,'[1]②7月-汇总'!$AP:$AP)</f>
        <v>31</v>
      </c>
      <c r="U2" s="10">
        <v>2000</v>
      </c>
      <c r="V2" s="9">
        <f>_xlfn.XLOOKUP(E:E,'[2]手工、项目数、消耗'!$C:$C,'[2]手工、项目数、消耗'!$E:$E)</f>
        <v>7072.69</v>
      </c>
      <c r="W2" s="9">
        <f>_xlfn.XLOOKUP(E:E,'[2]手工、项目数、消耗'!$C:$C,'[2]手工、项目数、消耗'!$D:$D)</f>
        <v>84</v>
      </c>
      <c r="X2" s="9">
        <f>_xlfn.XLOOKUP(E:E,'[2]手工、项目数、消耗'!$C:$C,'[2]手工、项目数、消耗'!$H:$H)</f>
        <v>1054</v>
      </c>
      <c r="Y2" s="9">
        <f>_xlfn.XLOOKUP(E:E,'[1]②7月-汇总'!$D:$D,'[1]②7月-汇总'!$W:$W)</f>
        <v>0</v>
      </c>
      <c r="Z2" s="9">
        <f>_xlfn.XLOOKUP(E:E,'[1]②7月-汇总'!$D:$D,'[1]②7月-汇总'!$Z:$Z)</f>
        <v>0</v>
      </c>
      <c r="AA2" s="9">
        <f>_xlfn.XLOOKUP(E:E,'[1]②7月-汇总'!$D:$D,'[1]②7月-汇总'!$AI:$AI,)</f>
        <v>0</v>
      </c>
      <c r="AB2" s="10">
        <f>S2+U2+X2+Y2+Z2+AA2</f>
        <v>4751.9065000000001</v>
      </c>
      <c r="AC2" s="72"/>
      <c r="AD2" s="72"/>
      <c r="AE2" s="9">
        <f>_xlfn.XLOOKUP(E:E,'[1]②7月-汇总'!$D:$D,'[1]②7月-汇总'!$AC:$AC)</f>
        <v>100</v>
      </c>
      <c r="AF2" s="9"/>
      <c r="AG2" s="9">
        <f>_xlfn.XLOOKUP(E:E,'[1]②7月-汇总'!$D:$D,'[1]②7月-汇总'!$AD:$AD)</f>
        <v>0</v>
      </c>
      <c r="AH2" s="9">
        <f>_xlfn.XLOOKUP(E:E,'[1]②7月-汇总'!$D:$D,'[1]②7月-汇总'!$Y:$Y)</f>
        <v>0</v>
      </c>
      <c r="AI2" s="9">
        <f>_xlfn.XLOOKUP(E:E,'[1]②7月-汇总'!$D:$D,'[1]②7月-汇总'!$X:$X)</f>
        <v>90</v>
      </c>
      <c r="AJ2" s="9">
        <f>_xlfn.XLOOKUP(E:E,'[1]②7月-汇总'!$D:$D,'[1]②7月-汇总'!$AB:$AB)</f>
        <v>0</v>
      </c>
      <c r="AK2" s="9">
        <f>_xlfn.XLOOKUP(E:E,'[1]②7月-汇总'!$D:$D,'[1]②7月-汇总'!$AE:$AE)</f>
        <v>0</v>
      </c>
      <c r="AL2" s="9"/>
      <c r="AM2" s="10">
        <f>AB2+AC2-AD2-AE2-AF2-AG2-AH2-AJ2+AK2+AL2-AI2</f>
        <v>4561.9065000000001</v>
      </c>
      <c r="AN2" s="9">
        <f>_xlfn.XLOOKUP(E:E,'[1]①7月-花名册'!$E:$E,'[1]①7月-花名册'!$T:$T)</f>
        <v>0</v>
      </c>
      <c r="AO2" s="72"/>
      <c r="AP2" s="53">
        <f>_xlfn.XLOOKUP(E2,[9]工资核对的全字段!$C:$C,[9]工资核对的全字段!$CW:$CW,0)</f>
        <v>4561.9065000000001</v>
      </c>
      <c r="AQ2" s="36">
        <f>AP2-AM2</f>
        <v>0</v>
      </c>
    </row>
    <row r="3" spans="1:43" x14ac:dyDescent="0.15">
      <c r="A3" s="55" t="s">
        <v>41</v>
      </c>
      <c r="B3" s="56" t="s">
        <v>301</v>
      </c>
      <c r="C3" s="57" t="s">
        <v>165</v>
      </c>
      <c r="D3" s="58" t="s">
        <v>4</v>
      </c>
      <c r="E3" s="59" t="s">
        <v>303</v>
      </c>
      <c r="F3" s="11">
        <f t="shared" si="0"/>
        <v>2500</v>
      </c>
      <c r="G3" s="11">
        <v>2500</v>
      </c>
      <c r="H3" s="11">
        <v>0</v>
      </c>
      <c r="I3" s="11">
        <v>0</v>
      </c>
      <c r="J3" s="67"/>
      <c r="K3" s="11"/>
      <c r="L3" s="11"/>
      <c r="M3" s="11"/>
      <c r="N3" s="10">
        <f>K3*0.95*M3</f>
        <v>0</v>
      </c>
      <c r="O3" s="68">
        <v>0</v>
      </c>
      <c r="P3" s="10">
        <f t="shared" ref="P3:P17" si="1">G3*0.95*O3</f>
        <v>0</v>
      </c>
      <c r="Q3" s="10">
        <f t="shared" ref="Q3:Q17" si="2">H3*0.95*0.65*O3</f>
        <v>0</v>
      </c>
      <c r="R3" s="45"/>
      <c r="S3" s="10">
        <f t="shared" ref="S3:S17" si="3">P3+N3+Q3+R3</f>
        <v>0</v>
      </c>
      <c r="T3" s="9">
        <f>_xlfn.XLOOKUP(E:E,'[1]②7月-汇总'!$D:$D,'[1]②7月-汇总'!$AP:$AP)</f>
        <v>10</v>
      </c>
      <c r="U3" s="45">
        <f>2000/31*10</f>
        <v>645.16129032258095</v>
      </c>
      <c r="V3" s="9">
        <f>_xlfn.XLOOKUP(E:E,'[2]手工、项目数、消耗'!$C:$C,'[2]手工、项目数、消耗'!$E:$E)</f>
        <v>864.77</v>
      </c>
      <c r="W3" s="9">
        <f>_xlfn.XLOOKUP(E:E,'[2]手工、项目数、消耗'!$C:$C,'[2]手工、项目数、消耗'!$D:$D)</f>
        <v>20</v>
      </c>
      <c r="X3" s="9">
        <f>_xlfn.XLOOKUP(E:E,'[2]手工、项目数、消耗'!$C:$C,'[2]手工、项目数、消耗'!$H:$H)</f>
        <v>210</v>
      </c>
      <c r="Y3" s="9">
        <f>_xlfn.XLOOKUP(E:E,'[1]②7月-汇总'!$D:$D,'[1]②7月-汇总'!$W:$W)</f>
        <v>0</v>
      </c>
      <c r="Z3" s="9">
        <f>_xlfn.XLOOKUP(E:E,'[1]②7月-汇总'!$D:$D,'[1]②7月-汇总'!$Z:$Z)</f>
        <v>0</v>
      </c>
      <c r="AA3" s="9">
        <f>_xlfn.XLOOKUP(E:E,'[1]②7月-汇总'!$D:$D,'[1]②7月-汇总'!$AI:$AI,)</f>
        <v>0</v>
      </c>
      <c r="AB3" s="10">
        <f t="shared" ref="AB3:AB17" si="4">S3+U3+X3+Y3+Z3+AA3</f>
        <v>855.16129032258095</v>
      </c>
      <c r="AC3" s="50"/>
      <c r="AD3" s="50"/>
      <c r="AE3" s="9">
        <f>_xlfn.XLOOKUP(E:E,'[1]②7月-汇总'!$D:$D,'[1]②7月-汇总'!$AC:$AC)</f>
        <v>0</v>
      </c>
      <c r="AF3" s="9"/>
      <c r="AG3" s="9">
        <f>_xlfn.XLOOKUP(E:E,'[1]②7月-汇总'!$D:$D,'[1]②7月-汇总'!$AD:$AD)</f>
        <v>0</v>
      </c>
      <c r="AH3" s="9">
        <f>_xlfn.XLOOKUP(E:E,'[1]②7月-汇总'!$D:$D,'[1]②7月-汇总'!$Y:$Y)</f>
        <v>0</v>
      </c>
      <c r="AI3" s="9">
        <f>_xlfn.XLOOKUP(E:E,'[1]②7月-汇总'!$D:$D,'[1]②7月-汇总'!$X:$X)</f>
        <v>0</v>
      </c>
      <c r="AJ3" s="9">
        <v>0</v>
      </c>
      <c r="AK3" s="9">
        <f>_xlfn.XLOOKUP(E:E,'[1]②7月-汇总'!$D:$D,'[1]②7月-汇总'!$AE:$AE)</f>
        <v>300</v>
      </c>
      <c r="AL3" s="11"/>
      <c r="AM3" s="10">
        <f t="shared" ref="AM3:AM17" si="5">AB3+AC3-AD3-AE3-AF3-AG3-AH3-AJ3+AK3+AL3-AI3</f>
        <v>1155.16129032258</v>
      </c>
      <c r="AN3" s="9">
        <f>_xlfn.XLOOKUP(E:E,'[1]①7月-花名册'!$E:$E,'[1]①7月-花名册'!$T:$T)</f>
        <v>0</v>
      </c>
      <c r="AO3" s="50"/>
      <c r="AP3" s="53">
        <f>_xlfn.XLOOKUP(E3,[9]工资核对的全字段!$C:$C,[9]工资核对的全字段!$CW:$CW,0)</f>
        <v>1155.17</v>
      </c>
      <c r="AQ3" s="36">
        <f t="shared" ref="AQ3:AQ17" si="6">AP3-AM3</f>
        <v>8.7096774200290383E-3</v>
      </c>
    </row>
    <row r="4" spans="1:43" x14ac:dyDescent="0.15">
      <c r="A4" s="55" t="s">
        <v>41</v>
      </c>
      <c r="B4" s="56" t="s">
        <v>301</v>
      </c>
      <c r="C4" s="57" t="s">
        <v>165</v>
      </c>
      <c r="D4" s="58" t="s">
        <v>4</v>
      </c>
      <c r="E4" s="59" t="s">
        <v>304</v>
      </c>
      <c r="F4" s="11">
        <f t="shared" si="0"/>
        <v>50770.44</v>
      </c>
      <c r="G4" s="11">
        <v>40530.44</v>
      </c>
      <c r="H4" s="11">
        <v>9000</v>
      </c>
      <c r="I4" s="11">
        <v>1240</v>
      </c>
      <c r="J4" s="67"/>
      <c r="K4" s="11">
        <v>9844.44</v>
      </c>
      <c r="L4" s="11"/>
      <c r="M4" s="66">
        <v>7.0000000000000007E-2</v>
      </c>
      <c r="N4" s="10">
        <f>K4*0.95*M4</f>
        <v>654.65526</v>
      </c>
      <c r="O4" s="68">
        <v>0.05</v>
      </c>
      <c r="P4" s="10">
        <f>(G4-K4)*0.95*O4</f>
        <v>1457.585</v>
      </c>
      <c r="Q4" s="10">
        <f t="shared" si="2"/>
        <v>277.875</v>
      </c>
      <c r="R4" s="45"/>
      <c r="S4" s="10">
        <f t="shared" si="3"/>
        <v>2390.11526</v>
      </c>
      <c r="T4" s="9">
        <f>_xlfn.XLOOKUP(E:E,'[1]②7月-汇总'!$D:$D,'[1]②7月-汇总'!$AP:$AP)</f>
        <v>31</v>
      </c>
      <c r="U4" s="45">
        <v>2000</v>
      </c>
      <c r="V4" s="9">
        <f>_xlfn.XLOOKUP(E:E,'[2]手工、项目数、消耗'!$C:$C,'[2]手工、项目数、消耗'!$E:$E)</f>
        <v>25992.16</v>
      </c>
      <c r="W4" s="9">
        <f>_xlfn.XLOOKUP(E:E,'[2]手工、项目数、消耗'!$C:$C,'[2]手工、项目数、消耗'!$D:$D)</f>
        <v>99.5</v>
      </c>
      <c r="X4" s="9">
        <f>_xlfn.XLOOKUP(E:E,'[2]手工、项目数、消耗'!$C:$C,'[2]手工、项目数、消耗'!$H:$H)</f>
        <v>1683.5</v>
      </c>
      <c r="Y4" s="9">
        <f>_xlfn.XLOOKUP(E:E,'[1]②7月-汇总'!$D:$D,'[1]②7月-汇总'!$W:$W)</f>
        <v>0</v>
      </c>
      <c r="Z4" s="9">
        <f>_xlfn.XLOOKUP(E:E,'[1]②7月-汇总'!$D:$D,'[1]②7月-汇总'!$Z:$Z)</f>
        <v>0</v>
      </c>
      <c r="AA4" s="9">
        <f>_xlfn.XLOOKUP(E:E,'[1]②7月-汇总'!$D:$D,'[1]②7月-汇总'!$AI:$AI,)</f>
        <v>0</v>
      </c>
      <c r="AB4" s="10">
        <f t="shared" si="4"/>
        <v>6073.6152599999996</v>
      </c>
      <c r="AC4" s="50"/>
      <c r="AD4" s="50"/>
      <c r="AE4" s="9">
        <f>_xlfn.XLOOKUP(E:E,'[1]②7月-汇总'!$D:$D,'[1]②7月-汇总'!$AC:$AC)</f>
        <v>0</v>
      </c>
      <c r="AF4" s="9"/>
      <c r="AG4" s="9">
        <f>_xlfn.XLOOKUP(E:E,'[1]②7月-汇总'!$D:$D,'[1]②7月-汇总'!$AD:$AD)</f>
        <v>0</v>
      </c>
      <c r="AH4" s="9">
        <f>_xlfn.XLOOKUP(E:E,'[1]②7月-汇总'!$D:$D,'[1]②7月-汇总'!$Y:$Y)</f>
        <v>0</v>
      </c>
      <c r="AI4" s="9">
        <f>_xlfn.XLOOKUP(E:E,'[1]②7月-汇总'!$D:$D,'[1]②7月-汇总'!$X:$X)</f>
        <v>0</v>
      </c>
      <c r="AJ4" s="9">
        <f>_xlfn.XLOOKUP(E:E,'[1]②7月-汇总'!$D:$D,'[1]②7月-汇总'!$AB:$AB)</f>
        <v>0</v>
      </c>
      <c r="AK4" s="9">
        <f>_xlfn.XLOOKUP(E:E,'[1]②7月-汇总'!$D:$D,'[1]②7月-汇总'!$AE:$AE)</f>
        <v>0</v>
      </c>
      <c r="AL4" s="11"/>
      <c r="AM4" s="10">
        <f t="shared" si="5"/>
        <v>6073.6152599999996</v>
      </c>
      <c r="AN4" s="9">
        <f>_xlfn.XLOOKUP(E:E,'[1]①7月-花名册'!$E:$E,'[1]①7月-花名册'!$T:$T)</f>
        <v>0</v>
      </c>
      <c r="AO4" s="50"/>
      <c r="AP4" s="53">
        <f>_xlfn.XLOOKUP(E4,[9]工资核对的全字段!$C:$C,[9]工资核对的全字段!$CW:$CW,0)</f>
        <v>6073.6152600000005</v>
      </c>
      <c r="AQ4" s="36">
        <f t="shared" si="6"/>
        <v>0</v>
      </c>
    </row>
    <row r="5" spans="1:43" x14ac:dyDescent="0.15">
      <c r="A5" s="55" t="s">
        <v>41</v>
      </c>
      <c r="B5" s="56" t="s">
        <v>301</v>
      </c>
      <c r="C5" s="57" t="s">
        <v>165</v>
      </c>
      <c r="D5" s="58" t="s">
        <v>4</v>
      </c>
      <c r="E5" s="59" t="s">
        <v>305</v>
      </c>
      <c r="F5" s="11">
        <f t="shared" si="0"/>
        <v>4940</v>
      </c>
      <c r="G5" s="11">
        <v>4630</v>
      </c>
      <c r="H5" s="11">
        <v>0</v>
      </c>
      <c r="I5" s="11">
        <v>310</v>
      </c>
      <c r="J5" s="67"/>
      <c r="K5" s="11"/>
      <c r="L5" s="11"/>
      <c r="M5" s="11"/>
      <c r="N5" s="45"/>
      <c r="O5" s="68">
        <v>0.03</v>
      </c>
      <c r="P5" s="10">
        <f t="shared" si="1"/>
        <v>131.95500000000001</v>
      </c>
      <c r="Q5" s="10">
        <f t="shared" si="2"/>
        <v>0</v>
      </c>
      <c r="R5" s="45"/>
      <c r="S5" s="10">
        <f t="shared" si="3"/>
        <v>131.95500000000001</v>
      </c>
      <c r="T5" s="9">
        <f>_xlfn.XLOOKUP(E:E,'[1]②7月-汇总'!$D:$D,'[1]②7月-汇总'!$AP:$AP)</f>
        <v>14</v>
      </c>
      <c r="U5" s="45">
        <f>2000/31*14</f>
        <v>903.22580645161304</v>
      </c>
      <c r="V5" s="9">
        <f>_xlfn.XLOOKUP(E:E,'[2]手工、项目数、消耗'!$C:$C,'[2]手工、项目数、消耗'!$E:$E)</f>
        <v>7196.53</v>
      </c>
      <c r="W5" s="9">
        <f>_xlfn.XLOOKUP(E:E,'[2]手工、项目数、消耗'!$C:$C,'[2]手工、项目数、消耗'!$D:$D)</f>
        <v>39</v>
      </c>
      <c r="X5" s="9">
        <f>_xlfn.XLOOKUP(E:E,'[2]手工、项目数、消耗'!$C:$C,'[2]手工、项目数、消耗'!$H:$H)</f>
        <v>504.5</v>
      </c>
      <c r="Y5" s="9">
        <f>_xlfn.XLOOKUP(E:E,'[1]②7月-汇总'!$D:$D,'[1]②7月-汇总'!$W:$W)</f>
        <v>0</v>
      </c>
      <c r="Z5" s="9">
        <f>_xlfn.XLOOKUP(E:E,'[1]②7月-汇总'!$D:$D,'[1]②7月-汇总'!$Z:$Z)</f>
        <v>0</v>
      </c>
      <c r="AA5" s="9">
        <f>_xlfn.XLOOKUP(E:E,'[1]②7月-汇总'!$D:$D,'[1]②7月-汇总'!$AI:$AI,)</f>
        <v>0</v>
      </c>
      <c r="AB5" s="10">
        <f t="shared" si="4"/>
        <v>1539.6808064516099</v>
      </c>
      <c r="AC5" s="50"/>
      <c r="AD5" s="50"/>
      <c r="AE5" s="9">
        <f>_xlfn.XLOOKUP(E:E,'[1]②7月-汇总'!$D:$D,'[1]②7月-汇总'!$AC:$AC)</f>
        <v>0</v>
      </c>
      <c r="AF5" s="9"/>
      <c r="AG5" s="9">
        <f>_xlfn.XLOOKUP(E:E,'[1]②7月-汇总'!$D:$D,'[1]②7月-汇总'!$AD:$AD)</f>
        <v>0</v>
      </c>
      <c r="AH5" s="9">
        <f>_xlfn.XLOOKUP(E:E,'[1]②7月-汇总'!$D:$D,'[1]②7月-汇总'!$Y:$Y)</f>
        <v>0</v>
      </c>
      <c r="AI5" s="9">
        <f>_xlfn.XLOOKUP(E:E,'[1]②7月-汇总'!$D:$D,'[1]②7月-汇总'!$X:$X)</f>
        <v>0</v>
      </c>
      <c r="AJ5" s="9">
        <f>_xlfn.XLOOKUP(E:E,'[1]②7月-汇总'!$D:$D,'[1]②7月-汇总'!$AB:$AB)</f>
        <v>1300</v>
      </c>
      <c r="AK5" s="9">
        <f>_xlfn.XLOOKUP(E:E,'[1]②7月-汇总'!$D:$D,'[1]②7月-汇总'!$AE:$AE)</f>
        <v>300</v>
      </c>
      <c r="AL5" s="11"/>
      <c r="AM5" s="10">
        <f t="shared" si="5"/>
        <v>539.68080645161297</v>
      </c>
      <c r="AN5" s="9">
        <f>_xlfn.XLOOKUP(E:E,'[1]①7月-花名册'!$E:$E,'[1]①7月-花名册'!$T:$T)</f>
        <v>0</v>
      </c>
      <c r="AO5" s="50"/>
      <c r="AP5" s="53">
        <f>_xlfn.XLOOKUP(E5,[9]工资核对的全字段!$C:$C,[9]工资核对的全字段!$CW:$CW,0)</f>
        <v>539.68499999999995</v>
      </c>
      <c r="AQ5" s="36">
        <f t="shared" si="6"/>
        <v>4.1935483869792733E-3</v>
      </c>
    </row>
    <row r="6" spans="1:43" x14ac:dyDescent="0.15">
      <c r="A6" s="55" t="s">
        <v>41</v>
      </c>
      <c r="B6" s="56" t="s">
        <v>301</v>
      </c>
      <c r="C6" s="57" t="s">
        <v>165</v>
      </c>
      <c r="D6" s="58" t="s">
        <v>4</v>
      </c>
      <c r="E6" s="59" t="s">
        <v>306</v>
      </c>
      <c r="F6" s="11">
        <f t="shared" si="0"/>
        <v>22190.44</v>
      </c>
      <c r="G6" s="11">
        <v>20682.439999999999</v>
      </c>
      <c r="H6" s="11">
        <v>0</v>
      </c>
      <c r="I6" s="11">
        <v>1508</v>
      </c>
      <c r="J6" s="67"/>
      <c r="K6" s="11"/>
      <c r="L6" s="11"/>
      <c r="M6" s="11"/>
      <c r="N6" s="45"/>
      <c r="O6" s="68">
        <v>0.04</v>
      </c>
      <c r="P6" s="10">
        <f t="shared" si="1"/>
        <v>785.93272000000002</v>
      </c>
      <c r="Q6" s="10">
        <f t="shared" si="2"/>
        <v>0</v>
      </c>
      <c r="R6" s="45"/>
      <c r="S6" s="10">
        <f t="shared" si="3"/>
        <v>785.93272000000002</v>
      </c>
      <c r="T6" s="9">
        <f>_xlfn.XLOOKUP(E:E,'[1]②7月-汇总'!$D:$D,'[1]②7月-汇总'!$AP:$AP)</f>
        <v>31</v>
      </c>
      <c r="U6" s="45">
        <v>2000</v>
      </c>
      <c r="V6" s="9">
        <f>_xlfn.XLOOKUP(E:E,'[2]手工、项目数、消耗'!$C:$C,'[2]手工、项目数、消耗'!$E:$E)</f>
        <v>6857.83</v>
      </c>
      <c r="W6" s="9">
        <f>_xlfn.XLOOKUP(E:E,'[2]手工、项目数、消耗'!$C:$C,'[2]手工、项目数、消耗'!$D:$D)</f>
        <v>73.5</v>
      </c>
      <c r="X6" s="9">
        <f>_xlfn.XLOOKUP(E:E,'[2]手工、项目数、消耗'!$C:$C,'[2]手工、项目数、消耗'!$H:$H)</f>
        <v>991.5</v>
      </c>
      <c r="Y6" s="9">
        <f>_xlfn.XLOOKUP(E:E,'[1]②7月-汇总'!$D:$D,'[1]②7月-汇总'!$W:$W)</f>
        <v>0</v>
      </c>
      <c r="Z6" s="9">
        <f>_xlfn.XLOOKUP(E:E,'[1]②7月-汇总'!$D:$D,'[1]②7月-汇总'!$Z:$Z)</f>
        <v>0</v>
      </c>
      <c r="AA6" s="9">
        <f>_xlfn.XLOOKUP(E:E,'[1]②7月-汇总'!$D:$D,'[1]②7月-汇总'!$AI:$AI,)</f>
        <v>0</v>
      </c>
      <c r="AB6" s="10">
        <f t="shared" si="4"/>
        <v>3777.4327199999998</v>
      </c>
      <c r="AC6" s="50"/>
      <c r="AD6" s="50"/>
      <c r="AE6" s="9">
        <f>_xlfn.XLOOKUP(E:E,'[1]②7月-汇总'!$D:$D,'[1]②7月-汇总'!$AC:$AC)</f>
        <v>0</v>
      </c>
      <c r="AF6" s="9"/>
      <c r="AG6" s="9">
        <f>_xlfn.XLOOKUP(E:E,'[1]②7月-汇总'!$D:$D,'[1]②7月-汇总'!$AD:$AD)</f>
        <v>0</v>
      </c>
      <c r="AH6" s="9">
        <f>_xlfn.XLOOKUP(E:E,'[1]②7月-汇总'!$D:$D,'[1]②7月-汇总'!$Y:$Y)</f>
        <v>0</v>
      </c>
      <c r="AI6" s="9">
        <f>_xlfn.XLOOKUP(E:E,'[1]②7月-汇总'!$D:$D,'[1]②7月-汇总'!$X:$X)</f>
        <v>90</v>
      </c>
      <c r="AJ6" s="9">
        <f>_xlfn.XLOOKUP(E:E,'[1]②7月-汇总'!$D:$D,'[1]②7月-汇总'!$AB:$AB)</f>
        <v>0</v>
      </c>
      <c r="AK6" s="9">
        <f>_xlfn.XLOOKUP(E:E,'[1]②7月-汇总'!$D:$D,'[1]②7月-汇总'!$AE:$AE)</f>
        <v>0</v>
      </c>
      <c r="AL6" s="11"/>
      <c r="AM6" s="10">
        <f t="shared" si="5"/>
        <v>3687.4327199999998</v>
      </c>
      <c r="AN6" s="9">
        <f>_xlfn.XLOOKUP(E:E,'[1]①7月-花名册'!$E:$E,'[1]①7月-花名册'!$T:$T)</f>
        <v>0</v>
      </c>
      <c r="AO6" s="50"/>
      <c r="AP6" s="53">
        <f>_xlfn.XLOOKUP(E6,[9]工资核对的全字段!$C:$C,[9]工资核对的全字段!$CW:$CW,0)</f>
        <v>3687.4327199999998</v>
      </c>
      <c r="AQ6" s="36">
        <f t="shared" si="6"/>
        <v>0</v>
      </c>
    </row>
    <row r="7" spans="1:43" x14ac:dyDescent="0.15">
      <c r="A7" s="55" t="s">
        <v>41</v>
      </c>
      <c r="B7" s="56" t="s">
        <v>301</v>
      </c>
      <c r="C7" s="57" t="s">
        <v>165</v>
      </c>
      <c r="D7" s="58" t="s">
        <v>4</v>
      </c>
      <c r="E7" s="59" t="s">
        <v>307</v>
      </c>
      <c r="F7" s="11">
        <f t="shared" si="0"/>
        <v>600</v>
      </c>
      <c r="G7" s="11">
        <v>600</v>
      </c>
      <c r="H7" s="11">
        <v>0</v>
      </c>
      <c r="I7" s="11">
        <v>0</v>
      </c>
      <c r="J7" s="67"/>
      <c r="K7" s="11"/>
      <c r="L7" s="11"/>
      <c r="M7" s="11"/>
      <c r="N7" s="45"/>
      <c r="O7" s="68">
        <v>0</v>
      </c>
      <c r="P7" s="10">
        <f t="shared" si="1"/>
        <v>0</v>
      </c>
      <c r="Q7" s="10">
        <f t="shared" si="2"/>
        <v>0</v>
      </c>
      <c r="R7" s="45"/>
      <c r="S7" s="10">
        <f t="shared" si="3"/>
        <v>0</v>
      </c>
      <c r="T7" s="9">
        <f>_xlfn.XLOOKUP(E:E,'[1]②7月-汇总'!$D:$D,'[1]②7月-汇总'!$AP:$AP)</f>
        <v>10</v>
      </c>
      <c r="U7" s="45">
        <f>2000/31*10</f>
        <v>645.16129032258095</v>
      </c>
      <c r="V7" s="9">
        <f>_xlfn.XLOOKUP(E:E,'[2]手工、项目数、消耗'!$C:$C,'[2]手工、项目数、消耗'!$E:$E)</f>
        <v>780.5</v>
      </c>
      <c r="W7" s="9">
        <f>_xlfn.XLOOKUP(E:E,'[2]手工、项目数、消耗'!$C:$C,'[2]手工、项目数、消耗'!$D:$D)</f>
        <v>16</v>
      </c>
      <c r="X7" s="9">
        <f>_xlfn.XLOOKUP(E:E,'[2]手工、项目数、消耗'!$C:$C,'[2]手工、项目数、消耗'!$H:$H)</f>
        <v>211</v>
      </c>
      <c r="Y7" s="9">
        <f>_xlfn.XLOOKUP(E:E,'[1]②7月-汇总'!$D:$D,'[1]②7月-汇总'!$W:$W)</f>
        <v>0</v>
      </c>
      <c r="Z7" s="9">
        <f>_xlfn.XLOOKUP(E:E,'[1]②7月-汇总'!$D:$D,'[1]②7月-汇总'!$Z:$Z)</f>
        <v>0</v>
      </c>
      <c r="AA7" s="9">
        <v>660</v>
      </c>
      <c r="AB7" s="10">
        <f t="shared" si="4"/>
        <v>1516.16129032258</v>
      </c>
      <c r="AC7" s="50"/>
      <c r="AD7" s="50"/>
      <c r="AE7" s="9">
        <f>_xlfn.XLOOKUP(E:E,'[1]②7月-汇总'!$D:$D,'[1]②7月-汇总'!$AC:$AC)</f>
        <v>0</v>
      </c>
      <c r="AF7" s="9"/>
      <c r="AG7" s="9">
        <f>_xlfn.XLOOKUP(E:E,'[1]②7月-汇总'!$D:$D,'[1]②7月-汇总'!$AD:$AD)</f>
        <v>130</v>
      </c>
      <c r="AH7" s="9">
        <f>_xlfn.XLOOKUP(E:E,'[1]②7月-汇总'!$D:$D,'[1]②7月-汇总'!$Y:$Y)</f>
        <v>0</v>
      </c>
      <c r="AI7" s="9">
        <f>_xlfn.XLOOKUP(E:E,'[1]②7月-汇总'!$D:$D,'[1]②7月-汇总'!$X:$X)</f>
        <v>0</v>
      </c>
      <c r="AJ7" s="9">
        <f>_xlfn.XLOOKUP(E:E,'[1]②7月-汇总'!$D:$D,'[1]②7月-汇总'!$AB:$AB)</f>
        <v>0</v>
      </c>
      <c r="AK7" s="9">
        <f>_xlfn.XLOOKUP(E:E,'[1]②7月-汇总'!$D:$D,'[1]②7月-汇总'!$AE:$AE)</f>
        <v>0</v>
      </c>
      <c r="AL7" s="11"/>
      <c r="AM7" s="10">
        <f t="shared" si="5"/>
        <v>1386.16129032258</v>
      </c>
      <c r="AN7" s="9">
        <f>_xlfn.XLOOKUP(E:E,'[1]①7月-花名册'!$E:$E,'[1]①7月-花名册'!$T:$T)</f>
        <v>0</v>
      </c>
      <c r="AO7" s="50"/>
      <c r="AP7" s="53">
        <f>_xlfn.XLOOKUP(E7,[9]工资核对的全字段!$C:$C,[9]工资核对的全字段!$CW:$CW,0)</f>
        <v>1386.17</v>
      </c>
      <c r="AQ7" s="36">
        <f t="shared" si="6"/>
        <v>8.7096774200290383E-3</v>
      </c>
    </row>
    <row r="8" spans="1:43" x14ac:dyDescent="0.15">
      <c r="A8" s="55" t="s">
        <v>41</v>
      </c>
      <c r="B8" s="56" t="s">
        <v>301</v>
      </c>
      <c r="C8" s="60" t="s">
        <v>9</v>
      </c>
      <c r="D8" s="61" t="s">
        <v>9</v>
      </c>
      <c r="E8" s="61" t="s">
        <v>504</v>
      </c>
      <c r="F8" s="11">
        <f t="shared" si="0"/>
        <v>10088</v>
      </c>
      <c r="G8" s="11">
        <v>10088</v>
      </c>
      <c r="H8" s="11">
        <v>0</v>
      </c>
      <c r="I8" s="11">
        <v>0</v>
      </c>
      <c r="J8" s="67"/>
      <c r="K8" s="11"/>
      <c r="L8" s="11"/>
      <c r="M8" s="11"/>
      <c r="N8" s="45"/>
      <c r="O8" s="68"/>
      <c r="P8" s="10">
        <f t="shared" si="1"/>
        <v>0</v>
      </c>
      <c r="Q8" s="10">
        <f t="shared" si="2"/>
        <v>0</v>
      </c>
      <c r="R8" s="45">
        <v>333</v>
      </c>
      <c r="S8" s="10">
        <f t="shared" si="3"/>
        <v>333</v>
      </c>
      <c r="T8" s="9"/>
      <c r="U8" s="45">
        <v>0</v>
      </c>
      <c r="V8" s="9">
        <v>0</v>
      </c>
      <c r="W8" s="9">
        <v>0</v>
      </c>
      <c r="X8" s="9">
        <v>0</v>
      </c>
      <c r="Y8" s="9"/>
      <c r="Z8" s="9">
        <v>0</v>
      </c>
      <c r="AA8" s="9"/>
      <c r="AB8" s="10">
        <f t="shared" si="4"/>
        <v>333</v>
      </c>
      <c r="AC8" s="50"/>
      <c r="AD8" s="50"/>
      <c r="AE8" s="9">
        <v>0</v>
      </c>
      <c r="AF8" s="9"/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11"/>
      <c r="AM8" s="10">
        <f t="shared" si="5"/>
        <v>333</v>
      </c>
      <c r="AN8" s="9">
        <v>0</v>
      </c>
      <c r="AO8" s="50"/>
      <c r="AP8" s="53">
        <f>_xlfn.XLOOKUP(E8,[9]工资核对的全字段!$C:$C,[9]工资核对的全字段!$CW:$CW,0)</f>
        <v>333.33720000000005</v>
      </c>
      <c r="AQ8" s="36">
        <f t="shared" si="6"/>
        <v>0.33720000000005257</v>
      </c>
    </row>
    <row r="9" spans="1:43" x14ac:dyDescent="0.15">
      <c r="A9" s="55" t="s">
        <v>41</v>
      </c>
      <c r="B9" s="62" t="s">
        <v>308</v>
      </c>
      <c r="C9" s="57" t="s">
        <v>165</v>
      </c>
      <c r="D9" s="58" t="s">
        <v>4</v>
      </c>
      <c r="E9" s="58" t="s">
        <v>309</v>
      </c>
      <c r="F9" s="11">
        <f t="shared" si="0"/>
        <v>21112.799999999999</v>
      </c>
      <c r="G9" s="11">
        <v>21112.799999999999</v>
      </c>
      <c r="H9" s="11">
        <v>0</v>
      </c>
      <c r="I9" s="11">
        <v>0</v>
      </c>
      <c r="J9" s="67"/>
      <c r="K9" s="11"/>
      <c r="L9" s="11"/>
      <c r="M9" s="11"/>
      <c r="N9" s="45"/>
      <c r="O9" s="68">
        <v>0.04</v>
      </c>
      <c r="P9" s="10">
        <f t="shared" si="1"/>
        <v>802.28639999999996</v>
      </c>
      <c r="Q9" s="10">
        <f t="shared" si="2"/>
        <v>0</v>
      </c>
      <c r="R9" s="45"/>
      <c r="S9" s="10">
        <f t="shared" si="3"/>
        <v>802.28639999999996</v>
      </c>
      <c r="T9" s="9">
        <f>_xlfn.XLOOKUP(E:E,'[1]②7月-汇总'!$D:$D,'[1]②7月-汇总'!$AP:$AP)</f>
        <v>31</v>
      </c>
      <c r="U9" s="45">
        <v>2000</v>
      </c>
      <c r="V9" s="9">
        <f>_xlfn.XLOOKUP(E:E,'[2]手工、项目数、消耗'!$C:$C,'[2]手工、项目数、消耗'!$E:$E)</f>
        <v>8653.2099999999991</v>
      </c>
      <c r="W9" s="9">
        <f>_xlfn.XLOOKUP(E:E,'[2]手工、项目数、消耗'!$C:$C,'[2]手工、项目数、消耗'!$D:$D)</f>
        <v>74</v>
      </c>
      <c r="X9" s="9">
        <f>_xlfn.XLOOKUP(E:E,'[2]手工、项目数、消耗'!$C:$C,'[2]手工、项目数、消耗'!$H:$H)</f>
        <v>950</v>
      </c>
      <c r="Y9" s="9">
        <f>_xlfn.XLOOKUP(E:E,'[1]②7月-汇总'!$D:$D,'[1]②7月-汇总'!$W:$W)</f>
        <v>0</v>
      </c>
      <c r="Z9" s="9">
        <f>_xlfn.XLOOKUP(E:E,'[1]②7月-汇总'!$D:$D,'[1]②7月-汇总'!$Z:$Z)</f>
        <v>0</v>
      </c>
      <c r="AA9" s="9">
        <f>_xlfn.XLOOKUP(E:E,'[1]②7月-汇总'!$D:$D,'[1]②7月-汇总'!$AI:$AI,)</f>
        <v>0</v>
      </c>
      <c r="AB9" s="10">
        <f t="shared" si="4"/>
        <v>3752.2864</v>
      </c>
      <c r="AC9" s="50"/>
      <c r="AD9" s="50"/>
      <c r="AE9" s="9">
        <f>_xlfn.XLOOKUP(E:E,'[1]②7月-汇总'!$D:$D,'[1]②7月-汇总'!$AC:$AC)</f>
        <v>0</v>
      </c>
      <c r="AF9" s="9"/>
      <c r="AG9" s="9">
        <f>_xlfn.XLOOKUP(E:E,'[1]②7月-汇总'!$D:$D,'[1]②7月-汇总'!$AD:$AD)</f>
        <v>0</v>
      </c>
      <c r="AH9" s="9">
        <f>_xlfn.XLOOKUP(E:E,'[1]②7月-汇总'!$D:$D,'[1]②7月-汇总'!$Y:$Y)</f>
        <v>0</v>
      </c>
      <c r="AI9" s="9">
        <f>_xlfn.XLOOKUP(E:E,'[1]②7月-汇总'!$D:$D,'[1]②7月-汇总'!$X:$X)</f>
        <v>0</v>
      </c>
      <c r="AJ9" s="9">
        <f>_xlfn.XLOOKUP(E:E,'[1]②7月-汇总'!$D:$D,'[1]②7月-汇总'!$AB:$AB)</f>
        <v>0</v>
      </c>
      <c r="AK9" s="9">
        <f>_xlfn.XLOOKUP(E:E,'[1]②7月-汇总'!$D:$D,'[1]②7月-汇总'!$AE:$AE)</f>
        <v>0</v>
      </c>
      <c r="AL9" s="11"/>
      <c r="AM9" s="10">
        <f t="shared" si="5"/>
        <v>3752.2864</v>
      </c>
      <c r="AN9" s="9">
        <f>_xlfn.XLOOKUP(E:E,'[1]①7月-花名册'!$E:$E,'[1]①7月-花名册'!$T:$T)</f>
        <v>0</v>
      </c>
      <c r="AO9" s="50"/>
      <c r="AP9" s="53">
        <f>_xlfn.XLOOKUP(E9,[9]工资核对的全字段!$C:$C,[9]工资核对的全字段!$CW:$CW,0)</f>
        <v>3752.2864</v>
      </c>
      <c r="AQ9" s="36">
        <f t="shared" si="6"/>
        <v>0</v>
      </c>
    </row>
    <row r="10" spans="1:43" x14ac:dyDescent="0.15">
      <c r="A10" s="55" t="s">
        <v>41</v>
      </c>
      <c r="B10" s="62" t="s">
        <v>308</v>
      </c>
      <c r="C10" s="57" t="s">
        <v>165</v>
      </c>
      <c r="D10" s="58" t="s">
        <v>4</v>
      </c>
      <c r="E10" s="58" t="s">
        <v>310</v>
      </c>
      <c r="F10" s="11">
        <f t="shared" si="0"/>
        <v>3264</v>
      </c>
      <c r="G10" s="11">
        <v>3264</v>
      </c>
      <c r="H10" s="11">
        <v>0</v>
      </c>
      <c r="I10" s="11">
        <v>0</v>
      </c>
      <c r="J10" s="67"/>
      <c r="K10" s="11"/>
      <c r="L10" s="11"/>
      <c r="M10" s="11"/>
      <c r="N10" s="45"/>
      <c r="O10" s="68">
        <v>0</v>
      </c>
      <c r="P10" s="10">
        <f t="shared" si="1"/>
        <v>0</v>
      </c>
      <c r="Q10" s="10">
        <f t="shared" si="2"/>
        <v>0</v>
      </c>
      <c r="R10" s="45"/>
      <c r="S10" s="10">
        <f t="shared" si="3"/>
        <v>0</v>
      </c>
      <c r="T10" s="9">
        <f>_xlfn.XLOOKUP(E:E,'[1]②7月-汇总'!$D:$D,'[1]②7月-汇总'!$AP:$AP)</f>
        <v>31</v>
      </c>
      <c r="U10" s="45">
        <v>2000</v>
      </c>
      <c r="V10" s="9">
        <f>_xlfn.XLOOKUP(E:E,'[2]手工、项目数、消耗'!$C:$C,'[2]手工、项目数、消耗'!$E:$E)</f>
        <v>2856.63</v>
      </c>
      <c r="W10" s="9">
        <f>_xlfn.XLOOKUP(E:E,'[2]手工、项目数、消耗'!$C:$C,'[2]手工、项目数、消耗'!$D:$D)</f>
        <v>59</v>
      </c>
      <c r="X10" s="9">
        <f>_xlfn.XLOOKUP(E:E,'[2]手工、项目数、消耗'!$C:$C,'[2]手工、项目数、消耗'!$H:$H)</f>
        <v>814</v>
      </c>
      <c r="Y10" s="9">
        <f>_xlfn.XLOOKUP(E:E,'[1]②7月-汇总'!$D:$D,'[1]②7月-汇总'!$W:$W)</f>
        <v>0</v>
      </c>
      <c r="Z10" s="9">
        <f>_xlfn.XLOOKUP(E:E,'[1]②7月-汇总'!$D:$D,'[1]②7月-汇总'!$Z:$Z)</f>
        <v>0</v>
      </c>
      <c r="AA10" s="9">
        <f>_xlfn.XLOOKUP(E:E,'[1]②7月-汇总'!$D:$D,'[1]②7月-汇总'!$AI:$AI,)</f>
        <v>0</v>
      </c>
      <c r="AB10" s="10">
        <f t="shared" si="4"/>
        <v>2814</v>
      </c>
      <c r="AC10" s="50"/>
      <c r="AD10" s="11"/>
      <c r="AE10" s="9">
        <f>_xlfn.XLOOKUP(E:E,'[1]②7月-汇总'!$D:$D,'[1]②7月-汇总'!$AC:$AC)</f>
        <v>0</v>
      </c>
      <c r="AF10" s="9"/>
      <c r="AG10" s="9">
        <f>_xlfn.XLOOKUP(E:E,'[1]②7月-汇总'!$D:$D,'[1]②7月-汇总'!$AD:$AD)</f>
        <v>0</v>
      </c>
      <c r="AH10" s="9">
        <f>_xlfn.XLOOKUP(E:E,'[1]②7月-汇总'!$D:$D,'[1]②7月-汇总'!$Y:$Y)</f>
        <v>0</v>
      </c>
      <c r="AI10" s="9">
        <f>_xlfn.XLOOKUP(E:E,'[1]②7月-汇总'!$D:$D,'[1]②7月-汇总'!$X:$X)</f>
        <v>0</v>
      </c>
      <c r="AJ10" s="9">
        <f>_xlfn.XLOOKUP(E:E,'[1]②7月-汇总'!$D:$D,'[1]②7月-汇总'!$AB:$AB)</f>
        <v>0</v>
      </c>
      <c r="AK10" s="9">
        <f>_xlfn.XLOOKUP(E:E,'[1]②7月-汇总'!$D:$D,'[1]②7月-汇总'!$AE:$AE)</f>
        <v>0</v>
      </c>
      <c r="AL10" s="45">
        <f>AN10-AB10</f>
        <v>2186</v>
      </c>
      <c r="AM10" s="10">
        <f t="shared" si="5"/>
        <v>5000</v>
      </c>
      <c r="AN10" s="9">
        <f>_xlfn.XLOOKUP(E:E,'[1]①7月-花名册'!$E:$E,'[1]①7月-花名册'!$T:$T)</f>
        <v>5000</v>
      </c>
      <c r="AO10" s="50"/>
      <c r="AP10" s="53">
        <f>_xlfn.XLOOKUP(E10,[9]工资核对的全字段!$C:$C,[9]工资核对的全字段!$CW:$CW,0)</f>
        <v>5000</v>
      </c>
      <c r="AQ10" s="36">
        <f t="shared" si="6"/>
        <v>0</v>
      </c>
    </row>
    <row r="11" spans="1:43" x14ac:dyDescent="0.15">
      <c r="A11" s="55" t="s">
        <v>41</v>
      </c>
      <c r="B11" s="62" t="s">
        <v>308</v>
      </c>
      <c r="C11" s="57" t="s">
        <v>165</v>
      </c>
      <c r="D11" s="58" t="s">
        <v>4</v>
      </c>
      <c r="E11" s="58" t="s">
        <v>311</v>
      </c>
      <c r="F11" s="11">
        <f t="shared" si="0"/>
        <v>21786</v>
      </c>
      <c r="G11" s="11">
        <v>21166</v>
      </c>
      <c r="H11" s="11">
        <v>0</v>
      </c>
      <c r="I11" s="11">
        <v>620</v>
      </c>
      <c r="J11" s="67"/>
      <c r="K11" s="11"/>
      <c r="L11" s="11"/>
      <c r="M11" s="11"/>
      <c r="N11" s="45"/>
      <c r="O11" s="68">
        <v>0.04</v>
      </c>
      <c r="P11" s="10">
        <f t="shared" si="1"/>
        <v>804.30799999999999</v>
      </c>
      <c r="Q11" s="10">
        <f t="shared" si="2"/>
        <v>0</v>
      </c>
      <c r="R11" s="45"/>
      <c r="S11" s="10">
        <f t="shared" si="3"/>
        <v>804.30799999999999</v>
      </c>
      <c r="T11" s="9">
        <f>_xlfn.XLOOKUP(E:E,'[1]②7月-汇总'!$D:$D,'[1]②7月-汇总'!$AP:$AP)</f>
        <v>31</v>
      </c>
      <c r="U11" s="45">
        <v>2000</v>
      </c>
      <c r="V11" s="9">
        <f>_xlfn.XLOOKUP(E:E,'[2]手工、项目数、消耗'!$C:$C,'[2]手工、项目数、消耗'!$E:$E)</f>
        <v>5211.9399999999996</v>
      </c>
      <c r="W11" s="9">
        <f>_xlfn.XLOOKUP(E:E,'[2]手工、项目数、消耗'!$C:$C,'[2]手工、项目数、消耗'!$D:$D)</f>
        <v>67</v>
      </c>
      <c r="X11" s="9">
        <f>_xlfn.XLOOKUP(E:E,'[2]手工、项目数、消耗'!$C:$C,'[2]手工、项目数、消耗'!$H:$H)</f>
        <v>1152</v>
      </c>
      <c r="Y11" s="9">
        <f>_xlfn.XLOOKUP(E:E,'[1]②7月-汇总'!$D:$D,'[1]②7月-汇总'!$W:$W)</f>
        <v>0</v>
      </c>
      <c r="Z11" s="9">
        <f>_xlfn.XLOOKUP(E:E,'[1]②7月-汇总'!$D:$D,'[1]②7月-汇总'!$Z:$Z)</f>
        <v>0</v>
      </c>
      <c r="AA11" s="9">
        <f>_xlfn.XLOOKUP(E:E,'[1]②7月-汇总'!$D:$D,'[1]②7月-汇总'!$AI:$AI,)</f>
        <v>0</v>
      </c>
      <c r="AB11" s="10">
        <f t="shared" si="4"/>
        <v>3956.308</v>
      </c>
      <c r="AC11" s="50"/>
      <c r="AD11" s="50"/>
      <c r="AE11" s="9">
        <f>_xlfn.XLOOKUP(E:E,'[1]②7月-汇总'!$D:$D,'[1]②7月-汇总'!$AC:$AC)</f>
        <v>0</v>
      </c>
      <c r="AF11" s="9">
        <f>_xlfn.XLOOKUP(E:E,[3]Sheet1!$B:$B,[3]Sheet1!$L:$L)</f>
        <v>640.55999999999995</v>
      </c>
      <c r="AG11" s="9">
        <f>_xlfn.XLOOKUP(E:E,'[1]②7月-汇总'!$D:$D,'[1]②7月-汇总'!$AD:$AD)</f>
        <v>0</v>
      </c>
      <c r="AH11" s="9">
        <f>_xlfn.XLOOKUP(E:E,'[1]②7月-汇总'!$D:$D,'[1]②7月-汇总'!$Y:$Y)</f>
        <v>0</v>
      </c>
      <c r="AI11" s="9">
        <f>_xlfn.XLOOKUP(E:E,'[1]②7月-汇总'!$D:$D,'[1]②7月-汇总'!$X:$X)</f>
        <v>20</v>
      </c>
      <c r="AJ11" s="9">
        <f>_xlfn.XLOOKUP(E:E,'[1]②7月-汇总'!$D:$D,'[1]②7月-汇总'!$AB:$AB)</f>
        <v>0</v>
      </c>
      <c r="AK11" s="9">
        <f>_xlfn.XLOOKUP(E:E,'[1]②7月-汇总'!$D:$D,'[1]②7月-汇总'!$AE:$AE)</f>
        <v>300</v>
      </c>
      <c r="AL11" s="45"/>
      <c r="AM11" s="10">
        <f t="shared" si="5"/>
        <v>3595.748</v>
      </c>
      <c r="AN11" s="9">
        <f>_xlfn.XLOOKUP(E:E,'[1]①7月-花名册'!$E:$E,'[1]①7月-花名册'!$T:$T)</f>
        <v>0</v>
      </c>
      <c r="AO11" s="50"/>
      <c r="AP11" s="53">
        <f>_xlfn.XLOOKUP(E11,[9]工资核对的全字段!$C:$C,[9]工资核对的全字段!$CW:$CW,0)</f>
        <v>3595.748</v>
      </c>
      <c r="AQ11" s="36">
        <f t="shared" si="6"/>
        <v>0</v>
      </c>
    </row>
    <row r="12" spans="1:43" x14ac:dyDescent="0.15">
      <c r="A12" s="55" t="s">
        <v>41</v>
      </c>
      <c r="B12" s="62" t="s">
        <v>308</v>
      </c>
      <c r="C12" s="57" t="s">
        <v>165</v>
      </c>
      <c r="D12" s="58" t="s">
        <v>4</v>
      </c>
      <c r="E12" s="58" t="s">
        <v>312</v>
      </c>
      <c r="F12" s="11">
        <f t="shared" si="0"/>
        <v>4443.2</v>
      </c>
      <c r="G12" s="11">
        <v>4443.2</v>
      </c>
      <c r="H12" s="11">
        <v>0</v>
      </c>
      <c r="I12" s="11">
        <v>0</v>
      </c>
      <c r="J12" s="67"/>
      <c r="K12" s="11"/>
      <c r="L12" s="11"/>
      <c r="M12" s="11"/>
      <c r="N12" s="45"/>
      <c r="O12" s="68">
        <v>0</v>
      </c>
      <c r="P12" s="10">
        <f t="shared" si="1"/>
        <v>0</v>
      </c>
      <c r="Q12" s="10">
        <f t="shared" si="2"/>
        <v>0</v>
      </c>
      <c r="R12" s="45"/>
      <c r="S12" s="10">
        <f t="shared" si="3"/>
        <v>0</v>
      </c>
      <c r="T12" s="9">
        <f>_xlfn.XLOOKUP(E:E,'[1]②7月-汇总'!$D:$D,'[1]②7月-汇总'!$AP:$AP)</f>
        <v>31</v>
      </c>
      <c r="U12" s="45">
        <v>2000</v>
      </c>
      <c r="V12" s="9">
        <f>_xlfn.XLOOKUP(E:E,'[2]手工、项目数、消耗'!$C:$C,'[2]手工、项目数、消耗'!$E:$E)</f>
        <v>3102.44</v>
      </c>
      <c r="W12" s="9">
        <f>_xlfn.XLOOKUP(E:E,'[2]手工、项目数、消耗'!$C:$C,'[2]手工、项目数、消耗'!$D:$D)</f>
        <v>57</v>
      </c>
      <c r="X12" s="9">
        <f>_xlfn.XLOOKUP(E:E,'[2]手工、项目数、消耗'!$C:$C,'[2]手工、项目数、消耗'!$H:$H)</f>
        <v>796</v>
      </c>
      <c r="Y12" s="9">
        <f>_xlfn.XLOOKUP(E:E,'[1]②7月-汇总'!$D:$D,'[1]②7月-汇总'!$W:$W)</f>
        <v>0</v>
      </c>
      <c r="Z12" s="9">
        <f>_xlfn.XLOOKUP(E:E,'[1]②7月-汇总'!$D:$D,'[1]②7月-汇总'!$Z:$Z)</f>
        <v>0</v>
      </c>
      <c r="AA12" s="9">
        <f>_xlfn.XLOOKUP(E:E,'[1]②7月-汇总'!$D:$D,'[1]②7月-汇总'!$AI:$AI,)</f>
        <v>0</v>
      </c>
      <c r="AB12" s="10">
        <f t="shared" si="4"/>
        <v>2796</v>
      </c>
      <c r="AC12" s="50"/>
      <c r="AD12" s="11"/>
      <c r="AE12" s="9">
        <f>_xlfn.XLOOKUP(E:E,'[1]②7月-汇总'!$D:$D,'[1]②7月-汇总'!$AC:$AC)</f>
        <v>100</v>
      </c>
      <c r="AF12" s="9"/>
      <c r="AG12" s="9">
        <f>_xlfn.XLOOKUP(E:E,'[1]②7月-汇总'!$D:$D,'[1]②7月-汇总'!$AD:$AD)</f>
        <v>0</v>
      </c>
      <c r="AH12" s="9">
        <f>_xlfn.XLOOKUP(E:E,'[1]②7月-汇总'!$D:$D,'[1]②7月-汇总'!$Y:$Y)</f>
        <v>0</v>
      </c>
      <c r="AI12" s="9">
        <f>_xlfn.XLOOKUP(E:E,'[1]②7月-汇总'!$D:$D,'[1]②7月-汇总'!$X:$X)</f>
        <v>0</v>
      </c>
      <c r="AJ12" s="9">
        <f>_xlfn.XLOOKUP(E:E,'[1]②7月-汇总'!$D:$D,'[1]②7月-汇总'!$AB:$AB)</f>
        <v>0</v>
      </c>
      <c r="AK12" s="9">
        <f>_xlfn.XLOOKUP(E:E,'[1]②7月-汇总'!$D:$D,'[1]②7月-汇总'!$AE:$AE)</f>
        <v>0</v>
      </c>
      <c r="AL12" s="45">
        <f t="shared" ref="AL12:AL16" si="7">AN12-AB12</f>
        <v>1204</v>
      </c>
      <c r="AM12" s="10">
        <f t="shared" si="5"/>
        <v>3900</v>
      </c>
      <c r="AN12" s="9">
        <f>_xlfn.XLOOKUP(E:E,'[1]①7月-花名册'!$E:$E,'[1]①7月-花名册'!$T:$T)</f>
        <v>4000</v>
      </c>
      <c r="AO12" s="50"/>
      <c r="AP12" s="53">
        <f>_xlfn.XLOOKUP(E12,[9]工资核对的全字段!$C:$C,[9]工资核对的全字段!$CW:$CW,0)</f>
        <v>3900</v>
      </c>
      <c r="AQ12" s="36">
        <f t="shared" si="6"/>
        <v>0</v>
      </c>
    </row>
    <row r="13" spans="1:43" x14ac:dyDescent="0.15">
      <c r="A13" s="55" t="s">
        <v>41</v>
      </c>
      <c r="B13" s="62" t="s">
        <v>308</v>
      </c>
      <c r="C13" s="57" t="s">
        <v>165</v>
      </c>
      <c r="D13" s="58" t="s">
        <v>4</v>
      </c>
      <c r="E13" s="58" t="s">
        <v>313</v>
      </c>
      <c r="F13" s="11">
        <f t="shared" si="0"/>
        <v>68697</v>
      </c>
      <c r="G13" s="11">
        <v>14997</v>
      </c>
      <c r="H13" s="11">
        <v>53700</v>
      </c>
      <c r="I13" s="11">
        <v>0</v>
      </c>
      <c r="J13" s="67"/>
      <c r="K13" s="11"/>
      <c r="L13" s="11"/>
      <c r="M13" s="11"/>
      <c r="N13" s="45"/>
      <c r="O13" s="68">
        <v>0.06</v>
      </c>
      <c r="P13" s="10">
        <f t="shared" si="1"/>
        <v>854.82899999999995</v>
      </c>
      <c r="Q13" s="10">
        <f t="shared" si="2"/>
        <v>1989.585</v>
      </c>
      <c r="R13" s="45"/>
      <c r="S13" s="10">
        <f t="shared" si="3"/>
        <v>2844.4140000000002</v>
      </c>
      <c r="T13" s="9">
        <f>_xlfn.XLOOKUP(E:E,'[1]②7月-汇总'!$D:$D,'[1]②7月-汇总'!$AP:$AP)</f>
        <v>31</v>
      </c>
      <c r="U13" s="45">
        <v>2000</v>
      </c>
      <c r="V13" s="9">
        <f>_xlfn.XLOOKUP(E:E,'[2]手工、项目数、消耗'!$C:$C,'[2]手工、项目数、消耗'!$E:$E)</f>
        <v>5148.9799999999996</v>
      </c>
      <c r="W13" s="9">
        <f>_xlfn.XLOOKUP(E:E,'[2]手工、项目数、消耗'!$C:$C,'[2]手工、项目数、消耗'!$D:$D)</f>
        <v>56</v>
      </c>
      <c r="X13" s="9">
        <f>_xlfn.XLOOKUP(E:E,'[2]手工、项目数、消耗'!$C:$C,'[2]手工、项目数、消耗'!$H:$H)</f>
        <v>579</v>
      </c>
      <c r="Y13" s="9">
        <f>_xlfn.XLOOKUP(E:E,'[1]②7月-汇总'!$D:$D,'[1]②7月-汇总'!$W:$W)</f>
        <v>0</v>
      </c>
      <c r="Z13" s="9">
        <f>_xlfn.XLOOKUP(E:E,'[1]②7月-汇总'!$D:$D,'[1]②7月-汇总'!$Z:$Z)</f>
        <v>0</v>
      </c>
      <c r="AA13" s="9">
        <f>_xlfn.XLOOKUP(E:E,'[1]②7月-汇总'!$D:$D,'[1]②7月-汇总'!$AI:$AI,)</f>
        <v>0</v>
      </c>
      <c r="AB13" s="10">
        <f t="shared" si="4"/>
        <v>5423.4139999999998</v>
      </c>
      <c r="AC13" s="50"/>
      <c r="AD13" s="11"/>
      <c r="AE13" s="9">
        <f>_xlfn.XLOOKUP(E:E,'[1]②7月-汇总'!$D:$D,'[1]②7月-汇总'!$AC:$AC)</f>
        <v>100</v>
      </c>
      <c r="AF13" s="9"/>
      <c r="AG13" s="9">
        <f>_xlfn.XLOOKUP(E:E,'[1]②7月-汇总'!$D:$D,'[1]②7月-汇总'!$AD:$AD)</f>
        <v>0</v>
      </c>
      <c r="AH13" s="9">
        <f>_xlfn.XLOOKUP(E:E,'[1]②7月-汇总'!$D:$D,'[1]②7月-汇总'!$Y:$Y)</f>
        <v>0</v>
      </c>
      <c r="AI13" s="9">
        <f>_xlfn.XLOOKUP(E:E,'[1]②7月-汇总'!$D:$D,'[1]②7月-汇总'!$X:$X)</f>
        <v>0</v>
      </c>
      <c r="AJ13" s="9">
        <f>_xlfn.XLOOKUP(E:E,'[1]②7月-汇总'!$D:$D,'[1]②7月-汇总'!$AB:$AB)</f>
        <v>0</v>
      </c>
      <c r="AK13" s="9">
        <f>_xlfn.XLOOKUP(E:E,'[1]②7月-汇总'!$D:$D,'[1]②7月-汇总'!$AE:$AE)</f>
        <v>0</v>
      </c>
      <c r="AL13" s="45"/>
      <c r="AM13" s="10">
        <f t="shared" si="5"/>
        <v>5323.4139999999998</v>
      </c>
      <c r="AN13" s="9">
        <f>_xlfn.XLOOKUP(E:E,'[1]①7月-花名册'!$E:$E,'[1]①7月-花名册'!$T:$T)</f>
        <v>5500</v>
      </c>
      <c r="AO13" s="50" t="s">
        <v>314</v>
      </c>
      <c r="AP13" s="53">
        <f>_xlfn.XLOOKUP(E13,[9]工资核对的全字段!$C:$C,[9]工资核对的全字段!$CW:$CW,0)</f>
        <v>5323</v>
      </c>
      <c r="AQ13" s="36">
        <f t="shared" si="6"/>
        <v>-0.41399999999975989</v>
      </c>
    </row>
    <row r="14" spans="1:43" x14ac:dyDescent="0.15">
      <c r="A14" s="55" t="s">
        <v>41</v>
      </c>
      <c r="B14" s="62" t="s">
        <v>308</v>
      </c>
      <c r="C14" s="57" t="s">
        <v>165</v>
      </c>
      <c r="D14" s="58" t="s">
        <v>4</v>
      </c>
      <c r="E14" s="58" t="s">
        <v>315</v>
      </c>
      <c r="F14" s="11">
        <f t="shared" si="0"/>
        <v>10079</v>
      </c>
      <c r="G14" s="11">
        <v>7079</v>
      </c>
      <c r="H14" s="11">
        <v>3000</v>
      </c>
      <c r="I14" s="11">
        <v>0</v>
      </c>
      <c r="J14" s="67"/>
      <c r="K14" s="11"/>
      <c r="L14" s="11"/>
      <c r="M14" s="11"/>
      <c r="N14" s="45"/>
      <c r="O14" s="68">
        <v>0.03</v>
      </c>
      <c r="P14" s="10">
        <f t="shared" si="1"/>
        <v>201.75149999999999</v>
      </c>
      <c r="Q14" s="10">
        <f t="shared" si="2"/>
        <v>55.575000000000003</v>
      </c>
      <c r="R14" s="45"/>
      <c r="S14" s="10">
        <f t="shared" si="3"/>
        <v>257.32650000000001</v>
      </c>
      <c r="T14" s="9">
        <f>_xlfn.XLOOKUP(E:E,'[1]②7月-汇总'!$D:$D,'[1]②7月-汇总'!$AP:$AP)</f>
        <v>31</v>
      </c>
      <c r="U14" s="45">
        <v>2000</v>
      </c>
      <c r="V14" s="9">
        <f>_xlfn.XLOOKUP(E:E,'[2]手工、项目数、消耗'!$C:$C,'[2]手工、项目数、消耗'!$E:$E)</f>
        <v>3540.96</v>
      </c>
      <c r="W14" s="9">
        <f>_xlfn.XLOOKUP(E:E,'[2]手工、项目数、消耗'!$C:$C,'[2]手工、项目数、消耗'!$D:$D)</f>
        <v>56</v>
      </c>
      <c r="X14" s="9">
        <f>_xlfn.XLOOKUP(E:E,'[2]手工、项目数、消耗'!$C:$C,'[2]手工、项目数、消耗'!$H:$H)</f>
        <v>613</v>
      </c>
      <c r="Y14" s="9">
        <f>_xlfn.XLOOKUP(E:E,'[1]②7月-汇总'!$D:$D,'[1]②7月-汇总'!$W:$W)</f>
        <v>0</v>
      </c>
      <c r="Z14" s="9">
        <f>_xlfn.XLOOKUP(E:E,'[1]②7月-汇总'!$D:$D,'[1]②7月-汇总'!$Z:$Z)</f>
        <v>0</v>
      </c>
      <c r="AA14" s="9">
        <f>_xlfn.XLOOKUP(E:E,'[1]②7月-汇总'!$D:$D,'[1]②7月-汇总'!$AI:$AI,)</f>
        <v>0</v>
      </c>
      <c r="AB14" s="10">
        <f t="shared" si="4"/>
        <v>2870.3265000000001</v>
      </c>
      <c r="AC14" s="50"/>
      <c r="AD14" s="11">
        <v>80</v>
      </c>
      <c r="AE14" s="9">
        <f>_xlfn.XLOOKUP(E:E,'[1]②7月-汇总'!$D:$D,'[1]②7月-汇总'!$AC:$AC)</f>
        <v>0</v>
      </c>
      <c r="AF14" s="9"/>
      <c r="AG14" s="9">
        <f>_xlfn.XLOOKUP(E:E,'[1]②7月-汇总'!$D:$D,'[1]②7月-汇总'!$AD:$AD)</f>
        <v>0</v>
      </c>
      <c r="AH14" s="9">
        <f>_xlfn.XLOOKUP(E:E,'[1]②7月-汇总'!$D:$D,'[1]②7月-汇总'!$Y:$Y)</f>
        <v>0</v>
      </c>
      <c r="AI14" s="9">
        <f>_xlfn.XLOOKUP(E:E,'[1]②7月-汇总'!$D:$D,'[1]②7月-汇总'!$X:$X)</f>
        <v>90</v>
      </c>
      <c r="AJ14" s="9">
        <f>_xlfn.XLOOKUP(E:E,'[1]②7月-汇总'!$D:$D,'[1]②7月-汇总'!$AB:$AB)</f>
        <v>0</v>
      </c>
      <c r="AK14" s="9">
        <f>_xlfn.XLOOKUP(E:E,'[1]②7月-汇总'!$D:$D,'[1]②7月-汇总'!$AE:$AE)</f>
        <v>0</v>
      </c>
      <c r="AL14" s="45">
        <f t="shared" si="7"/>
        <v>3129.6734999999999</v>
      </c>
      <c r="AM14" s="10">
        <f t="shared" si="5"/>
        <v>5830</v>
      </c>
      <c r="AN14" s="9">
        <f>_xlfn.XLOOKUP(E:E,'[1]①7月-花名册'!$E:$E,'[1]①7月-花名册'!$T:$T)</f>
        <v>6000</v>
      </c>
      <c r="AO14" s="50"/>
      <c r="AP14" s="53">
        <f>_xlfn.XLOOKUP(E14,[9]工资核对的全字段!$C:$C,[9]工资核对的全字段!$CW:$CW,0)</f>
        <v>5830</v>
      </c>
      <c r="AQ14" s="36">
        <f t="shared" si="6"/>
        <v>0</v>
      </c>
    </row>
    <row r="15" spans="1:43" x14ac:dyDescent="0.15">
      <c r="A15" s="55" t="s">
        <v>41</v>
      </c>
      <c r="B15" s="62" t="s">
        <v>308</v>
      </c>
      <c r="C15" s="57" t="s">
        <v>165</v>
      </c>
      <c r="D15" s="58" t="s">
        <v>4</v>
      </c>
      <c r="E15" s="58" t="s">
        <v>316</v>
      </c>
      <c r="F15" s="11">
        <f t="shared" si="0"/>
        <v>10295</v>
      </c>
      <c r="G15" s="11">
        <v>7427</v>
      </c>
      <c r="H15" s="11">
        <v>1980</v>
      </c>
      <c r="I15" s="11">
        <v>888</v>
      </c>
      <c r="J15" s="67"/>
      <c r="K15" s="11"/>
      <c r="L15" s="11"/>
      <c r="M15" s="11"/>
      <c r="N15" s="45"/>
      <c r="O15" s="68">
        <v>0.03</v>
      </c>
      <c r="P15" s="10">
        <f t="shared" si="1"/>
        <v>211.6695</v>
      </c>
      <c r="Q15" s="10">
        <f t="shared" si="2"/>
        <v>36.679499999999997</v>
      </c>
      <c r="R15" s="45"/>
      <c r="S15" s="10">
        <f t="shared" si="3"/>
        <v>248.34899999999999</v>
      </c>
      <c r="T15" s="9">
        <f>_xlfn.XLOOKUP(E:E,'[1]②7月-汇总'!$D:$D,'[1]②7月-汇总'!$AP:$AP)</f>
        <v>31</v>
      </c>
      <c r="U15" s="45">
        <v>2000</v>
      </c>
      <c r="V15" s="9">
        <f>_xlfn.XLOOKUP(E:E,'[2]手工、项目数、消耗'!$C:$C,'[2]手工、项目数、消耗'!$E:$E)</f>
        <v>3082.38</v>
      </c>
      <c r="W15" s="9">
        <f>_xlfn.XLOOKUP(E:E,'[2]手工、项目数、消耗'!$C:$C,'[2]手工、项目数、消耗'!$D:$D)</f>
        <v>45</v>
      </c>
      <c r="X15" s="9">
        <f>_xlfn.XLOOKUP(E:E,'[2]手工、项目数、消耗'!$C:$C,'[2]手工、项目数、消耗'!$H:$H)</f>
        <v>610</v>
      </c>
      <c r="Y15" s="9">
        <f>_xlfn.XLOOKUP(E:E,'[1]②7月-汇总'!$D:$D,'[1]②7月-汇总'!$W:$W)</f>
        <v>0</v>
      </c>
      <c r="Z15" s="9">
        <f>_xlfn.XLOOKUP(E:E,'[1]②7月-汇总'!$D:$D,'[1]②7月-汇总'!$Z:$Z)</f>
        <v>0</v>
      </c>
      <c r="AA15" s="9">
        <f>_xlfn.XLOOKUP(E:E,'[1]②7月-汇总'!$D:$D,'[1]②7月-汇总'!$AI:$AI,)</f>
        <v>0</v>
      </c>
      <c r="AB15" s="10">
        <f t="shared" si="4"/>
        <v>2858.3490000000002</v>
      </c>
      <c r="AC15" s="50"/>
      <c r="AD15" s="11">
        <v>80</v>
      </c>
      <c r="AE15" s="9">
        <f>_xlfn.XLOOKUP(E:E,'[1]②7月-汇总'!$D:$D,'[1]②7月-汇总'!$AC:$AC)</f>
        <v>0</v>
      </c>
      <c r="AF15" s="9"/>
      <c r="AG15" s="9">
        <f>_xlfn.XLOOKUP(E:E,'[1]②7月-汇总'!$D:$D,'[1]②7月-汇总'!$AD:$AD)</f>
        <v>0</v>
      </c>
      <c r="AH15" s="9">
        <f>_xlfn.XLOOKUP(E:E,'[1]②7月-汇总'!$D:$D,'[1]②7月-汇总'!$Y:$Y)</f>
        <v>0</v>
      </c>
      <c r="AI15" s="9">
        <f>_xlfn.XLOOKUP(E:E,'[1]②7月-汇总'!$D:$D,'[1]②7月-汇总'!$X:$X)</f>
        <v>0</v>
      </c>
      <c r="AJ15" s="9">
        <f>_xlfn.XLOOKUP(E:E,'[1]②7月-汇总'!$D:$D,'[1]②7月-汇总'!$AB:$AB)</f>
        <v>0</v>
      </c>
      <c r="AK15" s="9">
        <f>_xlfn.XLOOKUP(E:E,'[1]②7月-汇总'!$D:$D,'[1]②7月-汇总'!$AE:$AE)</f>
        <v>0</v>
      </c>
      <c r="AL15" s="45">
        <f t="shared" si="7"/>
        <v>1141.6510000000001</v>
      </c>
      <c r="AM15" s="10">
        <f t="shared" si="5"/>
        <v>3920</v>
      </c>
      <c r="AN15" s="9">
        <f>_xlfn.XLOOKUP(E:E,'[1]①7月-花名册'!$E:$E,'[1]①7月-花名册'!$T:$T)</f>
        <v>4000</v>
      </c>
      <c r="AO15" s="50"/>
      <c r="AP15" s="53">
        <f>_xlfn.XLOOKUP(E15,[9]工资核对的全字段!$C:$C,[9]工资核对的全字段!$CW:$CW,0)</f>
        <v>3920</v>
      </c>
      <c r="AQ15" s="36">
        <f t="shared" si="6"/>
        <v>0</v>
      </c>
    </row>
    <row r="16" spans="1:43" x14ac:dyDescent="0.15">
      <c r="A16" s="55" t="s">
        <v>41</v>
      </c>
      <c r="B16" s="62" t="s">
        <v>308</v>
      </c>
      <c r="C16" s="57" t="s">
        <v>165</v>
      </c>
      <c r="D16" s="58" t="s">
        <v>4</v>
      </c>
      <c r="E16" s="58" t="s">
        <v>317</v>
      </c>
      <c r="F16" s="11">
        <f t="shared" si="0"/>
        <v>33613.599999999999</v>
      </c>
      <c r="G16" s="11">
        <v>12793.6</v>
      </c>
      <c r="H16" s="11">
        <v>20820</v>
      </c>
      <c r="I16" s="11">
        <v>0</v>
      </c>
      <c r="J16" s="67"/>
      <c r="K16" s="11"/>
      <c r="L16" s="11"/>
      <c r="M16" s="11"/>
      <c r="N16" s="45"/>
      <c r="O16" s="68">
        <v>0.04</v>
      </c>
      <c r="P16" s="10">
        <f t="shared" si="1"/>
        <v>486.15679999999998</v>
      </c>
      <c r="Q16" s="10">
        <f t="shared" si="2"/>
        <v>514.25400000000002</v>
      </c>
      <c r="R16" s="45"/>
      <c r="S16" s="10">
        <f t="shared" si="3"/>
        <v>1000.4108</v>
      </c>
      <c r="T16" s="9">
        <f>_xlfn.XLOOKUP(E:E,'[1]②7月-汇总'!$D:$D,'[1]②7月-汇总'!$AP:$AP)</f>
        <v>31</v>
      </c>
      <c r="U16" s="45">
        <v>2000</v>
      </c>
      <c r="V16" s="9">
        <f>_xlfn.XLOOKUP(E:E,'[2]手工、项目数、消耗'!$C:$C,'[2]手工、项目数、消耗'!$E:$E)</f>
        <v>2668.06</v>
      </c>
      <c r="W16" s="9">
        <f>_xlfn.XLOOKUP(E:E,'[2]手工、项目数、消耗'!$C:$C,'[2]手工、项目数、消耗'!$D:$D)</f>
        <v>56</v>
      </c>
      <c r="X16" s="9">
        <f>_xlfn.XLOOKUP(E:E,'[2]手工、项目数、消耗'!$C:$C,'[2]手工、项目数、消耗'!$H:$H)</f>
        <v>656</v>
      </c>
      <c r="Y16" s="9">
        <f>_xlfn.XLOOKUP(E:E,'[1]②7月-汇总'!$D:$D,'[1]②7月-汇总'!$W:$W)</f>
        <v>0</v>
      </c>
      <c r="Z16" s="9">
        <f>_xlfn.XLOOKUP(E:E,'[1]②7月-汇总'!$D:$D,'[1]②7月-汇总'!$Z:$Z)</f>
        <v>0</v>
      </c>
      <c r="AA16" s="9">
        <f>_xlfn.XLOOKUP(E:E,'[1]②7月-汇总'!$D:$D,'[1]②7月-汇总'!$AI:$AI,)</f>
        <v>0</v>
      </c>
      <c r="AB16" s="10">
        <f t="shared" si="4"/>
        <v>3656.4108000000001</v>
      </c>
      <c r="AC16" s="50"/>
      <c r="AD16" s="11">
        <v>80</v>
      </c>
      <c r="AE16" s="9">
        <f>_xlfn.XLOOKUP(E:E,'[1]②7月-汇总'!$D:$D,'[1]②7月-汇总'!$AC:$AC)</f>
        <v>0</v>
      </c>
      <c r="AF16" s="9"/>
      <c r="AG16" s="9">
        <f>_xlfn.XLOOKUP(E:E,'[1]②7月-汇总'!$D:$D,'[1]②7月-汇总'!$AD:$AD)</f>
        <v>0</v>
      </c>
      <c r="AH16" s="9">
        <f>_xlfn.XLOOKUP(E:E,'[1]②7月-汇总'!$D:$D,'[1]②7月-汇总'!$Y:$Y)</f>
        <v>0</v>
      </c>
      <c r="AI16" s="9">
        <f>_xlfn.XLOOKUP(E:E,'[1]②7月-汇总'!$D:$D,'[1]②7月-汇总'!$X:$X)</f>
        <v>0</v>
      </c>
      <c r="AJ16" s="9">
        <f>_xlfn.XLOOKUP(E:E,'[1]②7月-汇总'!$D:$D,'[1]②7月-汇总'!$AB:$AB)</f>
        <v>0</v>
      </c>
      <c r="AK16" s="9">
        <f>_xlfn.XLOOKUP(E:E,'[1]②7月-汇总'!$D:$D,'[1]②7月-汇总'!$AE:$AE)</f>
        <v>0</v>
      </c>
      <c r="AL16" s="45">
        <f t="shared" si="7"/>
        <v>1343.5891999999999</v>
      </c>
      <c r="AM16" s="10">
        <f t="shared" si="5"/>
        <v>4920</v>
      </c>
      <c r="AN16" s="9">
        <f>_xlfn.XLOOKUP(E:E,'[1]①7月-花名册'!$E:$E,'[1]①7月-花名册'!$T:$T)</f>
        <v>5000</v>
      </c>
      <c r="AO16" s="50"/>
      <c r="AP16" s="53">
        <f>_xlfn.XLOOKUP(E16,[9]工资核对的全字段!$C:$C,[9]工资核对的全字段!$CW:$CW,0)</f>
        <v>4920</v>
      </c>
      <c r="AQ16" s="36">
        <f t="shared" si="6"/>
        <v>0</v>
      </c>
    </row>
    <row r="17" spans="1:43" x14ac:dyDescent="0.15">
      <c r="A17" s="55" t="s">
        <v>41</v>
      </c>
      <c r="B17" s="62" t="s">
        <v>308</v>
      </c>
      <c r="C17" s="60" t="s">
        <v>9</v>
      </c>
      <c r="D17" s="61" t="s">
        <v>9</v>
      </c>
      <c r="E17" s="61" t="s">
        <v>505</v>
      </c>
      <c r="F17" s="11">
        <f t="shared" si="0"/>
        <v>0</v>
      </c>
      <c r="G17" s="11">
        <v>0</v>
      </c>
      <c r="H17" s="11">
        <v>0</v>
      </c>
      <c r="I17" s="11">
        <v>0</v>
      </c>
      <c r="J17" s="67"/>
      <c r="K17" s="11"/>
      <c r="L17" s="11"/>
      <c r="M17" s="11"/>
      <c r="N17" s="45"/>
      <c r="O17" s="68"/>
      <c r="P17" s="10">
        <f t="shared" si="1"/>
        <v>0</v>
      </c>
      <c r="Q17" s="10">
        <f t="shared" si="2"/>
        <v>0</v>
      </c>
      <c r="R17" s="45">
        <v>433</v>
      </c>
      <c r="S17" s="10">
        <f t="shared" si="3"/>
        <v>433</v>
      </c>
      <c r="T17" s="9"/>
      <c r="U17" s="45"/>
      <c r="V17" s="9">
        <v>0</v>
      </c>
      <c r="W17" s="9">
        <v>0</v>
      </c>
      <c r="X17" s="9">
        <v>0</v>
      </c>
      <c r="Y17" s="9"/>
      <c r="Z17" s="9">
        <v>0</v>
      </c>
      <c r="AA17" s="9"/>
      <c r="AB17" s="10">
        <f t="shared" si="4"/>
        <v>433</v>
      </c>
      <c r="AC17" s="50"/>
      <c r="AD17" s="50"/>
      <c r="AE17" s="9">
        <v>0</v>
      </c>
      <c r="AF17" s="9"/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45"/>
      <c r="AM17" s="10">
        <f t="shared" si="5"/>
        <v>433</v>
      </c>
      <c r="AN17" s="9">
        <v>0</v>
      </c>
      <c r="AO17" s="50"/>
      <c r="AP17" s="53">
        <f>_xlfn.XLOOKUP(E17,[9]工资核对的全字段!$C:$C,[9]工资核对的全字段!$CW:$CW,0)</f>
        <v>433.22650000000004</v>
      </c>
      <c r="AQ17" s="36">
        <f t="shared" si="6"/>
        <v>0.22650000000004411</v>
      </c>
    </row>
    <row r="27" spans="1:43" x14ac:dyDescent="0.15">
      <c r="N27" s="51" t="s">
        <v>318</v>
      </c>
    </row>
  </sheetData>
  <autoFilter ref="A1:AP17" xr:uid="{00000000-0009-0000-0000-000001000000}"/>
  <phoneticPr fontId="20" type="noConversion"/>
  <conditionalFormatting sqref="E1">
    <cfRule type="duplicateValues" dxfId="9" priority="1"/>
  </conditionalFormatting>
  <pageMargins left="0.75" right="0.75" top="1" bottom="1" header="0.5" footer="0.5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9"/>
  <sheetViews>
    <sheetView workbookViewId="0">
      <selection activeCell="R18" sqref="R18"/>
    </sheetView>
  </sheetViews>
  <sheetFormatPr defaultColWidth="9" defaultRowHeight="13.5" x14ac:dyDescent="0.15"/>
  <cols>
    <col min="3" max="3" width="11.625"/>
    <col min="4" max="4" width="9.25" style="6"/>
    <col min="5" max="6" width="9" style="6"/>
    <col min="7" max="7" width="10.375" style="40"/>
    <col min="8" max="10" width="9" style="6"/>
    <col min="11" max="11" width="11.625" style="40"/>
    <col min="12" max="12" width="9.25" style="6"/>
    <col min="13" max="13" width="9" style="6"/>
    <col min="14" max="14" width="9.375" style="36" customWidth="1"/>
    <col min="15" max="16" width="9" style="6"/>
    <col min="18" max="18" width="11.625" style="40"/>
  </cols>
  <sheetData>
    <row r="1" spans="1:22" x14ac:dyDescent="0.15">
      <c r="A1" s="46" t="s">
        <v>1</v>
      </c>
      <c r="B1" s="46" t="s">
        <v>319</v>
      </c>
      <c r="C1" s="47" t="s">
        <v>5</v>
      </c>
      <c r="D1" s="47" t="s">
        <v>19</v>
      </c>
      <c r="E1" s="46" t="s">
        <v>24</v>
      </c>
      <c r="F1" s="46" t="s">
        <v>23</v>
      </c>
      <c r="G1" s="47" t="s">
        <v>320</v>
      </c>
      <c r="H1" s="46" t="s">
        <v>321</v>
      </c>
      <c r="I1" s="46" t="s">
        <v>322</v>
      </c>
      <c r="J1" s="46" t="s">
        <v>323</v>
      </c>
      <c r="K1" s="47" t="s">
        <v>26</v>
      </c>
      <c r="L1" s="49" t="s">
        <v>324</v>
      </c>
      <c r="M1" s="46" t="s">
        <v>325</v>
      </c>
      <c r="N1" s="47" t="s">
        <v>299</v>
      </c>
      <c r="O1" s="46" t="s">
        <v>326</v>
      </c>
      <c r="P1" s="46" t="s">
        <v>34</v>
      </c>
      <c r="Q1" s="46" t="s">
        <v>327</v>
      </c>
      <c r="R1" s="47" t="s">
        <v>38</v>
      </c>
      <c r="S1" s="46" t="s">
        <v>40</v>
      </c>
      <c r="T1" s="6"/>
    </row>
    <row r="2" spans="1:22" ht="16.5" x14ac:dyDescent="0.15">
      <c r="A2" s="48" t="s">
        <v>52</v>
      </c>
      <c r="B2" s="48" t="s">
        <v>328</v>
      </c>
      <c r="C2" s="11">
        <f>_xlfn.XLOOKUP(A:A,[4]门店排名!$C:$C,[4]门店排名!$E:$E)</f>
        <v>201952.3</v>
      </c>
      <c r="D2" s="11">
        <f>_xlfn.XLOOKUP(B:B,[5]店助!$B:$B,[5]店助!$D:$D)</f>
        <v>3000</v>
      </c>
      <c r="E2" s="11">
        <f>_xlfn.XLOOKUP(B:B,'[1]②7月-汇总'!$D:$D,'[1]②7月-汇总'!$Z:$Z,)</f>
        <v>0</v>
      </c>
      <c r="F2" s="11">
        <f>_xlfn.XLOOKUP(B:B,'[1]②7月-汇总'!$D:$D,'[1]②7月-汇总'!$W:$W)</f>
        <v>0</v>
      </c>
      <c r="G2" s="45">
        <f>C2*0.004</f>
        <v>807.80920000000003</v>
      </c>
      <c r="H2" s="11">
        <f>_xlfn.XLOOKUP(A:A,[4]人头人次表!$GB:$GB,[4]人头人次表!$GD:$GD)</f>
        <v>195</v>
      </c>
      <c r="I2" s="11">
        <v>400</v>
      </c>
      <c r="J2" s="11">
        <v>150</v>
      </c>
      <c r="K2" s="45">
        <f>D2+E2+F2+G2+I2+J2</f>
        <v>4357.8091999999997</v>
      </c>
      <c r="L2" s="11">
        <f>_xlfn.XLOOKUP(B:B,[3]Sheet1!$B:$B,[3]Sheet1!$L:$L)</f>
        <v>640.55999999999995</v>
      </c>
      <c r="M2" s="11"/>
      <c r="N2" s="45">
        <f>_xlfn.XLOOKUP(B:B,'[1]②7月-汇总'!$D:$D,'[1]②7月-汇总'!$Y:$Y)</f>
        <v>0</v>
      </c>
      <c r="O2" s="11">
        <f>_xlfn.XLOOKUP(B:B,'[1]②7月-汇总'!$D:$D,'[1]②7月-汇总'!$AD:$AD)</f>
        <v>0</v>
      </c>
      <c r="P2" s="11">
        <f>_xlfn.XLOOKUP(B:B,'[1]②7月-汇总'!$D:$D,'[1]②7月-汇总'!$X:$X)</f>
        <v>10</v>
      </c>
      <c r="Q2" s="50"/>
      <c r="R2" s="45">
        <f>K2-L2+M2-N2-O2-P2</f>
        <v>3707.2492000000002</v>
      </c>
      <c r="S2" s="50"/>
      <c r="T2">
        <f>_xlfn.XLOOKUP(B2,[9]工资核对的全字段!$C:$C,[9]工资核对的全字段!$CW:$CW,0)</f>
        <v>3707.2491999999997</v>
      </c>
      <c r="U2" s="36">
        <f>T2-R2</f>
        <v>0</v>
      </c>
    </row>
    <row r="3" spans="1:22" ht="16.5" x14ac:dyDescent="0.15">
      <c r="A3" s="48" t="s">
        <v>223</v>
      </c>
      <c r="B3" s="48" t="s">
        <v>329</v>
      </c>
      <c r="C3" s="11">
        <f>_xlfn.XLOOKUP(A:A,[4]门店排名!$C:$C,[4]门店排名!$E:$E)</f>
        <v>522756</v>
      </c>
      <c r="D3" s="11">
        <f>_xlfn.XLOOKUP(B:B,[5]店助!$B:$B,[5]店助!$D:$D)</f>
        <v>3000</v>
      </c>
      <c r="E3" s="11">
        <f>_xlfn.XLOOKUP(B:B,'[1]②7月-汇总'!$D:$D,'[1]②7月-汇总'!$Z:$Z,)</f>
        <v>0</v>
      </c>
      <c r="F3" s="11">
        <f>_xlfn.XLOOKUP(B:B,'[1]②7月-汇总'!$D:$D,'[1]②7月-汇总'!$W:$W)</f>
        <v>0</v>
      </c>
      <c r="G3" s="45">
        <f>350000*0.004+(C3-350000)*0.006</f>
        <v>2436.5360000000001</v>
      </c>
      <c r="H3" s="11">
        <f>_xlfn.XLOOKUP(A:A,[4]人头人次表!$GB:$GB,[4]人头人次表!$GD:$GD)</f>
        <v>210</v>
      </c>
      <c r="I3" s="11">
        <v>200</v>
      </c>
      <c r="J3" s="11">
        <v>150</v>
      </c>
      <c r="K3" s="45">
        <f t="shared" ref="K3:K27" si="0">D3+E3+F3+G3+I3+J3</f>
        <v>5786.5360000000001</v>
      </c>
      <c r="L3" s="11"/>
      <c r="M3" s="11"/>
      <c r="N3" s="45">
        <f>_xlfn.XLOOKUP(B:B,'[1]②7月-汇总'!$D:$D,'[1]②7月-汇总'!$Y:$Y)</f>
        <v>0</v>
      </c>
      <c r="O3" s="11">
        <f>_xlfn.XLOOKUP(B:B,'[1]②7月-汇总'!$D:$D,'[1]②7月-汇总'!$AD:$AD)</f>
        <v>0</v>
      </c>
      <c r="P3" s="11">
        <f>_xlfn.XLOOKUP(B:B,'[1]②7月-汇总'!$D:$D,'[1]②7月-汇总'!$X:$X)</f>
        <v>0</v>
      </c>
      <c r="Q3" s="50"/>
      <c r="R3" s="45">
        <f t="shared" ref="R3:R29" si="1">K3-L3+M3-N3-O3-P3</f>
        <v>5786.5360000000001</v>
      </c>
      <c r="S3" s="50"/>
      <c r="T3">
        <f>_xlfn.XLOOKUP(B3,[9]工资核对的全字段!$C:$C,[9]工资核对的全字段!$CW:$CW,0)</f>
        <v>5786.5360000000001</v>
      </c>
      <c r="U3" s="36">
        <f t="shared" ref="U3:U29" si="2">T3-R3</f>
        <v>0</v>
      </c>
    </row>
    <row r="4" spans="1:22" ht="16.5" x14ac:dyDescent="0.15">
      <c r="A4" s="48" t="s">
        <v>186</v>
      </c>
      <c r="B4" s="48" t="s">
        <v>330</v>
      </c>
      <c r="C4" s="11">
        <f>_xlfn.XLOOKUP(A:A,[4]门店排名!$C:$C,[4]门店排名!$E:$E)</f>
        <v>220223</v>
      </c>
      <c r="D4" s="11">
        <f>_xlfn.XLOOKUP(B:B,[5]店助!$B:$B,[5]店助!$D:$D)</f>
        <v>3000</v>
      </c>
      <c r="E4" s="11">
        <f>_xlfn.XLOOKUP(B:B,'[1]②7月-汇总'!$D:$D,'[1]②7月-汇总'!$Z:$Z,)</f>
        <v>0</v>
      </c>
      <c r="F4" s="11">
        <f>_xlfn.XLOOKUP(B:B,'[1]②7月-汇总'!$D:$D,'[1]②7月-汇总'!$W:$W)</f>
        <v>0</v>
      </c>
      <c r="G4" s="45">
        <f>C4*0.004</f>
        <v>880.89200000000005</v>
      </c>
      <c r="H4" s="11">
        <f>_xlfn.XLOOKUP(A:A,[4]人头人次表!$GB:$GB,[4]人头人次表!$GD:$GD)</f>
        <v>205</v>
      </c>
      <c r="I4" s="11">
        <v>400</v>
      </c>
      <c r="J4" s="11">
        <v>150</v>
      </c>
      <c r="K4" s="45">
        <f t="shared" si="0"/>
        <v>4430.8919999999998</v>
      </c>
      <c r="L4" s="11"/>
      <c r="M4" s="11"/>
      <c r="N4" s="45">
        <f>_xlfn.XLOOKUP(B:B,'[1]②7月-汇总'!$D:$D,'[1]②7月-汇总'!$Y:$Y)</f>
        <v>0</v>
      </c>
      <c r="O4" s="11">
        <f>_xlfn.XLOOKUP(B:B,'[1]②7月-汇总'!$D:$D,'[1]②7月-汇总'!$AD:$AD)</f>
        <v>0</v>
      </c>
      <c r="P4" s="11">
        <f>_xlfn.XLOOKUP(B:B,'[1]②7月-汇总'!$D:$D,'[1]②7月-汇总'!$X:$X)</f>
        <v>10</v>
      </c>
      <c r="Q4" s="50"/>
      <c r="R4" s="45">
        <f t="shared" si="1"/>
        <v>4420.8919999999998</v>
      </c>
      <c r="S4" s="50"/>
      <c r="T4">
        <f>_xlfn.XLOOKUP(B4,[9]工资核对的全字段!$C:$C,[9]工资核对的全字段!$CW:$CW,0)</f>
        <v>4420.8919999999998</v>
      </c>
      <c r="U4" s="36">
        <f t="shared" si="2"/>
        <v>0</v>
      </c>
    </row>
    <row r="5" spans="1:22" ht="16.5" x14ac:dyDescent="0.15">
      <c r="A5" s="48" t="s">
        <v>150</v>
      </c>
      <c r="B5" s="48" t="s">
        <v>331</v>
      </c>
      <c r="C5" s="11">
        <f>_xlfn.XLOOKUP(A:A,[4]门店排名!$C:$C,[4]门店排名!$E:$E)</f>
        <v>150694</v>
      </c>
      <c r="D5" s="11">
        <f>_xlfn.XLOOKUP(B:B,[5]店助!$B:$B,[5]店助!$D:$D)</f>
        <v>3100</v>
      </c>
      <c r="E5" s="11">
        <f>_xlfn.XLOOKUP(B:B,'[1]②7月-汇总'!$D:$D,'[1]②7月-汇总'!$Z:$Z,)</f>
        <v>50</v>
      </c>
      <c r="F5" s="11">
        <f>_xlfn.XLOOKUP(B:B,'[1]②7月-汇总'!$D:$D,'[1]②7月-汇总'!$W:$W)</f>
        <v>0</v>
      </c>
      <c r="G5" s="45">
        <f>150000*0.004+694*0.006</f>
        <v>604.16399999999999</v>
      </c>
      <c r="H5" s="11">
        <f>_xlfn.XLOOKUP(A:A,[4]人头人次表!$GB:$GB,[4]人头人次表!$GD:$GD)</f>
        <v>160</v>
      </c>
      <c r="I5" s="11">
        <v>200</v>
      </c>
      <c r="J5" s="11">
        <v>150</v>
      </c>
      <c r="K5" s="45">
        <f t="shared" si="0"/>
        <v>4104.1639999999998</v>
      </c>
      <c r="L5" s="11"/>
      <c r="M5" s="11"/>
      <c r="N5" s="45">
        <f>_xlfn.XLOOKUP(B:B,'[1]②7月-汇总'!$D:$D,'[1]②7月-汇总'!$Y:$Y)</f>
        <v>0</v>
      </c>
      <c r="O5" s="11">
        <f>_xlfn.XLOOKUP(B:B,'[1]②7月-汇总'!$D:$D,'[1]②7月-汇总'!$AD:$AD)</f>
        <v>0</v>
      </c>
      <c r="P5" s="11">
        <f>_xlfn.XLOOKUP(B:B,'[1]②7月-汇总'!$D:$D,'[1]②7月-汇总'!$X:$X)</f>
        <v>0</v>
      </c>
      <c r="Q5" s="50"/>
      <c r="R5" s="45">
        <f t="shared" si="1"/>
        <v>4104.1639999999998</v>
      </c>
      <c r="S5" s="50"/>
      <c r="T5">
        <f>_xlfn.XLOOKUP(B5,[9]工资核对的全字段!$C:$C,[9]工资核对的全字段!$CW:$CW,0)</f>
        <v>4104.1639999999998</v>
      </c>
      <c r="U5" s="36">
        <f t="shared" si="2"/>
        <v>0</v>
      </c>
    </row>
    <row r="6" spans="1:22" ht="16.5" x14ac:dyDescent="0.15">
      <c r="A6" s="48">
        <v>468</v>
      </c>
      <c r="B6" s="48" t="s">
        <v>332</v>
      </c>
      <c r="C6" s="11">
        <f>_xlfn.XLOOKUP(A:A,[4]门店排名!$C:$C,[4]门店排名!$E:$E)</f>
        <v>140295</v>
      </c>
      <c r="D6" s="11">
        <v>3000</v>
      </c>
      <c r="E6" s="11">
        <f>_xlfn.XLOOKUP(B:B,'[1]②7月-汇总'!$D:$D,'[1]②7月-汇总'!$Z:$Z,)</f>
        <v>0</v>
      </c>
      <c r="F6" s="11">
        <f>_xlfn.XLOOKUP(B:B,'[1]②7月-汇总'!$D:$D,'[1]②7月-汇总'!$W:$W)</f>
        <v>0</v>
      </c>
      <c r="G6" s="45">
        <f>C6*0.004</f>
        <v>561.17999999999995</v>
      </c>
      <c r="H6" s="11">
        <f>_xlfn.XLOOKUP(A:A,[4]人头人次表!$GB:$GB,[4]人头人次表!$GD:$GD)</f>
        <v>217</v>
      </c>
      <c r="I6" s="11">
        <v>400</v>
      </c>
      <c r="J6" s="11">
        <v>150</v>
      </c>
      <c r="K6" s="45">
        <f t="shared" si="0"/>
        <v>4111.18</v>
      </c>
      <c r="L6" s="11"/>
      <c r="M6" s="11"/>
      <c r="N6" s="45">
        <f>_xlfn.XLOOKUP(B:B,'[1]②7月-汇总'!$D:$D,'[1]②7月-汇总'!$Y:$Y)</f>
        <v>0</v>
      </c>
      <c r="O6" s="11">
        <f>_xlfn.XLOOKUP(B:B,'[1]②7月-汇总'!$D:$D,'[1]②7月-汇总'!$AD:$AD)</f>
        <v>0</v>
      </c>
      <c r="P6" s="11">
        <f>_xlfn.XLOOKUP(B:B,'[1]②7月-汇总'!$D:$D,'[1]②7月-汇总'!$X:$X)</f>
        <v>0</v>
      </c>
      <c r="Q6" s="50"/>
      <c r="R6" s="45">
        <f t="shared" si="1"/>
        <v>4111.18</v>
      </c>
      <c r="S6" s="50"/>
      <c r="T6">
        <f>_xlfn.XLOOKUP(B6,[9]工资核对的全字段!$C:$C,[9]工资核对的全字段!$CW:$CW,0)</f>
        <v>4111.18</v>
      </c>
      <c r="U6" s="36">
        <f t="shared" si="2"/>
        <v>0</v>
      </c>
    </row>
    <row r="7" spans="1:22" ht="16.5" x14ac:dyDescent="0.15">
      <c r="A7" s="48" t="s">
        <v>177</v>
      </c>
      <c r="B7" s="48" t="s">
        <v>333</v>
      </c>
      <c r="C7" s="11">
        <f>_xlfn.XLOOKUP(A:A,[4]门店排名!$C:$C,[4]门店排名!$E:$E)</f>
        <v>135590</v>
      </c>
      <c r="D7" s="11">
        <f>_xlfn.XLOOKUP(B:B,[5]店助!$B:$B,[5]店助!$D:$D)</f>
        <v>3100</v>
      </c>
      <c r="E7" s="11">
        <f>_xlfn.XLOOKUP(B:B,'[1]②7月-汇总'!$D:$D,'[1]②7月-汇总'!$Z:$Z,)</f>
        <v>0</v>
      </c>
      <c r="F7" s="11">
        <f>_xlfn.XLOOKUP(B:B,'[1]②7月-汇总'!$D:$D,'[1]②7月-汇总'!$W:$W)</f>
        <v>0</v>
      </c>
      <c r="G7" s="45">
        <f>C7*0.004</f>
        <v>542.36</v>
      </c>
      <c r="H7" s="11">
        <f>_xlfn.XLOOKUP(A:A,[4]人头人次表!$GB:$GB,[4]人头人次表!$GD:$GD)</f>
        <v>150</v>
      </c>
      <c r="I7" s="11">
        <v>200</v>
      </c>
      <c r="J7" s="11">
        <v>150</v>
      </c>
      <c r="K7" s="45">
        <f t="shared" si="0"/>
        <v>3992.36</v>
      </c>
      <c r="L7" s="11">
        <f>_xlfn.XLOOKUP(B:B,[3]Sheet1!$B:$B,[3]Sheet1!$L:$L)</f>
        <v>638.75599999999997</v>
      </c>
      <c r="M7" s="11">
        <v>100</v>
      </c>
      <c r="N7" s="45">
        <f>_xlfn.XLOOKUP(B:B,'[1]②7月-汇总'!$D:$D,'[1]②7月-汇总'!$Y:$Y)</f>
        <v>0</v>
      </c>
      <c r="O7" s="11">
        <f>_xlfn.XLOOKUP(B:B,'[1]②7月-汇总'!$D:$D,'[1]②7月-汇总'!$AD:$AD)</f>
        <v>0</v>
      </c>
      <c r="P7" s="11">
        <f>_xlfn.XLOOKUP(B:B,'[1]②7月-汇总'!$D:$D,'[1]②7月-汇总'!$X:$X)</f>
        <v>0</v>
      </c>
      <c r="Q7" s="50"/>
      <c r="R7" s="45">
        <f t="shared" si="1"/>
        <v>3453.6039999999998</v>
      </c>
      <c r="S7" s="50"/>
      <c r="T7">
        <f>_xlfn.XLOOKUP(B7,[9]工资核对的全字段!$C:$C,[9]工资核对的全字段!$CW:$CW,0)</f>
        <v>3453.6040000000003</v>
      </c>
      <c r="U7" s="36">
        <f t="shared" si="2"/>
        <v>0</v>
      </c>
    </row>
    <row r="8" spans="1:22" ht="16.5" x14ac:dyDescent="0.15">
      <c r="A8" s="48" t="s">
        <v>140</v>
      </c>
      <c r="B8" s="48" t="s">
        <v>334</v>
      </c>
      <c r="C8" s="11">
        <f>_xlfn.XLOOKUP(A:A,[4]门店排名!$C:$C,[4]门店排名!$E:$E)</f>
        <v>152421</v>
      </c>
      <c r="D8" s="11">
        <f>_xlfn.XLOOKUP(B:B,[5]店助!$B:$B,[5]店助!$D:$D)</f>
        <v>3100</v>
      </c>
      <c r="E8" s="11">
        <f>_xlfn.XLOOKUP(B:B,'[1]②7月-汇总'!$D:$D,'[1]②7月-汇总'!$Z:$Z,)</f>
        <v>0</v>
      </c>
      <c r="F8" s="11">
        <f>_xlfn.XLOOKUP(B:B,'[1]②7月-汇总'!$D:$D,'[1]②7月-汇总'!$W:$W)</f>
        <v>0</v>
      </c>
      <c r="G8" s="45">
        <f>150000*0.004+2421*0.006</f>
        <v>614.52599999999995</v>
      </c>
      <c r="H8" s="11">
        <f>_xlfn.XLOOKUP(A:A,[4]人头人次表!$GB:$GB,[4]人头人次表!$GD:$GD)</f>
        <v>138</v>
      </c>
      <c r="I8" s="11">
        <v>200</v>
      </c>
      <c r="J8" s="11">
        <v>150</v>
      </c>
      <c r="K8" s="45">
        <f t="shared" si="0"/>
        <v>4064.5259999999998</v>
      </c>
      <c r="L8" s="11">
        <f>_xlfn.XLOOKUP(B:B,[3]Sheet1!$B:$B,[3]Sheet1!$L:$L)</f>
        <v>640.55999999999995</v>
      </c>
      <c r="M8" s="11"/>
      <c r="N8" s="45">
        <f>_xlfn.XLOOKUP(B:B,'[1]②7月-汇总'!$D:$D,'[1]②7月-汇总'!$Y:$Y)</f>
        <v>0</v>
      </c>
      <c r="O8" s="11">
        <f>_xlfn.XLOOKUP(B:B,'[1]②7月-汇总'!$D:$D,'[1]②7月-汇总'!$AD:$AD)</f>
        <v>0</v>
      </c>
      <c r="P8" s="11">
        <f>_xlfn.XLOOKUP(B:B,'[1]②7月-汇总'!$D:$D,'[1]②7月-汇总'!$X:$X)</f>
        <v>0</v>
      </c>
      <c r="Q8" s="50"/>
      <c r="R8" s="45">
        <f t="shared" si="1"/>
        <v>3423.9659999999999</v>
      </c>
      <c r="S8" s="50"/>
      <c r="T8">
        <f>_xlfn.XLOOKUP(B8,[9]工资核对的全字段!$C:$C,[9]工资核对的全字段!$CW:$CW,0)</f>
        <v>3423.9659999999999</v>
      </c>
      <c r="U8" s="36">
        <f t="shared" si="2"/>
        <v>0</v>
      </c>
    </row>
    <row r="9" spans="1:22" ht="16.5" x14ac:dyDescent="0.15">
      <c r="A9" s="48" t="s">
        <v>252</v>
      </c>
      <c r="B9" s="48" t="s">
        <v>335</v>
      </c>
      <c r="C9" s="11">
        <f>_xlfn.XLOOKUP(A:A,[4]门店排名!$C:$C,[4]门店排名!$E:$E)</f>
        <v>205041</v>
      </c>
      <c r="D9" s="11">
        <f>_xlfn.XLOOKUP(B:B,[5]店助!$B:$B,[5]店助!$D:$D)</f>
        <v>3000</v>
      </c>
      <c r="E9" s="11">
        <f>_xlfn.XLOOKUP(B:B,'[1]②7月-汇总'!$D:$D,'[1]②7月-汇总'!$Z:$Z,)</f>
        <v>50</v>
      </c>
      <c r="F9" s="11">
        <f>_xlfn.XLOOKUP(B:B,'[1]②7月-汇总'!$D:$D,'[1]②7月-汇总'!$W:$W)</f>
        <v>0</v>
      </c>
      <c r="G9" s="45">
        <f>200000*0.004+5041*0.006</f>
        <v>830.24599999999998</v>
      </c>
      <c r="H9" s="11">
        <f>_xlfn.XLOOKUP(A:A,[4]人头人次表!$GB:$GB,[4]人头人次表!$GD:$GD)</f>
        <v>157</v>
      </c>
      <c r="I9" s="11">
        <v>400</v>
      </c>
      <c r="J9" s="11">
        <v>150</v>
      </c>
      <c r="K9" s="45">
        <f t="shared" si="0"/>
        <v>4430.2460000000001</v>
      </c>
      <c r="L9" s="11">
        <f>_xlfn.XLOOKUP(B:B,[3]Sheet1!$B:$B,[3]Sheet1!$L:$L)</f>
        <v>640.55999999999995</v>
      </c>
      <c r="M9" s="11"/>
      <c r="N9" s="45">
        <f>_xlfn.XLOOKUP(B:B,'[1]②7月-汇总'!$D:$D,'[1]②7月-汇总'!$Y:$Y)</f>
        <v>0</v>
      </c>
      <c r="O9" s="11">
        <f>_xlfn.XLOOKUP(B:B,'[1]②7月-汇总'!$D:$D,'[1]②7月-汇总'!$AD:$AD)</f>
        <v>0</v>
      </c>
      <c r="P9" s="11">
        <f>_xlfn.XLOOKUP(B:B,'[1]②7月-汇总'!$D:$D,'[1]②7月-汇总'!$X:$X)</f>
        <v>0</v>
      </c>
      <c r="Q9" s="50"/>
      <c r="R9" s="45">
        <f t="shared" si="1"/>
        <v>3789.6860000000001</v>
      </c>
      <c r="S9" s="50"/>
      <c r="T9">
        <f>_xlfn.XLOOKUP(B9,[9]工资核对的全字段!$C:$C,[9]工资核对的全字段!$CW:$CW,0)</f>
        <v>3789.6860000000001</v>
      </c>
      <c r="U9" s="36">
        <f t="shared" si="2"/>
        <v>0</v>
      </c>
    </row>
    <row r="10" spans="1:22" ht="16.5" x14ac:dyDescent="0.15">
      <c r="A10" s="48" t="s">
        <v>196</v>
      </c>
      <c r="B10" s="48" t="s">
        <v>336</v>
      </c>
      <c r="C10" s="11">
        <f>_xlfn.XLOOKUP(A:A,[4]门店排名!$C:$C,[4]门店排名!$E:$E)</f>
        <v>111267</v>
      </c>
      <c r="D10" s="11">
        <f>_xlfn.XLOOKUP(B:B,[5]店助!$B:$B,[5]店助!$D:$D)</f>
        <v>3200</v>
      </c>
      <c r="E10" s="11">
        <f>_xlfn.XLOOKUP(B:B,'[1]②7月-汇总'!$D:$D,'[1]②7月-汇总'!$Z:$Z,)</f>
        <v>0</v>
      </c>
      <c r="F10" s="11">
        <f>_xlfn.XLOOKUP(B:B,'[1]②7月-汇总'!$D:$D,'[1]②7月-汇总'!$W:$W)</f>
        <v>0</v>
      </c>
      <c r="G10" s="45">
        <f>C10*0.004</f>
        <v>445.06799999999998</v>
      </c>
      <c r="H10" s="11">
        <f>_xlfn.XLOOKUP(A:A,[4]人头人次表!$GB:$GB,[4]人头人次表!$GD:$GD)</f>
        <v>142</v>
      </c>
      <c r="I10" s="11">
        <v>200</v>
      </c>
      <c r="J10" s="11">
        <v>150</v>
      </c>
      <c r="K10" s="45">
        <f t="shared" si="0"/>
        <v>3995.0680000000002</v>
      </c>
      <c r="L10" s="11"/>
      <c r="M10" s="11"/>
      <c r="N10" s="45">
        <f>_xlfn.XLOOKUP(B:B,'[1]②7月-汇总'!$D:$D,'[1]②7月-汇总'!$Y:$Y)</f>
        <v>0</v>
      </c>
      <c r="O10" s="11">
        <f>_xlfn.XLOOKUP(B:B,'[1]②7月-汇总'!$D:$D,'[1]②7月-汇总'!$AD:$AD)</f>
        <v>0</v>
      </c>
      <c r="P10" s="11">
        <f>_xlfn.XLOOKUP(B:B,'[1]②7月-汇总'!$D:$D,'[1]②7月-汇总'!$X:$X)</f>
        <v>0</v>
      </c>
      <c r="Q10" s="50"/>
      <c r="R10" s="45">
        <f t="shared" si="1"/>
        <v>3995.0680000000002</v>
      </c>
      <c r="S10" s="50"/>
      <c r="T10">
        <f>_xlfn.XLOOKUP(B10,[9]工资核对的全字段!$C:$C,[9]工资核对的全字段!$CW:$CW,0)</f>
        <v>3995.0680000000002</v>
      </c>
      <c r="U10" s="36">
        <f t="shared" si="2"/>
        <v>0</v>
      </c>
    </row>
    <row r="11" spans="1:22" ht="16.5" x14ac:dyDescent="0.15">
      <c r="A11" s="48" t="s">
        <v>131</v>
      </c>
      <c r="B11" s="48" t="s">
        <v>337</v>
      </c>
      <c r="C11" s="11">
        <f>_xlfn.XLOOKUP(A:A,[4]门店排名!$C:$C,[4]门店排名!$E:$E)</f>
        <v>180024</v>
      </c>
      <c r="D11" s="11">
        <f>_xlfn.XLOOKUP(B:B,[5]店助!$B:$B,[5]店助!$D:$D)</f>
        <v>3100</v>
      </c>
      <c r="E11" s="11">
        <f>_xlfn.XLOOKUP(B:B,'[1]②7月-汇总'!$D:$D,'[1]②7月-汇总'!$Z:$Z,)</f>
        <v>0</v>
      </c>
      <c r="F11" s="11">
        <f>_xlfn.XLOOKUP(B:B,'[1]②7月-汇总'!$D:$D,'[1]②7月-汇总'!$W:$W)</f>
        <v>0</v>
      </c>
      <c r="G11" s="45">
        <f>150000*0.004+30024*0.006</f>
        <v>780.14400000000001</v>
      </c>
      <c r="H11" s="11">
        <f>_xlfn.XLOOKUP(A:A,[4]人头人次表!$GB:$GB,[4]人头人次表!$GD:$GD)</f>
        <v>140</v>
      </c>
      <c r="I11" s="11">
        <v>200</v>
      </c>
      <c r="J11" s="11">
        <v>150</v>
      </c>
      <c r="K11" s="45">
        <f t="shared" si="0"/>
        <v>4230.1440000000002</v>
      </c>
      <c r="L11" s="11">
        <f>_xlfn.XLOOKUP(B:B,[3]Sheet1!$B:$B,[3]Sheet1!$L:$L)</f>
        <v>638.75599999999997</v>
      </c>
      <c r="M11" s="11"/>
      <c r="N11" s="45">
        <f>_xlfn.XLOOKUP(B:B,'[1]②7月-汇总'!$D:$D,'[1]②7月-汇总'!$Y:$Y)</f>
        <v>0</v>
      </c>
      <c r="O11" s="11">
        <f>_xlfn.XLOOKUP(B:B,'[1]②7月-汇总'!$D:$D,'[1]②7月-汇总'!$AD:$AD)</f>
        <v>0</v>
      </c>
      <c r="P11" s="11">
        <f>_xlfn.XLOOKUP(B:B,'[1]②7月-汇总'!$D:$D,'[1]②7月-汇总'!$X:$X)</f>
        <v>0</v>
      </c>
      <c r="Q11" s="50"/>
      <c r="R11" s="45">
        <f t="shared" si="1"/>
        <v>3591.3879999999999</v>
      </c>
      <c r="S11" s="50"/>
      <c r="T11">
        <f>_xlfn.XLOOKUP(B11,[9]工资核对的全字段!$C:$C,[9]工资核对的全字段!$CW:$CW,0)</f>
        <v>3591.3880000000004</v>
      </c>
      <c r="U11" s="36">
        <f t="shared" si="2"/>
        <v>0</v>
      </c>
    </row>
    <row r="12" spans="1:22" ht="16.5" x14ac:dyDescent="0.15">
      <c r="A12" s="48" t="s">
        <v>277</v>
      </c>
      <c r="B12" s="48" t="s">
        <v>338</v>
      </c>
      <c r="C12" s="11">
        <f>_xlfn.XLOOKUP(A:A,[4]门店排名!$C:$C,[4]门店排名!$E:$E)</f>
        <v>200049.7</v>
      </c>
      <c r="D12" s="11">
        <f>_xlfn.XLOOKUP(B:B,[5]店助!$B:$B,[5]店助!$D:$D)</f>
        <v>3000</v>
      </c>
      <c r="E12" s="11">
        <f>_xlfn.XLOOKUP(B:B,'[1]②7月-汇总'!$D:$D,'[1]②7月-汇总'!$Z:$Z,)</f>
        <v>0</v>
      </c>
      <c r="F12" s="11">
        <f>_xlfn.XLOOKUP(B:B,'[1]②7月-汇总'!$D:$D,'[1]②7月-汇总'!$W:$W)</f>
        <v>0</v>
      </c>
      <c r="G12" s="45">
        <f>200000*0.004+49.7*0.006</f>
        <v>800.29819999999995</v>
      </c>
      <c r="H12" s="11">
        <f>_xlfn.XLOOKUP(A:A,[4]人头人次表!$GB:$GB,[4]人头人次表!$GD:$GD)</f>
        <v>172</v>
      </c>
      <c r="I12" s="11">
        <v>200</v>
      </c>
      <c r="J12" s="11">
        <v>150</v>
      </c>
      <c r="K12" s="45">
        <f t="shared" si="0"/>
        <v>4150.2982000000002</v>
      </c>
      <c r="L12" s="11">
        <f>_xlfn.XLOOKUP(B:B,[3]Sheet1!$B:$B,[3]Sheet1!$L:$L)</f>
        <v>638.75599999999997</v>
      </c>
      <c r="M12" s="11"/>
      <c r="N12" s="45">
        <f>_xlfn.XLOOKUP(B:B,'[1]②7月-汇总'!$D:$D,'[1]②7月-汇总'!$Y:$Y)</f>
        <v>0</v>
      </c>
      <c r="O12" s="11">
        <f>_xlfn.XLOOKUP(B:B,'[1]②7月-汇总'!$D:$D,'[1]②7月-汇总'!$AD:$AD)</f>
        <v>0</v>
      </c>
      <c r="P12" s="11">
        <f>_xlfn.XLOOKUP(B:B,'[1]②7月-汇总'!$D:$D,'[1]②7月-汇总'!$X:$X)</f>
        <v>0</v>
      </c>
      <c r="Q12" s="50"/>
      <c r="R12" s="45">
        <f t="shared" si="1"/>
        <v>3511.5421999999999</v>
      </c>
      <c r="S12" s="50"/>
      <c r="T12">
        <f>_xlfn.XLOOKUP(B12,[9]工资核对的全字段!$C:$C,[9]工资核对的全字段!$CW:$CW,0)</f>
        <v>3511.5422000000003</v>
      </c>
      <c r="U12" s="36">
        <f t="shared" si="2"/>
        <v>0</v>
      </c>
    </row>
    <row r="13" spans="1:22" ht="16.5" x14ac:dyDescent="0.15">
      <c r="A13" s="48" t="s">
        <v>235</v>
      </c>
      <c r="B13" s="48" t="s">
        <v>339</v>
      </c>
      <c r="C13" s="11">
        <v>58045</v>
      </c>
      <c r="D13" s="11">
        <f>3100/31*15</f>
        <v>1500</v>
      </c>
      <c r="E13" s="11"/>
      <c r="F13" s="11"/>
      <c r="G13" s="45">
        <f>C13*0.004</f>
        <v>232.18</v>
      </c>
      <c r="H13" s="11">
        <v>102</v>
      </c>
      <c r="I13" s="11">
        <v>70</v>
      </c>
      <c r="J13" s="11">
        <v>75</v>
      </c>
      <c r="K13" s="45">
        <f t="shared" si="0"/>
        <v>1877.18</v>
      </c>
      <c r="L13" s="11"/>
      <c r="M13" s="11"/>
      <c r="N13" s="45">
        <f>_xlfn.XLOOKUP(B:B,'[1]②7月-汇总'!$D:$D,'[1]②7月-汇总'!$Y:$Y)</f>
        <v>0</v>
      </c>
      <c r="O13" s="11">
        <f>_xlfn.XLOOKUP(B:B,'[1]②7月-汇总'!$D:$D,'[1]②7月-汇总'!$AD:$AD)</f>
        <v>0</v>
      </c>
      <c r="P13" s="11">
        <f>_xlfn.XLOOKUP(B:B,'[1]②7月-汇总'!$D:$D,'[1]②7月-汇总'!$X:$X)</f>
        <v>10</v>
      </c>
      <c r="Q13" s="50"/>
      <c r="R13" s="45">
        <f t="shared" si="1"/>
        <v>1867.18</v>
      </c>
      <c r="S13" s="106"/>
      <c r="T13" s="75">
        <f>_xlfn.XLOOKUP(B13,[9]工资核对的全字段!$C:$C,[9]工资核对的全字段!$CW:$CW,0)</f>
        <v>2417.409290322581</v>
      </c>
      <c r="U13" s="111">
        <f t="shared" si="2"/>
        <v>550.22929032258094</v>
      </c>
      <c r="V13" s="143" t="s">
        <v>508</v>
      </c>
    </row>
    <row r="14" spans="1:22" ht="16.5" x14ac:dyDescent="0.15">
      <c r="A14" s="48" t="s">
        <v>121</v>
      </c>
      <c r="B14" s="48" t="s">
        <v>340</v>
      </c>
      <c r="C14" s="11">
        <f>_xlfn.XLOOKUP(A:A,[4]门店排名!$C:$C,[4]门店排名!$E:$E)</f>
        <v>158633</v>
      </c>
      <c r="D14" s="11">
        <f>_xlfn.XLOOKUP(B:B,[5]店助!$B:$B,[5]店助!$D:$D)</f>
        <v>3000</v>
      </c>
      <c r="E14" s="11">
        <f>_xlfn.XLOOKUP(B:B,'[1]②7月-汇总'!$D:$D,'[1]②7月-汇总'!$Z:$Z,)</f>
        <v>0</v>
      </c>
      <c r="F14" s="11">
        <f>_xlfn.XLOOKUP(B:B,'[1]②7月-汇总'!$D:$D,'[1]②7月-汇总'!$W:$W)</f>
        <v>0</v>
      </c>
      <c r="G14" s="45">
        <f>C14*0.004</f>
        <v>634.53200000000004</v>
      </c>
      <c r="H14" s="11">
        <f>_xlfn.XLOOKUP(A:A,[4]人头人次表!$GB:$GB,[4]人头人次表!$GD:$GD)</f>
        <v>177</v>
      </c>
      <c r="I14" s="11">
        <v>200</v>
      </c>
      <c r="J14" s="11">
        <v>150</v>
      </c>
      <c r="K14" s="45">
        <f t="shared" si="0"/>
        <v>3984.5320000000002</v>
      </c>
      <c r="L14" s="11"/>
      <c r="M14" s="11"/>
      <c r="N14" s="45">
        <f>_xlfn.XLOOKUP(B:B,'[1]②7月-汇总'!$D:$D,'[1]②7月-汇总'!$Y:$Y)</f>
        <v>0</v>
      </c>
      <c r="O14" s="11">
        <f>_xlfn.XLOOKUP(B:B,'[1]②7月-汇总'!$D:$D,'[1]②7月-汇总'!$AD:$AD)</f>
        <v>0</v>
      </c>
      <c r="P14" s="11">
        <f>_xlfn.XLOOKUP(B:B,'[1]②7月-汇总'!$D:$D,'[1]②7月-汇总'!$X:$X)</f>
        <v>0</v>
      </c>
      <c r="Q14" s="50"/>
      <c r="R14" s="45">
        <f t="shared" si="1"/>
        <v>3984.5320000000002</v>
      </c>
      <c r="S14" s="50"/>
      <c r="T14">
        <f>_xlfn.XLOOKUP(B14,[9]工资核对的全字段!$C:$C,[9]工资核对的全字段!$CW:$CW,0)</f>
        <v>3984.5320000000002</v>
      </c>
      <c r="U14" s="36">
        <f t="shared" si="2"/>
        <v>0</v>
      </c>
    </row>
    <row r="15" spans="1:22" ht="16.5" x14ac:dyDescent="0.15">
      <c r="A15" s="48" t="s">
        <v>261</v>
      </c>
      <c r="B15" s="48" t="s">
        <v>341</v>
      </c>
      <c r="C15" s="11">
        <f>_xlfn.XLOOKUP(A:A,[4]门店排名!$C:$C,[4]门店排名!$E:$E)</f>
        <v>92371</v>
      </c>
      <c r="D15" s="11">
        <f>_xlfn.XLOOKUP(B:B,[5]店助!$B:$B,[5]店助!$D:$D)</f>
        <v>3200</v>
      </c>
      <c r="E15" s="11">
        <f>_xlfn.XLOOKUP(B:B,'[1]②7月-汇总'!$D:$D,'[1]②7月-汇总'!$Z:$Z,)</f>
        <v>0</v>
      </c>
      <c r="F15" s="11">
        <f>_xlfn.XLOOKUP(B:B,'[1]②7月-汇总'!$D:$D,'[1]②7月-汇总'!$W:$W)</f>
        <v>0</v>
      </c>
      <c r="G15" s="45">
        <f>C15*0.004</f>
        <v>369.48399999999998</v>
      </c>
      <c r="H15" s="11">
        <f>_xlfn.XLOOKUP(A:A,[4]人头人次表!$GB:$GB,[4]人头人次表!$GD:$GD)</f>
        <v>169</v>
      </c>
      <c r="I15" s="11">
        <v>400</v>
      </c>
      <c r="J15" s="11">
        <v>150</v>
      </c>
      <c r="K15" s="45">
        <f t="shared" si="0"/>
        <v>4119.4840000000004</v>
      </c>
      <c r="L15" s="11"/>
      <c r="M15" s="11"/>
      <c r="N15" s="45">
        <f>_xlfn.XLOOKUP(B:B,'[1]②7月-汇总'!$D:$D,'[1]②7月-汇总'!$Y:$Y)</f>
        <v>0</v>
      </c>
      <c r="O15" s="11">
        <f>_xlfn.XLOOKUP(B:B,'[1]②7月-汇总'!$D:$D,'[1]②7月-汇总'!$AD:$AD)</f>
        <v>0</v>
      </c>
      <c r="P15" s="11">
        <f>_xlfn.XLOOKUP(B:B,'[1]②7月-汇总'!$D:$D,'[1]②7月-汇总'!$X:$X)</f>
        <v>20</v>
      </c>
      <c r="Q15" s="50"/>
      <c r="R15" s="45">
        <f t="shared" si="1"/>
        <v>4099.4840000000004</v>
      </c>
      <c r="S15" s="50"/>
      <c r="T15">
        <f>_xlfn.XLOOKUP(B15,[9]工资核对的全字段!$C:$C,[9]工资核对的全字段!$CW:$CW,0)</f>
        <v>4099.4840000000004</v>
      </c>
      <c r="U15" s="36">
        <f t="shared" si="2"/>
        <v>0</v>
      </c>
    </row>
    <row r="16" spans="1:22" ht="16.5" x14ac:dyDescent="0.15">
      <c r="A16" s="48" t="s">
        <v>82</v>
      </c>
      <c r="B16" s="48" t="s">
        <v>342</v>
      </c>
      <c r="C16" s="11">
        <f>_xlfn.XLOOKUP(A:A,[4]门店排名!$C:$C,[4]门店排名!$E:$E)</f>
        <v>100934</v>
      </c>
      <c r="D16" s="11">
        <f>_xlfn.XLOOKUP(B:B,[5]店助!$B:$B,[5]店助!$D:$D)</f>
        <v>3100</v>
      </c>
      <c r="E16" s="11">
        <f>_xlfn.XLOOKUP(B:B,'[1]②7月-汇总'!$D:$D,'[1]②7月-汇总'!$Z:$Z,)</f>
        <v>0</v>
      </c>
      <c r="F16" s="11">
        <f>_xlfn.XLOOKUP(B:B,'[1]②7月-汇总'!$D:$D,'[1]②7月-汇总'!$W:$W)</f>
        <v>0</v>
      </c>
      <c r="G16" s="45">
        <v>0</v>
      </c>
      <c r="H16" s="11">
        <f>_xlfn.XLOOKUP(A:A,[4]人头人次表!$GB:$GB,[4]人头人次表!$GD:$GD)</f>
        <v>183</v>
      </c>
      <c r="I16" s="11">
        <v>200</v>
      </c>
      <c r="J16" s="11">
        <v>150</v>
      </c>
      <c r="K16" s="45">
        <f t="shared" si="0"/>
        <v>3450</v>
      </c>
      <c r="L16" s="11"/>
      <c r="M16" s="11"/>
      <c r="N16" s="45">
        <f>_xlfn.XLOOKUP(B:B,'[1]②7月-汇总'!$D:$D,'[1]②7月-汇总'!$Y:$Y)</f>
        <v>0</v>
      </c>
      <c r="O16" s="11">
        <f>_xlfn.XLOOKUP(B:B,'[1]②7月-汇总'!$D:$D,'[1]②7月-汇总'!$AD:$AD)</f>
        <v>0</v>
      </c>
      <c r="P16" s="11">
        <f>_xlfn.XLOOKUP(B:B,'[1]②7月-汇总'!$D:$D,'[1]②7月-汇总'!$X:$X)</f>
        <v>0</v>
      </c>
      <c r="Q16" s="50"/>
      <c r="R16" s="45">
        <f t="shared" si="1"/>
        <v>3450</v>
      </c>
      <c r="S16" s="50"/>
      <c r="T16">
        <f>_xlfn.XLOOKUP(B16,[9]工资核对的全字段!$C:$C,[9]工资核对的全字段!$CW:$CW,0)</f>
        <v>3450</v>
      </c>
      <c r="U16" s="36">
        <f t="shared" si="2"/>
        <v>0</v>
      </c>
    </row>
    <row r="17" spans="1:22" ht="16.5" x14ac:dyDescent="0.15">
      <c r="A17" s="48" t="s">
        <v>269</v>
      </c>
      <c r="B17" s="48" t="s">
        <v>343</v>
      </c>
      <c r="C17" s="11">
        <f>_xlfn.XLOOKUP(A:A,[4]门店排名!$C:$C,[4]门店排名!$E:$E)</f>
        <v>151129</v>
      </c>
      <c r="D17" s="11">
        <f>_xlfn.XLOOKUP(B:B,[5]店助!$B:$B,[5]店助!$D:$D)</f>
        <v>3100</v>
      </c>
      <c r="E17" s="11">
        <f>_xlfn.XLOOKUP(B:B,'[1]②7月-汇总'!$D:$D,'[1]②7月-汇总'!$Z:$Z,)</f>
        <v>0</v>
      </c>
      <c r="F17" s="11">
        <f>_xlfn.XLOOKUP(B:B,'[1]②7月-汇总'!$D:$D,'[1]②7月-汇总'!$W:$W)</f>
        <v>0</v>
      </c>
      <c r="G17" s="45">
        <f>150000*0.004+1129*0.006</f>
        <v>606.774</v>
      </c>
      <c r="H17" s="11">
        <f>_xlfn.XLOOKUP(A:A,[4]人头人次表!$GB:$GB,[4]人头人次表!$GD:$GD)</f>
        <v>164</v>
      </c>
      <c r="I17" s="11">
        <v>200</v>
      </c>
      <c r="J17" s="11">
        <v>150</v>
      </c>
      <c r="K17" s="45">
        <f t="shared" si="0"/>
        <v>4056.7739999999999</v>
      </c>
      <c r="L17" s="11">
        <f>_xlfn.XLOOKUP(B:B,[3]Sheet1!$B:$B,[3]Sheet1!$L:$L)</f>
        <v>644.16800000000001</v>
      </c>
      <c r="M17" s="11"/>
      <c r="N17" s="45">
        <f>_xlfn.XLOOKUP(B:B,'[1]②7月-汇总'!$D:$D,'[1]②7月-汇总'!$Y:$Y)</f>
        <v>0</v>
      </c>
      <c r="O17" s="11">
        <f>_xlfn.XLOOKUP(B:B,'[1]②7月-汇总'!$D:$D,'[1]②7月-汇总'!$AD:$AD)</f>
        <v>0</v>
      </c>
      <c r="P17" s="11">
        <f>_xlfn.XLOOKUP(B:B,'[1]②7月-汇总'!$D:$D,'[1]②7月-汇总'!$X:$X)</f>
        <v>0</v>
      </c>
      <c r="Q17" s="50"/>
      <c r="R17" s="45">
        <f t="shared" si="1"/>
        <v>3412.6060000000002</v>
      </c>
      <c r="S17" s="50"/>
      <c r="T17">
        <f>_xlfn.XLOOKUP(B17,[9]工资核对的全字段!$C:$C,[9]工资核对的全字段!$CW:$CW,0)</f>
        <v>3412.6059999999998</v>
      </c>
      <c r="U17" s="36">
        <f t="shared" si="2"/>
        <v>0</v>
      </c>
    </row>
    <row r="18" spans="1:22" ht="16.5" x14ac:dyDescent="0.15">
      <c r="A18" s="48" t="s">
        <v>244</v>
      </c>
      <c r="B18" s="48" t="s">
        <v>344</v>
      </c>
      <c r="C18" s="11">
        <f>_xlfn.XLOOKUP(A:A,[4]门店排名!$C:$C,[4]门店排名!$E:$E)</f>
        <v>143757</v>
      </c>
      <c r="D18" s="11">
        <f>_xlfn.XLOOKUP(B:B,[5]店助!$B:$B,[5]店助!$D:$D)</f>
        <v>3200</v>
      </c>
      <c r="E18" s="11">
        <f>_xlfn.XLOOKUP(B:B,'[1]②7月-汇总'!$D:$D,'[1]②7月-汇总'!$Z:$Z,)</f>
        <v>0</v>
      </c>
      <c r="F18" s="11">
        <f>_xlfn.XLOOKUP(B:B,'[1]②7月-汇总'!$D:$D,'[1]②7月-汇总'!$W:$W)</f>
        <v>0</v>
      </c>
      <c r="G18" s="45">
        <f>120000*0.004+23757*0.006</f>
        <v>622.54200000000003</v>
      </c>
      <c r="H18" s="11">
        <f>_xlfn.XLOOKUP(A:A,[4]人头人次表!$GB:$GB,[4]人头人次表!$GD:$GD)</f>
        <v>156</v>
      </c>
      <c r="I18" s="11">
        <v>200</v>
      </c>
      <c r="J18" s="11">
        <v>150</v>
      </c>
      <c r="K18" s="45">
        <f t="shared" si="0"/>
        <v>4172.5420000000004</v>
      </c>
      <c r="L18" s="11">
        <f>_xlfn.XLOOKUP(B:B,[3]Sheet1!$B:$B,[3]Sheet1!$L:$L)</f>
        <v>644.16800000000001</v>
      </c>
      <c r="M18" s="11"/>
      <c r="N18" s="45">
        <f>3200/31*7</f>
        <v>722.58064516129002</v>
      </c>
      <c r="O18" s="11">
        <f>_xlfn.XLOOKUP(B:B,'[1]②7月-汇总'!$D:$D,'[1]②7月-汇总'!$AD:$AD)</f>
        <v>0</v>
      </c>
      <c r="P18" s="11">
        <f>_xlfn.XLOOKUP(B:B,'[1]②7月-汇总'!$D:$D,'[1]②7月-汇总'!$X:$X)</f>
        <v>0</v>
      </c>
      <c r="Q18" s="50"/>
      <c r="R18" s="45">
        <f t="shared" si="1"/>
        <v>2805.79335483871</v>
      </c>
      <c r="S18" s="50" t="s">
        <v>345</v>
      </c>
      <c r="T18">
        <f>_xlfn.XLOOKUP(B18,[9]工资核对的全字段!$C:$C,[9]工资核对的全字段!$CW:$CW,0)</f>
        <v>2805.7933548387091</v>
      </c>
      <c r="U18" s="36">
        <f t="shared" si="2"/>
        <v>0</v>
      </c>
    </row>
    <row r="19" spans="1:22" ht="16.5" x14ac:dyDescent="0.15">
      <c r="A19" s="48" t="s">
        <v>168</v>
      </c>
      <c r="B19" s="48" t="s">
        <v>346</v>
      </c>
      <c r="C19" s="11">
        <f>_xlfn.XLOOKUP(A:A,[4]门店排名!$C:$C,[4]门店排名!$E:$E)</f>
        <v>150422</v>
      </c>
      <c r="D19" s="11">
        <f>_xlfn.XLOOKUP(B:B,[5]店助!$B:$B,[5]店助!$D:$D)</f>
        <v>3100</v>
      </c>
      <c r="E19" s="11">
        <f>_xlfn.XLOOKUP(B:B,'[1]②7月-汇总'!$D:$D,'[1]②7月-汇总'!$Z:$Z,)</f>
        <v>0</v>
      </c>
      <c r="F19" s="11">
        <f>_xlfn.XLOOKUP(B:B,'[1]②7月-汇总'!$D:$D,'[1]②7月-汇总'!$W:$W)</f>
        <v>0</v>
      </c>
      <c r="G19" s="45">
        <f>150000*0.004+422*0.006</f>
        <v>602.53200000000004</v>
      </c>
      <c r="H19" s="11">
        <f>_xlfn.XLOOKUP(A:A,[4]人头人次表!$GB:$GB,[4]人头人次表!$GD:$GD)</f>
        <v>111</v>
      </c>
      <c r="I19" s="11">
        <v>0</v>
      </c>
      <c r="J19" s="11">
        <v>150</v>
      </c>
      <c r="K19" s="45">
        <f t="shared" si="0"/>
        <v>3852.5320000000002</v>
      </c>
      <c r="L19" s="11">
        <f>_xlfn.XLOOKUP(B:B,[3]Sheet1!$B:$B,[3]Sheet1!$L:$L)</f>
        <v>644.16800000000001</v>
      </c>
      <c r="M19" s="11"/>
      <c r="N19" s="45">
        <v>200</v>
      </c>
      <c r="O19" s="11">
        <f>_xlfn.XLOOKUP(B:B,'[1]②7月-汇总'!$D:$D,'[1]②7月-汇总'!$AD:$AD)</f>
        <v>0</v>
      </c>
      <c r="P19" s="11">
        <f>_xlfn.XLOOKUP(B:B,'[1]②7月-汇总'!$D:$D,'[1]②7月-汇总'!$X:$X)</f>
        <v>0</v>
      </c>
      <c r="Q19" s="50"/>
      <c r="R19" s="45">
        <f t="shared" si="1"/>
        <v>3008.364</v>
      </c>
      <c r="S19" s="50" t="s">
        <v>347</v>
      </c>
      <c r="T19">
        <f>_xlfn.XLOOKUP(B19,[9]工资核对的全字段!$C:$C,[9]工资核对的全字段!$CW:$CW,0)</f>
        <v>3008.364</v>
      </c>
      <c r="U19" s="36">
        <f t="shared" si="2"/>
        <v>0</v>
      </c>
    </row>
    <row r="20" spans="1:22" ht="16.5" x14ac:dyDescent="0.15">
      <c r="A20" s="48" t="s">
        <v>285</v>
      </c>
      <c r="B20" s="48" t="s">
        <v>348</v>
      </c>
      <c r="C20" s="11">
        <f>_xlfn.XLOOKUP(A:A,[4]门店排名!$C:$C,[4]门店排名!$E:$E)</f>
        <v>180307.8</v>
      </c>
      <c r="D20" s="11">
        <f>_xlfn.XLOOKUP(B:B,[5]店助!$B:$B,[5]店助!$D:$D)</f>
        <v>3000</v>
      </c>
      <c r="E20" s="11">
        <f>_xlfn.XLOOKUP(B:B,'[1]②7月-汇总'!$D:$D,'[1]②7月-汇总'!$Z:$Z,)</f>
        <v>0</v>
      </c>
      <c r="F20" s="11">
        <f>_xlfn.XLOOKUP(B:B,'[1]②7月-汇总'!$D:$D,'[1]②7月-汇总'!$W:$W)</f>
        <v>0</v>
      </c>
      <c r="G20" s="45">
        <f>180000*0.004+307.8*0.006</f>
        <v>721.84680000000003</v>
      </c>
      <c r="H20" s="11">
        <f>_xlfn.XLOOKUP(A:A,[4]人头人次表!$GB:$GB,[4]人头人次表!$GD:$GD)</f>
        <v>154</v>
      </c>
      <c r="I20" s="11">
        <v>0</v>
      </c>
      <c r="J20" s="11">
        <v>150</v>
      </c>
      <c r="K20" s="45">
        <f t="shared" si="0"/>
        <v>3871.8467999999998</v>
      </c>
      <c r="L20" s="11">
        <f>_xlfn.XLOOKUP(B:B,[3]Sheet1!$B:$B,[3]Sheet1!$L:$L)</f>
        <v>638.75599999999997</v>
      </c>
      <c r="M20" s="11"/>
      <c r="N20" s="45">
        <f>_xlfn.XLOOKUP(B:B,'[1]②7月-汇总'!$D:$D,'[1]②7月-汇总'!$Y:$Y)</f>
        <v>0</v>
      </c>
      <c r="O20" s="11">
        <f>_xlfn.XLOOKUP(B:B,'[1]②7月-汇总'!$D:$D,'[1]②7月-汇总'!$AD:$AD)</f>
        <v>0</v>
      </c>
      <c r="P20" s="11">
        <f>_xlfn.XLOOKUP(B:B,'[1]②7月-汇总'!$D:$D,'[1]②7月-汇总'!$X:$X)</f>
        <v>0</v>
      </c>
      <c r="Q20" s="50"/>
      <c r="R20" s="45">
        <f t="shared" si="1"/>
        <v>3233.0907999999999</v>
      </c>
      <c r="S20" s="50"/>
      <c r="T20">
        <f>_xlfn.XLOOKUP(B20,[9]工资核对的全字段!$C:$C,[9]工资核对的全字段!$CW:$CW,0)</f>
        <v>3233.0907999999999</v>
      </c>
      <c r="U20" s="36">
        <f t="shared" si="2"/>
        <v>0</v>
      </c>
    </row>
    <row r="21" spans="1:22" ht="16.5" x14ac:dyDescent="0.15">
      <c r="A21" s="48" t="s">
        <v>205</v>
      </c>
      <c r="B21" s="48" t="s">
        <v>349</v>
      </c>
      <c r="C21" s="11">
        <f>_xlfn.XLOOKUP(A:A,[4]门店排名!$C:$C,[4]门店排名!$E:$E)</f>
        <v>139022</v>
      </c>
      <c r="D21" s="11">
        <v>3000</v>
      </c>
      <c r="E21" s="11">
        <f>_xlfn.XLOOKUP(B:B,'[1]②7月-汇总'!$D:$D,'[1]②7月-汇总'!$Z:$Z,)</f>
        <v>50</v>
      </c>
      <c r="F21" s="11">
        <f>_xlfn.XLOOKUP(B:B,'[1]②7月-汇总'!$D:$D,'[1]②7月-汇总'!$W:$W)</f>
        <v>0</v>
      </c>
      <c r="G21" s="45">
        <f>C21*0.004</f>
        <v>556.08799999999997</v>
      </c>
      <c r="H21" s="11">
        <f>_xlfn.XLOOKUP(A:A,[4]人头人次表!$GB:$GB,[4]人头人次表!$GD:$GD)</f>
        <v>191</v>
      </c>
      <c r="I21" s="11">
        <v>200</v>
      </c>
      <c r="J21" s="11">
        <v>150</v>
      </c>
      <c r="K21" s="45">
        <f t="shared" si="0"/>
        <v>3956.0880000000002</v>
      </c>
      <c r="L21" s="11"/>
      <c r="M21" s="11"/>
      <c r="N21" s="45">
        <f>_xlfn.XLOOKUP(B:B,'[1]②7月-汇总'!$D:$D,'[1]②7月-汇总'!$Y:$Y)</f>
        <v>0</v>
      </c>
      <c r="O21" s="11">
        <f>_xlfn.XLOOKUP(B:B,'[1]②7月-汇总'!$D:$D,'[1]②7月-汇总'!$AD:$AD)</f>
        <v>0</v>
      </c>
      <c r="P21" s="11">
        <f>_xlfn.XLOOKUP(B:B,'[1]②7月-汇总'!$D:$D,'[1]②7月-汇总'!$X:$X)</f>
        <v>0</v>
      </c>
      <c r="Q21" s="50"/>
      <c r="R21" s="45">
        <f t="shared" si="1"/>
        <v>3956.0880000000002</v>
      </c>
      <c r="S21" s="50"/>
      <c r="T21">
        <f>_xlfn.XLOOKUP(B21,[9]工资核对的全字段!$C:$C,[9]工资核对的全字段!$CW:$CW,0)</f>
        <v>3956.0879999999997</v>
      </c>
      <c r="U21" s="36">
        <f t="shared" si="2"/>
        <v>0</v>
      </c>
    </row>
    <row r="22" spans="1:22" ht="16.5" x14ac:dyDescent="0.15">
      <c r="A22" s="48" t="s">
        <v>158</v>
      </c>
      <c r="B22" s="48" t="s">
        <v>350</v>
      </c>
      <c r="C22" s="11">
        <f>_xlfn.XLOOKUP(A:A,[4]门店排名!$C:$C,[4]门店排名!$E:$E)</f>
        <v>169632</v>
      </c>
      <c r="D22" s="11">
        <f>_xlfn.XLOOKUP(B:B,[5]店助!$B:$B,[5]店助!$D:$D)</f>
        <v>3100</v>
      </c>
      <c r="E22" s="11">
        <f>_xlfn.XLOOKUP(B:B,'[1]②7月-汇总'!$D:$D,'[1]②7月-汇总'!$Z:$Z,)</f>
        <v>0</v>
      </c>
      <c r="F22" s="11">
        <f>_xlfn.XLOOKUP(B:B,'[1]②7月-汇总'!$D:$D,'[1]②7月-汇总'!$W:$W)</f>
        <v>0</v>
      </c>
      <c r="G22" s="45">
        <f>150000*0.004+19632*0.006</f>
        <v>717.79200000000003</v>
      </c>
      <c r="H22" s="11">
        <f>_xlfn.XLOOKUP(A:A,[4]人头人次表!$GB:$GB,[4]人头人次表!$GD:$GD)</f>
        <v>180</v>
      </c>
      <c r="I22" s="11">
        <v>200</v>
      </c>
      <c r="J22" s="11">
        <v>150</v>
      </c>
      <c r="K22" s="45">
        <f t="shared" si="0"/>
        <v>4167.7920000000004</v>
      </c>
      <c r="L22" s="11"/>
      <c r="M22" s="11"/>
      <c r="N22" s="45">
        <f>_xlfn.XLOOKUP(B:B,'[1]②7月-汇总'!$D:$D,'[1]②7月-汇总'!$Y:$Y)</f>
        <v>0</v>
      </c>
      <c r="O22" s="11">
        <f>_xlfn.XLOOKUP(B:B,'[1]②7月-汇总'!$D:$D,'[1]②7月-汇总'!$AD:$AD)</f>
        <v>0</v>
      </c>
      <c r="P22" s="11">
        <f>_xlfn.XLOOKUP(B:B,'[1]②7月-汇总'!$D:$D,'[1]②7月-汇总'!$X:$X)</f>
        <v>0</v>
      </c>
      <c r="Q22" s="50"/>
      <c r="R22" s="45">
        <f t="shared" si="1"/>
        <v>4167.7920000000004</v>
      </c>
      <c r="S22" s="50"/>
      <c r="T22">
        <f>_xlfn.XLOOKUP(B22,[9]工资核对的全字段!$C:$C,[9]工资核对的全字段!$CW:$CW,0)</f>
        <v>4167.7919999999995</v>
      </c>
      <c r="U22" s="36">
        <f t="shared" si="2"/>
        <v>0</v>
      </c>
    </row>
    <row r="23" spans="1:22" ht="16.5" x14ac:dyDescent="0.15">
      <c r="A23" s="48" t="s">
        <v>92</v>
      </c>
      <c r="B23" s="48" t="s">
        <v>351</v>
      </c>
      <c r="C23" s="11">
        <f>_xlfn.XLOOKUP(A:A,[4]门店排名!$C:$C,[4]门店排名!$E:$E)</f>
        <v>160812</v>
      </c>
      <c r="D23" s="11">
        <f>_xlfn.XLOOKUP(B:B,[5]店助!$B:$B,[5]店助!$D:$D)</f>
        <v>3100</v>
      </c>
      <c r="E23" s="11">
        <f>_xlfn.XLOOKUP(B:B,'[1]②7月-汇总'!$D:$D,'[1]②7月-汇总'!$Z:$Z,)</f>
        <v>50</v>
      </c>
      <c r="F23" s="11">
        <f>_xlfn.XLOOKUP(B:B,'[1]②7月-汇总'!$D:$D,'[1]②7月-汇总'!$W:$W)</f>
        <v>0</v>
      </c>
      <c r="G23" s="45">
        <f>150000*0.004+10812*0.006</f>
        <v>664.87199999999996</v>
      </c>
      <c r="H23" s="11">
        <f>_xlfn.XLOOKUP(A:A,[4]人头人次表!$GB:$GB,[4]人头人次表!$GD:$GD)</f>
        <v>192</v>
      </c>
      <c r="I23" s="11">
        <v>400</v>
      </c>
      <c r="J23" s="11">
        <v>150</v>
      </c>
      <c r="K23" s="45">
        <f t="shared" si="0"/>
        <v>4364.8720000000003</v>
      </c>
      <c r="L23" s="11"/>
      <c r="M23" s="11"/>
      <c r="N23" s="45">
        <f>_xlfn.XLOOKUP(B:B,'[1]②7月-汇总'!$D:$D,'[1]②7月-汇总'!$Y:$Y)</f>
        <v>0</v>
      </c>
      <c r="O23" s="11">
        <f>_xlfn.XLOOKUP(B:B,'[1]②7月-汇总'!$D:$D,'[1]②7月-汇总'!$AD:$AD)</f>
        <v>0</v>
      </c>
      <c r="P23" s="11">
        <f>_xlfn.XLOOKUP(B:B,'[1]②7月-汇总'!$D:$D,'[1]②7月-汇总'!$X:$X)</f>
        <v>0</v>
      </c>
      <c r="Q23" s="50"/>
      <c r="R23" s="45">
        <f t="shared" si="1"/>
        <v>4364.8720000000003</v>
      </c>
      <c r="S23" s="50"/>
      <c r="T23">
        <f>_xlfn.XLOOKUP(B23,[9]工资核对的全字段!$C:$C,[9]工资核对的全字段!$CW:$CW,0)</f>
        <v>4364.8719999999994</v>
      </c>
      <c r="U23" s="36">
        <f t="shared" si="2"/>
        <v>0</v>
      </c>
    </row>
    <row r="24" spans="1:22" ht="16.5" x14ac:dyDescent="0.15">
      <c r="A24" s="48" t="s">
        <v>102</v>
      </c>
      <c r="B24" s="48" t="s">
        <v>352</v>
      </c>
      <c r="C24" s="11">
        <f>_xlfn.XLOOKUP(A:A,[4]门店排名!$C:$C,[4]门店排名!$E:$E)</f>
        <v>120949.6</v>
      </c>
      <c r="D24" s="11"/>
      <c r="E24" s="11"/>
      <c r="F24" s="11"/>
      <c r="G24" s="45"/>
      <c r="H24" s="11"/>
      <c r="I24" s="11"/>
      <c r="J24" s="11"/>
      <c r="K24" s="45">
        <v>3500</v>
      </c>
      <c r="L24" s="11"/>
      <c r="M24" s="11">
        <v>540</v>
      </c>
      <c r="N24" s="45">
        <f>_xlfn.XLOOKUP(B:B,'[1]②7月-汇总'!$D:$D,'[1]②7月-汇总'!$Y:$Y)</f>
        <v>0</v>
      </c>
      <c r="O24" s="11">
        <v>130</v>
      </c>
      <c r="P24" s="11">
        <f>_xlfn.XLOOKUP(B:B,'[1]②7月-汇总'!$D:$D,'[1]②7月-汇总'!$X:$X)</f>
        <v>10</v>
      </c>
      <c r="Q24" s="50"/>
      <c r="R24" s="45">
        <f t="shared" si="1"/>
        <v>3900</v>
      </c>
      <c r="S24" s="50"/>
      <c r="T24">
        <f>_xlfn.XLOOKUP(B24,[9]工资核对的全字段!$C:$C,[9]工资核对的全字段!$CW:$CW,0)</f>
        <v>3900</v>
      </c>
      <c r="U24" s="36">
        <f t="shared" si="2"/>
        <v>0</v>
      </c>
    </row>
    <row r="25" spans="1:22" ht="16.5" x14ac:dyDescent="0.15">
      <c r="A25" s="48" t="s">
        <v>73</v>
      </c>
      <c r="B25" s="48" t="s">
        <v>353</v>
      </c>
      <c r="C25" s="11">
        <f>_xlfn.XLOOKUP(A:A,[4]门店排名!$C:$C,[4]门店排名!$E:$E)</f>
        <v>259744.88</v>
      </c>
      <c r="D25" s="11">
        <f>_xlfn.XLOOKUP(B:B,[5]店助!$B:$B,[5]店助!$D:$D)</f>
        <v>3200</v>
      </c>
      <c r="E25" s="11">
        <f>_xlfn.XLOOKUP(B:B,'[1]②7月-汇总'!$D:$D,'[1]②7月-汇总'!$Z:$Z,)</f>
        <v>50</v>
      </c>
      <c r="F25" s="11">
        <f>_xlfn.XLOOKUP(B:B,'[1]②7月-汇总'!$D:$D,'[1]②7月-汇总'!$W:$W)</f>
        <v>0</v>
      </c>
      <c r="G25" s="45">
        <f>120000*0.004+139744.88*0.006</f>
        <v>1318.46928</v>
      </c>
      <c r="H25" s="11">
        <f>_xlfn.XLOOKUP(A:A,[4]人头人次表!$GB:$GB,[4]人头人次表!$GD:$GD)</f>
        <v>155</v>
      </c>
      <c r="I25" s="11">
        <v>200</v>
      </c>
      <c r="J25" s="11">
        <v>150</v>
      </c>
      <c r="K25" s="45">
        <f t="shared" si="0"/>
        <v>4918.4692800000003</v>
      </c>
      <c r="L25" s="11"/>
      <c r="M25" s="11"/>
      <c r="N25" s="45">
        <f>_xlfn.XLOOKUP(B:B,'[1]②7月-汇总'!$D:$D,'[1]②7月-汇总'!$Y:$Y)</f>
        <v>0</v>
      </c>
      <c r="O25" s="11">
        <f>_xlfn.XLOOKUP(B:B,'[1]②7月-汇总'!$D:$D,'[1]②7月-汇总'!$AD:$AD)</f>
        <v>0</v>
      </c>
      <c r="P25" s="11">
        <f>_xlfn.XLOOKUP(B:B,'[1]②7月-汇总'!$D:$D,'[1]②7月-汇总'!$X:$X)</f>
        <v>0</v>
      </c>
      <c r="Q25" s="50"/>
      <c r="R25" s="45">
        <f t="shared" si="1"/>
        <v>4918.4692800000003</v>
      </c>
      <c r="S25" s="50"/>
      <c r="T25">
        <f>_xlfn.XLOOKUP(B25,[9]工资核对的全字段!$C:$C,[9]工资核对的全字段!$CW:$CW,0)</f>
        <v>4918.4692800000003</v>
      </c>
      <c r="U25" s="36">
        <f t="shared" si="2"/>
        <v>0</v>
      </c>
    </row>
    <row r="26" spans="1:22" ht="16.5" x14ac:dyDescent="0.15">
      <c r="A26" s="48" t="s">
        <v>111</v>
      </c>
      <c r="B26" s="48" t="s">
        <v>354</v>
      </c>
      <c r="C26" s="11">
        <f>_xlfn.XLOOKUP(A:A,[4]门店排名!$C:$C,[4]门店排名!$E:$E)</f>
        <v>150031.32999999999</v>
      </c>
      <c r="D26" s="11">
        <f>_xlfn.XLOOKUP(B:B,[5]店助!$B:$B,[5]店助!$D:$D)</f>
        <v>3100</v>
      </c>
      <c r="E26" s="11">
        <f>_xlfn.XLOOKUP(B:B,'[1]②7月-汇总'!$D:$D,'[1]②7月-汇总'!$Z:$Z,)</f>
        <v>0</v>
      </c>
      <c r="F26" s="11">
        <f>_xlfn.XLOOKUP(B:B,'[1]②7月-汇总'!$D:$D,'[1]②7月-汇总'!$W:$W)</f>
        <v>0</v>
      </c>
      <c r="G26" s="45">
        <f>150000*0.004+31.33*0.006</f>
        <v>600.18798000000004</v>
      </c>
      <c r="H26" s="11">
        <f>_xlfn.XLOOKUP(A:A,[4]人头人次表!$GB:$GB,[4]人头人次表!$GD:$GD)</f>
        <v>186</v>
      </c>
      <c r="I26" s="11">
        <v>200</v>
      </c>
      <c r="J26" s="11">
        <v>150</v>
      </c>
      <c r="K26" s="45">
        <f t="shared" si="0"/>
        <v>4050.1879800000002</v>
      </c>
      <c r="L26" s="11"/>
      <c r="M26" s="11"/>
      <c r="N26" s="45">
        <f>_xlfn.XLOOKUP(B:B,'[1]②7月-汇总'!$D:$D,'[1]②7月-汇总'!$Y:$Y)</f>
        <v>0</v>
      </c>
      <c r="O26" s="11">
        <f>_xlfn.XLOOKUP(B:B,'[1]②7月-汇总'!$D:$D,'[1]②7月-汇总'!$AD:$AD)</f>
        <v>0</v>
      </c>
      <c r="P26" s="11">
        <f>_xlfn.XLOOKUP(B:B,'[1]②7月-汇总'!$D:$D,'[1]②7月-汇总'!$X:$X)</f>
        <v>20</v>
      </c>
      <c r="Q26" s="50"/>
      <c r="R26" s="45">
        <f t="shared" si="1"/>
        <v>4030.1879800000002</v>
      </c>
      <c r="S26" s="50"/>
      <c r="T26">
        <f>_xlfn.XLOOKUP(B26,[9]工资核对的全字段!$C:$C,[9]工资核对的全字段!$CW:$CW,0)</f>
        <v>4030.1879799999997</v>
      </c>
      <c r="U26" s="36">
        <f t="shared" si="2"/>
        <v>0</v>
      </c>
    </row>
    <row r="27" spans="1:22" ht="16.5" x14ac:dyDescent="0.15">
      <c r="A27" s="48" t="s">
        <v>301</v>
      </c>
      <c r="B27" s="48" t="s">
        <v>355</v>
      </c>
      <c r="C27" s="11">
        <f>_xlfn.XLOOKUP(A:A,[4]门店排名!$C:$C,[4]门店排名!$E:$E)</f>
        <v>133334.88</v>
      </c>
      <c r="D27" s="11">
        <v>3200</v>
      </c>
      <c r="E27" s="11">
        <f>_xlfn.XLOOKUP(B:B,'[1]②7月-汇总'!$D:$D,'[1]②7月-汇总'!$Z:$Z,)</f>
        <v>0</v>
      </c>
      <c r="F27" s="11">
        <f>_xlfn.XLOOKUP(B:B,'[1]②7月-汇总'!$D:$D,'[1]②7月-汇总'!$W:$W)</f>
        <v>0</v>
      </c>
      <c r="G27" s="45">
        <f>120000*0.004+13334.88*0.006</f>
        <v>560.00927999999999</v>
      </c>
      <c r="H27" s="11">
        <f>_xlfn.XLOOKUP(A:A,[4]人头人次表!$GB:$GB,[4]人头人次表!$GD:$GD)</f>
        <v>117</v>
      </c>
      <c r="I27" s="11">
        <v>0</v>
      </c>
      <c r="J27" s="11">
        <v>150</v>
      </c>
      <c r="K27" s="45">
        <f t="shared" si="0"/>
        <v>3910.0092800000002</v>
      </c>
      <c r="L27" s="11"/>
      <c r="M27" s="11"/>
      <c r="N27" s="45">
        <f>_xlfn.XLOOKUP(B:B,'[1]②7月-汇总'!$D:$D,'[1]②7月-汇总'!$Y:$Y)</f>
        <v>0</v>
      </c>
      <c r="O27" s="11">
        <f>_xlfn.XLOOKUP(B:B,'[1]②7月-汇总'!$D:$D,'[1]②7月-汇总'!$AD:$AD)</f>
        <v>0</v>
      </c>
      <c r="P27" s="11">
        <f>_xlfn.XLOOKUP(B:B,'[1]②7月-汇总'!$D:$D,'[1]②7月-汇总'!$X:$X)</f>
        <v>150</v>
      </c>
      <c r="Q27" s="50"/>
      <c r="R27" s="45">
        <f t="shared" si="1"/>
        <v>3760.0092800000002</v>
      </c>
      <c r="S27" s="50"/>
      <c r="T27">
        <f>_xlfn.XLOOKUP(B27,[9]工资核对的全字段!$C:$C,[9]工资核对的全字段!$CW:$CW,0)</f>
        <v>3660.0092800000002</v>
      </c>
      <c r="U27" s="36">
        <f t="shared" si="2"/>
        <v>-100</v>
      </c>
      <c r="V27" s="143" t="s">
        <v>507</v>
      </c>
    </row>
    <row r="28" spans="1:22" ht="16.5" x14ac:dyDescent="0.15">
      <c r="A28" s="48" t="s">
        <v>308</v>
      </c>
      <c r="B28" s="48" t="s">
        <v>356</v>
      </c>
      <c r="C28" s="11">
        <f>_xlfn.XLOOKUP(A:A,[4]门店排名!$C:$C,[4]门店排名!$E:$E)</f>
        <v>173290.6</v>
      </c>
      <c r="D28" s="11"/>
      <c r="E28" s="11"/>
      <c r="F28" s="11"/>
      <c r="G28" s="45"/>
      <c r="H28" s="11"/>
      <c r="I28" s="11"/>
      <c r="J28" s="11"/>
      <c r="K28" s="45">
        <v>3500</v>
      </c>
      <c r="L28" s="11"/>
      <c r="M28" s="11"/>
      <c r="N28" s="45">
        <f>_xlfn.XLOOKUP(B:B,'[1]②7月-汇总'!$D:$D,'[1]②7月-汇总'!$Y:$Y)</f>
        <v>0</v>
      </c>
      <c r="O28" s="11">
        <f>_xlfn.XLOOKUP(B:B,'[1]②7月-汇总'!$D:$D,'[1]②7月-汇总'!$AD:$AD)</f>
        <v>0</v>
      </c>
      <c r="P28" s="11">
        <f>_xlfn.XLOOKUP(B:B,'[1]②7月-汇总'!$D:$D,'[1]②7月-汇总'!$X:$X)</f>
        <v>0</v>
      </c>
      <c r="Q28" s="50"/>
      <c r="R28" s="45">
        <f t="shared" si="1"/>
        <v>3500</v>
      </c>
      <c r="S28" s="50"/>
      <c r="T28">
        <f>_xlfn.XLOOKUP(B28,[9]工资核对的全字段!$C:$C,[9]工资核对的全字段!$CW:$CW,0)</f>
        <v>3500</v>
      </c>
      <c r="U28" s="36">
        <f t="shared" si="2"/>
        <v>0</v>
      </c>
    </row>
    <row r="29" spans="1:22" ht="16.5" x14ac:dyDescent="0.15">
      <c r="A29" s="48" t="s">
        <v>235</v>
      </c>
      <c r="B29" s="48" t="s">
        <v>357</v>
      </c>
      <c r="C29" s="11">
        <f>_xlfn.XLOOKUP(A:A,[4]门店排名!$C:$C,[4]门店排名!$E:$E)</f>
        <v>311108</v>
      </c>
      <c r="D29" s="11"/>
      <c r="E29" s="11"/>
      <c r="F29" s="11"/>
      <c r="G29" s="45"/>
      <c r="H29" s="11"/>
      <c r="I29" s="11"/>
      <c r="J29" s="11"/>
      <c r="K29" s="45">
        <v>1806</v>
      </c>
      <c r="L29" s="11"/>
      <c r="M29" s="11"/>
      <c r="N29" s="45">
        <f>_xlfn.XLOOKUP(B:B,'[1]②7月-汇总'!$D:$D,'[1]②7月-汇总'!$Y:$Y)</f>
        <v>0</v>
      </c>
      <c r="O29" s="11">
        <f>_xlfn.XLOOKUP(B:B,'[1]②7月-汇总'!$D:$D,'[1]②7月-汇总'!$AD:$AD)</f>
        <v>130</v>
      </c>
      <c r="P29" s="11">
        <f>_xlfn.XLOOKUP(B:B,'[1]②7月-汇总'!$D:$D,'[1]②7月-汇总'!$X:$X)</f>
        <v>0</v>
      </c>
      <c r="Q29" s="50"/>
      <c r="R29" s="45">
        <f t="shared" si="1"/>
        <v>1676</v>
      </c>
      <c r="S29" s="50"/>
      <c r="T29">
        <f>_xlfn.XLOOKUP(B29,[9]工资核对的全字段!$C:$C,[9]工资核对的全字段!$CW:$CW,0)</f>
        <v>2096.4516129032299</v>
      </c>
      <c r="U29" s="36">
        <f t="shared" si="2"/>
        <v>420.45161290322994</v>
      </c>
      <c r="V29" s="143" t="s">
        <v>506</v>
      </c>
    </row>
  </sheetData>
  <phoneticPr fontId="20" type="noConversion"/>
  <conditionalFormatting sqref="A1">
    <cfRule type="duplicateValues" dxfId="8" priority="1"/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1"/>
  <sheetViews>
    <sheetView topLeftCell="E1" workbookViewId="0">
      <selection activeCell="K24" sqref="K24"/>
    </sheetView>
  </sheetViews>
  <sheetFormatPr defaultColWidth="9" defaultRowHeight="13.5" x14ac:dyDescent="0.15"/>
  <cols>
    <col min="1" max="2" width="9" style="6"/>
    <col min="3" max="3" width="9" style="6" customWidth="1"/>
    <col min="4" max="4" width="14.125" style="6" customWidth="1"/>
    <col min="5" max="6" width="9" style="6" customWidth="1"/>
    <col min="7" max="8" width="11.625" style="6" customWidth="1"/>
    <col min="9" max="9" width="14.125" style="39" customWidth="1"/>
    <col min="10" max="10" width="9.25" style="39" customWidth="1"/>
    <col min="11" max="11" width="10.375" style="39" customWidth="1"/>
    <col min="12" max="12" width="10.25" style="39" customWidth="1"/>
    <col min="13" max="13" width="12.875" style="39" customWidth="1"/>
    <col min="14" max="14" width="9.125" style="39" customWidth="1"/>
    <col min="15" max="15" width="11.625" style="6" customWidth="1"/>
    <col min="16" max="17" width="14.125" style="40" customWidth="1"/>
    <col min="18" max="18" width="9" style="6" customWidth="1"/>
    <col min="19" max="19" width="9.25" style="6" customWidth="1"/>
    <col min="20" max="21" width="9" style="6" customWidth="1"/>
    <col min="22" max="22" width="14.125" style="40"/>
    <col min="23" max="24" width="9" style="6"/>
  </cols>
  <sheetData>
    <row r="1" spans="1:25" ht="17.25" x14ac:dyDescent="0.15">
      <c r="A1" s="41" t="s">
        <v>319</v>
      </c>
      <c r="B1" s="41" t="s">
        <v>1</v>
      </c>
      <c r="C1" s="41" t="s">
        <v>358</v>
      </c>
      <c r="D1" s="2" t="s">
        <v>19</v>
      </c>
      <c r="E1" s="1" t="s">
        <v>24</v>
      </c>
      <c r="F1" s="1" t="s">
        <v>23</v>
      </c>
      <c r="G1" s="2" t="s">
        <v>5</v>
      </c>
      <c r="H1" s="2" t="s">
        <v>20</v>
      </c>
      <c r="I1" s="43" t="s">
        <v>359</v>
      </c>
      <c r="J1" s="43" t="s">
        <v>360</v>
      </c>
      <c r="K1" s="43" t="s">
        <v>361</v>
      </c>
      <c r="L1" s="43" t="s">
        <v>362</v>
      </c>
      <c r="M1" s="43" t="s">
        <v>363</v>
      </c>
      <c r="N1" s="43" t="s">
        <v>364</v>
      </c>
      <c r="O1" s="43" t="s">
        <v>365</v>
      </c>
      <c r="P1" s="2" t="s">
        <v>366</v>
      </c>
      <c r="Q1" s="2" t="s">
        <v>26</v>
      </c>
      <c r="R1" s="1" t="s">
        <v>34</v>
      </c>
      <c r="S1" s="43" t="s">
        <v>30</v>
      </c>
      <c r="T1" s="1" t="s">
        <v>367</v>
      </c>
      <c r="U1" s="1" t="s">
        <v>326</v>
      </c>
      <c r="V1" s="2" t="s">
        <v>368</v>
      </c>
      <c r="W1" s="1" t="s">
        <v>40</v>
      </c>
    </row>
    <row r="2" spans="1:25" ht="16.5" x14ac:dyDescent="0.15">
      <c r="A2" s="11" t="s">
        <v>369</v>
      </c>
      <c r="B2" s="11" t="s">
        <v>223</v>
      </c>
      <c r="C2" s="11">
        <v>210</v>
      </c>
      <c r="D2" s="11">
        <v>3000</v>
      </c>
      <c r="E2" s="11">
        <v>50</v>
      </c>
      <c r="F2" s="11"/>
      <c r="G2" s="11">
        <f>_xlfn.XLOOKUP(B:B,[4]门店排名!$C:$C,[4]门店排名!$E:$E)</f>
        <v>522756</v>
      </c>
      <c r="H2" s="11">
        <f>_xlfn.XLOOKUP(B:B,[4]人头人次表!$GB:$GB,[4]人头人次表!$GG:$GG)</f>
        <v>368762.45</v>
      </c>
      <c r="I2" s="44">
        <v>2025</v>
      </c>
      <c r="J2" s="44">
        <v>1715.29</v>
      </c>
      <c r="K2" s="44">
        <v>3589.34</v>
      </c>
      <c r="L2" s="44">
        <v>23805</v>
      </c>
      <c r="M2" s="44">
        <v>0</v>
      </c>
      <c r="N2" s="44">
        <v>961.8</v>
      </c>
      <c r="O2" s="11">
        <f>G2-I2-J2-K2-L2-M2-N2</f>
        <v>490659.57</v>
      </c>
      <c r="P2" s="45">
        <f>350000*0.02+(O2-350000)*0.025</f>
        <v>10516.489250000001</v>
      </c>
      <c r="Q2" s="45">
        <f>D2+E2+F2+P2</f>
        <v>13566.489250000001</v>
      </c>
      <c r="R2" s="11">
        <f>_xlfn.XLOOKUP(A:A,'[6]②7月-汇总'!$D:$D,'[6]②7月-汇总'!$X:$X)</f>
        <v>0</v>
      </c>
      <c r="S2" s="11"/>
      <c r="T2" s="11"/>
      <c r="U2" s="11"/>
      <c r="V2" s="45">
        <f>Q2-R2-S2-T2-U2</f>
        <v>13566.489250000001</v>
      </c>
      <c r="W2" s="11"/>
      <c r="X2" s="6">
        <f>_xlfn.XLOOKUP(A2,[9]工资核对的全字段!$C:$C,[9]工资核对的全字段!$CW:$CW,0)</f>
        <v>13566.489250000001</v>
      </c>
      <c r="Y2" s="36">
        <f>X2-V2</f>
        <v>0</v>
      </c>
    </row>
    <row r="3" spans="1:25" ht="16.5" x14ac:dyDescent="0.15">
      <c r="A3" s="11" t="s">
        <v>370</v>
      </c>
      <c r="B3" s="11">
        <v>468</v>
      </c>
      <c r="C3" s="11">
        <v>217</v>
      </c>
      <c r="D3" s="11"/>
      <c r="E3" s="11"/>
      <c r="F3" s="11"/>
      <c r="G3" s="11"/>
      <c r="H3" s="11"/>
      <c r="I3" s="44"/>
      <c r="J3" s="44"/>
      <c r="K3" s="44"/>
      <c r="L3" s="44"/>
      <c r="M3" s="44"/>
      <c r="N3" s="44"/>
      <c r="O3" s="11"/>
      <c r="P3" s="45"/>
      <c r="Q3" s="45">
        <v>7000</v>
      </c>
      <c r="R3" s="11">
        <f>_xlfn.XLOOKUP(A:A,'[6]②7月-汇总'!$D:$D,'[6]②7月-汇总'!$X:$X)</f>
        <v>0</v>
      </c>
      <c r="S3" s="11"/>
      <c r="T3" s="11"/>
      <c r="U3" s="11">
        <v>1060</v>
      </c>
      <c r="V3" s="45">
        <f t="shared" ref="V3:V11" si="0">Q3-R3-S3-T3-U3</f>
        <v>5940</v>
      </c>
      <c r="W3" s="11" t="s">
        <v>371</v>
      </c>
      <c r="X3" s="6">
        <f>_xlfn.XLOOKUP(A3,[9]工资核对的全字段!$C:$C,[9]工资核对的全字段!$CW:$CW,0)</f>
        <v>5940</v>
      </c>
      <c r="Y3" s="36">
        <f t="shared" ref="Y3:Y11" si="1">X3-V3</f>
        <v>0</v>
      </c>
    </row>
    <row r="4" spans="1:25" ht="16.5" x14ac:dyDescent="0.15">
      <c r="A4" s="11" t="s">
        <v>372</v>
      </c>
      <c r="B4" s="11" t="s">
        <v>140</v>
      </c>
      <c r="C4" s="11">
        <v>138</v>
      </c>
      <c r="D4" s="42">
        <v>2500</v>
      </c>
      <c r="E4" s="11"/>
      <c r="F4" s="11"/>
      <c r="G4" s="11">
        <f>_xlfn.XLOOKUP(B:B,[4]门店排名!$C:$C,[4]门店排名!$E:$E)</f>
        <v>152421</v>
      </c>
      <c r="H4" s="11">
        <f>_xlfn.XLOOKUP(B:B,[4]人头人次表!$GB:$GB,[4]人头人次表!$GG:$GG)</f>
        <v>117167.22</v>
      </c>
      <c r="I4" s="44">
        <v>2889.06</v>
      </c>
      <c r="J4" s="44">
        <v>981.27</v>
      </c>
      <c r="K4" s="44">
        <v>2847.42</v>
      </c>
      <c r="L4" s="44">
        <v>-800</v>
      </c>
      <c r="M4" s="44">
        <v>0</v>
      </c>
      <c r="N4" s="44">
        <v>589.20000000000005</v>
      </c>
      <c r="O4" s="11">
        <f t="shared" ref="O4:O11" si="2">G4-I4-J4-K4-L4-M4-N4</f>
        <v>145914.04999999999</v>
      </c>
      <c r="P4" s="45">
        <f>O4*0.025</f>
        <v>3647.8512500000002</v>
      </c>
      <c r="Q4" s="45">
        <f t="shared" ref="Q4:Q11" si="3">D4+E4+F4+P4</f>
        <v>6147.8512499999997</v>
      </c>
      <c r="R4" s="11">
        <f>_xlfn.XLOOKUP(A:A,'[6]②7月-汇总'!$D:$D,'[6]②7月-汇总'!$X:$X)</f>
        <v>0</v>
      </c>
      <c r="S4" s="11">
        <v>640.55999999999995</v>
      </c>
      <c r="T4" s="11"/>
      <c r="U4" s="11"/>
      <c r="V4" s="45">
        <f t="shared" si="0"/>
        <v>5507.2912500000002</v>
      </c>
      <c r="W4" s="37"/>
      <c r="X4" s="6">
        <f>_xlfn.XLOOKUP(A4,[9]工资核对的全字段!$C:$C,[9]工资核对的全字段!$CW:$CW,0)</f>
        <v>5507.2912500000002</v>
      </c>
      <c r="Y4" s="36">
        <f t="shared" si="1"/>
        <v>0</v>
      </c>
    </row>
    <row r="5" spans="1:25" ht="16.5" x14ac:dyDescent="0.15">
      <c r="A5" s="11" t="s">
        <v>373</v>
      </c>
      <c r="B5" s="11" t="s">
        <v>252</v>
      </c>
      <c r="C5" s="11"/>
      <c r="D5" s="11"/>
      <c r="E5" s="11"/>
      <c r="F5" s="11"/>
      <c r="G5" s="11"/>
      <c r="H5" s="11"/>
      <c r="I5" s="44"/>
      <c r="J5" s="44"/>
      <c r="K5" s="44"/>
      <c r="L5" s="44"/>
      <c r="M5" s="44"/>
      <c r="N5" s="44"/>
      <c r="O5" s="11"/>
      <c r="P5" s="45"/>
      <c r="Q5" s="45">
        <v>5000</v>
      </c>
      <c r="R5" s="11">
        <f>_xlfn.XLOOKUP(A:A,'[6]②7月-汇总'!$D:$D,'[6]②7月-汇总'!$X:$X)</f>
        <v>0</v>
      </c>
      <c r="S5" s="11"/>
      <c r="T5" s="11">
        <v>30</v>
      </c>
      <c r="U5" s="11">
        <v>530</v>
      </c>
      <c r="V5" s="45">
        <f t="shared" si="0"/>
        <v>4440</v>
      </c>
      <c r="W5" s="11" t="s">
        <v>374</v>
      </c>
      <c r="X5" s="6">
        <f>_xlfn.XLOOKUP(A5,[9]工资核对的全字段!$C:$C,[9]工资核对的全字段!$CW:$CW,0)</f>
        <v>4440</v>
      </c>
      <c r="Y5" s="36">
        <f t="shared" si="1"/>
        <v>0</v>
      </c>
    </row>
    <row r="6" spans="1:25" ht="16.5" x14ac:dyDescent="0.15">
      <c r="A6" s="11" t="s">
        <v>375</v>
      </c>
      <c r="B6" s="11" t="s">
        <v>177</v>
      </c>
      <c r="C6" s="11">
        <v>150</v>
      </c>
      <c r="D6" s="11">
        <v>2500</v>
      </c>
      <c r="E6" s="11"/>
      <c r="F6" s="11"/>
      <c r="G6" s="11">
        <f>_xlfn.XLOOKUP(B:B,[4]门店排名!$C:$C,[4]门店排名!$E:$E)</f>
        <v>135590</v>
      </c>
      <c r="H6" s="11">
        <f>_xlfn.XLOOKUP(B:B,[4]人头人次表!$GB:$GB,[4]人头人次表!$GG:$GG)</f>
        <v>120657.22</v>
      </c>
      <c r="I6" s="44">
        <v>1259.28</v>
      </c>
      <c r="J6" s="44">
        <v>1380.21</v>
      </c>
      <c r="K6" s="44">
        <v>3929.7</v>
      </c>
      <c r="L6" s="44">
        <v>3240</v>
      </c>
      <c r="M6" s="44">
        <v>0</v>
      </c>
      <c r="N6" s="44">
        <v>428.8</v>
      </c>
      <c r="O6" s="11">
        <f t="shared" si="2"/>
        <v>125352.01</v>
      </c>
      <c r="P6" s="45">
        <f>O6*0.025</f>
        <v>3133.8002499999998</v>
      </c>
      <c r="Q6" s="45">
        <f t="shared" si="3"/>
        <v>5633.8002500000002</v>
      </c>
      <c r="R6" s="11">
        <f>_xlfn.XLOOKUP(A:A,'[6]②7月-汇总'!$D:$D,'[6]②7月-汇总'!$X:$X)</f>
        <v>10</v>
      </c>
      <c r="S6" s="11">
        <v>644.16800000000001</v>
      </c>
      <c r="T6" s="11"/>
      <c r="U6" s="11"/>
      <c r="V6" s="45">
        <f t="shared" si="0"/>
        <v>4979.6322499999997</v>
      </c>
      <c r="W6" s="11"/>
      <c r="X6" s="6">
        <f>_xlfn.XLOOKUP(A6,[9]工资核对的全字段!$C:$C,[9]工资核对的全字段!$CW:$CW,0)</f>
        <v>4979.6322500000006</v>
      </c>
      <c r="Y6" s="36">
        <f t="shared" si="1"/>
        <v>0</v>
      </c>
    </row>
    <row r="7" spans="1:25" ht="16.5" x14ac:dyDescent="0.15">
      <c r="A7" s="11" t="s">
        <v>376</v>
      </c>
      <c r="B7" s="11" t="s">
        <v>301</v>
      </c>
      <c r="C7" s="11">
        <v>117</v>
      </c>
      <c r="D7" s="11">
        <v>3000</v>
      </c>
      <c r="E7" s="11"/>
      <c r="F7" s="11"/>
      <c r="G7" s="11">
        <f>_xlfn.XLOOKUP(B:B,[4]门店排名!$C:$C,[4]门店排名!$E:$E)</f>
        <v>133334.88</v>
      </c>
      <c r="H7" s="11">
        <f>_xlfn.XLOOKUP(B:B,[4]人头人次表!$GB:$GB,[4]人头人次表!$GG:$GG)</f>
        <v>117423.44</v>
      </c>
      <c r="I7" s="44">
        <v>1000</v>
      </c>
      <c r="J7" s="44">
        <v>1563.73</v>
      </c>
      <c r="K7" s="44">
        <v>7388.46</v>
      </c>
      <c r="L7" s="44">
        <v>8495</v>
      </c>
      <c r="M7" s="44">
        <v>0</v>
      </c>
      <c r="N7" s="44">
        <v>482.4</v>
      </c>
      <c r="O7" s="11">
        <f t="shared" si="2"/>
        <v>114405.29</v>
      </c>
      <c r="P7" s="45">
        <f>O7*0.02</f>
        <v>2288.1057999999998</v>
      </c>
      <c r="Q7" s="45">
        <f t="shared" si="3"/>
        <v>5288.1058000000003</v>
      </c>
      <c r="R7" s="11">
        <v>90</v>
      </c>
      <c r="S7" s="11">
        <v>644.16800000000001</v>
      </c>
      <c r="T7" s="11">
        <v>20</v>
      </c>
      <c r="U7" s="11"/>
      <c r="V7" s="45">
        <f t="shared" si="0"/>
        <v>4533.9377999999997</v>
      </c>
      <c r="W7" s="11"/>
      <c r="X7" s="6">
        <f>_xlfn.XLOOKUP(A7,[9]工资核对的全字段!$C:$C,[9]工资核对的全字段!$CW:$CW,0)</f>
        <v>4533.9378000000006</v>
      </c>
      <c r="Y7" s="36">
        <f t="shared" si="1"/>
        <v>0</v>
      </c>
    </row>
    <row r="8" spans="1:25" ht="16.5" x14ac:dyDescent="0.15">
      <c r="A8" s="11" t="s">
        <v>377</v>
      </c>
      <c r="B8" s="11" t="s">
        <v>158</v>
      </c>
      <c r="C8" s="11">
        <v>180</v>
      </c>
      <c r="D8" s="11">
        <v>3000</v>
      </c>
      <c r="E8" s="11"/>
      <c r="F8" s="11"/>
      <c r="G8" s="11">
        <f>_xlfn.XLOOKUP(B:B,[4]门店排名!$C:$C,[4]门店排名!$E:$E)</f>
        <v>169632</v>
      </c>
      <c r="H8" s="11">
        <f>_xlfn.XLOOKUP(B:B,[4]人头人次表!$GB:$GB,[4]人头人次表!$GG:$GG)</f>
        <v>139162.62</v>
      </c>
      <c r="I8" s="44">
        <v>4000</v>
      </c>
      <c r="J8" s="44">
        <v>869.26</v>
      </c>
      <c r="K8" s="44">
        <v>4870.34</v>
      </c>
      <c r="L8" s="44">
        <v>17777.5</v>
      </c>
      <c r="M8" s="44">
        <v>0</v>
      </c>
      <c r="N8" s="44">
        <v>817.1</v>
      </c>
      <c r="O8" s="11">
        <f t="shared" si="2"/>
        <v>141297.79999999999</v>
      </c>
      <c r="P8" s="45">
        <f>O8*0.025</f>
        <v>3532.4450000000002</v>
      </c>
      <c r="Q8" s="45">
        <f t="shared" si="3"/>
        <v>6532.4449999999997</v>
      </c>
      <c r="R8" s="11">
        <f>_xlfn.XLOOKUP(A:A,'[6]②7月-汇总'!$D:$D,'[6]②7月-汇总'!$X:$X)</f>
        <v>0</v>
      </c>
      <c r="S8" s="11"/>
      <c r="T8" s="11"/>
      <c r="U8" s="11"/>
      <c r="V8" s="45">
        <f t="shared" si="0"/>
        <v>6532.4449999999997</v>
      </c>
      <c r="W8" s="11"/>
      <c r="X8" s="6">
        <f>_xlfn.XLOOKUP(A8,[9]工资核对的全字段!$C:$C,[9]工资核对的全字段!$CW:$CW,0)</f>
        <v>6532.4449999999997</v>
      </c>
      <c r="Y8" s="36">
        <f t="shared" si="1"/>
        <v>0</v>
      </c>
    </row>
    <row r="9" spans="1:25" ht="16.5" x14ac:dyDescent="0.15">
      <c r="A9" s="11" t="s">
        <v>378</v>
      </c>
      <c r="B9" s="11" t="s">
        <v>111</v>
      </c>
      <c r="C9" s="11">
        <v>186</v>
      </c>
      <c r="D9" s="11">
        <v>3500</v>
      </c>
      <c r="E9" s="11"/>
      <c r="F9" s="11"/>
      <c r="G9" s="11">
        <f>_xlfn.XLOOKUP(B:B,[4]门店排名!$C:$C,[4]门店排名!$E:$E)</f>
        <v>150031.32999999999</v>
      </c>
      <c r="H9" s="11">
        <f>_xlfn.XLOOKUP(B:B,[4]人头人次表!$GB:$GB,[4]人头人次表!$GG:$GG)</f>
        <v>65878.570000000007</v>
      </c>
      <c r="I9" s="44">
        <v>4509.84</v>
      </c>
      <c r="J9" s="44">
        <v>1001.07</v>
      </c>
      <c r="K9" s="44">
        <v>4515.3</v>
      </c>
      <c r="L9" s="44">
        <v>5940</v>
      </c>
      <c r="M9" s="44">
        <v>0</v>
      </c>
      <c r="N9" s="44">
        <v>537.20000000000005</v>
      </c>
      <c r="O9" s="11">
        <f t="shared" si="2"/>
        <v>133527.92000000001</v>
      </c>
      <c r="P9" s="45">
        <f>O9*0.02</f>
        <v>2670.5583999999999</v>
      </c>
      <c r="Q9" s="45">
        <f t="shared" si="3"/>
        <v>6170.5583999999999</v>
      </c>
      <c r="R9" s="11">
        <f>_xlfn.XLOOKUP(A:A,'[6]②7月-汇总'!$D:$D,'[6]②7月-汇总'!$X:$X)</f>
        <v>10</v>
      </c>
      <c r="S9" s="11">
        <v>644.16800000000001</v>
      </c>
      <c r="T9" s="11"/>
      <c r="U9" s="11"/>
      <c r="V9" s="45">
        <f t="shared" si="0"/>
        <v>5516.3904000000002</v>
      </c>
      <c r="W9" s="11"/>
      <c r="X9" s="6">
        <f>_xlfn.XLOOKUP(A9,[9]工资核对的全字段!$C:$C,[9]工资核对的全字段!$CW:$CW,0)</f>
        <v>5516.3904000000002</v>
      </c>
      <c r="Y9" s="36">
        <f t="shared" si="1"/>
        <v>0</v>
      </c>
    </row>
    <row r="10" spans="1:25" ht="16.5" x14ac:dyDescent="0.15">
      <c r="A10" s="11" t="s">
        <v>379</v>
      </c>
      <c r="B10" s="11" t="s">
        <v>308</v>
      </c>
      <c r="C10" s="11">
        <v>169</v>
      </c>
      <c r="D10" s="11">
        <v>3000</v>
      </c>
      <c r="E10" s="11"/>
      <c r="F10" s="11"/>
      <c r="G10" s="11">
        <f>_xlfn.XLOOKUP(B:B,[4]门店排名!$C:$C,[4]门店排名!$E:$E)</f>
        <v>173290.6</v>
      </c>
      <c r="H10" s="11">
        <f>_xlfn.XLOOKUP(B:B,[4]人头人次表!$GB:$GB,[4]人头人次表!$GG:$GG)</f>
        <v>115560.6</v>
      </c>
      <c r="I10" s="44">
        <v>4000</v>
      </c>
      <c r="J10" s="44">
        <v>2060.02</v>
      </c>
      <c r="K10" s="44">
        <v>10183.44</v>
      </c>
      <c r="L10" s="44">
        <v>23992.5</v>
      </c>
      <c r="M10" s="44">
        <v>0</v>
      </c>
      <c r="N10" s="44">
        <v>863.9</v>
      </c>
      <c r="O10" s="11">
        <f t="shared" si="2"/>
        <v>132190.74</v>
      </c>
      <c r="P10" s="45">
        <f>O10*0.02</f>
        <v>2643.8148000000001</v>
      </c>
      <c r="Q10" s="45">
        <f t="shared" si="3"/>
        <v>5643.8148000000001</v>
      </c>
      <c r="R10" s="11">
        <f>_xlfn.XLOOKUP(A:A,'[6]②7月-汇总'!$D:$D,'[6]②7月-汇总'!$X:$X)</f>
        <v>90</v>
      </c>
      <c r="S10" s="11">
        <v>644.16800000000001</v>
      </c>
      <c r="T10" s="11"/>
      <c r="U10" s="11"/>
      <c r="V10" s="45">
        <f t="shared" si="0"/>
        <v>4909.6468000000004</v>
      </c>
      <c r="W10" s="11"/>
      <c r="X10" s="6">
        <f>_xlfn.XLOOKUP(A10,[9]工资核对的全字段!$C:$C,[9]工资核对的全字段!$CW:$CW,0)</f>
        <v>4909.6468000000004</v>
      </c>
      <c r="Y10" s="36">
        <f t="shared" si="1"/>
        <v>0</v>
      </c>
    </row>
    <row r="11" spans="1:25" ht="16.5" x14ac:dyDescent="0.15">
      <c r="A11" s="11" t="s">
        <v>380</v>
      </c>
      <c r="B11" s="11" t="s">
        <v>121</v>
      </c>
      <c r="C11" s="11">
        <v>177</v>
      </c>
      <c r="D11" s="11">
        <v>1290</v>
      </c>
      <c r="E11" s="11"/>
      <c r="F11" s="11">
        <v>20</v>
      </c>
      <c r="G11" s="11">
        <v>75697</v>
      </c>
      <c r="H11" s="11">
        <f>_xlfn.XLOOKUP(B:B,[4]人头人次表!$GB:$GB,[4]人头人次表!$GG:$GG)</f>
        <v>123760.98</v>
      </c>
      <c r="I11" s="44">
        <v>2177.8322580645199</v>
      </c>
      <c r="J11" s="44">
        <f>955.53/31*16</f>
        <v>493.176774193548</v>
      </c>
      <c r="K11" s="44">
        <f>3464.34/31*16</f>
        <v>1788.0464516129</v>
      </c>
      <c r="L11" s="44">
        <f>-3750/31*16</f>
        <v>-1935.4838709677399</v>
      </c>
      <c r="M11" s="44">
        <f>300/31*16</f>
        <v>154.83870967741899</v>
      </c>
      <c r="N11" s="44">
        <f>1373.4/31*16</f>
        <v>708.85161290322606</v>
      </c>
      <c r="O11" s="11">
        <f t="shared" si="2"/>
        <v>72309.738064516103</v>
      </c>
      <c r="P11" s="45">
        <f>O11*0.025</f>
        <v>1807.7434516128999</v>
      </c>
      <c r="Q11" s="45">
        <f t="shared" si="3"/>
        <v>3117.7434516129001</v>
      </c>
      <c r="R11" s="11">
        <f>_xlfn.XLOOKUP(A:A,'[6]②7月-汇总'!$D:$D,'[6]②7月-汇总'!$X:$X)</f>
        <v>0</v>
      </c>
      <c r="S11" s="11">
        <v>0</v>
      </c>
      <c r="T11" s="11"/>
      <c r="U11" s="11"/>
      <c r="V11" s="45">
        <f t="shared" si="0"/>
        <v>3117.7434516129001</v>
      </c>
      <c r="W11" s="11"/>
      <c r="X11" s="6">
        <f>_xlfn.XLOOKUP(A11,[9]工资核对的全字段!$C:$C,[9]工资核对的全字段!$CW:$CW,0)</f>
        <v>3118.2356</v>
      </c>
      <c r="Y11" s="36">
        <f t="shared" si="1"/>
        <v>0.49214838709985997</v>
      </c>
    </row>
  </sheetData>
  <phoneticPr fontId="20" type="noConversion"/>
  <conditionalFormatting sqref="B1:C1">
    <cfRule type="duplicateValues" dxfId="7" priority="1"/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26"/>
  <sheetViews>
    <sheetView topLeftCell="D1" workbookViewId="0">
      <selection activeCell="J32" sqref="J32"/>
    </sheetView>
  </sheetViews>
  <sheetFormatPr defaultColWidth="9" defaultRowHeight="14.25" x14ac:dyDescent="0.15"/>
  <cols>
    <col min="1" max="3" width="9" style="152"/>
    <col min="4" max="4" width="11.625" style="152"/>
    <col min="5" max="5" width="9" style="152"/>
    <col min="6" max="7" width="5.75" style="152" bestFit="1" customWidth="1"/>
    <col min="8" max="8" width="11.625" style="152"/>
    <col min="9" max="10" width="9.25" style="152" customWidth="1"/>
    <col min="11" max="11" width="10.375" style="152" customWidth="1"/>
    <col min="12" max="12" width="9.25" style="152" customWidth="1"/>
    <col min="13" max="13" width="14.125" style="152" bestFit="1" customWidth="1"/>
    <col min="14" max="14" width="9" style="152" customWidth="1"/>
    <col min="15" max="15" width="11.625" style="152" customWidth="1"/>
    <col min="16" max="16" width="9" style="153"/>
    <col min="17" max="17" width="9" style="152"/>
    <col min="18" max="18" width="9" style="154"/>
    <col min="19" max="19" width="9.25" style="152"/>
    <col min="20" max="20" width="9" style="152"/>
    <col min="21" max="21" width="9.75" style="152" bestFit="1" customWidth="1"/>
    <col min="22" max="22" width="9" style="152"/>
    <col min="23" max="23" width="11.625" style="154"/>
    <col min="24" max="24" width="13.375" style="152" customWidth="1"/>
    <col min="25" max="16384" width="9" style="155"/>
  </cols>
  <sheetData>
    <row r="1" spans="1:26" s="152" customFormat="1" x14ac:dyDescent="0.15">
      <c r="A1" s="144" t="s">
        <v>381</v>
      </c>
      <c r="B1" s="144" t="s">
        <v>1</v>
      </c>
      <c r="C1" s="144" t="s">
        <v>382</v>
      </c>
      <c r="D1" s="145" t="s">
        <v>20</v>
      </c>
      <c r="E1" s="145" t="s">
        <v>19</v>
      </c>
      <c r="F1" s="144" t="s">
        <v>24</v>
      </c>
      <c r="G1" s="144" t="s">
        <v>23</v>
      </c>
      <c r="H1" s="145" t="s">
        <v>383</v>
      </c>
      <c r="I1" s="145" t="s">
        <v>359</v>
      </c>
      <c r="J1" s="145" t="s">
        <v>360</v>
      </c>
      <c r="K1" s="145" t="s">
        <v>361</v>
      </c>
      <c r="L1" s="145" t="s">
        <v>362</v>
      </c>
      <c r="M1" s="145" t="s">
        <v>363</v>
      </c>
      <c r="N1" s="145" t="s">
        <v>364</v>
      </c>
      <c r="O1" s="145" t="s">
        <v>365</v>
      </c>
      <c r="P1" s="146" t="s">
        <v>12</v>
      </c>
      <c r="Q1" s="145" t="s">
        <v>384</v>
      </c>
      <c r="R1" s="145" t="s">
        <v>385</v>
      </c>
      <c r="S1" s="147" t="s">
        <v>30</v>
      </c>
      <c r="T1" s="144" t="s">
        <v>34</v>
      </c>
      <c r="U1" s="144" t="s">
        <v>386</v>
      </c>
      <c r="V1" s="144" t="s">
        <v>327</v>
      </c>
      <c r="W1" s="145" t="s">
        <v>368</v>
      </c>
      <c r="X1" s="144" t="s">
        <v>40</v>
      </c>
    </row>
    <row r="2" spans="1:26" x14ac:dyDescent="0.15">
      <c r="A2" s="3" t="s">
        <v>387</v>
      </c>
      <c r="B2" s="3" t="s">
        <v>52</v>
      </c>
      <c r="C2" s="148">
        <f>_xlfn.XLOOKUP(B:B,[4]人头人次表!$GB:$GB,[4]人头人次表!$GD:$GD)</f>
        <v>195</v>
      </c>
      <c r="D2" s="148">
        <f>_xlfn.XLOOKUP(B:B,[4]人头人次表!$GB:$GB,[4]人头人次表!$GG:$GG)</f>
        <v>179433.01</v>
      </c>
      <c r="E2" s="148">
        <v>3000</v>
      </c>
      <c r="F2" s="148"/>
      <c r="G2" s="148"/>
      <c r="H2" s="148">
        <v>201952.3</v>
      </c>
      <c r="I2" s="148">
        <v>2114.34</v>
      </c>
      <c r="J2" s="148">
        <v>701.6</v>
      </c>
      <c r="K2" s="148">
        <v>2895.52</v>
      </c>
      <c r="L2" s="148">
        <v>4750</v>
      </c>
      <c r="M2" s="148">
        <v>0</v>
      </c>
      <c r="N2" s="148">
        <v>1005.1</v>
      </c>
      <c r="O2" s="148">
        <f>H2-I2-J2-K2-L2-M2-N2</f>
        <v>190485.74</v>
      </c>
      <c r="P2" s="149">
        <v>0.03</v>
      </c>
      <c r="Q2" s="148">
        <f>O2*P2</f>
        <v>5714.5721999999996</v>
      </c>
      <c r="R2" s="150">
        <f>E2+F2+G2+Q2</f>
        <v>8714.5722000000005</v>
      </c>
      <c r="S2" s="148">
        <f>_xlfn.XLOOKUP(A:A,[3]Sheet1!$B:$B,[3]Sheet1!$L:$L)</f>
        <v>640.55999999999995</v>
      </c>
      <c r="T2" s="148">
        <f>_xlfn.XLOOKUP(A:A,'[6]②7月-汇总'!$D:$D,'[6]②7月-汇总'!$X:$X)</f>
        <v>20</v>
      </c>
      <c r="U2" s="148">
        <v>0</v>
      </c>
      <c r="V2" s="148"/>
      <c r="W2" s="150">
        <f>R2-S2-T2-U2+V2</f>
        <v>8054.0122000000001</v>
      </c>
      <c r="X2" s="148"/>
      <c r="Y2" s="155">
        <f>_xlfn.XLOOKUP(A2,[9]工资核对的全字段!$C:$C,[9]工资核对的全字段!$CW:$CW,0)</f>
        <v>8054.0121999999992</v>
      </c>
      <c r="Z2" s="156">
        <f>Y2-W2</f>
        <v>0</v>
      </c>
    </row>
    <row r="3" spans="1:26" x14ac:dyDescent="0.15">
      <c r="A3" s="3" t="s">
        <v>388</v>
      </c>
      <c r="B3" s="3" t="s">
        <v>223</v>
      </c>
      <c r="C3" s="148">
        <f>_xlfn.XLOOKUP(B:B,[4]人头人次表!$GB:$GB,[4]人头人次表!$GD:$GD)</f>
        <v>210</v>
      </c>
      <c r="D3" s="148">
        <f>_xlfn.XLOOKUP(B:B,[4]人头人次表!$GB:$GB,[4]人头人次表!$GG:$GG)</f>
        <v>368762.45</v>
      </c>
      <c r="E3" s="148">
        <v>3500</v>
      </c>
      <c r="F3" s="148"/>
      <c r="G3" s="148"/>
      <c r="H3" s="148">
        <v>522756</v>
      </c>
      <c r="I3" s="148">
        <v>2025</v>
      </c>
      <c r="J3" s="148">
        <v>1715.29</v>
      </c>
      <c r="K3" s="148">
        <v>3589.34</v>
      </c>
      <c r="L3" s="148">
        <v>23805</v>
      </c>
      <c r="M3" s="148">
        <v>0</v>
      </c>
      <c r="N3" s="148">
        <v>961.8</v>
      </c>
      <c r="O3" s="148">
        <f t="shared" ref="O3:O26" si="0">H3-I3-J3-K3-L3-M3-N3</f>
        <v>490659.57</v>
      </c>
      <c r="P3" s="149">
        <v>3.5000000000000003E-2</v>
      </c>
      <c r="Q3" s="148">
        <f t="shared" ref="Q3:Q26" si="1">O3*P3</f>
        <v>17173.08495</v>
      </c>
      <c r="R3" s="150">
        <f t="shared" ref="R3:R26" si="2">E3+F3+G3+Q3</f>
        <v>20673.08495</v>
      </c>
      <c r="S3" s="148">
        <f>_xlfn.XLOOKUP(A:A,[3]Sheet1!$B:$B,[3]Sheet1!$L:$L)</f>
        <v>644.16800000000001</v>
      </c>
      <c r="T3" s="148">
        <f>_xlfn.XLOOKUP(A:A,'[6]②7月-汇总'!$D:$D,'[6]②7月-汇总'!$X:$X)</f>
        <v>0</v>
      </c>
      <c r="U3" s="148">
        <v>0</v>
      </c>
      <c r="V3" s="148"/>
      <c r="W3" s="150">
        <f t="shared" ref="W3:W26" si="3">R3-S3-T3-U3+V3</f>
        <v>20028.916949999999</v>
      </c>
      <c r="X3" s="148"/>
      <c r="Y3" s="155">
        <f>_xlfn.XLOOKUP(A3,[9]工资核对的全字段!$C:$C,[9]工资核对的全字段!$CW:$CW,0)</f>
        <v>20028.916949999999</v>
      </c>
      <c r="Z3" s="156">
        <f t="shared" ref="Z3:Z26" si="4">Y3-W3</f>
        <v>0</v>
      </c>
    </row>
    <row r="4" spans="1:26" x14ac:dyDescent="0.15">
      <c r="A4" s="3" t="s">
        <v>389</v>
      </c>
      <c r="B4" s="3" t="s">
        <v>186</v>
      </c>
      <c r="C4" s="148">
        <f>_xlfn.XLOOKUP(B:B,[4]人头人次表!$GB:$GB,[4]人头人次表!$GD:$GD)</f>
        <v>205</v>
      </c>
      <c r="D4" s="148">
        <f>_xlfn.XLOOKUP(B:B,[4]人头人次表!$GB:$GB,[4]人头人次表!$GG:$GG)</f>
        <v>210203.02</v>
      </c>
      <c r="E4" s="148">
        <v>3000</v>
      </c>
      <c r="F4" s="148"/>
      <c r="G4" s="148"/>
      <c r="H4" s="148">
        <v>220223</v>
      </c>
      <c r="I4" s="148">
        <v>2426.79</v>
      </c>
      <c r="J4" s="148">
        <v>997.28</v>
      </c>
      <c r="K4" s="148">
        <v>3222.84</v>
      </c>
      <c r="L4" s="148">
        <v>8600</v>
      </c>
      <c r="M4" s="148">
        <v>0</v>
      </c>
      <c r="N4" s="148">
        <v>775.2</v>
      </c>
      <c r="O4" s="148">
        <f t="shared" si="0"/>
        <v>204200.89</v>
      </c>
      <c r="P4" s="149">
        <v>0.03</v>
      </c>
      <c r="Q4" s="148">
        <f t="shared" si="1"/>
        <v>6126.0267000000003</v>
      </c>
      <c r="R4" s="150">
        <f t="shared" si="2"/>
        <v>9126.0267000000003</v>
      </c>
      <c r="S4" s="148">
        <f>_xlfn.XLOOKUP(A:A,[3]Sheet1!$B:$B,[3]Sheet1!$L:$L)</f>
        <v>644.16800000000001</v>
      </c>
      <c r="T4" s="148">
        <f>_xlfn.XLOOKUP(A:A,'[6]②7月-汇总'!$D:$D,'[6]②7月-汇总'!$X:$X)</f>
        <v>0</v>
      </c>
      <c r="U4" s="148">
        <v>0</v>
      </c>
      <c r="V4" s="148"/>
      <c r="W4" s="150">
        <f t="shared" si="3"/>
        <v>8481.8587000000007</v>
      </c>
      <c r="X4" s="148"/>
      <c r="Y4" s="155">
        <f>_xlfn.XLOOKUP(A4,[9]工资核对的全字段!$C:$C,[9]工资核对的全字段!$CW:$CW,0)</f>
        <v>8481.8587000000007</v>
      </c>
      <c r="Z4" s="156">
        <f t="shared" si="4"/>
        <v>0</v>
      </c>
    </row>
    <row r="5" spans="1:26" x14ac:dyDescent="0.15">
      <c r="A5" s="3" t="s">
        <v>390</v>
      </c>
      <c r="B5" s="3" t="s">
        <v>150</v>
      </c>
      <c r="C5" s="148">
        <f>_xlfn.XLOOKUP(B:B,[4]人头人次表!$GB:$GB,[4]人头人次表!$GD:$GD)</f>
        <v>160</v>
      </c>
      <c r="D5" s="148">
        <f>_xlfn.XLOOKUP(B:B,[4]人头人次表!$GB:$GB,[4]人头人次表!$GG:$GG)</f>
        <v>142453.84</v>
      </c>
      <c r="E5" s="148">
        <v>3500</v>
      </c>
      <c r="F5" s="148"/>
      <c r="G5" s="148"/>
      <c r="H5" s="151">
        <v>155694</v>
      </c>
      <c r="I5" s="148">
        <v>2001</v>
      </c>
      <c r="J5" s="148">
        <v>2190.15</v>
      </c>
      <c r="K5" s="148">
        <v>11665.32</v>
      </c>
      <c r="L5" s="148">
        <v>2450</v>
      </c>
      <c r="M5" s="148">
        <v>0</v>
      </c>
      <c r="N5" s="148">
        <v>1113.3</v>
      </c>
      <c r="O5" s="148">
        <f t="shared" si="0"/>
        <v>136274.23000000001</v>
      </c>
      <c r="P5" s="149">
        <v>0.04</v>
      </c>
      <c r="Q5" s="148">
        <f t="shared" si="1"/>
        <v>5450.9691999999995</v>
      </c>
      <c r="R5" s="150">
        <f t="shared" si="2"/>
        <v>8950.9691999999995</v>
      </c>
      <c r="S5" s="148">
        <f>_xlfn.XLOOKUP(A:A,[3]Sheet1!$B:$B,[3]Sheet1!$L:$L)</f>
        <v>640.55999999999995</v>
      </c>
      <c r="T5" s="148">
        <f>_xlfn.XLOOKUP(A:A,'[6]②7月-汇总'!$D:$D,'[6]②7月-汇总'!$X:$X)</f>
        <v>120</v>
      </c>
      <c r="U5" s="148">
        <v>0</v>
      </c>
      <c r="V5" s="148"/>
      <c r="W5" s="150">
        <f t="shared" si="3"/>
        <v>8190.4092000000001</v>
      </c>
      <c r="X5" s="148"/>
      <c r="Y5" s="155">
        <f>_xlfn.XLOOKUP(A5,[9]工资核对的全字段!$C:$C,[9]工资核对的全字段!$CW:$CW,0)</f>
        <v>8190.4092000000001</v>
      </c>
      <c r="Z5" s="156">
        <f t="shared" si="4"/>
        <v>0</v>
      </c>
    </row>
    <row r="6" spans="1:26" x14ac:dyDescent="0.15">
      <c r="A6" s="3" t="s">
        <v>391</v>
      </c>
      <c r="B6" s="3" t="s">
        <v>63</v>
      </c>
      <c r="C6" s="148">
        <f>_xlfn.XLOOKUP(B:B,[4]人头人次表!$GB:$GB,[4]人头人次表!$GD:$GD)</f>
        <v>206</v>
      </c>
      <c r="D6" s="148">
        <f>_xlfn.XLOOKUP(B:B,[4]人头人次表!$GB:$GB,[4]人头人次表!$GG:$GG)</f>
        <v>518617.05</v>
      </c>
      <c r="E6" s="148">
        <v>4000</v>
      </c>
      <c r="F6" s="148"/>
      <c r="G6" s="148"/>
      <c r="H6" s="148">
        <v>407490.19</v>
      </c>
      <c r="I6" s="148">
        <v>4907.0600000000004</v>
      </c>
      <c r="J6" s="148">
        <v>689.11</v>
      </c>
      <c r="K6" s="148">
        <v>3515.1</v>
      </c>
      <c r="L6" s="148">
        <v>25892.5</v>
      </c>
      <c r="M6" s="148">
        <v>7360</v>
      </c>
      <c r="N6" s="148">
        <v>1155.3</v>
      </c>
      <c r="O6" s="148">
        <f t="shared" si="0"/>
        <v>363971.12</v>
      </c>
      <c r="P6" s="149">
        <v>3.5000000000000003E-2</v>
      </c>
      <c r="Q6" s="148">
        <f t="shared" si="1"/>
        <v>12738.9892</v>
      </c>
      <c r="R6" s="150">
        <f t="shared" si="2"/>
        <v>16738.9892</v>
      </c>
      <c r="S6" s="148">
        <f>_xlfn.XLOOKUP(A:A,[3]Sheet1!$B:$B,[3]Sheet1!$L:$L)</f>
        <v>640.55999999999995</v>
      </c>
      <c r="T6" s="148">
        <f>_xlfn.XLOOKUP(A:A,'[6]②7月-汇总'!$D:$D,'[6]②7月-汇总'!$X:$X)</f>
        <v>0</v>
      </c>
      <c r="U6" s="148">
        <v>10</v>
      </c>
      <c r="V6" s="148"/>
      <c r="W6" s="150">
        <f t="shared" si="3"/>
        <v>16088.4292</v>
      </c>
      <c r="X6" s="148"/>
      <c r="Y6" s="155">
        <f>_xlfn.XLOOKUP(A6,[9]工资核对的全字段!$C:$C,[9]工资核对的全字段!$CW:$CW,0)</f>
        <v>16088.429200000004</v>
      </c>
      <c r="Z6" s="156">
        <f t="shared" si="4"/>
        <v>0</v>
      </c>
    </row>
    <row r="7" spans="1:26" x14ac:dyDescent="0.15">
      <c r="A7" s="3" t="s">
        <v>392</v>
      </c>
      <c r="B7" s="3">
        <v>468</v>
      </c>
      <c r="C7" s="148">
        <f>_xlfn.XLOOKUP(B:B,[4]人头人次表!$GB:$GB,[4]人头人次表!$GD:$GD)</f>
        <v>217</v>
      </c>
      <c r="D7" s="148">
        <f>_xlfn.XLOOKUP(B:B,[4]人头人次表!$GB:$GB,[4]人头人次表!$GG:$GG)</f>
        <v>190782.77</v>
      </c>
      <c r="E7" s="148">
        <v>3500</v>
      </c>
      <c r="F7" s="148"/>
      <c r="G7" s="148"/>
      <c r="H7" s="148">
        <v>140295</v>
      </c>
      <c r="I7" s="148">
        <v>3754.95</v>
      </c>
      <c r="J7" s="148">
        <v>1491.04</v>
      </c>
      <c r="K7" s="148">
        <v>3218.6</v>
      </c>
      <c r="L7" s="148">
        <v>3600</v>
      </c>
      <c r="M7" s="148">
        <v>90</v>
      </c>
      <c r="N7" s="148">
        <v>947.3</v>
      </c>
      <c r="O7" s="148">
        <f t="shared" si="0"/>
        <v>127193.11</v>
      </c>
      <c r="P7" s="149">
        <v>0.03</v>
      </c>
      <c r="Q7" s="148">
        <f t="shared" si="1"/>
        <v>3815.7932999999998</v>
      </c>
      <c r="R7" s="150">
        <f t="shared" si="2"/>
        <v>7315.7933000000003</v>
      </c>
      <c r="S7" s="148">
        <f>_xlfn.XLOOKUP(A:A,[3]Sheet1!$B:$B,[3]Sheet1!$L:$L)</f>
        <v>640.55999999999995</v>
      </c>
      <c r="T7" s="148">
        <f>_xlfn.XLOOKUP(A:A,'[6]②7月-汇总'!$D:$D,'[6]②7月-汇总'!$X:$X)</f>
        <v>10</v>
      </c>
      <c r="U7" s="148">
        <v>0</v>
      </c>
      <c r="V7" s="148"/>
      <c r="W7" s="150">
        <f t="shared" si="3"/>
        <v>6665.2332999999999</v>
      </c>
      <c r="X7" s="148"/>
      <c r="Y7" s="155">
        <f>_xlfn.XLOOKUP(A7,[9]工资核对的全字段!$C:$C,[9]工资核对的全字段!$CW:$CW,0)</f>
        <v>6665.2332999999999</v>
      </c>
      <c r="Z7" s="156">
        <f t="shared" si="4"/>
        <v>0</v>
      </c>
    </row>
    <row r="8" spans="1:26" x14ac:dyDescent="0.15">
      <c r="A8" s="3" t="s">
        <v>393</v>
      </c>
      <c r="B8" s="3" t="s">
        <v>177</v>
      </c>
      <c r="C8" s="148">
        <f>_xlfn.XLOOKUP(B:B,[4]人头人次表!$GB:$GB,[4]人头人次表!$GD:$GD)</f>
        <v>150</v>
      </c>
      <c r="D8" s="148">
        <f>_xlfn.XLOOKUP(B:B,[4]人头人次表!$GB:$GB,[4]人头人次表!$GG:$GG)</f>
        <v>120657.22</v>
      </c>
      <c r="E8" s="148">
        <v>3200</v>
      </c>
      <c r="F8" s="148"/>
      <c r="G8" s="148"/>
      <c r="H8" s="148">
        <v>135590</v>
      </c>
      <c r="I8" s="148">
        <v>1259.28</v>
      </c>
      <c r="J8" s="148">
        <v>1380.21</v>
      </c>
      <c r="K8" s="148">
        <v>3929.7</v>
      </c>
      <c r="L8" s="148">
        <v>3240</v>
      </c>
      <c r="M8" s="148">
        <v>0</v>
      </c>
      <c r="N8" s="148">
        <v>428.8</v>
      </c>
      <c r="O8" s="148">
        <f t="shared" si="0"/>
        <v>125352.01</v>
      </c>
      <c r="P8" s="149">
        <v>3.5000000000000003E-2</v>
      </c>
      <c r="Q8" s="148">
        <f t="shared" si="1"/>
        <v>4387.32035</v>
      </c>
      <c r="R8" s="150">
        <f t="shared" si="2"/>
        <v>7587.32035</v>
      </c>
      <c r="S8" s="148">
        <f>_xlfn.XLOOKUP(A:A,[3]Sheet1!$B:$B,[3]Sheet1!$L:$L)</f>
        <v>638.75599999999997</v>
      </c>
      <c r="T8" s="148">
        <f>_xlfn.XLOOKUP(A:A,'[6]②7月-汇总'!$D:$D,'[6]②7月-汇总'!$X:$X)</f>
        <v>0</v>
      </c>
      <c r="U8" s="148">
        <v>0</v>
      </c>
      <c r="V8" s="151">
        <v>300</v>
      </c>
      <c r="W8" s="150">
        <f t="shared" si="3"/>
        <v>7248.5643499999996</v>
      </c>
      <c r="X8" s="148" t="s">
        <v>394</v>
      </c>
      <c r="Y8" s="155">
        <f>_xlfn.XLOOKUP(A8,[9]工资核对的全字段!$C:$C,[9]工资核对的全字段!$CW:$CW,0)</f>
        <v>7248.5643500000006</v>
      </c>
      <c r="Z8" s="156">
        <f t="shared" si="4"/>
        <v>0</v>
      </c>
    </row>
    <row r="9" spans="1:26" x14ac:dyDescent="0.15">
      <c r="A9" s="3" t="s">
        <v>395</v>
      </c>
      <c r="B9" s="3" t="s">
        <v>252</v>
      </c>
      <c r="C9" s="148">
        <f>_xlfn.XLOOKUP(B:B,[4]人头人次表!$GB:$GB,[4]人头人次表!$GD:$GD)</f>
        <v>157</v>
      </c>
      <c r="D9" s="148">
        <f>_xlfn.XLOOKUP(B:B,[4]人头人次表!$GB:$GB,[4]人头人次表!$GG:$GG)</f>
        <v>194741.48</v>
      </c>
      <c r="E9" s="148">
        <v>3000</v>
      </c>
      <c r="F9" s="148"/>
      <c r="G9" s="148"/>
      <c r="H9" s="148">
        <v>205041</v>
      </c>
      <c r="I9" s="148">
        <v>2000</v>
      </c>
      <c r="J9" s="148">
        <v>902.66</v>
      </c>
      <c r="K9" s="148">
        <v>1049.7</v>
      </c>
      <c r="L9" s="148">
        <v>12845</v>
      </c>
      <c r="M9" s="148">
        <v>3203</v>
      </c>
      <c r="N9" s="148">
        <v>701.7</v>
      </c>
      <c r="O9" s="148">
        <f t="shared" si="0"/>
        <v>184338.94</v>
      </c>
      <c r="P9" s="149">
        <v>3.5000000000000003E-2</v>
      </c>
      <c r="Q9" s="148">
        <f t="shared" si="1"/>
        <v>6451.8629000000001</v>
      </c>
      <c r="R9" s="150">
        <f t="shared" si="2"/>
        <v>9451.8629000000001</v>
      </c>
      <c r="S9" s="148">
        <f>_xlfn.XLOOKUP(A:A,[3]Sheet1!$B:$B,[3]Sheet1!$L:$L)</f>
        <v>640.55999999999995</v>
      </c>
      <c r="T9" s="148">
        <f>_xlfn.XLOOKUP(A:A,'[6]②7月-汇总'!$D:$D,'[6]②7月-汇总'!$X:$X)</f>
        <v>20</v>
      </c>
      <c r="U9" s="148">
        <v>0</v>
      </c>
      <c r="V9" s="148"/>
      <c r="W9" s="150">
        <f t="shared" si="3"/>
        <v>8791.3029000000006</v>
      </c>
      <c r="X9" s="148"/>
      <c r="Y9" s="155">
        <f>_xlfn.XLOOKUP(A9,[9]工资核对的全字段!$C:$C,[9]工资核对的全字段!$CW:$CW,0)</f>
        <v>8791.3029000000006</v>
      </c>
      <c r="Z9" s="156">
        <f t="shared" si="4"/>
        <v>0</v>
      </c>
    </row>
    <row r="10" spans="1:26" x14ac:dyDescent="0.15">
      <c r="A10" s="3" t="s">
        <v>396</v>
      </c>
      <c r="B10" s="3" t="s">
        <v>196</v>
      </c>
      <c r="C10" s="148">
        <f>_xlfn.XLOOKUP(B:B,[4]人头人次表!$GB:$GB,[4]人头人次表!$GD:$GD)</f>
        <v>142</v>
      </c>
      <c r="D10" s="148">
        <f>_xlfn.XLOOKUP(B:B,[4]人头人次表!$GB:$GB,[4]人头人次表!$GG:$GG)</f>
        <v>87745.89</v>
      </c>
      <c r="E10" s="148">
        <v>3000</v>
      </c>
      <c r="F10" s="148"/>
      <c r="G10" s="148"/>
      <c r="H10" s="148">
        <v>111267</v>
      </c>
      <c r="I10" s="148">
        <v>7901.28</v>
      </c>
      <c r="J10" s="148">
        <v>896.98</v>
      </c>
      <c r="K10" s="148">
        <v>3666.72</v>
      </c>
      <c r="L10" s="148">
        <v>2550</v>
      </c>
      <c r="M10" s="148">
        <v>0</v>
      </c>
      <c r="N10" s="148">
        <v>717.2</v>
      </c>
      <c r="O10" s="148">
        <f t="shared" si="0"/>
        <v>95534.82</v>
      </c>
      <c r="P10" s="149">
        <v>0.04</v>
      </c>
      <c r="Q10" s="148">
        <f t="shared" si="1"/>
        <v>3821.3928000000001</v>
      </c>
      <c r="R10" s="150">
        <f t="shared" si="2"/>
        <v>6821.3927999999996</v>
      </c>
      <c r="S10" s="148">
        <f>_xlfn.XLOOKUP(A:A,[3]Sheet1!$B:$B,[3]Sheet1!$L:$L)</f>
        <v>640.55999999999995</v>
      </c>
      <c r="T10" s="148">
        <f>_xlfn.XLOOKUP(A:A,'[6]②7月-汇总'!$D:$D,'[6]②7月-汇总'!$X:$X)</f>
        <v>10</v>
      </c>
      <c r="U10" s="148">
        <v>0</v>
      </c>
      <c r="V10" s="148"/>
      <c r="W10" s="150">
        <f t="shared" si="3"/>
        <v>6170.8328000000001</v>
      </c>
      <c r="X10" s="148"/>
      <c r="Y10" s="155">
        <f>_xlfn.XLOOKUP(A10,[9]工资核对的全字段!$C:$C,[9]工资核对的全字段!$CW:$CW,0)</f>
        <v>6170.8328000000001</v>
      </c>
      <c r="Z10" s="156">
        <f t="shared" si="4"/>
        <v>0</v>
      </c>
    </row>
    <row r="11" spans="1:26" x14ac:dyDescent="0.15">
      <c r="A11" s="3" t="s">
        <v>397</v>
      </c>
      <c r="B11" s="3" t="s">
        <v>215</v>
      </c>
      <c r="C11" s="148">
        <f>_xlfn.XLOOKUP(B:B,[4]人头人次表!$GB:$GB,[4]人头人次表!$GD:$GD)</f>
        <v>153</v>
      </c>
      <c r="D11" s="148">
        <f>_xlfn.XLOOKUP(B:B,[4]人头人次表!$GB:$GB,[4]人头人次表!$GG:$GG)</f>
        <v>140812.54</v>
      </c>
      <c r="E11" s="148">
        <v>3000</v>
      </c>
      <c r="F11" s="148"/>
      <c r="G11" s="148"/>
      <c r="H11" s="148">
        <v>153950.6</v>
      </c>
      <c r="I11" s="148">
        <v>3263.25</v>
      </c>
      <c r="J11" s="148">
        <v>1044.5</v>
      </c>
      <c r="K11" s="148">
        <v>4129.88</v>
      </c>
      <c r="L11" s="148">
        <v>2040</v>
      </c>
      <c r="M11" s="148">
        <v>0</v>
      </c>
      <c r="N11" s="148">
        <v>888.4</v>
      </c>
      <c r="O11" s="148">
        <f t="shared" si="0"/>
        <v>142584.57</v>
      </c>
      <c r="P11" s="149">
        <v>0.04</v>
      </c>
      <c r="Q11" s="148">
        <f t="shared" si="1"/>
        <v>5703.3828000000003</v>
      </c>
      <c r="R11" s="150">
        <f t="shared" si="2"/>
        <v>8703.3827999999994</v>
      </c>
      <c r="S11" s="148">
        <f>_xlfn.XLOOKUP(A:A,[3]Sheet1!$B:$B,[3]Sheet1!$L:$L)</f>
        <v>640.55999999999995</v>
      </c>
      <c r="T11" s="148">
        <f>_xlfn.XLOOKUP(A:A,'[6]②7月-汇总'!$D:$D,'[6]②7月-汇总'!$X:$X)</f>
        <v>20</v>
      </c>
      <c r="U11" s="150">
        <v>96.774193548387103</v>
      </c>
      <c r="V11" s="148"/>
      <c r="W11" s="150">
        <f t="shared" si="3"/>
        <v>7946.0486064516099</v>
      </c>
      <c r="X11" s="148"/>
      <c r="Y11" s="155">
        <f>_xlfn.XLOOKUP(A11,[9]工资核对的全字段!$C:$C,[9]工资核对的全字段!$CW:$CW,0)</f>
        <v>7946.0486064516135</v>
      </c>
      <c r="Z11" s="156">
        <f t="shared" si="4"/>
        <v>0</v>
      </c>
    </row>
    <row r="12" spans="1:26" x14ac:dyDescent="0.15">
      <c r="A12" s="3" t="s">
        <v>398</v>
      </c>
      <c r="B12" s="3" t="s">
        <v>131</v>
      </c>
      <c r="C12" s="148">
        <f>_xlfn.XLOOKUP(B:B,[4]人头人次表!$GB:$GB,[4]人头人次表!$GD:$GD)</f>
        <v>140</v>
      </c>
      <c r="D12" s="148">
        <f>_xlfn.XLOOKUP(B:B,[4]人头人次表!$GB:$GB,[4]人头人次表!$GG:$GG)</f>
        <v>87671.5</v>
      </c>
      <c r="E12" s="148">
        <v>3500</v>
      </c>
      <c r="F12" s="148"/>
      <c r="G12" s="148"/>
      <c r="H12" s="148">
        <v>180024</v>
      </c>
      <c r="I12" s="148">
        <v>2665.77</v>
      </c>
      <c r="J12" s="148">
        <v>2365.85</v>
      </c>
      <c r="K12" s="148">
        <v>2773.14</v>
      </c>
      <c r="L12" s="148">
        <v>0</v>
      </c>
      <c r="M12" s="148">
        <v>0</v>
      </c>
      <c r="N12" s="148">
        <v>858.8</v>
      </c>
      <c r="O12" s="148">
        <f t="shared" si="0"/>
        <v>171360.44</v>
      </c>
      <c r="P12" s="149">
        <v>0.04</v>
      </c>
      <c r="Q12" s="148">
        <f t="shared" si="1"/>
        <v>6854.4175999999998</v>
      </c>
      <c r="R12" s="150">
        <f t="shared" si="2"/>
        <v>10354.417600000001</v>
      </c>
      <c r="S12" s="148">
        <f>_xlfn.XLOOKUP(A:A,[3]Sheet1!$B:$B,[3]Sheet1!$L:$L)</f>
        <v>638.75599999999997</v>
      </c>
      <c r="T12" s="148">
        <f>_xlfn.XLOOKUP(A:A,'[6]②7月-汇总'!$D:$D,'[6]②7月-汇总'!$X:$X)</f>
        <v>90</v>
      </c>
      <c r="U12" s="148">
        <v>0</v>
      </c>
      <c r="V12" s="148"/>
      <c r="W12" s="150">
        <f t="shared" si="3"/>
        <v>9625.6615999999995</v>
      </c>
      <c r="X12" s="148"/>
      <c r="Y12" s="155">
        <f>_xlfn.XLOOKUP(A12,[9]工资核对的全字段!$C:$C,[9]工资核对的全字段!$CW:$CW,0)</f>
        <v>9625.6616000000013</v>
      </c>
      <c r="Z12" s="156">
        <f t="shared" si="4"/>
        <v>0</v>
      </c>
    </row>
    <row r="13" spans="1:26" x14ac:dyDescent="0.15">
      <c r="A13" s="3" t="s">
        <v>399</v>
      </c>
      <c r="B13" s="3" t="s">
        <v>277</v>
      </c>
      <c r="C13" s="148">
        <f>_xlfn.XLOOKUP(B:B,[4]人头人次表!$GB:$GB,[4]人头人次表!$GD:$GD)</f>
        <v>172</v>
      </c>
      <c r="D13" s="148">
        <f>_xlfn.XLOOKUP(B:B,[4]人头人次表!$GB:$GB,[4]人头人次表!$GG:$GG)</f>
        <v>192405.22</v>
      </c>
      <c r="E13" s="148">
        <v>3500</v>
      </c>
      <c r="F13" s="148"/>
      <c r="G13" s="148"/>
      <c r="H13" s="148">
        <v>200049.7</v>
      </c>
      <c r="I13" s="148">
        <v>2686.64</v>
      </c>
      <c r="J13" s="148">
        <v>1269.98</v>
      </c>
      <c r="K13" s="148">
        <v>2572.54</v>
      </c>
      <c r="L13" s="148">
        <v>10560</v>
      </c>
      <c r="M13" s="148">
        <v>281.39999999999998</v>
      </c>
      <c r="N13" s="148">
        <v>820.9</v>
      </c>
      <c r="O13" s="148">
        <f t="shared" si="0"/>
        <v>181858.24</v>
      </c>
      <c r="P13" s="149">
        <v>3.5000000000000003E-2</v>
      </c>
      <c r="Q13" s="148">
        <f t="shared" si="1"/>
        <v>6365.0384000000004</v>
      </c>
      <c r="R13" s="150">
        <f t="shared" si="2"/>
        <v>9865.0383999999995</v>
      </c>
      <c r="S13" s="148">
        <f>_xlfn.XLOOKUP(A:A,[3]Sheet1!$B:$B,[3]Sheet1!$L:$L)</f>
        <v>638.75599999999997</v>
      </c>
      <c r="T13" s="148">
        <f>_xlfn.XLOOKUP(A:A,'[6]②7月-汇总'!$D:$D,'[6]②7月-汇总'!$X:$X)</f>
        <v>20</v>
      </c>
      <c r="U13" s="148">
        <v>0</v>
      </c>
      <c r="V13" s="148"/>
      <c r="W13" s="150">
        <f t="shared" si="3"/>
        <v>9206.2824000000001</v>
      </c>
      <c r="X13" s="148"/>
      <c r="Y13" s="155">
        <f>_xlfn.XLOOKUP(A13,[9]工资核对的全字段!$C:$C,[9]工资核对的全字段!$CW:$CW,0)</f>
        <v>9206.2824000000019</v>
      </c>
      <c r="Z13" s="156">
        <f t="shared" si="4"/>
        <v>0</v>
      </c>
    </row>
    <row r="14" spans="1:26" x14ac:dyDescent="0.15">
      <c r="A14" s="3" t="s">
        <v>400</v>
      </c>
      <c r="B14" s="3" t="s">
        <v>235</v>
      </c>
      <c r="C14" s="148">
        <f>_xlfn.XLOOKUP(B:B,[4]人头人次表!$GB:$GB,[4]人头人次表!$GD:$GD)</f>
        <v>163</v>
      </c>
      <c r="D14" s="148">
        <f>_xlfn.XLOOKUP(B:B,[4]人头人次表!$GB:$GB,[4]人头人次表!$GG:$GG)</f>
        <v>291471.05</v>
      </c>
      <c r="E14" s="148">
        <v>4000</v>
      </c>
      <c r="F14" s="148"/>
      <c r="G14" s="148"/>
      <c r="H14" s="148">
        <v>311108</v>
      </c>
      <c r="I14" s="148">
        <v>2500</v>
      </c>
      <c r="J14" s="148">
        <v>571.79</v>
      </c>
      <c r="K14" s="148">
        <v>3078.24</v>
      </c>
      <c r="L14" s="148">
        <v>62020</v>
      </c>
      <c r="M14" s="148">
        <v>5200</v>
      </c>
      <c r="N14" s="148">
        <v>722.2</v>
      </c>
      <c r="O14" s="148">
        <f t="shared" si="0"/>
        <v>237015.77</v>
      </c>
      <c r="P14" s="149">
        <v>0.04</v>
      </c>
      <c r="Q14" s="148">
        <f t="shared" si="1"/>
        <v>9480.6308000000008</v>
      </c>
      <c r="R14" s="150">
        <f t="shared" si="2"/>
        <v>13480.630800000001</v>
      </c>
      <c r="S14" s="148">
        <f>_xlfn.XLOOKUP(A:A,[3]Sheet1!$B:$B,[3]Sheet1!$L:$L)</f>
        <v>640.55999999999995</v>
      </c>
      <c r="T14" s="148">
        <f>_xlfn.XLOOKUP(A:A,'[6]②7月-汇总'!$D:$D,'[6]②7月-汇总'!$X:$X)</f>
        <v>0</v>
      </c>
      <c r="U14" s="148">
        <v>0</v>
      </c>
      <c r="V14" s="148"/>
      <c r="W14" s="150">
        <f t="shared" si="3"/>
        <v>12840.0708</v>
      </c>
      <c r="X14" s="148"/>
      <c r="Y14" s="155">
        <f>_xlfn.XLOOKUP(A14,[9]工资核对的全字段!$C:$C,[9]工资核对的全字段!$CW:$CW,0)</f>
        <v>12840.070800000001</v>
      </c>
      <c r="Z14" s="156">
        <f t="shared" si="4"/>
        <v>0</v>
      </c>
    </row>
    <row r="15" spans="1:26" x14ac:dyDescent="0.15">
      <c r="A15" s="3" t="s">
        <v>401</v>
      </c>
      <c r="B15" s="3" t="s">
        <v>121</v>
      </c>
      <c r="C15" s="148">
        <f>_xlfn.XLOOKUP(B:B,[4]人头人次表!$GB:$GB,[4]人头人次表!$GD:$GD)</f>
        <v>177</v>
      </c>
      <c r="D15" s="148">
        <f>_xlfn.XLOOKUP(B:B,[4]人头人次表!$GB:$GB,[4]人头人次表!$GG:$GG)</f>
        <v>123760.98</v>
      </c>
      <c r="E15" s="148">
        <v>3000</v>
      </c>
      <c r="F15" s="148"/>
      <c r="G15" s="148"/>
      <c r="H15" s="148">
        <v>158633</v>
      </c>
      <c r="I15" s="148">
        <v>4219.55</v>
      </c>
      <c r="J15" s="148">
        <v>955.53</v>
      </c>
      <c r="K15" s="148">
        <v>3464.34</v>
      </c>
      <c r="L15" s="148">
        <v>-3750</v>
      </c>
      <c r="M15" s="148">
        <v>300</v>
      </c>
      <c r="N15" s="148">
        <v>1373.4</v>
      </c>
      <c r="O15" s="148">
        <f t="shared" si="0"/>
        <v>152070.18</v>
      </c>
      <c r="P15" s="149">
        <v>0.03</v>
      </c>
      <c r="Q15" s="148">
        <f t="shared" si="1"/>
        <v>4562.1054000000004</v>
      </c>
      <c r="R15" s="150">
        <f t="shared" si="2"/>
        <v>7562.1054000000004</v>
      </c>
      <c r="S15" s="148">
        <v>0</v>
      </c>
      <c r="T15" s="148">
        <f>_xlfn.XLOOKUP(A:A,'[6]②7月-汇总'!$D:$D,'[6]②7月-汇总'!$X:$X)</f>
        <v>10</v>
      </c>
      <c r="U15" s="148">
        <v>0</v>
      </c>
      <c r="V15" s="148"/>
      <c r="W15" s="150">
        <f t="shared" si="3"/>
        <v>7552.1054000000004</v>
      </c>
      <c r="X15" s="148"/>
      <c r="Y15" s="155">
        <f>_xlfn.XLOOKUP(A15,[9]工资核对的全字段!$C:$C,[9]工资核对的全字段!$CW:$CW,0)</f>
        <v>7552.1053999999995</v>
      </c>
      <c r="Z15" s="156">
        <f t="shared" si="4"/>
        <v>0</v>
      </c>
    </row>
    <row r="16" spans="1:26" x14ac:dyDescent="0.15">
      <c r="A16" s="3" t="s">
        <v>402</v>
      </c>
      <c r="B16" s="3" t="s">
        <v>261</v>
      </c>
      <c r="C16" s="148">
        <f>_xlfn.XLOOKUP(B:B,[4]人头人次表!$GB:$GB,[4]人头人次表!$GD:$GD)</f>
        <v>169</v>
      </c>
      <c r="D16" s="148">
        <f>_xlfn.XLOOKUP(B:B,[4]人头人次表!$GB:$GB,[4]人头人次表!$GG:$GG)</f>
        <v>58105.8</v>
      </c>
      <c r="E16" s="148">
        <v>3000</v>
      </c>
      <c r="F16" s="148"/>
      <c r="G16" s="148"/>
      <c r="H16" s="148">
        <v>92371</v>
      </c>
      <c r="I16" s="148">
        <v>156</v>
      </c>
      <c r="J16" s="148">
        <v>375.92</v>
      </c>
      <c r="K16" s="148">
        <v>3175.2</v>
      </c>
      <c r="L16" s="148">
        <v>0</v>
      </c>
      <c r="M16" s="148">
        <v>0</v>
      </c>
      <c r="N16" s="148">
        <v>723.3</v>
      </c>
      <c r="O16" s="148">
        <f t="shared" si="0"/>
        <v>87940.58</v>
      </c>
      <c r="P16" s="149">
        <v>0.04</v>
      </c>
      <c r="Q16" s="148">
        <f t="shared" si="1"/>
        <v>3517.6232</v>
      </c>
      <c r="R16" s="150">
        <f t="shared" si="2"/>
        <v>6517.6232</v>
      </c>
      <c r="S16" s="148">
        <f>_xlfn.XLOOKUP(A:A,[3]Sheet1!$B:$B,[3]Sheet1!$L:$L)</f>
        <v>644.16800000000001</v>
      </c>
      <c r="T16" s="148">
        <f>_xlfn.XLOOKUP(A:A,'[6]②7月-汇总'!$D:$D,'[6]②7月-汇总'!$X:$X)</f>
        <v>0</v>
      </c>
      <c r="U16" s="150">
        <f>3000/31+10</f>
        <v>106.774193548387</v>
      </c>
      <c r="V16" s="148"/>
      <c r="W16" s="150">
        <f t="shared" si="3"/>
        <v>5766.6810064516103</v>
      </c>
      <c r="X16" s="148"/>
      <c r="Y16" s="155">
        <f>_xlfn.XLOOKUP(A16,[9]工资核对的全字段!$C:$C,[9]工资核对的全字段!$CW:$CW,0)</f>
        <v>5766.681006451613</v>
      </c>
      <c r="Z16" s="156">
        <f t="shared" si="4"/>
        <v>0</v>
      </c>
    </row>
    <row r="17" spans="1:26" x14ac:dyDescent="0.15">
      <c r="A17" s="3" t="s">
        <v>403</v>
      </c>
      <c r="B17" s="3" t="s">
        <v>82</v>
      </c>
      <c r="C17" s="148">
        <f>_xlfn.XLOOKUP(B:B,[4]人头人次表!$GB:$GB,[4]人头人次表!$GD:$GD)</f>
        <v>183</v>
      </c>
      <c r="D17" s="148">
        <f>_xlfn.XLOOKUP(B:B,[4]人头人次表!$GB:$GB,[4]人头人次表!$GG:$GG)</f>
        <v>120573.32</v>
      </c>
      <c r="E17" s="148">
        <v>3000</v>
      </c>
      <c r="F17" s="148"/>
      <c r="G17" s="148"/>
      <c r="H17" s="148">
        <v>100934</v>
      </c>
      <c r="I17" s="148">
        <v>5076.66</v>
      </c>
      <c r="J17" s="148">
        <v>1209.6500000000001</v>
      </c>
      <c r="K17" s="148">
        <v>4620.6000000000004</v>
      </c>
      <c r="L17" s="148">
        <v>0</v>
      </c>
      <c r="M17" s="148">
        <v>0</v>
      </c>
      <c r="N17" s="148">
        <v>930.3</v>
      </c>
      <c r="O17" s="148">
        <f t="shared" si="0"/>
        <v>89096.79</v>
      </c>
      <c r="P17" s="149">
        <v>3.5000000000000003E-2</v>
      </c>
      <c r="Q17" s="148">
        <f t="shared" si="1"/>
        <v>3118.3876500000001</v>
      </c>
      <c r="R17" s="150">
        <f t="shared" si="2"/>
        <v>6118.3876499999997</v>
      </c>
      <c r="S17" s="148">
        <f>_xlfn.XLOOKUP(A:A,[3]Sheet1!$B:$B,[3]Sheet1!$L:$L)</f>
        <v>644.16800000000001</v>
      </c>
      <c r="T17" s="148">
        <f>_xlfn.XLOOKUP(A:A,'[6]②7月-汇总'!$D:$D,'[6]②7月-汇总'!$X:$X)</f>
        <v>10</v>
      </c>
      <c r="U17" s="148">
        <v>0</v>
      </c>
      <c r="V17" s="148"/>
      <c r="W17" s="150">
        <f t="shared" si="3"/>
        <v>5464.21965</v>
      </c>
      <c r="X17" s="148"/>
      <c r="Y17" s="155">
        <f>_xlfn.XLOOKUP(A17,[9]工资核对的全字段!$C:$C,[9]工资核对的全字段!$CW:$CW,0)</f>
        <v>5464.2196500000009</v>
      </c>
      <c r="Z17" s="156">
        <f t="shared" si="4"/>
        <v>0</v>
      </c>
    </row>
    <row r="18" spans="1:26" x14ac:dyDescent="0.15">
      <c r="A18" s="3" t="s">
        <v>404</v>
      </c>
      <c r="B18" s="3" t="s">
        <v>269</v>
      </c>
      <c r="C18" s="148">
        <f>_xlfn.XLOOKUP(B:B,[4]人头人次表!$GB:$GB,[4]人头人次表!$GD:$GD)</f>
        <v>164</v>
      </c>
      <c r="D18" s="148">
        <f>_xlfn.XLOOKUP(B:B,[4]人头人次表!$GB:$GB,[4]人头人次表!$GG:$GG)</f>
        <v>112580.75</v>
      </c>
      <c r="E18" s="148">
        <v>3500</v>
      </c>
      <c r="F18" s="148"/>
      <c r="G18" s="148"/>
      <c r="H18" s="148">
        <v>151129</v>
      </c>
      <c r="I18" s="148">
        <v>6040.43</v>
      </c>
      <c r="J18" s="148">
        <v>477.24</v>
      </c>
      <c r="K18" s="148">
        <v>3086.14</v>
      </c>
      <c r="L18" s="148">
        <v>-4305</v>
      </c>
      <c r="M18" s="148">
        <v>0</v>
      </c>
      <c r="N18" s="148">
        <v>871.5</v>
      </c>
      <c r="O18" s="148">
        <f t="shared" si="0"/>
        <v>144958.69</v>
      </c>
      <c r="P18" s="149">
        <v>0.04</v>
      </c>
      <c r="Q18" s="148">
        <f t="shared" si="1"/>
        <v>5798.3476000000001</v>
      </c>
      <c r="R18" s="150">
        <f t="shared" si="2"/>
        <v>9298.3475999999991</v>
      </c>
      <c r="S18" s="148">
        <f>_xlfn.XLOOKUP(A:A,[3]Sheet1!$B:$B,[3]Sheet1!$L:$L)</f>
        <v>644.16800000000001</v>
      </c>
      <c r="T18" s="148">
        <f>_xlfn.XLOOKUP(A:A,'[6]②7月-汇总'!$D:$D,'[6]②7月-汇总'!$X:$X)</f>
        <v>0</v>
      </c>
      <c r="U18" s="148">
        <v>0</v>
      </c>
      <c r="V18" s="148"/>
      <c r="W18" s="150">
        <f t="shared" si="3"/>
        <v>8654.1795999999995</v>
      </c>
      <c r="X18" s="148"/>
      <c r="Y18" s="155">
        <f>_xlfn.XLOOKUP(A18,[9]工资核对的全字段!$C:$C,[9]工资核对的全字段!$CW:$CW,0)</f>
        <v>8654.1796000000013</v>
      </c>
      <c r="Z18" s="156">
        <f t="shared" si="4"/>
        <v>0</v>
      </c>
    </row>
    <row r="19" spans="1:26" x14ac:dyDescent="0.15">
      <c r="A19" s="3" t="s">
        <v>405</v>
      </c>
      <c r="B19" s="3" t="s">
        <v>244</v>
      </c>
      <c r="C19" s="148">
        <f>_xlfn.XLOOKUP(B:B,[4]人头人次表!$GB:$GB,[4]人头人次表!$GD:$GD)</f>
        <v>156</v>
      </c>
      <c r="D19" s="148">
        <f>_xlfn.XLOOKUP(B:B,[4]人头人次表!$GB:$GB,[4]人头人次表!$GG:$GG)</f>
        <v>100865.33</v>
      </c>
      <c r="E19" s="148">
        <v>3000</v>
      </c>
      <c r="F19" s="148"/>
      <c r="G19" s="148"/>
      <c r="H19" s="148">
        <v>143757</v>
      </c>
      <c r="I19" s="148">
        <v>3000</v>
      </c>
      <c r="J19" s="148">
        <v>681.77</v>
      </c>
      <c r="K19" s="148">
        <v>2764.42</v>
      </c>
      <c r="L19" s="148">
        <v>10520</v>
      </c>
      <c r="M19" s="148">
        <v>0</v>
      </c>
      <c r="N19" s="148">
        <v>618.70000000000005</v>
      </c>
      <c r="O19" s="148">
        <f t="shared" si="0"/>
        <v>126172.11</v>
      </c>
      <c r="P19" s="149">
        <v>4.4999999999999998E-2</v>
      </c>
      <c r="Q19" s="148">
        <f t="shared" si="1"/>
        <v>5677.7449500000002</v>
      </c>
      <c r="R19" s="150">
        <f t="shared" si="2"/>
        <v>8677.7449500000002</v>
      </c>
      <c r="S19" s="148">
        <f>_xlfn.XLOOKUP(A:A,[3]Sheet1!$B:$B,[3]Sheet1!$L:$L)</f>
        <v>644.16800000000001</v>
      </c>
      <c r="T19" s="148">
        <f>_xlfn.XLOOKUP(A:A,'[6]②7月-汇总'!$D:$D,'[6]②7月-汇总'!$X:$X)</f>
        <v>0</v>
      </c>
      <c r="U19" s="148">
        <v>0</v>
      </c>
      <c r="V19" s="148"/>
      <c r="W19" s="150">
        <f t="shared" si="3"/>
        <v>8033.5769499999997</v>
      </c>
      <c r="X19" s="148"/>
      <c r="Y19" s="155">
        <f>_xlfn.XLOOKUP(A19,[9]工资核对的全字段!$C:$C,[9]工资核对的全字段!$CW:$CW,0)</f>
        <v>8033.5769500000006</v>
      </c>
      <c r="Z19" s="156">
        <f t="shared" si="4"/>
        <v>0</v>
      </c>
    </row>
    <row r="20" spans="1:26" x14ac:dyDescent="0.15">
      <c r="A20" s="3" t="s">
        <v>406</v>
      </c>
      <c r="B20" s="3" t="s">
        <v>168</v>
      </c>
      <c r="C20" s="148">
        <f>_xlfn.XLOOKUP(B:B,[4]人头人次表!$GB:$GB,[4]人头人次表!$GD:$GD)</f>
        <v>111</v>
      </c>
      <c r="D20" s="148">
        <f>_xlfn.XLOOKUP(B:B,[4]人头人次表!$GB:$GB,[4]人头人次表!$GG:$GG)</f>
        <v>103361.72</v>
      </c>
      <c r="E20" s="148">
        <v>3000</v>
      </c>
      <c r="F20" s="148"/>
      <c r="G20" s="148"/>
      <c r="H20" s="148">
        <v>150422</v>
      </c>
      <c r="I20" s="148">
        <v>2371.5</v>
      </c>
      <c r="J20" s="148">
        <v>1827.5</v>
      </c>
      <c r="K20" s="148">
        <v>3256.3</v>
      </c>
      <c r="L20" s="148">
        <v>4590</v>
      </c>
      <c r="M20" s="148">
        <v>0</v>
      </c>
      <c r="N20" s="148">
        <v>791.3</v>
      </c>
      <c r="O20" s="148">
        <f t="shared" si="0"/>
        <v>137585.4</v>
      </c>
      <c r="P20" s="149">
        <v>0.04</v>
      </c>
      <c r="Q20" s="148">
        <f t="shared" si="1"/>
        <v>5503.4160000000002</v>
      </c>
      <c r="R20" s="150">
        <f t="shared" si="2"/>
        <v>8503.4159999999993</v>
      </c>
      <c r="S20" s="148">
        <f>_xlfn.XLOOKUP(A:A,[3]Sheet1!$B:$B,[3]Sheet1!$L:$L)</f>
        <v>640.55999999999995</v>
      </c>
      <c r="T20" s="148">
        <f>_xlfn.XLOOKUP(A:A,'[6]②7月-汇总'!$D:$D,'[6]②7月-汇总'!$X:$X)</f>
        <v>10</v>
      </c>
      <c r="U20" s="148">
        <v>0</v>
      </c>
      <c r="V20" s="148"/>
      <c r="W20" s="150">
        <f t="shared" si="3"/>
        <v>7852.8559999999998</v>
      </c>
      <c r="X20" s="148"/>
      <c r="Y20" s="155">
        <f>_xlfn.XLOOKUP(A20,[9]工资核对的全字段!$C:$C,[9]工资核对的全字段!$CW:$CW,0)</f>
        <v>7852.8560000000016</v>
      </c>
      <c r="Z20" s="156">
        <f t="shared" si="4"/>
        <v>0</v>
      </c>
    </row>
    <row r="21" spans="1:26" x14ac:dyDescent="0.15">
      <c r="A21" s="3" t="s">
        <v>407</v>
      </c>
      <c r="B21" s="3" t="s">
        <v>285</v>
      </c>
      <c r="C21" s="148">
        <f>_xlfn.XLOOKUP(B:B,[4]人头人次表!$GB:$GB,[4]人头人次表!$GD:$GD)</f>
        <v>154</v>
      </c>
      <c r="D21" s="148">
        <f>_xlfn.XLOOKUP(B:B,[4]人头人次表!$GB:$GB,[4]人头人次表!$GG:$GG)</f>
        <v>89092.800000000003</v>
      </c>
      <c r="E21" s="148">
        <v>3000</v>
      </c>
      <c r="F21" s="148"/>
      <c r="G21" s="148"/>
      <c r="H21" s="148">
        <v>180307.8</v>
      </c>
      <c r="I21" s="148">
        <v>4438.3599999999997</v>
      </c>
      <c r="J21" s="148">
        <v>1593.28</v>
      </c>
      <c r="K21" s="148">
        <v>4101.6000000000004</v>
      </c>
      <c r="L21" s="148">
        <v>1655</v>
      </c>
      <c r="M21" s="148">
        <v>0</v>
      </c>
      <c r="N21" s="148">
        <v>1122.5</v>
      </c>
      <c r="O21" s="148">
        <f t="shared" si="0"/>
        <v>167397.06</v>
      </c>
      <c r="P21" s="149">
        <v>3.5000000000000003E-2</v>
      </c>
      <c r="Q21" s="148">
        <f t="shared" si="1"/>
        <v>5858.8971000000001</v>
      </c>
      <c r="R21" s="150">
        <f t="shared" si="2"/>
        <v>8858.8971000000001</v>
      </c>
      <c r="S21" s="148">
        <f>_xlfn.XLOOKUP(A:A,[3]Sheet1!$B:$B,[3]Sheet1!$L:$L)</f>
        <v>640.55999999999995</v>
      </c>
      <c r="T21" s="148">
        <f>_xlfn.XLOOKUP(A:A,'[6]②7月-汇总'!$D:$D,'[6]②7月-汇总'!$X:$X)</f>
        <v>90</v>
      </c>
      <c r="U21" s="148">
        <v>0</v>
      </c>
      <c r="V21" s="148"/>
      <c r="W21" s="150">
        <f t="shared" si="3"/>
        <v>8128.3370999999997</v>
      </c>
      <c r="X21" s="148"/>
      <c r="Y21" s="155">
        <f>_xlfn.XLOOKUP(A21,[9]工资核对的全字段!$C:$C,[9]工资核对的全字段!$CW:$CW,0)</f>
        <v>8128.3371000000006</v>
      </c>
      <c r="Z21" s="156">
        <f t="shared" si="4"/>
        <v>0</v>
      </c>
    </row>
    <row r="22" spans="1:26" x14ac:dyDescent="0.15">
      <c r="A22" s="3" t="s">
        <v>408</v>
      </c>
      <c r="B22" s="3" t="s">
        <v>205</v>
      </c>
      <c r="C22" s="148">
        <f>_xlfn.XLOOKUP(B:B,[4]人头人次表!$GB:$GB,[4]人头人次表!$GD:$GD)</f>
        <v>191</v>
      </c>
      <c r="D22" s="148">
        <f>_xlfn.XLOOKUP(B:B,[4]人头人次表!$GB:$GB,[4]人头人次表!$GG:$GG)</f>
        <v>127157.72</v>
      </c>
      <c r="E22" s="148">
        <v>3000</v>
      </c>
      <c r="F22" s="148">
        <v>50</v>
      </c>
      <c r="G22" s="148"/>
      <c r="H22" s="148">
        <v>139022</v>
      </c>
      <c r="I22" s="148">
        <v>4456.45</v>
      </c>
      <c r="J22" s="148">
        <v>1510.72</v>
      </c>
      <c r="K22" s="148">
        <v>3717.66</v>
      </c>
      <c r="L22" s="148">
        <v>8980</v>
      </c>
      <c r="M22" s="148">
        <v>0</v>
      </c>
      <c r="N22" s="148">
        <v>881.5</v>
      </c>
      <c r="O22" s="148">
        <f t="shared" si="0"/>
        <v>119475.67</v>
      </c>
      <c r="P22" s="149">
        <v>0.03</v>
      </c>
      <c r="Q22" s="148">
        <f t="shared" si="1"/>
        <v>3584.2701000000002</v>
      </c>
      <c r="R22" s="150">
        <f t="shared" si="2"/>
        <v>6634.2700999999997</v>
      </c>
      <c r="S22" s="148">
        <f>_xlfn.XLOOKUP(A:A,[3]Sheet1!$B:$B,[3]Sheet1!$L:$L)</f>
        <v>640.55999999999995</v>
      </c>
      <c r="T22" s="148">
        <f>_xlfn.XLOOKUP(A:A,'[6]②7月-汇总'!$D:$D,'[6]②7月-汇总'!$X:$X)</f>
        <v>0</v>
      </c>
      <c r="U22" s="148">
        <v>0</v>
      </c>
      <c r="V22" s="148"/>
      <c r="W22" s="150">
        <f t="shared" si="3"/>
        <v>5993.7101000000002</v>
      </c>
      <c r="X22" s="148"/>
      <c r="Y22" s="155">
        <f>_xlfn.XLOOKUP(A22,[9]工资核对的全字段!$C:$C,[9]工资核对的全字段!$CW:$CW,0)</f>
        <v>5993.7101000000002</v>
      </c>
      <c r="Z22" s="156">
        <f t="shared" si="4"/>
        <v>0</v>
      </c>
    </row>
    <row r="23" spans="1:26" x14ac:dyDescent="0.15">
      <c r="A23" s="3" t="s">
        <v>409</v>
      </c>
      <c r="B23" s="3" t="s">
        <v>158</v>
      </c>
      <c r="C23" s="148">
        <f>_xlfn.XLOOKUP(B:B,[4]人头人次表!$GB:$GB,[4]人头人次表!$GD:$GD)</f>
        <v>180</v>
      </c>
      <c r="D23" s="148">
        <f>_xlfn.XLOOKUP(B:B,[4]人头人次表!$GB:$GB,[4]人头人次表!$GG:$GG)</f>
        <v>139162.62</v>
      </c>
      <c r="E23" s="148">
        <v>3500</v>
      </c>
      <c r="F23" s="148"/>
      <c r="G23" s="148"/>
      <c r="H23" s="148">
        <v>169632</v>
      </c>
      <c r="I23" s="148">
        <v>4000</v>
      </c>
      <c r="J23" s="148">
        <v>869.26</v>
      </c>
      <c r="K23" s="148">
        <v>4870.34</v>
      </c>
      <c r="L23" s="148">
        <v>17777.5</v>
      </c>
      <c r="M23" s="148">
        <v>0</v>
      </c>
      <c r="N23" s="148">
        <v>817.1</v>
      </c>
      <c r="O23" s="148">
        <f t="shared" si="0"/>
        <v>141297.79999999999</v>
      </c>
      <c r="P23" s="149">
        <v>0.04</v>
      </c>
      <c r="Q23" s="148">
        <f t="shared" si="1"/>
        <v>5651.9120000000003</v>
      </c>
      <c r="R23" s="150">
        <f t="shared" si="2"/>
        <v>9151.9120000000003</v>
      </c>
      <c r="S23" s="148">
        <f>_xlfn.XLOOKUP(A:A,[3]Sheet1!$B:$B,[3]Sheet1!$L:$L)</f>
        <v>644.16800000000001</v>
      </c>
      <c r="T23" s="148">
        <f>_xlfn.XLOOKUP(A:A,'[6]②7月-汇总'!$D:$D,'[6]②7月-汇总'!$X:$X)</f>
        <v>10</v>
      </c>
      <c r="U23" s="148">
        <v>0</v>
      </c>
      <c r="V23" s="148"/>
      <c r="W23" s="150">
        <f t="shared" si="3"/>
        <v>8497.7440000000006</v>
      </c>
      <c r="X23" s="148"/>
      <c r="Y23" s="155">
        <f>_xlfn.XLOOKUP(A23,[9]工资核对的全字段!$C:$C,[9]工资核对的全字段!$CW:$CW,0)</f>
        <v>8497.7440000000006</v>
      </c>
      <c r="Z23" s="156">
        <f t="shared" si="4"/>
        <v>0</v>
      </c>
    </row>
    <row r="24" spans="1:26" x14ac:dyDescent="0.15">
      <c r="A24" s="3" t="s">
        <v>410</v>
      </c>
      <c r="B24" s="3" t="s">
        <v>92</v>
      </c>
      <c r="C24" s="148">
        <f>_xlfn.XLOOKUP(B:B,[4]人头人次表!$GB:$GB,[4]人头人次表!$GD:$GD)</f>
        <v>192</v>
      </c>
      <c r="D24" s="148">
        <f>_xlfn.XLOOKUP(B:B,[4]人头人次表!$GB:$GB,[4]人头人次表!$GG:$GG)</f>
        <v>146778.57999999999</v>
      </c>
      <c r="E24" s="148">
        <v>3500</v>
      </c>
      <c r="F24" s="148"/>
      <c r="G24" s="148"/>
      <c r="H24" s="148">
        <v>160812</v>
      </c>
      <c r="I24" s="148">
        <v>3500</v>
      </c>
      <c r="J24" s="148">
        <v>1215.3800000000001</v>
      </c>
      <c r="K24" s="148">
        <v>3582.9</v>
      </c>
      <c r="L24" s="148">
        <v>5590</v>
      </c>
      <c r="M24" s="148">
        <v>0</v>
      </c>
      <c r="N24" s="148">
        <v>920.3</v>
      </c>
      <c r="O24" s="148">
        <f t="shared" si="0"/>
        <v>146003.42000000001</v>
      </c>
      <c r="P24" s="149">
        <v>0.04</v>
      </c>
      <c r="Q24" s="148">
        <f t="shared" si="1"/>
        <v>5840.1368000000002</v>
      </c>
      <c r="R24" s="150">
        <f t="shared" si="2"/>
        <v>9340.1368000000002</v>
      </c>
      <c r="S24" s="148">
        <f>_xlfn.XLOOKUP(A:A,[3]Sheet1!$B:$B,[3]Sheet1!$L:$L)</f>
        <v>640.55999999999995</v>
      </c>
      <c r="T24" s="148">
        <f>_xlfn.XLOOKUP(A:A,'[6]②7月-汇总'!$D:$D,'[6]②7月-汇总'!$X:$X)</f>
        <v>90</v>
      </c>
      <c r="U24" s="148">
        <v>0</v>
      </c>
      <c r="V24" s="148"/>
      <c r="W24" s="150">
        <f t="shared" si="3"/>
        <v>8609.5768000000007</v>
      </c>
      <c r="X24" s="148"/>
      <c r="Y24" s="155">
        <f>_xlfn.XLOOKUP(A24,[9]工资核对的全字段!$C:$C,[9]工资核对的全字段!$CW:$CW,0)</f>
        <v>8609.5768000000007</v>
      </c>
      <c r="Z24" s="156">
        <f t="shared" si="4"/>
        <v>0</v>
      </c>
    </row>
    <row r="25" spans="1:26" x14ac:dyDescent="0.15">
      <c r="A25" s="3" t="s">
        <v>411</v>
      </c>
      <c r="B25" s="3" t="s">
        <v>102</v>
      </c>
      <c r="C25" s="148">
        <f>_xlfn.XLOOKUP(B:B,[4]人头人次表!$GB:$GB,[4]人头人次表!$GD:$GD)</f>
        <v>149</v>
      </c>
      <c r="D25" s="148">
        <f>_xlfn.XLOOKUP(B:B,[4]人头人次表!$GB:$GB,[4]人头人次表!$GG:$GG)</f>
        <v>82307.44</v>
      </c>
      <c r="E25" s="148">
        <v>3500</v>
      </c>
      <c r="F25" s="148"/>
      <c r="G25" s="148"/>
      <c r="H25" s="148">
        <v>120949.6</v>
      </c>
      <c r="I25" s="148">
        <v>3699.8</v>
      </c>
      <c r="J25" s="148">
        <v>646.76</v>
      </c>
      <c r="K25" s="148">
        <v>6831.08</v>
      </c>
      <c r="L25" s="148">
        <v>7225</v>
      </c>
      <c r="M25" s="148">
        <v>0</v>
      </c>
      <c r="N25" s="148">
        <v>525.5</v>
      </c>
      <c r="O25" s="148">
        <f t="shared" si="0"/>
        <v>102021.46</v>
      </c>
      <c r="P25" s="149">
        <v>4.4999999999999998E-2</v>
      </c>
      <c r="Q25" s="148">
        <f t="shared" si="1"/>
        <v>4590.9656999999997</v>
      </c>
      <c r="R25" s="150">
        <f t="shared" si="2"/>
        <v>8090.9656999999997</v>
      </c>
      <c r="S25" s="148">
        <f>_xlfn.XLOOKUP(A:A,[3]Sheet1!$B:$B,[3]Sheet1!$L:$L)</f>
        <v>644.16800000000001</v>
      </c>
      <c r="T25" s="148">
        <f>_xlfn.XLOOKUP(A:A,'[6]②7月-汇总'!$D:$D,'[6]②7月-汇总'!$X:$X)</f>
        <v>120</v>
      </c>
      <c r="U25" s="148">
        <v>0</v>
      </c>
      <c r="V25" s="148"/>
      <c r="W25" s="150">
        <f t="shared" si="3"/>
        <v>7326.7977000000001</v>
      </c>
      <c r="X25" s="148"/>
      <c r="Y25" s="155">
        <f>_xlfn.XLOOKUP(A25,[9]工资核对的全字段!$C:$C,[9]工资核对的全字段!$CW:$CW,0)</f>
        <v>7326.7977000000001</v>
      </c>
      <c r="Z25" s="156">
        <f t="shared" si="4"/>
        <v>0</v>
      </c>
    </row>
    <row r="26" spans="1:26" x14ac:dyDescent="0.15">
      <c r="A26" s="3" t="s">
        <v>412</v>
      </c>
      <c r="B26" s="3" t="s">
        <v>73</v>
      </c>
      <c r="C26" s="148">
        <f>_xlfn.XLOOKUP(B:B,[4]人头人次表!$GB:$GB,[4]人头人次表!$GD:$GD)</f>
        <v>155</v>
      </c>
      <c r="D26" s="148">
        <f>_xlfn.XLOOKUP(B:B,[4]人头人次表!$GB:$GB,[4]人头人次表!$GG:$GG)</f>
        <v>180406.1</v>
      </c>
      <c r="E26" s="148">
        <v>4000</v>
      </c>
      <c r="F26" s="148"/>
      <c r="G26" s="148"/>
      <c r="H26" s="148">
        <v>259744.88</v>
      </c>
      <c r="I26" s="148">
        <v>2250</v>
      </c>
      <c r="J26" s="148">
        <v>892.58</v>
      </c>
      <c r="K26" s="148">
        <v>2190.88</v>
      </c>
      <c r="L26" s="148">
        <v>39560</v>
      </c>
      <c r="M26" s="148">
        <v>0</v>
      </c>
      <c r="N26" s="148">
        <v>582.9</v>
      </c>
      <c r="O26" s="148">
        <f t="shared" si="0"/>
        <v>214268.52</v>
      </c>
      <c r="P26" s="149">
        <v>4.4999999999999998E-2</v>
      </c>
      <c r="Q26" s="148">
        <f t="shared" si="1"/>
        <v>9642.0833999999995</v>
      </c>
      <c r="R26" s="150">
        <f t="shared" si="2"/>
        <v>13642.0834</v>
      </c>
      <c r="S26" s="148">
        <f>_xlfn.XLOOKUP(A:A,[3]Sheet1!$B:$B,[3]Sheet1!$L:$L)</f>
        <v>640.55999999999995</v>
      </c>
      <c r="T26" s="148">
        <f>_xlfn.XLOOKUP(A:A,'[6]②7月-汇总'!$D:$D,'[6]②7月-汇总'!$X:$X)</f>
        <v>20</v>
      </c>
      <c r="U26" s="148">
        <v>0</v>
      </c>
      <c r="V26" s="148"/>
      <c r="W26" s="150">
        <f t="shared" si="3"/>
        <v>12981.5234</v>
      </c>
      <c r="X26" s="148"/>
      <c r="Y26" s="155">
        <f>_xlfn.XLOOKUP(A26,[9]工资核对的全字段!$C:$C,[9]工资核对的全字段!$CW:$CW,0)</f>
        <v>12981.523400000002</v>
      </c>
      <c r="Z26" s="156">
        <f t="shared" si="4"/>
        <v>0</v>
      </c>
    </row>
  </sheetData>
  <phoneticPr fontId="20" type="noConversion"/>
  <conditionalFormatting sqref="A1">
    <cfRule type="duplicateValues" dxfId="6" priority="1"/>
  </conditionalFormatting>
  <conditionalFormatting sqref="B1">
    <cfRule type="duplicateValues" dxfId="5" priority="2"/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55"/>
  <sheetViews>
    <sheetView workbookViewId="0">
      <selection activeCell="S26" sqref="S26"/>
    </sheetView>
  </sheetViews>
  <sheetFormatPr defaultColWidth="9" defaultRowHeight="13.5" x14ac:dyDescent="0.15"/>
  <cols>
    <col min="1" max="2" width="8.75"/>
    <col min="3" max="3" width="11.75"/>
    <col min="4" max="5" width="8.75"/>
    <col min="6" max="6" width="8.875"/>
    <col min="7" max="7" width="8.75"/>
    <col min="8" max="8" width="11.75"/>
    <col min="9" max="13" width="8.75"/>
    <col min="14" max="14" width="16.625" customWidth="1"/>
    <col min="15" max="15" width="30.125" customWidth="1"/>
    <col min="16" max="19" width="8.75"/>
  </cols>
  <sheetData>
    <row r="1" spans="1:17" x14ac:dyDescent="0.15">
      <c r="A1" s="13" t="s">
        <v>319</v>
      </c>
      <c r="B1" s="13" t="s">
        <v>0</v>
      </c>
      <c r="C1" s="13" t="s">
        <v>19</v>
      </c>
      <c r="D1" s="14" t="s">
        <v>24</v>
      </c>
      <c r="E1" s="14" t="s">
        <v>1</v>
      </c>
      <c r="F1" s="15" t="s">
        <v>413</v>
      </c>
      <c r="G1" s="15" t="s">
        <v>365</v>
      </c>
      <c r="H1" s="14" t="s">
        <v>320</v>
      </c>
      <c r="I1" s="27" t="s">
        <v>17</v>
      </c>
      <c r="J1" s="13" t="s">
        <v>385</v>
      </c>
      <c r="K1" s="28" t="s">
        <v>324</v>
      </c>
      <c r="L1" s="13" t="s">
        <v>414</v>
      </c>
      <c r="M1" s="13" t="s">
        <v>326</v>
      </c>
      <c r="N1" s="13" t="s">
        <v>415</v>
      </c>
      <c r="O1" s="28" t="s">
        <v>368</v>
      </c>
    </row>
    <row r="2" spans="1:17" x14ac:dyDescent="0.15">
      <c r="A2" s="112" t="s">
        <v>416</v>
      </c>
      <c r="B2" s="112">
        <v>6</v>
      </c>
      <c r="C2" s="113">
        <v>4000</v>
      </c>
      <c r="D2" s="112"/>
      <c r="E2" s="14" t="s">
        <v>150</v>
      </c>
      <c r="F2" s="17">
        <f>_xlfn.XLOOKUP(E:E,[4]门店排名!$C:$C,[4]门店排名!$E:$E)</f>
        <v>150694</v>
      </c>
      <c r="G2" s="16">
        <v>131274.23000000001</v>
      </c>
      <c r="H2" s="16">
        <f>G2*0.01</f>
        <v>1312.7423000000001</v>
      </c>
      <c r="I2" s="113">
        <v>7381</v>
      </c>
      <c r="J2" s="113">
        <f>C2+I2</f>
        <v>11381</v>
      </c>
      <c r="K2" s="113">
        <v>640.55999999999995</v>
      </c>
      <c r="L2" s="112">
        <v>20</v>
      </c>
      <c r="M2" s="112"/>
      <c r="N2" s="129">
        <v>1000</v>
      </c>
      <c r="O2" s="113">
        <f>J2-K2-L2-M2-N2</f>
        <v>9720.44</v>
      </c>
      <c r="P2">
        <f>_xlfn.XLOOKUP(A2,[9]工资核对的全字段!$C:$C,[9]工资核对的全字段!$CW:$CW,0)</f>
        <v>9720.5614000000005</v>
      </c>
      <c r="Q2" s="36">
        <f>P2-O2</f>
        <v>0.12139999999999418</v>
      </c>
    </row>
    <row r="3" spans="1:17" x14ac:dyDescent="0.15">
      <c r="A3" s="112"/>
      <c r="B3" s="112"/>
      <c r="C3" s="113"/>
      <c r="D3" s="112"/>
      <c r="E3" s="14" t="s">
        <v>140</v>
      </c>
      <c r="F3" s="17">
        <f>_xlfn.XLOOKUP(E:E,[4]门店排名!$C:$C,[4]门店排名!$E:$E)</f>
        <v>152421</v>
      </c>
      <c r="G3" s="16">
        <v>145914.04999999999</v>
      </c>
      <c r="H3" s="16">
        <f>G3*0.01</f>
        <v>1459.1405</v>
      </c>
      <c r="I3" s="113"/>
      <c r="J3" s="113"/>
      <c r="K3" s="113"/>
      <c r="L3" s="112"/>
      <c r="M3" s="112"/>
      <c r="N3" s="130"/>
      <c r="O3" s="113"/>
      <c r="P3">
        <f>_xlfn.XLOOKUP(A3,[9]工资核对的全字段!$C:$C,[9]工资核对的全字段!$CW:$CW,0)</f>
        <v>0</v>
      </c>
      <c r="Q3" s="36">
        <f t="shared" ref="Q3:Q55" si="0">P3-O3</f>
        <v>0</v>
      </c>
    </row>
    <row r="4" spans="1:17" x14ac:dyDescent="0.15">
      <c r="A4" s="112"/>
      <c r="B4" s="112"/>
      <c r="C4" s="113"/>
      <c r="D4" s="112"/>
      <c r="E4" s="14" t="s">
        <v>168</v>
      </c>
      <c r="F4" s="17">
        <f>_xlfn.XLOOKUP(E:E,[4]门店排名!$C:$C,[4]门店排名!$E:$E)</f>
        <v>150422</v>
      </c>
      <c r="G4" s="16">
        <v>137585.4</v>
      </c>
      <c r="H4" s="16">
        <f>G4*0.01</f>
        <v>1375.854</v>
      </c>
      <c r="I4" s="113"/>
      <c r="J4" s="113"/>
      <c r="K4" s="113"/>
      <c r="L4" s="112"/>
      <c r="M4" s="112"/>
      <c r="N4" s="130"/>
      <c r="O4" s="113"/>
      <c r="P4">
        <f>_xlfn.XLOOKUP(A4,[9]工资核对的全字段!$C:$C,[9]工资核对的全字段!$CW:$CW,0)</f>
        <v>0</v>
      </c>
      <c r="Q4" s="36">
        <f t="shared" si="0"/>
        <v>0</v>
      </c>
    </row>
    <row r="5" spans="1:17" x14ac:dyDescent="0.15">
      <c r="A5" s="112"/>
      <c r="B5" s="112"/>
      <c r="C5" s="113"/>
      <c r="D5" s="112"/>
      <c r="E5" s="14" t="s">
        <v>131</v>
      </c>
      <c r="F5" s="17">
        <f>_xlfn.XLOOKUP(E:E,[4]门店排名!$C:$C,[4]门店排名!$E:$E)</f>
        <v>180024</v>
      </c>
      <c r="G5" s="16">
        <v>171360.44</v>
      </c>
      <c r="H5" s="16">
        <v>1820</v>
      </c>
      <c r="I5" s="113"/>
      <c r="J5" s="113"/>
      <c r="K5" s="113"/>
      <c r="L5" s="112"/>
      <c r="M5" s="112"/>
      <c r="N5" s="130"/>
      <c r="O5" s="113"/>
      <c r="P5">
        <f>_xlfn.XLOOKUP(A5,[9]工资核对的全字段!$C:$C,[9]工资核对的全字段!$CW:$CW,0)</f>
        <v>0</v>
      </c>
      <c r="Q5" s="36">
        <f t="shared" si="0"/>
        <v>0</v>
      </c>
    </row>
    <row r="6" spans="1:17" x14ac:dyDescent="0.15">
      <c r="A6" s="112"/>
      <c r="B6" s="112"/>
      <c r="C6" s="113"/>
      <c r="D6" s="112"/>
      <c r="E6" s="14" t="s">
        <v>158</v>
      </c>
      <c r="F6" s="17">
        <f>_xlfn.XLOOKUP(E:E,[4]门店排名!$C:$C,[4]门店排名!$E:$E)</f>
        <v>169632</v>
      </c>
      <c r="G6" s="16">
        <v>141297.79999999999</v>
      </c>
      <c r="H6" s="16">
        <f>G6*0.01</f>
        <v>1412.9779999999998</v>
      </c>
      <c r="I6" s="113"/>
      <c r="J6" s="113"/>
      <c r="K6" s="113"/>
      <c r="L6" s="112"/>
      <c r="M6" s="112"/>
      <c r="N6" s="130"/>
      <c r="O6" s="113"/>
      <c r="P6">
        <f>_xlfn.XLOOKUP(A6,[9]工资核对的全字段!$C:$C,[9]工资核对的全字段!$CW:$CW,0)</f>
        <v>0</v>
      </c>
      <c r="Q6" s="36">
        <f t="shared" si="0"/>
        <v>0</v>
      </c>
    </row>
    <row r="7" spans="1:17" x14ac:dyDescent="0.15">
      <c r="A7" s="112"/>
      <c r="B7" s="112"/>
      <c r="C7" s="113"/>
      <c r="D7" s="112"/>
      <c r="E7" s="14" t="s">
        <v>121</v>
      </c>
      <c r="F7" s="17">
        <f>_xlfn.XLOOKUP(E:E,[4]门店排名!$C:$C,[4]门店排名!$E:$E)</f>
        <v>158633</v>
      </c>
      <c r="G7" s="16">
        <v>152070.18</v>
      </c>
      <c r="H7" s="16">
        <v>0</v>
      </c>
      <c r="I7" s="113"/>
      <c r="J7" s="113"/>
      <c r="K7" s="113"/>
      <c r="L7" s="112"/>
      <c r="M7" s="112"/>
      <c r="N7" s="131"/>
      <c r="O7" s="113"/>
      <c r="P7">
        <f>_xlfn.XLOOKUP(A7,[9]工资核对的全字段!$C:$C,[9]工资核对的全字段!$CW:$CW,0)</f>
        <v>0</v>
      </c>
      <c r="Q7" s="36">
        <f t="shared" si="0"/>
        <v>0</v>
      </c>
    </row>
    <row r="8" spans="1:17" x14ac:dyDescent="0.15">
      <c r="A8" s="18"/>
      <c r="B8" s="18"/>
      <c r="C8" s="18"/>
      <c r="D8" s="18"/>
      <c r="E8" s="18"/>
      <c r="F8" s="17">
        <f>_xlfn.XLOOKUP(E:E,[4]门店排名!$C:$C,[4]门店排名!$E:$E)</f>
        <v>0</v>
      </c>
      <c r="G8" s="16">
        <v>0</v>
      </c>
      <c r="H8" s="18"/>
      <c r="I8" s="29"/>
      <c r="J8" s="29"/>
      <c r="K8" s="29"/>
      <c r="L8" s="18"/>
      <c r="M8" s="18"/>
      <c r="N8" s="29"/>
      <c r="O8" s="30"/>
      <c r="P8">
        <f>_xlfn.XLOOKUP(A8,[9]工资核对的全字段!$C:$C,[9]工资核对的全字段!$CW:$CW,0)</f>
        <v>0</v>
      </c>
      <c r="Q8" s="36">
        <f t="shared" si="0"/>
        <v>0</v>
      </c>
    </row>
    <row r="9" spans="1:17" x14ac:dyDescent="0.15">
      <c r="A9" s="13" t="s">
        <v>319</v>
      </c>
      <c r="B9" s="13" t="s">
        <v>0</v>
      </c>
      <c r="C9" s="13" t="s">
        <v>19</v>
      </c>
      <c r="D9" s="14" t="s">
        <v>24</v>
      </c>
      <c r="E9" s="14" t="s">
        <v>1</v>
      </c>
      <c r="F9" s="15" t="str">
        <f>_xlfn.XLOOKUP(E:E,[4]门店排名!$C:$C,[4]门店排名!$E:$E)</f>
        <v>完成业绩</v>
      </c>
      <c r="G9" s="15" t="s">
        <v>365</v>
      </c>
      <c r="H9" s="14" t="s">
        <v>320</v>
      </c>
      <c r="I9" s="31" t="s">
        <v>17</v>
      </c>
      <c r="J9" s="28" t="s">
        <v>385</v>
      </c>
      <c r="K9" s="28" t="s">
        <v>324</v>
      </c>
      <c r="L9" s="13" t="s">
        <v>414</v>
      </c>
      <c r="M9" s="13" t="s">
        <v>326</v>
      </c>
      <c r="N9" s="28" t="s">
        <v>368</v>
      </c>
      <c r="O9" s="13" t="s">
        <v>40</v>
      </c>
      <c r="P9" t="str">
        <f>_xlfn.XLOOKUP(A9,[9]工资核对的全字段!$C:$C,[9]工资核对的全字段!$CW:$CW,0)</f>
        <v>当月支付总额</v>
      </c>
      <c r="Q9" s="36" t="e">
        <f t="shared" si="0"/>
        <v>#VALUE!</v>
      </c>
    </row>
    <row r="10" spans="1:17" x14ac:dyDescent="0.15">
      <c r="A10" s="113" t="s">
        <v>417</v>
      </c>
      <c r="B10" s="113">
        <v>6</v>
      </c>
      <c r="C10" s="113">
        <v>4000</v>
      </c>
      <c r="D10" s="113"/>
      <c r="E10" s="14" t="s">
        <v>223</v>
      </c>
      <c r="F10" s="17">
        <f>_xlfn.XLOOKUP(E:E,[4]门店排名!$C:$C,[4]门店排名!$E:$E)</f>
        <v>522756</v>
      </c>
      <c r="G10" s="16">
        <v>490659.57</v>
      </c>
      <c r="H10" s="19">
        <f>3500+750+90660*0.02</f>
        <v>6063.2</v>
      </c>
      <c r="I10" s="113">
        <v>7483</v>
      </c>
      <c r="J10" s="113">
        <f>C10+I10</f>
        <v>11483</v>
      </c>
      <c r="K10" s="113">
        <v>640.55999999999995</v>
      </c>
      <c r="L10" s="113">
        <v>10</v>
      </c>
      <c r="M10" s="124"/>
      <c r="N10" s="113">
        <f>J10-K10-L10-M10</f>
        <v>10832.44</v>
      </c>
      <c r="O10" s="113"/>
      <c r="P10">
        <f>_xlfn.XLOOKUP(A10,[9]工资核对的全字段!$C:$C,[9]工资核对的全字段!$CW:$CW,0)</f>
        <v>10838.4771</v>
      </c>
      <c r="Q10" s="36">
        <f>P10-N10</f>
        <v>6.0370999999995547</v>
      </c>
    </row>
    <row r="11" spans="1:17" x14ac:dyDescent="0.15">
      <c r="A11" s="113"/>
      <c r="B11" s="113"/>
      <c r="C11" s="113"/>
      <c r="D11" s="113"/>
      <c r="E11" s="14" t="s">
        <v>186</v>
      </c>
      <c r="F11" s="17">
        <f>_xlfn.XLOOKUP(E:E,[4]门店排名!$C:$C,[4]门店排名!$E:$E)</f>
        <v>220223</v>
      </c>
      <c r="G11" s="16">
        <v>204200.89</v>
      </c>
      <c r="H11" s="16">
        <v>0</v>
      </c>
      <c r="I11" s="113"/>
      <c r="J11" s="113"/>
      <c r="K11" s="113"/>
      <c r="L11" s="113"/>
      <c r="M11" s="125"/>
      <c r="N11" s="113"/>
      <c r="O11" s="113"/>
      <c r="P11">
        <f>_xlfn.XLOOKUP(A11,[9]工资核对的全字段!$C:$C,[9]工资核对的全字段!$CW:$CW,0)</f>
        <v>0</v>
      </c>
      <c r="Q11" s="36">
        <f t="shared" ref="Q11:Q55" si="1">P11-N11</f>
        <v>0</v>
      </c>
    </row>
    <row r="12" spans="1:17" x14ac:dyDescent="0.15">
      <c r="A12" s="113"/>
      <c r="B12" s="113"/>
      <c r="C12" s="113"/>
      <c r="D12" s="113"/>
      <c r="E12" s="14" t="s">
        <v>196</v>
      </c>
      <c r="F12" s="17">
        <f>_xlfn.XLOOKUP(E:E,[4]门店排名!$C:$C,[4]门店排名!$E:$E)</f>
        <v>111267</v>
      </c>
      <c r="G12" s="16">
        <v>95534.82</v>
      </c>
      <c r="H12" s="16">
        <v>0</v>
      </c>
      <c r="I12" s="113"/>
      <c r="J12" s="113"/>
      <c r="K12" s="113"/>
      <c r="L12" s="113"/>
      <c r="M12" s="125"/>
      <c r="N12" s="113"/>
      <c r="O12" s="113"/>
      <c r="P12">
        <f>_xlfn.XLOOKUP(A12,[9]工资核对的全字段!$C:$C,[9]工资核对的全字段!$CW:$CW,0)</f>
        <v>0</v>
      </c>
      <c r="Q12" s="36">
        <f t="shared" si="1"/>
        <v>0</v>
      </c>
    </row>
    <row r="13" spans="1:17" x14ac:dyDescent="0.15">
      <c r="A13" s="113"/>
      <c r="B13" s="113"/>
      <c r="C13" s="113"/>
      <c r="D13" s="113"/>
      <c r="E13" s="14" t="s">
        <v>215</v>
      </c>
      <c r="F13" s="17">
        <f>_xlfn.XLOOKUP(E:E,[4]门店排名!$C:$C,[4]门店排名!$E:$E)</f>
        <v>153950.6</v>
      </c>
      <c r="G13" s="16">
        <v>142584.57</v>
      </c>
      <c r="H13" s="16">
        <f>G13*0.01</f>
        <v>1425.8457000000001</v>
      </c>
      <c r="I13" s="113"/>
      <c r="J13" s="113"/>
      <c r="K13" s="113"/>
      <c r="L13" s="113"/>
      <c r="M13" s="125"/>
      <c r="N13" s="113"/>
      <c r="O13" s="113"/>
      <c r="P13">
        <f>_xlfn.XLOOKUP(A13,[9]工资核对的全字段!$C:$C,[9]工资核对的全字段!$CW:$CW,0)</f>
        <v>0</v>
      </c>
      <c r="Q13" s="36">
        <f t="shared" si="1"/>
        <v>0</v>
      </c>
    </row>
    <row r="14" spans="1:17" x14ac:dyDescent="0.15">
      <c r="A14" s="113"/>
      <c r="B14" s="113"/>
      <c r="C14" s="113"/>
      <c r="D14" s="113"/>
      <c r="E14" s="14" t="s">
        <v>177</v>
      </c>
      <c r="F14" s="17">
        <f>_xlfn.XLOOKUP(E:E,[4]门店排名!$C:$C,[4]门店排名!$E:$E)</f>
        <v>135590</v>
      </c>
      <c r="G14" s="16">
        <v>125352.01</v>
      </c>
      <c r="H14" s="16">
        <v>0</v>
      </c>
      <c r="I14" s="113"/>
      <c r="J14" s="113"/>
      <c r="K14" s="113"/>
      <c r="L14" s="113"/>
      <c r="M14" s="126"/>
      <c r="N14" s="113"/>
      <c r="O14" s="113"/>
      <c r="P14">
        <f>_xlfn.XLOOKUP(A14,[9]工资核对的全字段!$C:$C,[9]工资核对的全字段!$CW:$CW,0)</f>
        <v>0</v>
      </c>
      <c r="Q14" s="36">
        <f t="shared" si="1"/>
        <v>0</v>
      </c>
    </row>
    <row r="15" spans="1:17" x14ac:dyDescent="0.15">
      <c r="A15" s="18"/>
      <c r="B15" s="18"/>
      <c r="C15" s="18"/>
      <c r="D15" s="18"/>
      <c r="E15" s="20"/>
      <c r="F15" s="17">
        <f>_xlfn.XLOOKUP(E:E,[4]门店排名!$C:$C,[4]门店排名!$E:$E)</f>
        <v>0</v>
      </c>
      <c r="G15" s="16">
        <v>0</v>
      </c>
      <c r="H15" s="20"/>
      <c r="I15" s="32"/>
      <c r="J15" s="32"/>
      <c r="K15" s="32"/>
      <c r="L15" s="20"/>
      <c r="M15" s="20"/>
      <c r="N15" s="32"/>
      <c r="O15" s="20"/>
      <c r="P15">
        <f>_xlfn.XLOOKUP(A15,[9]工资核对的全字段!$C:$C,[9]工资核对的全字段!$CW:$CW,0)</f>
        <v>0</v>
      </c>
      <c r="Q15" s="36">
        <f t="shared" si="1"/>
        <v>0</v>
      </c>
    </row>
    <row r="16" spans="1:17" x14ac:dyDescent="0.15">
      <c r="A16" s="18"/>
      <c r="B16" s="18"/>
      <c r="C16" s="18"/>
      <c r="D16" s="18"/>
      <c r="E16" s="18"/>
      <c r="F16" s="17">
        <f>_xlfn.XLOOKUP(E:E,[4]门店排名!$C:$C,[4]门店排名!$E:$E)</f>
        <v>0</v>
      </c>
      <c r="G16" s="16">
        <v>0</v>
      </c>
      <c r="H16" s="18"/>
      <c r="I16" s="29"/>
      <c r="J16" s="29"/>
      <c r="K16" s="29"/>
      <c r="L16" s="18"/>
      <c r="M16" s="18"/>
      <c r="N16" s="29"/>
      <c r="O16" s="18"/>
      <c r="P16">
        <f>_xlfn.XLOOKUP(A16,[9]工资核对的全字段!$C:$C,[9]工资核对的全字段!$CW:$CW,0)</f>
        <v>0</v>
      </c>
      <c r="Q16" s="36">
        <f t="shared" si="1"/>
        <v>0</v>
      </c>
    </row>
    <row r="17" spans="1:17" x14ac:dyDescent="0.15">
      <c r="A17" s="13" t="s">
        <v>319</v>
      </c>
      <c r="B17" s="13" t="s">
        <v>0</v>
      </c>
      <c r="C17" s="13" t="s">
        <v>19</v>
      </c>
      <c r="D17" s="14" t="s">
        <v>24</v>
      </c>
      <c r="E17" s="14" t="s">
        <v>1</v>
      </c>
      <c r="F17" s="15" t="str">
        <f>_xlfn.XLOOKUP(E:E,[4]门店排名!$C:$C,[4]门店排名!$E:$E)</f>
        <v>完成业绩</v>
      </c>
      <c r="G17" s="15" t="s">
        <v>365</v>
      </c>
      <c r="H17" s="14" t="s">
        <v>320</v>
      </c>
      <c r="I17" s="31" t="s">
        <v>17</v>
      </c>
      <c r="J17" s="28" t="s">
        <v>385</v>
      </c>
      <c r="K17" s="28" t="s">
        <v>324</v>
      </c>
      <c r="L17" s="13" t="s">
        <v>414</v>
      </c>
      <c r="M17" s="13" t="s">
        <v>326</v>
      </c>
      <c r="N17" s="28" t="s">
        <v>368</v>
      </c>
      <c r="O17" s="13" t="s">
        <v>40</v>
      </c>
      <c r="P17" t="str">
        <f>_xlfn.XLOOKUP(A17,[9]工资核对的全字段!$C:$C,[9]工资核对的全字段!$CW:$CW,0)</f>
        <v>当月支付总额</v>
      </c>
      <c r="Q17" s="36" t="e">
        <f t="shared" si="1"/>
        <v>#VALUE!</v>
      </c>
    </row>
    <row r="18" spans="1:17" x14ac:dyDescent="0.15">
      <c r="A18" s="112" t="s">
        <v>418</v>
      </c>
      <c r="B18" s="112">
        <v>6</v>
      </c>
      <c r="C18" s="113">
        <v>4000</v>
      </c>
      <c r="D18" s="112"/>
      <c r="E18" s="14" t="s">
        <v>63</v>
      </c>
      <c r="F18" s="17">
        <f>_xlfn.XLOOKUP(E:E,[4]门店排名!$C:$C,[4]门店排名!$E:$E)</f>
        <v>407490.19</v>
      </c>
      <c r="G18" s="16">
        <v>363971.12</v>
      </c>
      <c r="H18" s="16">
        <f>3200+43971*0.015</f>
        <v>3859.5650000000001</v>
      </c>
      <c r="I18" s="113">
        <v>6395</v>
      </c>
      <c r="J18" s="113">
        <f>C18+I18+D18</f>
        <v>10395</v>
      </c>
      <c r="K18" s="113"/>
      <c r="L18" s="123">
        <v>10</v>
      </c>
      <c r="M18" s="123"/>
      <c r="N18" s="113">
        <f>J18-L18-M18</f>
        <v>10385</v>
      </c>
      <c r="O18" s="134"/>
      <c r="P18">
        <f>_xlfn.XLOOKUP(A18,[9]工资核对的全字段!$C:$C,[9]工资核对的全字段!$CW:$CW,0)</f>
        <v>10384.9372</v>
      </c>
      <c r="Q18" s="36">
        <f t="shared" si="1"/>
        <v>-6.279999999969732E-2</v>
      </c>
    </row>
    <row r="19" spans="1:17" x14ac:dyDescent="0.15">
      <c r="A19" s="112"/>
      <c r="B19" s="112"/>
      <c r="C19" s="113"/>
      <c r="D19" s="112"/>
      <c r="E19" s="14">
        <v>468</v>
      </c>
      <c r="F19" s="17">
        <f>_xlfn.XLOOKUP(E:E,[4]门店排名!$C:$C,[4]门店排名!$E:$E)</f>
        <v>140295</v>
      </c>
      <c r="G19" s="16">
        <v>127193.11</v>
      </c>
      <c r="H19" s="16">
        <v>0</v>
      </c>
      <c r="I19" s="113"/>
      <c r="J19" s="113"/>
      <c r="K19" s="113"/>
      <c r="L19" s="123"/>
      <c r="M19" s="123"/>
      <c r="N19" s="113"/>
      <c r="O19" s="134"/>
      <c r="P19">
        <f>_xlfn.XLOOKUP(A19,[9]工资核对的全字段!$C:$C,[9]工资核对的全字段!$CW:$CW,0)</f>
        <v>0</v>
      </c>
      <c r="Q19" s="36">
        <f t="shared" si="1"/>
        <v>0</v>
      </c>
    </row>
    <row r="20" spans="1:17" x14ac:dyDescent="0.15">
      <c r="A20" s="112"/>
      <c r="B20" s="112"/>
      <c r="C20" s="113"/>
      <c r="D20" s="112"/>
      <c r="E20" s="14" t="s">
        <v>73</v>
      </c>
      <c r="F20" s="17">
        <f>_xlfn.XLOOKUP(E:E,[4]门店排名!$C:$C,[4]门店排名!$E:$E)</f>
        <v>259744.88</v>
      </c>
      <c r="G20" s="16">
        <v>214268.52</v>
      </c>
      <c r="H20" s="16">
        <f>1500+750+14269*0.02</f>
        <v>2535.38</v>
      </c>
      <c r="I20" s="113"/>
      <c r="J20" s="113"/>
      <c r="K20" s="113"/>
      <c r="L20" s="123"/>
      <c r="M20" s="123"/>
      <c r="N20" s="113"/>
      <c r="O20" s="134"/>
      <c r="P20">
        <f>_xlfn.XLOOKUP(A20,[9]工资核对的全字段!$C:$C,[9]工资核对的全字段!$CW:$CW,0)</f>
        <v>0</v>
      </c>
      <c r="Q20" s="36">
        <f t="shared" si="1"/>
        <v>0</v>
      </c>
    </row>
    <row r="21" spans="1:17" x14ac:dyDescent="0.15">
      <c r="A21" s="112"/>
      <c r="B21" s="112"/>
      <c r="C21" s="113"/>
      <c r="D21" s="112"/>
      <c r="E21" s="14" t="s">
        <v>82</v>
      </c>
      <c r="F21" s="17">
        <f>_xlfn.XLOOKUP(E:E,[4]门店排名!$C:$C,[4]门店排名!$E:$E)</f>
        <v>100934</v>
      </c>
      <c r="G21" s="16">
        <v>89096.79</v>
      </c>
      <c r="H21" s="16">
        <v>0</v>
      </c>
      <c r="I21" s="113"/>
      <c r="J21" s="113"/>
      <c r="K21" s="113"/>
      <c r="L21" s="123"/>
      <c r="M21" s="123"/>
      <c r="N21" s="113"/>
      <c r="O21" s="134"/>
      <c r="P21">
        <f>_xlfn.XLOOKUP(A21,[9]工资核对的全字段!$C:$C,[9]工资核对的全字段!$CW:$CW,0)</f>
        <v>0</v>
      </c>
      <c r="Q21" s="36">
        <f t="shared" si="1"/>
        <v>0</v>
      </c>
    </row>
    <row r="22" spans="1:17" x14ac:dyDescent="0.15">
      <c r="A22" s="112"/>
      <c r="B22" s="112"/>
      <c r="C22" s="113"/>
      <c r="D22" s="112"/>
      <c r="E22" s="14" t="s">
        <v>52</v>
      </c>
      <c r="F22" s="17">
        <f>_xlfn.XLOOKUP(E:E,[4]门店排名!$C:$C,[4]门店排名!$E:$E)</f>
        <v>201952.3</v>
      </c>
      <c r="G22" s="16">
        <v>190485.74</v>
      </c>
      <c r="H22" s="16">
        <v>0</v>
      </c>
      <c r="I22" s="113"/>
      <c r="J22" s="113"/>
      <c r="K22" s="113"/>
      <c r="L22" s="123"/>
      <c r="M22" s="123"/>
      <c r="N22" s="113"/>
      <c r="O22" s="134"/>
      <c r="P22">
        <f>_xlfn.XLOOKUP(A22,[9]工资核对的全字段!$C:$C,[9]工资核对的全字段!$CW:$CW,0)</f>
        <v>0</v>
      </c>
      <c r="Q22" s="36">
        <f t="shared" si="1"/>
        <v>0</v>
      </c>
    </row>
    <row r="23" spans="1:17" x14ac:dyDescent="0.15">
      <c r="A23" s="18"/>
      <c r="B23" s="18"/>
      <c r="C23" s="18"/>
      <c r="D23" s="18"/>
      <c r="E23" s="18"/>
      <c r="F23" s="17">
        <f>_xlfn.XLOOKUP(E:E,[4]门店排名!$C:$C,[4]门店排名!$E:$E)</f>
        <v>0</v>
      </c>
      <c r="G23" s="16">
        <v>0</v>
      </c>
      <c r="H23" s="18"/>
      <c r="I23" s="29"/>
      <c r="J23" s="29"/>
      <c r="K23" s="29"/>
      <c r="L23" s="18"/>
      <c r="M23" s="18"/>
      <c r="N23" s="29"/>
      <c r="O23" s="18"/>
      <c r="P23">
        <f>_xlfn.XLOOKUP(A23,[9]工资核对的全字段!$C:$C,[9]工资核对的全字段!$CW:$CW,0)</f>
        <v>0</v>
      </c>
      <c r="Q23" s="36">
        <f t="shared" si="1"/>
        <v>0</v>
      </c>
    </row>
    <row r="24" spans="1:17" x14ac:dyDescent="0.15">
      <c r="A24" s="13" t="s">
        <v>319</v>
      </c>
      <c r="B24" s="13" t="s">
        <v>0</v>
      </c>
      <c r="C24" s="13" t="s">
        <v>19</v>
      </c>
      <c r="D24" s="14" t="s">
        <v>24</v>
      </c>
      <c r="E24" s="14" t="s">
        <v>1</v>
      </c>
      <c r="F24" s="15" t="str">
        <f>_xlfn.XLOOKUP(E:E,[4]门店排名!$C:$C,[4]门店排名!$E:$E)</f>
        <v>完成业绩</v>
      </c>
      <c r="G24" s="15" t="s">
        <v>365</v>
      </c>
      <c r="H24" s="14" t="s">
        <v>320</v>
      </c>
      <c r="I24" s="31" t="s">
        <v>17</v>
      </c>
      <c r="J24" s="28" t="s">
        <v>385</v>
      </c>
      <c r="K24" s="28" t="s">
        <v>324</v>
      </c>
      <c r="L24" s="28" t="s">
        <v>326</v>
      </c>
      <c r="M24" s="13" t="s">
        <v>414</v>
      </c>
      <c r="N24" s="28" t="s">
        <v>368</v>
      </c>
      <c r="O24" s="13" t="s">
        <v>40</v>
      </c>
      <c r="P24" t="str">
        <f>_xlfn.XLOOKUP(A24,[9]工资核对的全字段!$C:$C,[9]工资核对的全字段!$CW:$CW,0)</f>
        <v>当月支付总额</v>
      </c>
      <c r="Q24" s="36" t="e">
        <f t="shared" si="1"/>
        <v>#VALUE!</v>
      </c>
    </row>
    <row r="25" spans="1:17" x14ac:dyDescent="0.15">
      <c r="A25" s="112" t="s">
        <v>419</v>
      </c>
      <c r="B25" s="112">
        <v>6</v>
      </c>
      <c r="C25" s="112">
        <v>4000</v>
      </c>
      <c r="D25" s="112"/>
      <c r="E25" s="14" t="s">
        <v>261</v>
      </c>
      <c r="F25" s="17">
        <f>_xlfn.XLOOKUP(E:E,[4]门店排名!$C:$C,[4]门店排名!$E:$E)</f>
        <v>92371</v>
      </c>
      <c r="G25" s="16">
        <v>87940.58</v>
      </c>
      <c r="H25" s="16">
        <v>0</v>
      </c>
      <c r="I25" s="113">
        <v>3710</v>
      </c>
      <c r="J25" s="113">
        <f>C25+I25</f>
        <v>7710</v>
      </c>
      <c r="K25" s="113">
        <v>640.55999999999995</v>
      </c>
      <c r="L25" s="124"/>
      <c r="M25" s="112">
        <v>10</v>
      </c>
      <c r="N25" s="113">
        <f>J25-K25-M25-L25</f>
        <v>7059.4400000000005</v>
      </c>
      <c r="O25" s="135"/>
      <c r="P25">
        <f>_xlfn.XLOOKUP(A25,[9]工资核对的全字段!$C:$C,[9]工资核对的全字段!$CW:$CW,0)</f>
        <v>7059.6610000000001</v>
      </c>
      <c r="Q25" s="36">
        <f t="shared" si="1"/>
        <v>0.22099999999954889</v>
      </c>
    </row>
    <row r="26" spans="1:17" x14ac:dyDescent="0.15">
      <c r="A26" s="112"/>
      <c r="B26" s="112"/>
      <c r="C26" s="112"/>
      <c r="D26" s="112"/>
      <c r="E26" s="14" t="s">
        <v>252</v>
      </c>
      <c r="F26" s="17">
        <f>_xlfn.XLOOKUP(E:E,[4]门店排名!$C:$C,[4]门店排名!$E:$E)</f>
        <v>205041</v>
      </c>
      <c r="G26" s="16">
        <v>184338.94</v>
      </c>
      <c r="H26" s="16">
        <f>1500+34339*0.02</f>
        <v>2186.7799999999997</v>
      </c>
      <c r="I26" s="113"/>
      <c r="J26" s="113"/>
      <c r="K26" s="113"/>
      <c r="L26" s="125"/>
      <c r="M26" s="112"/>
      <c r="N26" s="113"/>
      <c r="O26" s="112"/>
      <c r="P26">
        <f>_xlfn.XLOOKUP(A26,[9]工资核对的全字段!$C:$C,[9]工资核对的全字段!$CW:$CW,0)</f>
        <v>0</v>
      </c>
      <c r="Q26" s="36">
        <f t="shared" si="1"/>
        <v>0</v>
      </c>
    </row>
    <row r="27" spans="1:17" x14ac:dyDescent="0.15">
      <c r="A27" s="112"/>
      <c r="B27" s="112"/>
      <c r="C27" s="112"/>
      <c r="D27" s="112"/>
      <c r="E27" s="14" t="s">
        <v>244</v>
      </c>
      <c r="F27" s="17">
        <f>_xlfn.XLOOKUP(E:E,[4]门店排名!$C:$C,[4]门店排名!$E:$E)</f>
        <v>143757</v>
      </c>
      <c r="G27" s="16">
        <v>126172.11</v>
      </c>
      <c r="H27" s="16">
        <f>1000+26172*0.02</f>
        <v>1523.44</v>
      </c>
      <c r="I27" s="113"/>
      <c r="J27" s="113"/>
      <c r="K27" s="113"/>
      <c r="L27" s="126"/>
      <c r="M27" s="112"/>
      <c r="N27" s="113"/>
      <c r="O27" s="112"/>
      <c r="P27">
        <f>_xlfn.XLOOKUP(A27,[9]工资核对的全字段!$C:$C,[9]工资核对的全字段!$CW:$CW,0)</f>
        <v>0</v>
      </c>
      <c r="Q27" s="36">
        <f t="shared" si="1"/>
        <v>0</v>
      </c>
    </row>
    <row r="28" spans="1:17" x14ac:dyDescent="0.15">
      <c r="A28" s="18"/>
      <c r="B28" s="18"/>
      <c r="C28" s="18"/>
      <c r="D28" s="18"/>
      <c r="E28" s="21"/>
      <c r="F28" s="17">
        <f>_xlfn.XLOOKUP(E:E,[4]门店排名!$C:$C,[4]门店排名!$E:$E)</f>
        <v>0</v>
      </c>
      <c r="G28" s="16">
        <v>0</v>
      </c>
      <c r="H28" s="22"/>
      <c r="I28" s="33"/>
      <c r="J28" s="29"/>
      <c r="K28" s="29"/>
      <c r="L28" s="18"/>
      <c r="M28" s="18"/>
      <c r="N28" s="29"/>
      <c r="O28" s="18"/>
      <c r="P28">
        <f>_xlfn.XLOOKUP(A28,[9]工资核对的全字段!$C:$C,[9]工资核对的全字段!$CW:$CW,0)</f>
        <v>0</v>
      </c>
      <c r="Q28" s="36">
        <f t="shared" si="1"/>
        <v>0</v>
      </c>
    </row>
    <row r="29" spans="1:17" x14ac:dyDescent="0.15">
      <c r="A29" s="18"/>
      <c r="B29" s="18"/>
      <c r="C29" s="18"/>
      <c r="D29" s="18"/>
      <c r="E29" s="18"/>
      <c r="F29" s="17">
        <f>_xlfn.XLOOKUP(E:E,[4]门店排名!$C:$C,[4]门店排名!$E:$E)</f>
        <v>0</v>
      </c>
      <c r="G29" s="16">
        <v>0</v>
      </c>
      <c r="H29" s="18"/>
      <c r="I29" s="29"/>
      <c r="J29" s="29"/>
      <c r="K29" s="29"/>
      <c r="L29" s="18"/>
      <c r="M29" s="18"/>
      <c r="N29" s="29"/>
      <c r="O29" s="18"/>
      <c r="P29">
        <f>_xlfn.XLOOKUP(A29,[9]工资核对的全字段!$C:$C,[9]工资核对的全字段!$CW:$CW,0)</f>
        <v>0</v>
      </c>
      <c r="Q29" s="36">
        <f t="shared" si="1"/>
        <v>0</v>
      </c>
    </row>
    <row r="30" spans="1:17" x14ac:dyDescent="0.15">
      <c r="A30" s="13" t="s">
        <v>319</v>
      </c>
      <c r="B30" s="13" t="s">
        <v>0</v>
      </c>
      <c r="C30" s="13" t="s">
        <v>19</v>
      </c>
      <c r="D30" s="14" t="s">
        <v>24</v>
      </c>
      <c r="E30" s="14" t="s">
        <v>1</v>
      </c>
      <c r="F30" s="15" t="str">
        <f>_xlfn.XLOOKUP(E:E,[4]门店排名!$C:$C,[4]门店排名!$E:$E)</f>
        <v>完成业绩</v>
      </c>
      <c r="G30" s="15" t="s">
        <v>365</v>
      </c>
      <c r="H30" s="14" t="s">
        <v>320</v>
      </c>
      <c r="I30" s="31" t="s">
        <v>17</v>
      </c>
      <c r="J30" s="28" t="s">
        <v>385</v>
      </c>
      <c r="K30" s="28" t="s">
        <v>324</v>
      </c>
      <c r="L30" s="13" t="s">
        <v>414</v>
      </c>
      <c r="M30" s="13" t="s">
        <v>326</v>
      </c>
      <c r="N30" s="28" t="s">
        <v>368</v>
      </c>
      <c r="O30" s="13" t="s">
        <v>40</v>
      </c>
      <c r="P30" t="str">
        <f>_xlfn.XLOOKUP(A30,[9]工资核对的全字段!$C:$C,[9]工资核对的全字段!$CW:$CW,0)</f>
        <v>当月支付总额</v>
      </c>
      <c r="Q30" s="36" t="e">
        <f t="shared" si="1"/>
        <v>#VALUE!</v>
      </c>
    </row>
    <row r="31" spans="1:17" x14ac:dyDescent="0.15">
      <c r="A31" s="112" t="s">
        <v>420</v>
      </c>
      <c r="B31" s="112">
        <v>6</v>
      </c>
      <c r="C31" s="113">
        <v>4000</v>
      </c>
      <c r="D31" s="112"/>
      <c r="E31" s="14" t="s">
        <v>277</v>
      </c>
      <c r="F31" s="17">
        <f>_xlfn.XLOOKUP(E:E,[4]门店排名!$C:$C,[4]门店排名!$E:$E)</f>
        <v>200049.7</v>
      </c>
      <c r="G31" s="16">
        <v>181858.24</v>
      </c>
      <c r="H31" s="16">
        <f>G31*0.01</f>
        <v>1818.5824</v>
      </c>
      <c r="I31" s="113">
        <v>5117</v>
      </c>
      <c r="J31" s="113">
        <f>C31+I31</f>
        <v>9117</v>
      </c>
      <c r="K31" s="113">
        <v>640.55999999999995</v>
      </c>
      <c r="L31" s="113">
        <v>90</v>
      </c>
      <c r="M31" s="124"/>
      <c r="N31" s="113">
        <f>J31-K31-L31-M31</f>
        <v>8386.44</v>
      </c>
      <c r="O31" s="136"/>
      <c r="P31">
        <f>_xlfn.XLOOKUP(A31,[9]工资核对的全字段!$C:$C,[9]工资核对的全字段!$CW:$CW,0)</f>
        <v>8385.5505000000012</v>
      </c>
      <c r="Q31" s="36">
        <f t="shared" si="1"/>
        <v>-0.88949999999931606</v>
      </c>
    </row>
    <row r="32" spans="1:17" x14ac:dyDescent="0.15">
      <c r="A32" s="112"/>
      <c r="B32" s="112"/>
      <c r="C32" s="113"/>
      <c r="D32" s="112"/>
      <c r="E32" s="14" t="s">
        <v>269</v>
      </c>
      <c r="F32" s="17">
        <f>_xlfn.XLOOKUP(E:E,[4]门店排名!$C:$C,[4]门店排名!$E:$E)</f>
        <v>151129</v>
      </c>
      <c r="G32" s="16">
        <v>144958.69</v>
      </c>
      <c r="H32" s="16">
        <f>G32*0.01</f>
        <v>1449.5869</v>
      </c>
      <c r="I32" s="113"/>
      <c r="J32" s="113"/>
      <c r="K32" s="113"/>
      <c r="L32" s="113"/>
      <c r="M32" s="125"/>
      <c r="N32" s="113"/>
      <c r="O32" s="136"/>
      <c r="P32">
        <f>_xlfn.XLOOKUP(A32,[9]工资核对的全字段!$C:$C,[9]工资核对的全字段!$CW:$CW,0)</f>
        <v>0</v>
      </c>
      <c r="Q32" s="36">
        <f t="shared" si="1"/>
        <v>0</v>
      </c>
    </row>
    <row r="33" spans="1:17" x14ac:dyDescent="0.15">
      <c r="A33" s="114"/>
      <c r="B33" s="114"/>
      <c r="C33" s="118"/>
      <c r="D33" s="114"/>
      <c r="E33" s="23" t="s">
        <v>285</v>
      </c>
      <c r="F33" s="17">
        <f>_xlfn.XLOOKUP(E:E,[4]门店排名!$C:$C,[4]门店排名!$E:$E)</f>
        <v>180307.8</v>
      </c>
      <c r="G33" s="16">
        <v>167397.06</v>
      </c>
      <c r="H33" s="16">
        <f>1500+17397*0.02</f>
        <v>1847.94</v>
      </c>
      <c r="I33" s="118"/>
      <c r="J33" s="118"/>
      <c r="K33" s="118"/>
      <c r="L33" s="118"/>
      <c r="M33" s="128"/>
      <c r="N33" s="118"/>
      <c r="O33" s="137"/>
      <c r="P33">
        <f>_xlfn.XLOOKUP(A33,[9]工资核对的全字段!$C:$C,[9]工资核对的全字段!$CW:$CW,0)</f>
        <v>0</v>
      </c>
      <c r="Q33" s="36">
        <f t="shared" si="1"/>
        <v>0</v>
      </c>
    </row>
    <row r="34" spans="1:17" x14ac:dyDescent="0.15">
      <c r="A34" s="24"/>
      <c r="B34" s="24"/>
      <c r="C34" s="24"/>
      <c r="D34" s="24"/>
      <c r="E34" s="24"/>
      <c r="F34" s="17">
        <f>_xlfn.XLOOKUP(E:E,[4]门店排名!$C:$C,[4]门店排名!$E:$E)</f>
        <v>0</v>
      </c>
      <c r="G34" s="16">
        <v>0</v>
      </c>
      <c r="H34" s="24"/>
      <c r="I34" s="24"/>
      <c r="J34" s="24"/>
      <c r="K34" s="34"/>
      <c r="L34" s="24"/>
      <c r="M34" s="24"/>
      <c r="N34" s="34"/>
      <c r="O34" s="35"/>
      <c r="P34">
        <f>_xlfn.XLOOKUP(A34,[9]工资核对的全字段!$C:$C,[9]工资核对的全字段!$CW:$CW,0)</f>
        <v>0</v>
      </c>
      <c r="Q34" s="36">
        <f t="shared" si="1"/>
        <v>0</v>
      </c>
    </row>
    <row r="35" spans="1:17" x14ac:dyDescent="0.15">
      <c r="A35" s="24"/>
      <c r="B35" s="24"/>
      <c r="C35" s="24"/>
      <c r="D35" s="24"/>
      <c r="E35" s="24"/>
      <c r="F35" s="17">
        <f>_xlfn.XLOOKUP(E:E,[4]门店排名!$C:$C,[4]门店排名!$E:$E)</f>
        <v>0</v>
      </c>
      <c r="G35" s="16">
        <v>0</v>
      </c>
      <c r="H35" s="24"/>
      <c r="I35" s="24"/>
      <c r="J35" s="24"/>
      <c r="K35" s="34"/>
      <c r="L35" s="24"/>
      <c r="M35" s="24"/>
      <c r="N35" s="34"/>
      <c r="O35" s="35"/>
      <c r="P35">
        <f>_xlfn.XLOOKUP(A35,[9]工资核对的全字段!$C:$C,[9]工资核对的全字段!$CW:$CW,0)</f>
        <v>0</v>
      </c>
      <c r="Q35" s="36">
        <f t="shared" si="1"/>
        <v>0</v>
      </c>
    </row>
    <row r="36" spans="1:17" x14ac:dyDescent="0.15">
      <c r="A36" s="13" t="s">
        <v>319</v>
      </c>
      <c r="B36" s="13" t="s">
        <v>0</v>
      </c>
      <c r="C36" s="13" t="s">
        <v>19</v>
      </c>
      <c r="D36" s="14" t="s">
        <v>24</v>
      </c>
      <c r="E36" s="14" t="s">
        <v>1</v>
      </c>
      <c r="F36" s="15" t="str">
        <f>_xlfn.XLOOKUP(E:E,[4]门店排名!$C:$C,[4]门店排名!$E:$E)</f>
        <v>完成业绩</v>
      </c>
      <c r="G36" s="15" t="s">
        <v>365</v>
      </c>
      <c r="H36" s="14" t="s">
        <v>320</v>
      </c>
      <c r="I36" s="31" t="s">
        <v>17</v>
      </c>
      <c r="J36" s="28" t="s">
        <v>385</v>
      </c>
      <c r="K36" s="28" t="s">
        <v>324</v>
      </c>
      <c r="L36" s="13" t="s">
        <v>414</v>
      </c>
      <c r="M36" s="13" t="s">
        <v>326</v>
      </c>
      <c r="N36" s="28" t="s">
        <v>368</v>
      </c>
      <c r="O36" s="13" t="s">
        <v>40</v>
      </c>
      <c r="P36" t="str">
        <f>_xlfn.XLOOKUP(A36,[9]工资核对的全字段!$C:$C,[9]工资核对的全字段!$CW:$CW,0)</f>
        <v>当月支付总额</v>
      </c>
      <c r="Q36" s="36" t="e">
        <f t="shared" si="1"/>
        <v>#VALUE!</v>
      </c>
    </row>
    <row r="37" spans="1:17" x14ac:dyDescent="0.15">
      <c r="A37" s="112" t="s">
        <v>421</v>
      </c>
      <c r="B37" s="112">
        <v>6</v>
      </c>
      <c r="C37" s="112">
        <v>4000</v>
      </c>
      <c r="D37" s="112"/>
      <c r="E37" s="14" t="s">
        <v>235</v>
      </c>
      <c r="F37" s="17">
        <f>_xlfn.XLOOKUP(E:E,[4]门店排名!$C:$C,[4]门店排名!$E:$E)</f>
        <v>311108</v>
      </c>
      <c r="G37" s="16">
        <v>237015.77</v>
      </c>
      <c r="H37" s="16">
        <f>150000*0.015+1000+37016*0.025</f>
        <v>4175.3999999999996</v>
      </c>
      <c r="I37" s="119">
        <v>4175</v>
      </c>
      <c r="J37" s="119">
        <f>C37+I37</f>
        <v>8175</v>
      </c>
      <c r="K37" s="119">
        <v>644.16800000000001</v>
      </c>
      <c r="L37" s="119">
        <v>190</v>
      </c>
      <c r="M37" s="120"/>
      <c r="N37" s="119">
        <f>J37-K37-L37-M37</f>
        <v>7340.8320000000003</v>
      </c>
      <c r="O37" s="119"/>
      <c r="P37">
        <f>_xlfn.XLOOKUP(A37,[9]工资核对的全字段!$C:$C,[9]工资核对的全字段!$CW:$CW,0)</f>
        <v>7341.2262500000006</v>
      </c>
      <c r="Q37" s="36">
        <f t="shared" si="1"/>
        <v>0.39425000000028376</v>
      </c>
    </row>
    <row r="38" spans="1:17" x14ac:dyDescent="0.15">
      <c r="A38" s="112"/>
      <c r="B38" s="112"/>
      <c r="C38" s="112"/>
      <c r="D38" s="112"/>
      <c r="E38" s="14" t="s">
        <v>205</v>
      </c>
      <c r="F38" s="17">
        <f>_xlfn.XLOOKUP(E:E,[4]门店排名!$C:$C,[4]门店排名!$E:$E)</f>
        <v>139022</v>
      </c>
      <c r="G38" s="16">
        <v>119475.67</v>
      </c>
      <c r="H38" s="16">
        <v>0</v>
      </c>
      <c r="I38" s="119"/>
      <c r="J38" s="119"/>
      <c r="K38" s="119"/>
      <c r="L38" s="119"/>
      <c r="M38" s="122"/>
      <c r="N38" s="119"/>
      <c r="O38" s="119"/>
      <c r="P38">
        <f>_xlfn.XLOOKUP(A38,[9]工资核对的全字段!$C:$C,[9]工资核对的全字段!$CW:$CW,0)</f>
        <v>0</v>
      </c>
      <c r="Q38" s="36">
        <f t="shared" si="1"/>
        <v>0</v>
      </c>
    </row>
    <row r="39" spans="1:17" x14ac:dyDescent="0.15">
      <c r="F39" s="17">
        <f>_xlfn.XLOOKUP(E:E,[4]门店排名!$C:$C,[4]门店排名!$E:$E)</f>
        <v>0</v>
      </c>
      <c r="G39" s="16">
        <v>0</v>
      </c>
      <c r="K39" s="36"/>
      <c r="N39" s="36"/>
      <c r="O39" s="6"/>
      <c r="P39">
        <f>_xlfn.XLOOKUP(A39,[9]工资核对的全字段!$C:$C,[9]工资核对的全字段!$CW:$CW,0)</f>
        <v>0</v>
      </c>
      <c r="Q39" s="36">
        <f t="shared" si="1"/>
        <v>0</v>
      </c>
    </row>
    <row r="40" spans="1:17" x14ac:dyDescent="0.15">
      <c r="F40" s="17">
        <f>_xlfn.XLOOKUP(E:E,[4]门店排名!$C:$C,[4]门店排名!$E:$E)</f>
        <v>0</v>
      </c>
      <c r="G40" s="16">
        <v>0</v>
      </c>
      <c r="K40" s="36"/>
      <c r="N40" s="36"/>
      <c r="O40" s="6"/>
      <c r="P40">
        <f>_xlfn.XLOOKUP(A40,[9]工资核对的全字段!$C:$C,[9]工资核对的全字段!$CW:$CW,0)</f>
        <v>0</v>
      </c>
      <c r="Q40" s="36">
        <f t="shared" si="1"/>
        <v>0</v>
      </c>
    </row>
    <row r="41" spans="1:17" x14ac:dyDescent="0.15">
      <c r="A41" s="13" t="s">
        <v>319</v>
      </c>
      <c r="B41" s="13" t="s">
        <v>0</v>
      </c>
      <c r="C41" s="13" t="s">
        <v>19</v>
      </c>
      <c r="D41" s="14" t="s">
        <v>24</v>
      </c>
      <c r="E41" s="14" t="s">
        <v>1</v>
      </c>
      <c r="F41" s="15" t="str">
        <f>_xlfn.XLOOKUP(E:E,[4]门店排名!$C:$C,[4]门店排名!$E:$E)</f>
        <v>完成业绩</v>
      </c>
      <c r="G41" s="15" t="s">
        <v>365</v>
      </c>
      <c r="H41" s="14" t="s">
        <v>320</v>
      </c>
      <c r="I41" s="31" t="s">
        <v>17</v>
      </c>
      <c r="J41" s="28" t="s">
        <v>385</v>
      </c>
      <c r="K41" s="28" t="s">
        <v>324</v>
      </c>
      <c r="L41" s="13" t="s">
        <v>414</v>
      </c>
      <c r="M41" s="13" t="s">
        <v>326</v>
      </c>
      <c r="N41" s="28" t="s">
        <v>368</v>
      </c>
      <c r="O41" s="13" t="s">
        <v>40</v>
      </c>
      <c r="P41" t="str">
        <f>_xlfn.XLOOKUP(A41,[9]工资核对的全字段!$C:$C,[9]工资核对的全字段!$CW:$CW,0)</f>
        <v>当月支付总额</v>
      </c>
      <c r="Q41" s="36" t="e">
        <f t="shared" si="1"/>
        <v>#VALUE!</v>
      </c>
    </row>
    <row r="42" spans="1:17" x14ac:dyDescent="0.15">
      <c r="A42" s="112" t="s">
        <v>422</v>
      </c>
      <c r="B42" s="112">
        <v>6</v>
      </c>
      <c r="C42" s="112">
        <v>4000</v>
      </c>
      <c r="D42" s="112"/>
      <c r="E42" s="14" t="s">
        <v>102</v>
      </c>
      <c r="F42" s="17">
        <f>_xlfn.XLOOKUP(E:E,[4]门店排名!$C:$C,[4]门店排名!$E:$E)</f>
        <v>120949.6</v>
      </c>
      <c r="G42" s="16">
        <v>102021.46</v>
      </c>
      <c r="H42" s="17">
        <f>100000*0.015+2021*0.02</f>
        <v>1540.42</v>
      </c>
      <c r="I42" s="119">
        <v>5065</v>
      </c>
      <c r="J42" s="119">
        <f>C42+I42+D42</f>
        <v>9065</v>
      </c>
      <c r="K42" s="119">
        <v>640.55999999999995</v>
      </c>
      <c r="L42" s="127">
        <v>150</v>
      </c>
      <c r="M42" s="120"/>
      <c r="N42" s="119">
        <f>J42-K42-L42</f>
        <v>8274.44</v>
      </c>
      <c r="O42" s="127"/>
      <c r="P42">
        <f>_xlfn.XLOOKUP(A42,[9]工资核对的全字段!$C:$C,[9]工资核对的全字段!$CW:$CW,0)</f>
        <v>8275.199700000001</v>
      </c>
      <c r="Q42" s="36">
        <f t="shared" si="1"/>
        <v>0.75970000000052096</v>
      </c>
    </row>
    <row r="43" spans="1:17" x14ac:dyDescent="0.15">
      <c r="A43" s="112"/>
      <c r="B43" s="112"/>
      <c r="C43" s="112"/>
      <c r="D43" s="112"/>
      <c r="E43" s="14" t="s">
        <v>111</v>
      </c>
      <c r="F43" s="17">
        <f>_xlfn.XLOOKUP(E:E,[4]门店排名!$C:$C,[4]门店排名!$E:$E)</f>
        <v>150031.32999999999</v>
      </c>
      <c r="G43" s="16">
        <v>133527.92000000001</v>
      </c>
      <c r="H43" s="17">
        <f>G43*0.01</f>
        <v>1335.2792000000002</v>
      </c>
      <c r="I43" s="119"/>
      <c r="J43" s="119"/>
      <c r="K43" s="119"/>
      <c r="L43" s="127"/>
      <c r="M43" s="121"/>
      <c r="N43" s="119"/>
      <c r="O43" s="127"/>
      <c r="P43">
        <f>_xlfn.XLOOKUP(A43,[9]工资核对的全字段!$C:$C,[9]工资核对的全字段!$CW:$CW,0)</f>
        <v>0</v>
      </c>
      <c r="Q43" s="36">
        <f t="shared" si="1"/>
        <v>0</v>
      </c>
    </row>
    <row r="44" spans="1:17" x14ac:dyDescent="0.15">
      <c r="A44" s="112"/>
      <c r="B44" s="112"/>
      <c r="C44" s="112"/>
      <c r="D44" s="112"/>
      <c r="E44" s="14" t="s">
        <v>92</v>
      </c>
      <c r="F44" s="17">
        <f>_xlfn.XLOOKUP(E:E,[4]门店排名!$C:$C,[4]门店排名!$E:$E)</f>
        <v>160812</v>
      </c>
      <c r="G44" s="16">
        <v>146003.42000000001</v>
      </c>
      <c r="H44" s="17">
        <f>G44*0.015</f>
        <v>2190.0513000000001</v>
      </c>
      <c r="I44" s="119"/>
      <c r="J44" s="119"/>
      <c r="K44" s="119"/>
      <c r="L44" s="127"/>
      <c r="M44" s="122"/>
      <c r="N44" s="119"/>
      <c r="O44" s="127"/>
      <c r="P44">
        <f>_xlfn.XLOOKUP(A44,[9]工资核对的全字段!$C:$C,[9]工资核对的全字段!$CW:$CW,0)</f>
        <v>0</v>
      </c>
      <c r="Q44" s="36">
        <f t="shared" si="1"/>
        <v>0</v>
      </c>
    </row>
    <row r="45" spans="1:17" x14ac:dyDescent="0.15">
      <c r="F45" s="17">
        <f>_xlfn.XLOOKUP(E:E,[4]门店排名!$C:$C,[4]门店排名!$E:$E)</f>
        <v>0</v>
      </c>
      <c r="G45" s="16">
        <v>0</v>
      </c>
      <c r="O45" s="6"/>
      <c r="P45">
        <f>_xlfn.XLOOKUP(A45,[9]工资核对的全字段!$C:$C,[9]工资核对的全字段!$CW:$CW,0)</f>
        <v>0</v>
      </c>
      <c r="Q45" s="36">
        <f t="shared" si="1"/>
        <v>0</v>
      </c>
    </row>
    <row r="46" spans="1:17" x14ac:dyDescent="0.15">
      <c r="F46" s="17">
        <f>_xlfn.XLOOKUP(E:E,[4]门店排名!$C:$C,[4]门店排名!$E:$E)</f>
        <v>0</v>
      </c>
      <c r="G46" s="16">
        <v>0</v>
      </c>
      <c r="O46" s="6"/>
      <c r="P46">
        <f>_xlfn.XLOOKUP(A46,[9]工资核对的全字段!$C:$C,[9]工资核对的全字段!$CW:$CW,0)</f>
        <v>0</v>
      </c>
      <c r="Q46" s="36">
        <f t="shared" si="1"/>
        <v>0</v>
      </c>
    </row>
    <row r="47" spans="1:17" x14ac:dyDescent="0.15">
      <c r="A47" s="13" t="s">
        <v>319</v>
      </c>
      <c r="B47" s="13" t="s">
        <v>0</v>
      </c>
      <c r="C47" s="13" t="s">
        <v>19</v>
      </c>
      <c r="D47" s="14" t="s">
        <v>24</v>
      </c>
      <c r="E47" s="14" t="s">
        <v>1</v>
      </c>
      <c r="F47" s="15" t="str">
        <f>_xlfn.XLOOKUP(E:E,[4]门店排名!$C:$C,[4]门店排名!$E:$E)</f>
        <v>完成业绩</v>
      </c>
      <c r="G47" s="15" t="s">
        <v>365</v>
      </c>
      <c r="H47" s="14" t="s">
        <v>320</v>
      </c>
      <c r="I47" s="31" t="s">
        <v>17</v>
      </c>
      <c r="J47" s="28" t="s">
        <v>385</v>
      </c>
      <c r="K47" s="28" t="s">
        <v>324</v>
      </c>
      <c r="L47" s="13" t="s">
        <v>414</v>
      </c>
      <c r="M47" s="13" t="s">
        <v>326</v>
      </c>
      <c r="N47" s="28" t="s">
        <v>368</v>
      </c>
      <c r="O47" s="13" t="s">
        <v>40</v>
      </c>
      <c r="P47" t="str">
        <f>_xlfn.XLOOKUP(A47,[9]工资核对的全字段!$C:$C,[9]工资核对的全字段!$CW:$CW,0)</f>
        <v>当月支付总额</v>
      </c>
      <c r="Q47" s="36" t="e">
        <f t="shared" si="1"/>
        <v>#VALUE!</v>
      </c>
    </row>
    <row r="48" spans="1:17" x14ac:dyDescent="0.15">
      <c r="A48" s="112" t="s">
        <v>423</v>
      </c>
      <c r="B48" s="112">
        <v>6</v>
      </c>
      <c r="C48" s="112">
        <v>4000</v>
      </c>
      <c r="D48" s="112"/>
      <c r="E48" s="14" t="s">
        <v>82</v>
      </c>
      <c r="F48" s="17">
        <f>_xlfn.XLOOKUP(E:E,[4]门店排名!$C:$C,[4]门店排名!$E:$E)</f>
        <v>100934</v>
      </c>
      <c r="G48" s="16">
        <v>89096.79</v>
      </c>
      <c r="H48" s="17">
        <v>0</v>
      </c>
      <c r="I48" s="120">
        <v>5623</v>
      </c>
      <c r="J48" s="120">
        <f>C48+I48</f>
        <v>9623</v>
      </c>
      <c r="K48" s="120">
        <v>644.16800000000001</v>
      </c>
      <c r="L48" s="120">
        <v>10</v>
      </c>
      <c r="M48" s="120"/>
      <c r="N48" s="120">
        <f>J48-K48-L48-M48</f>
        <v>8968.8320000000003</v>
      </c>
      <c r="O48" s="138"/>
      <c r="P48">
        <f>_xlfn.XLOOKUP(A48,[9]工资核对的全字段!$C:$C,[9]工资核对的全字段!$CW:$CW,0)</f>
        <v>8968.62435</v>
      </c>
      <c r="Q48" s="36">
        <f t="shared" si="1"/>
        <v>-0.20765000000028522</v>
      </c>
    </row>
    <row r="49" spans="1:17" x14ac:dyDescent="0.15">
      <c r="A49" s="112"/>
      <c r="B49" s="112"/>
      <c r="C49" s="112"/>
      <c r="D49" s="112"/>
      <c r="E49" s="14" t="s">
        <v>301</v>
      </c>
      <c r="F49" s="17">
        <f>_xlfn.XLOOKUP(E:E,[4]门店排名!$C:$C,[4]门店排名!$E:$E)</f>
        <v>133334.88</v>
      </c>
      <c r="G49" s="16">
        <v>114405.29</v>
      </c>
      <c r="H49" s="17">
        <f>G49*0.015</f>
        <v>1716.0793499999997</v>
      </c>
      <c r="I49" s="121"/>
      <c r="J49" s="121"/>
      <c r="K49" s="121"/>
      <c r="L49" s="121"/>
      <c r="M49" s="121"/>
      <c r="N49" s="121"/>
      <c r="O49" s="139"/>
      <c r="P49">
        <f>_xlfn.XLOOKUP(A49,[9]工资核对的全字段!$C:$C,[9]工资核对的全字段!$CW:$CW,0)</f>
        <v>0</v>
      </c>
      <c r="Q49" s="36">
        <f t="shared" si="1"/>
        <v>0</v>
      </c>
    </row>
    <row r="50" spans="1:17" x14ac:dyDescent="0.15">
      <c r="A50" s="112"/>
      <c r="B50" s="112"/>
      <c r="C50" s="112"/>
      <c r="D50" s="112"/>
      <c r="E50" s="14" t="s">
        <v>73</v>
      </c>
      <c r="F50" s="17">
        <f>_xlfn.XLOOKUP(E:E,[4]门店排名!$C:$C,[4]门店排名!$E:$E)</f>
        <v>259744.88</v>
      </c>
      <c r="G50" s="16">
        <v>214268.52</v>
      </c>
      <c r="H50" s="17">
        <f>120000*0.015+50000*0.02+44269*0.025</f>
        <v>3906.7250000000004</v>
      </c>
      <c r="I50" s="122"/>
      <c r="J50" s="122"/>
      <c r="K50" s="122"/>
      <c r="L50" s="122"/>
      <c r="M50" s="122"/>
      <c r="N50" s="122"/>
      <c r="O50" s="140"/>
      <c r="P50">
        <f>_xlfn.XLOOKUP(A50,[9]工资核对的全字段!$C:$C,[9]工资核对的全字段!$CW:$CW,0)</f>
        <v>0</v>
      </c>
      <c r="Q50" s="36">
        <f t="shared" si="1"/>
        <v>0</v>
      </c>
    </row>
    <row r="51" spans="1:17" x14ac:dyDescent="0.15">
      <c r="F51" s="17">
        <f>_xlfn.XLOOKUP(E:E,[4]门店排名!$C:$C,[4]门店排名!$E:$E)</f>
        <v>0</v>
      </c>
      <c r="G51" s="16">
        <v>0</v>
      </c>
      <c r="O51" s="6"/>
      <c r="P51">
        <f>_xlfn.XLOOKUP(A51,[9]工资核对的全字段!$C:$C,[9]工资核对的全字段!$CW:$CW,0)</f>
        <v>0</v>
      </c>
      <c r="Q51" s="36">
        <f t="shared" si="1"/>
        <v>0</v>
      </c>
    </row>
    <row r="52" spans="1:17" x14ac:dyDescent="0.15">
      <c r="A52" s="25"/>
      <c r="B52" s="25"/>
      <c r="C52" s="25"/>
      <c r="D52" s="25"/>
      <c r="E52" s="25"/>
      <c r="F52" s="17">
        <f>_xlfn.XLOOKUP(E:E,[4]门店排名!$C:$C,[4]门店排名!$E:$E)</f>
        <v>0</v>
      </c>
      <c r="G52" s="16">
        <v>0</v>
      </c>
      <c r="H52" s="25"/>
      <c r="I52" s="25"/>
      <c r="J52" s="25"/>
      <c r="K52" s="25"/>
      <c r="L52" s="25"/>
      <c r="M52" s="25"/>
      <c r="N52" s="25"/>
      <c r="O52" s="38"/>
      <c r="P52">
        <f>_xlfn.XLOOKUP(A52,[9]工资核对的全字段!$C:$C,[9]工资核对的全字段!$CW:$CW,0)</f>
        <v>0</v>
      </c>
      <c r="Q52" s="36">
        <f t="shared" si="1"/>
        <v>0</v>
      </c>
    </row>
    <row r="53" spans="1:17" x14ac:dyDescent="0.15">
      <c r="A53" s="13" t="s">
        <v>319</v>
      </c>
      <c r="B53" s="13" t="s">
        <v>0</v>
      </c>
      <c r="C53" s="13" t="s">
        <v>19</v>
      </c>
      <c r="D53" s="14" t="s">
        <v>24</v>
      </c>
      <c r="E53" s="14" t="s">
        <v>1</v>
      </c>
      <c r="F53" s="15" t="str">
        <f>_xlfn.XLOOKUP(E:E,[4]门店排名!$C:$C,[4]门店排名!$E:$E)</f>
        <v>完成业绩</v>
      </c>
      <c r="G53" s="15" t="s">
        <v>365</v>
      </c>
      <c r="H53" s="14" t="s">
        <v>320</v>
      </c>
      <c r="I53" s="31" t="s">
        <v>17</v>
      </c>
      <c r="J53" s="28" t="s">
        <v>385</v>
      </c>
      <c r="K53" s="28" t="s">
        <v>324</v>
      </c>
      <c r="L53" s="13" t="s">
        <v>414</v>
      </c>
      <c r="M53" s="13" t="s">
        <v>326</v>
      </c>
      <c r="N53" s="28" t="s">
        <v>368</v>
      </c>
      <c r="O53" s="13" t="s">
        <v>40</v>
      </c>
      <c r="P53" t="str">
        <f>_xlfn.XLOOKUP(A53,[9]工资核对的全字段!$C:$C,[9]工资核对的全字段!$CW:$CW,0)</f>
        <v>当月支付总额</v>
      </c>
      <c r="Q53" s="36" t="e">
        <f t="shared" si="1"/>
        <v>#VALUE!</v>
      </c>
    </row>
    <row r="54" spans="1:17" x14ac:dyDescent="0.15">
      <c r="A54" s="115" t="s">
        <v>424</v>
      </c>
      <c r="B54" s="116">
        <v>6</v>
      </c>
      <c r="C54" s="116">
        <v>4000</v>
      </c>
      <c r="D54" s="116"/>
      <c r="E54" s="14" t="s">
        <v>308</v>
      </c>
      <c r="F54" s="17">
        <f>_xlfn.XLOOKUP(E:E,[4]门店排名!$C:$C,[4]门店排名!$E:$E)</f>
        <v>173290.6</v>
      </c>
      <c r="G54" s="16">
        <v>132190.74</v>
      </c>
      <c r="H54" s="26">
        <f>G54*0.015</f>
        <v>1982.8610999999999</v>
      </c>
      <c r="I54" s="116">
        <v>4172</v>
      </c>
      <c r="J54" s="116">
        <f>C54+D54+I54</f>
        <v>8172</v>
      </c>
      <c r="K54" s="116">
        <v>640.55999999999995</v>
      </c>
      <c r="L54" s="116">
        <v>10</v>
      </c>
      <c r="M54" s="116"/>
      <c r="N54" s="132">
        <f>J54-K54-L54</f>
        <v>7521.4400000000005</v>
      </c>
      <c r="O54" s="116"/>
      <c r="P54">
        <f>_xlfn.XLOOKUP(A54,[9]工资核对的全字段!$C:$C,[9]工资核对的全字段!$CW:$CW,0)</f>
        <v>7521.011849999999</v>
      </c>
      <c r="Q54" s="36">
        <f t="shared" si="1"/>
        <v>-0.42815000000155123</v>
      </c>
    </row>
    <row r="55" spans="1:17" x14ac:dyDescent="0.15">
      <c r="A55" s="115"/>
      <c r="B55" s="117"/>
      <c r="C55" s="117"/>
      <c r="D55" s="117"/>
      <c r="E55" s="14" t="s">
        <v>140</v>
      </c>
      <c r="F55" s="17">
        <f>_xlfn.XLOOKUP(E:E,[4]门店排名!$C:$C,[4]门店排名!$E:$E)</f>
        <v>152421</v>
      </c>
      <c r="G55" s="16">
        <v>145914.04999999999</v>
      </c>
      <c r="H55" s="26">
        <f>G55*0.015</f>
        <v>2188.7107499999997</v>
      </c>
      <c r="I55" s="117"/>
      <c r="J55" s="117"/>
      <c r="K55" s="117"/>
      <c r="L55" s="117"/>
      <c r="M55" s="117"/>
      <c r="N55" s="133"/>
      <c r="O55" s="117"/>
      <c r="P55">
        <f>_xlfn.XLOOKUP(A55,[9]工资核对的全字段!$C:$C,[9]工资核对的全字段!$CW:$CW,0)</f>
        <v>0</v>
      </c>
      <c r="Q55" s="36">
        <f t="shared" si="1"/>
        <v>0</v>
      </c>
    </row>
  </sheetData>
  <mergeCells count="99">
    <mergeCell ref="O37:O38"/>
    <mergeCell ref="O42:O44"/>
    <mergeCell ref="O48:O50"/>
    <mergeCell ref="O54:O55"/>
    <mergeCell ref="O2:O7"/>
    <mergeCell ref="O10:O14"/>
    <mergeCell ref="O18:O22"/>
    <mergeCell ref="O25:O27"/>
    <mergeCell ref="O31:O33"/>
    <mergeCell ref="M37:M38"/>
    <mergeCell ref="M42:M44"/>
    <mergeCell ref="M48:M50"/>
    <mergeCell ref="M54:M55"/>
    <mergeCell ref="N2:N7"/>
    <mergeCell ref="N10:N14"/>
    <mergeCell ref="N18:N22"/>
    <mergeCell ref="N25:N27"/>
    <mergeCell ref="N31:N33"/>
    <mergeCell ref="N37:N38"/>
    <mergeCell ref="N42:N44"/>
    <mergeCell ref="N48:N50"/>
    <mergeCell ref="N54:N55"/>
    <mergeCell ref="M2:M7"/>
    <mergeCell ref="M10:M14"/>
    <mergeCell ref="M18:M22"/>
    <mergeCell ref="M25:M27"/>
    <mergeCell ref="M31:M33"/>
    <mergeCell ref="K37:K38"/>
    <mergeCell ref="K42:K44"/>
    <mergeCell ref="K48:K50"/>
    <mergeCell ref="K54:K55"/>
    <mergeCell ref="L2:L7"/>
    <mergeCell ref="L10:L14"/>
    <mergeCell ref="L18:L22"/>
    <mergeCell ref="L25:L27"/>
    <mergeCell ref="L31:L33"/>
    <mergeCell ref="L37:L38"/>
    <mergeCell ref="L42:L44"/>
    <mergeCell ref="L48:L50"/>
    <mergeCell ref="L54:L55"/>
    <mergeCell ref="K2:K7"/>
    <mergeCell ref="K10:K14"/>
    <mergeCell ref="K18:K22"/>
    <mergeCell ref="K25:K27"/>
    <mergeCell ref="K31:K33"/>
    <mergeCell ref="I37:I38"/>
    <mergeCell ref="I42:I44"/>
    <mergeCell ref="I48:I50"/>
    <mergeCell ref="I54:I55"/>
    <mergeCell ref="J2:J7"/>
    <mergeCell ref="J10:J14"/>
    <mergeCell ref="J18:J22"/>
    <mergeCell ref="J25:J27"/>
    <mergeCell ref="J31:J33"/>
    <mergeCell ref="J37:J38"/>
    <mergeCell ref="J42:J44"/>
    <mergeCell ref="J48:J50"/>
    <mergeCell ref="J54:J55"/>
    <mergeCell ref="I2:I7"/>
    <mergeCell ref="I10:I14"/>
    <mergeCell ref="I18:I22"/>
    <mergeCell ref="I25:I27"/>
    <mergeCell ref="I31:I33"/>
    <mergeCell ref="C37:C38"/>
    <mergeCell ref="C42:C44"/>
    <mergeCell ref="C48:C50"/>
    <mergeCell ref="C54:C55"/>
    <mergeCell ref="D2:D7"/>
    <mergeCell ref="D10:D14"/>
    <mergeCell ref="D18:D22"/>
    <mergeCell ref="D25:D27"/>
    <mergeCell ref="D31:D33"/>
    <mergeCell ref="D37:D38"/>
    <mergeCell ref="D42:D44"/>
    <mergeCell ref="D48:D50"/>
    <mergeCell ref="D54:D55"/>
    <mergeCell ref="C2:C7"/>
    <mergeCell ref="C10:C14"/>
    <mergeCell ref="C18:C22"/>
    <mergeCell ref="C25:C27"/>
    <mergeCell ref="C31:C33"/>
    <mergeCell ref="A37:A38"/>
    <mergeCell ref="A42:A44"/>
    <mergeCell ref="A48:A50"/>
    <mergeCell ref="A54:A55"/>
    <mergeCell ref="B2:B7"/>
    <mergeCell ref="B10:B14"/>
    <mergeCell ref="B18:B22"/>
    <mergeCell ref="B25:B27"/>
    <mergeCell ref="B31:B33"/>
    <mergeCell ref="B37:B38"/>
    <mergeCell ref="B42:B44"/>
    <mergeCell ref="B48:B50"/>
    <mergeCell ref="B54:B55"/>
    <mergeCell ref="A2:A7"/>
    <mergeCell ref="A10:A14"/>
    <mergeCell ref="A18:A22"/>
    <mergeCell ref="A25:A27"/>
    <mergeCell ref="A31:A33"/>
  </mergeCells>
  <phoneticPr fontId="20" type="noConversion"/>
  <conditionalFormatting sqref="B1:B2">
    <cfRule type="duplicateValues" dxfId="4" priority="1"/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30"/>
  <sheetViews>
    <sheetView workbookViewId="0">
      <selection activeCell="J31" sqref="J31"/>
    </sheetView>
  </sheetViews>
  <sheetFormatPr defaultColWidth="8.75" defaultRowHeight="14.25" x14ac:dyDescent="0.15"/>
  <cols>
    <col min="1" max="1" width="7.5" style="155" bestFit="1" customWidth="1"/>
    <col min="2" max="2" width="6" style="155" bestFit="1" customWidth="1"/>
    <col min="3" max="3" width="4.5" style="155" bestFit="1" customWidth="1"/>
    <col min="4" max="4" width="7.5" style="155" bestFit="1" customWidth="1"/>
    <col min="5" max="5" width="7.25" style="155" bestFit="1" customWidth="1"/>
    <col min="6" max="7" width="7.5" style="155" bestFit="1" customWidth="1"/>
    <col min="8" max="8" width="6.875" style="152" bestFit="1" customWidth="1"/>
    <col min="9" max="11" width="7.5" style="155" bestFit="1" customWidth="1"/>
    <col min="12" max="12" width="10.5" style="155" bestFit="1" customWidth="1"/>
    <col min="13" max="13" width="8.125" style="155" bestFit="1" customWidth="1"/>
    <col min="14" max="14" width="6" style="155" bestFit="1" customWidth="1"/>
    <col min="15" max="15" width="8.125" style="155" bestFit="1" customWidth="1"/>
    <col min="16" max="16" width="8.125" style="152" bestFit="1" customWidth="1"/>
    <col min="17" max="17" width="4.625" style="155" bestFit="1" customWidth="1"/>
    <col min="18" max="20" width="7.5" style="155" bestFit="1" customWidth="1"/>
    <col min="21" max="21" width="21.75" style="155" bestFit="1" customWidth="1"/>
    <col min="22" max="16384" width="8.75" style="155"/>
  </cols>
  <sheetData>
    <row r="1" spans="1:24" ht="30" customHeight="1" x14ac:dyDescent="0.15">
      <c r="A1" s="144" t="s">
        <v>425</v>
      </c>
      <c r="B1" s="144" t="s">
        <v>319</v>
      </c>
      <c r="C1" s="144" t="s">
        <v>0</v>
      </c>
      <c r="D1" s="144" t="s">
        <v>19</v>
      </c>
      <c r="E1" s="144" t="s">
        <v>24</v>
      </c>
      <c r="F1" s="144" t="s">
        <v>23</v>
      </c>
      <c r="G1" s="161" t="s">
        <v>426</v>
      </c>
      <c r="H1" s="161" t="s">
        <v>427</v>
      </c>
      <c r="I1" s="162" t="s">
        <v>428</v>
      </c>
      <c r="J1" s="162" t="s">
        <v>429</v>
      </c>
      <c r="K1" s="161" t="s">
        <v>26</v>
      </c>
      <c r="L1" s="161" t="s">
        <v>324</v>
      </c>
      <c r="M1" s="161" t="s">
        <v>367</v>
      </c>
      <c r="N1" s="144" t="s">
        <v>34</v>
      </c>
      <c r="O1" s="144" t="s">
        <v>326</v>
      </c>
      <c r="P1" s="144" t="s">
        <v>38</v>
      </c>
      <c r="Q1" s="144" t="s">
        <v>40</v>
      </c>
      <c r="R1" s="163"/>
      <c r="S1" s="163"/>
    </row>
    <row r="2" spans="1:24" x14ac:dyDescent="0.15">
      <c r="A2" s="3" t="s">
        <v>430</v>
      </c>
      <c r="B2" s="5" t="s">
        <v>431</v>
      </c>
      <c r="C2" s="5">
        <v>7</v>
      </c>
      <c r="D2" s="164">
        <v>4000</v>
      </c>
      <c r="E2" s="164"/>
      <c r="F2" s="164"/>
      <c r="G2" s="164">
        <v>609703.88</v>
      </c>
      <c r="H2" s="164">
        <v>42623</v>
      </c>
      <c r="I2" s="164">
        <f>2000+1500+4000+109704*0.025</f>
        <v>10242.6</v>
      </c>
      <c r="J2" s="164">
        <v>0</v>
      </c>
      <c r="K2" s="164">
        <f>D2+J2+I2+E2+F2</f>
        <v>14242.6</v>
      </c>
      <c r="L2" s="164">
        <v>644</v>
      </c>
      <c r="M2" s="164">
        <v>20</v>
      </c>
      <c r="N2" s="164">
        <v>20</v>
      </c>
      <c r="O2" s="164"/>
      <c r="P2" s="164">
        <f>K2-L2-M2-N2-O2</f>
        <v>13558.6</v>
      </c>
      <c r="Q2" s="157"/>
      <c r="R2" s="158"/>
      <c r="S2" s="158"/>
      <c r="V2" s="155">
        <f>_xlfn.XLOOKUP(B2,[9]工资核对的全字段!$C:$C,[9]工资核对的全字段!$CW:$CW,0)</f>
        <v>13558.432000000001</v>
      </c>
      <c r="W2" s="156">
        <f>V2-P2</f>
        <v>-0.16799999999966531</v>
      </c>
    </row>
    <row r="3" spans="1:24" x14ac:dyDescent="0.15">
      <c r="A3" s="3" t="s">
        <v>432</v>
      </c>
      <c r="B3" s="5" t="s">
        <v>433</v>
      </c>
      <c r="C3" s="5">
        <v>7</v>
      </c>
      <c r="D3" s="164">
        <v>4000</v>
      </c>
      <c r="E3" s="164"/>
      <c r="F3" s="164"/>
      <c r="G3" s="164">
        <v>360084</v>
      </c>
      <c r="H3" s="164">
        <v>66061</v>
      </c>
      <c r="I3" s="164">
        <f>2000+1500+60084*0.02</f>
        <v>4701.68</v>
      </c>
      <c r="J3" s="164">
        <f>H3*0.01</f>
        <v>660.61</v>
      </c>
      <c r="K3" s="164">
        <f>D3+J3+I3+E3+F3</f>
        <v>9362.2900000000009</v>
      </c>
      <c r="L3" s="164">
        <v>641</v>
      </c>
      <c r="M3" s="164"/>
      <c r="N3" s="164">
        <v>20</v>
      </c>
      <c r="O3" s="164"/>
      <c r="P3" s="164">
        <f>K3-L3-M3-N3-O3</f>
        <v>8701.2900000000009</v>
      </c>
      <c r="Q3" s="157"/>
      <c r="R3" s="158"/>
      <c r="S3" s="158"/>
      <c r="V3" s="155">
        <f>_xlfn.XLOOKUP(B3,[9]工资核对的全字段!$C:$C,[9]工资核对的全字段!$CW:$CW,0)</f>
        <v>8701.7300000000014</v>
      </c>
      <c r="W3" s="156">
        <f t="shared" ref="W3:W24" si="0">V3-P3</f>
        <v>0.44000000000050932</v>
      </c>
    </row>
    <row r="4" spans="1:24" ht="24" customHeight="1" x14ac:dyDescent="0.15">
      <c r="A4" s="158"/>
      <c r="B4" s="158"/>
      <c r="C4" s="158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58"/>
      <c r="O4" s="158"/>
      <c r="P4" s="158"/>
      <c r="Q4" s="158"/>
      <c r="R4" s="158"/>
      <c r="S4" s="158"/>
      <c r="V4" s="155">
        <f>_xlfn.XLOOKUP(B4,[9]工资核对的全字段!$C:$C,[9]工资核对的全字段!$CW:$CW,0)</f>
        <v>0</v>
      </c>
      <c r="W4" s="156">
        <f t="shared" si="0"/>
        <v>0</v>
      </c>
    </row>
    <row r="5" spans="1:24" x14ac:dyDescent="0.15">
      <c r="A5" s="144" t="s">
        <v>425</v>
      </c>
      <c r="B5" s="144" t="s">
        <v>319</v>
      </c>
      <c r="C5" s="144" t="s">
        <v>0</v>
      </c>
      <c r="D5" s="145" t="s">
        <v>434</v>
      </c>
      <c r="E5" s="145" t="s">
        <v>20</v>
      </c>
      <c r="F5" s="145" t="s">
        <v>19</v>
      </c>
      <c r="G5" s="145" t="s">
        <v>23</v>
      </c>
      <c r="H5" s="145" t="s">
        <v>24</v>
      </c>
      <c r="I5" s="145" t="s">
        <v>22</v>
      </c>
      <c r="J5" s="145" t="s">
        <v>435</v>
      </c>
      <c r="K5" s="145" t="s">
        <v>366</v>
      </c>
      <c r="L5" s="145" t="s">
        <v>436</v>
      </c>
      <c r="M5" s="166" t="s">
        <v>26</v>
      </c>
      <c r="N5" s="166" t="s">
        <v>30</v>
      </c>
      <c r="O5" s="166" t="s">
        <v>34</v>
      </c>
      <c r="P5" s="144" t="s">
        <v>437</v>
      </c>
      <c r="Q5" s="144" t="s">
        <v>438</v>
      </c>
      <c r="R5" s="144"/>
      <c r="S5" s="144"/>
      <c r="T5" s="144" t="s">
        <v>38</v>
      </c>
      <c r="U5" s="144" t="s">
        <v>40</v>
      </c>
      <c r="V5" s="155" t="str">
        <f>_xlfn.XLOOKUP(B5,[9]工资核对的全字段!$C:$C,[9]工资核对的全字段!$CW:$CW,0)</f>
        <v>当月支付总额</v>
      </c>
      <c r="W5" s="156" t="e">
        <f t="shared" si="0"/>
        <v>#VALUE!</v>
      </c>
    </row>
    <row r="6" spans="1:24" x14ac:dyDescent="0.15">
      <c r="A6" s="3" t="s">
        <v>430</v>
      </c>
      <c r="B6" s="5" t="s">
        <v>439</v>
      </c>
      <c r="C6" s="5">
        <v>7</v>
      </c>
      <c r="D6" s="164">
        <v>74428</v>
      </c>
      <c r="E6" s="164">
        <v>138410.29</v>
      </c>
      <c r="F6" s="164">
        <v>3000</v>
      </c>
      <c r="G6" s="164"/>
      <c r="H6" s="164"/>
      <c r="I6" s="159">
        <v>2100</v>
      </c>
      <c r="J6" s="164">
        <f>210295*0.005</f>
        <v>1051.4749999999999</v>
      </c>
      <c r="K6" s="164">
        <f>70000*0.02+4428*0.025</f>
        <v>1510.7</v>
      </c>
      <c r="L6" s="164">
        <f>E6*0.005</f>
        <v>692.05145000000005</v>
      </c>
      <c r="M6" s="164">
        <f>F6+H6+I6+J6+K6+L6+G6</f>
        <v>8354.2264500000001</v>
      </c>
      <c r="N6" s="164">
        <v>640.55999999999995</v>
      </c>
      <c r="O6" s="164">
        <v>120</v>
      </c>
      <c r="P6" s="164">
        <v>50</v>
      </c>
      <c r="Q6" s="164">
        <v>120</v>
      </c>
      <c r="R6" s="164"/>
      <c r="S6" s="164"/>
      <c r="T6" s="164">
        <f>M6-N6-O6-P6+Q6</f>
        <v>7663.6664499999997</v>
      </c>
      <c r="U6" s="167"/>
      <c r="V6" s="155">
        <f>_xlfn.XLOOKUP(B6,[9]工资核对的全字段!$C:$C,[9]工资核对的全字段!$CW:$CW,0)</f>
        <v>7663.6664500000006</v>
      </c>
      <c r="W6" s="156">
        <f>V6-T6</f>
        <v>0</v>
      </c>
    </row>
    <row r="7" spans="1:24" x14ac:dyDescent="0.15">
      <c r="A7" s="5" t="s">
        <v>430</v>
      </c>
      <c r="B7" s="5" t="s">
        <v>440</v>
      </c>
      <c r="C7" s="5">
        <v>7</v>
      </c>
      <c r="D7" s="164">
        <v>205363</v>
      </c>
      <c r="E7" s="164">
        <v>253652.65</v>
      </c>
      <c r="F7" s="164">
        <v>3000</v>
      </c>
      <c r="G7" s="164"/>
      <c r="H7" s="164"/>
      <c r="I7" s="160">
        <v>4150</v>
      </c>
      <c r="J7" s="164">
        <f>156226*0.005</f>
        <v>781.13</v>
      </c>
      <c r="K7" s="164">
        <f>1400+80000*0.025+55363*0.03</f>
        <v>5060.8900000000003</v>
      </c>
      <c r="L7" s="164">
        <f>150000*0.005+103653*0.01</f>
        <v>1786.53</v>
      </c>
      <c r="M7" s="164">
        <f>F7+H7+I7+J7+K7+L7+G7</f>
        <v>14778.55</v>
      </c>
      <c r="N7" s="164"/>
      <c r="O7" s="5">
        <v>10</v>
      </c>
      <c r="P7" s="164"/>
      <c r="Q7" s="164">
        <v>60</v>
      </c>
      <c r="R7" s="164"/>
      <c r="S7" s="164"/>
      <c r="T7" s="164">
        <f>M7-N7-O7-P7+Q7</f>
        <v>14828.55</v>
      </c>
      <c r="U7" s="167"/>
      <c r="V7" s="155">
        <f>_xlfn.XLOOKUP(B7,[9]工资核对的全字段!$C:$C,[9]工资核对的全字段!$CW:$CW,0)</f>
        <v>14828.5465</v>
      </c>
      <c r="W7" s="156">
        <f t="shared" ref="W7:W24" si="1">V7-T7</f>
        <v>-3.4999999988940544E-3</v>
      </c>
    </row>
    <row r="8" spans="1:24" x14ac:dyDescent="0.15">
      <c r="A8" s="158"/>
      <c r="B8" s="158"/>
      <c r="C8" s="158"/>
      <c r="D8" s="165"/>
      <c r="E8" s="164"/>
      <c r="F8" s="165"/>
      <c r="G8" s="165"/>
      <c r="H8" s="155"/>
      <c r="J8" s="165"/>
      <c r="K8" s="165"/>
      <c r="L8" s="165"/>
      <c r="M8" s="165"/>
      <c r="N8" s="165"/>
      <c r="O8" s="158"/>
      <c r="P8" s="158"/>
      <c r="Q8" s="158"/>
      <c r="R8" s="158"/>
      <c r="S8" s="158"/>
      <c r="T8" s="158"/>
      <c r="V8" s="155">
        <f>_xlfn.XLOOKUP(B8,[9]工资核对的全字段!$C:$C,[9]工资核对的全字段!$CW:$CW,0)</f>
        <v>0</v>
      </c>
      <c r="W8" s="156">
        <f t="shared" si="1"/>
        <v>0</v>
      </c>
    </row>
    <row r="9" spans="1:24" x14ac:dyDescent="0.15">
      <c r="A9" s="144" t="s">
        <v>425</v>
      </c>
      <c r="B9" s="144" t="s">
        <v>319</v>
      </c>
      <c r="C9" s="144" t="s">
        <v>0</v>
      </c>
      <c r="D9" s="144" t="s">
        <v>21</v>
      </c>
      <c r="E9" s="144" t="s">
        <v>20</v>
      </c>
      <c r="F9" s="145" t="s">
        <v>434</v>
      </c>
      <c r="G9" s="145" t="s">
        <v>19</v>
      </c>
      <c r="H9" s="145" t="s">
        <v>24</v>
      </c>
      <c r="I9" s="145" t="s">
        <v>23</v>
      </c>
      <c r="J9" s="145" t="s">
        <v>436</v>
      </c>
      <c r="K9" s="145" t="s">
        <v>22</v>
      </c>
      <c r="L9" s="145" t="s">
        <v>441</v>
      </c>
      <c r="M9" s="166" t="s">
        <v>26</v>
      </c>
      <c r="N9" s="166" t="s">
        <v>30</v>
      </c>
      <c r="O9" s="166" t="s">
        <v>367</v>
      </c>
      <c r="P9" s="144" t="s">
        <v>34</v>
      </c>
      <c r="Q9" s="144" t="s">
        <v>438</v>
      </c>
      <c r="R9" s="144" t="s">
        <v>442</v>
      </c>
      <c r="S9" s="144" t="s">
        <v>327</v>
      </c>
      <c r="T9" s="144" t="s">
        <v>38</v>
      </c>
      <c r="U9" s="144" t="s">
        <v>40</v>
      </c>
      <c r="V9" s="155" t="str">
        <f>_xlfn.XLOOKUP(B9,[9]工资核对的全字段!$C:$C,[9]工资核对的全字段!$CW:$CW,0)</f>
        <v>当月支付总额</v>
      </c>
      <c r="W9" s="156" t="e">
        <f t="shared" si="1"/>
        <v>#VALUE!</v>
      </c>
    </row>
    <row r="10" spans="1:24" x14ac:dyDescent="0.15">
      <c r="A10" s="3" t="s">
        <v>430</v>
      </c>
      <c r="B10" s="5" t="s">
        <v>443</v>
      </c>
      <c r="C10" s="5">
        <v>7</v>
      </c>
      <c r="D10" s="164">
        <v>75</v>
      </c>
      <c r="E10" s="164">
        <v>87302.64</v>
      </c>
      <c r="F10" s="164">
        <v>43814</v>
      </c>
      <c r="G10" s="164">
        <f>2500/31*29+2500/31*6</f>
        <v>2822.5806451612898</v>
      </c>
      <c r="H10" s="164"/>
      <c r="I10" s="164">
        <v>60</v>
      </c>
      <c r="J10" s="164">
        <v>0</v>
      </c>
      <c r="K10" s="164">
        <f>1850+220</f>
        <v>2070</v>
      </c>
      <c r="L10" s="164">
        <f>F10*0.02</f>
        <v>876.28</v>
      </c>
      <c r="M10" s="164">
        <f t="shared" ref="M10:M14" si="2">G10+J10+K10+L10+H10+I10</f>
        <v>5828.8606451612904</v>
      </c>
      <c r="N10" s="164"/>
      <c r="O10" s="164"/>
      <c r="P10" s="164">
        <f>_xlfn.XLOOKUP(B10,'[1]②7月-汇总'!$D:$D,'[1]②7月-汇总'!$X:$X)</f>
        <v>0</v>
      </c>
      <c r="Q10" s="164">
        <v>30</v>
      </c>
      <c r="R10" s="164"/>
      <c r="S10" s="164"/>
      <c r="T10" s="168">
        <f>M10-N10-O10-P10+Q10+R10</f>
        <v>5858.8606451612904</v>
      </c>
      <c r="U10" s="167" t="s">
        <v>444</v>
      </c>
      <c r="V10" s="155">
        <f>_xlfn.XLOOKUP(B10,[9]工资核对的全字段!$C:$C,[9]工资核对的全字段!$CW:$CW,0)</f>
        <v>5858.8606451612904</v>
      </c>
      <c r="W10" s="156">
        <f t="shared" si="1"/>
        <v>0</v>
      </c>
    </row>
    <row r="11" spans="1:24" x14ac:dyDescent="0.15">
      <c r="A11" s="3" t="s">
        <v>430</v>
      </c>
      <c r="B11" s="3" t="s">
        <v>445</v>
      </c>
      <c r="C11" s="5">
        <v>7</v>
      </c>
      <c r="D11" s="164">
        <v>138</v>
      </c>
      <c r="E11" s="164">
        <v>143186.04</v>
      </c>
      <c r="F11" s="164">
        <v>70622</v>
      </c>
      <c r="G11" s="164">
        <v>2500</v>
      </c>
      <c r="H11" s="164"/>
      <c r="I11" s="164"/>
      <c r="J11" s="164">
        <f>E11*0.005</f>
        <v>715.93020000000001</v>
      </c>
      <c r="K11" s="164">
        <v>3290</v>
      </c>
      <c r="L11" s="164">
        <f>1400+622*0.025</f>
        <v>1415.55</v>
      </c>
      <c r="M11" s="164">
        <f t="shared" si="2"/>
        <v>7921.4802</v>
      </c>
      <c r="N11" s="164">
        <f>_xlfn.XLOOKUP(B11,'[7]5月社保'!$B:$B,'[7]5月社保'!$L:$L)</f>
        <v>640.55999999999995</v>
      </c>
      <c r="O11" s="164">
        <f>2500/31</f>
        <v>80.645161290322605</v>
      </c>
      <c r="P11" s="164">
        <f>_xlfn.XLOOKUP(B11,'[1]②7月-汇总'!$D:$D,'[1]②7月-汇总'!$X:$X)</f>
        <v>90</v>
      </c>
      <c r="Q11" s="164">
        <v>90</v>
      </c>
      <c r="R11" s="164"/>
      <c r="S11" s="164"/>
      <c r="T11" s="168">
        <f t="shared" ref="T11:T24" si="3">M11-N11-O11-P11+Q11+R11</f>
        <v>7200.2750387096803</v>
      </c>
      <c r="U11" s="167" t="s">
        <v>446</v>
      </c>
      <c r="V11" s="155">
        <f>_xlfn.XLOOKUP(B11,[9]工资核对的全字段!$C:$C,[9]工资核对的全字段!$CW:$CW,0)</f>
        <v>7190.2750387096767</v>
      </c>
      <c r="W11" s="173">
        <f t="shared" si="1"/>
        <v>-10.000000000003638</v>
      </c>
      <c r="X11" s="174" t="s">
        <v>509</v>
      </c>
    </row>
    <row r="12" spans="1:24" x14ac:dyDescent="0.15">
      <c r="A12" s="3" t="s">
        <v>430</v>
      </c>
      <c r="B12" s="3" t="s">
        <v>447</v>
      </c>
      <c r="C12" s="5">
        <v>7</v>
      </c>
      <c r="D12" s="164">
        <v>124</v>
      </c>
      <c r="E12" s="164">
        <v>170456.18</v>
      </c>
      <c r="F12" s="164">
        <v>112517</v>
      </c>
      <c r="G12" s="164">
        <v>3500</v>
      </c>
      <c r="H12" s="164"/>
      <c r="I12" s="164"/>
      <c r="J12" s="164">
        <f t="shared" ref="J12:J22" si="4">E12*0.005</f>
        <v>852.28089999999997</v>
      </c>
      <c r="K12" s="164">
        <v>3795</v>
      </c>
      <c r="L12" s="164">
        <f>1400+42517*0.025</f>
        <v>2462.9250000000002</v>
      </c>
      <c r="M12" s="164">
        <f t="shared" si="2"/>
        <v>10610.205900000001</v>
      </c>
      <c r="N12" s="164"/>
      <c r="O12" s="164">
        <f>_xlfn.XLOOKUP(B12,'[1]②7月-汇总'!$D:$D,'[1]②7月-汇总'!$Y:$Y)</f>
        <v>0</v>
      </c>
      <c r="P12" s="164">
        <f>_xlfn.XLOOKUP(B12,'[1]②7月-汇总'!$D:$D,'[1]②7月-汇总'!$X:$X)</f>
        <v>0</v>
      </c>
      <c r="Q12" s="164">
        <v>60</v>
      </c>
      <c r="R12" s="164"/>
      <c r="S12" s="164"/>
      <c r="T12" s="168">
        <f t="shared" si="3"/>
        <v>10670.205900000001</v>
      </c>
      <c r="U12" s="167"/>
      <c r="V12" s="155">
        <f>_xlfn.XLOOKUP(B12,[9]工资核对的全字段!$C:$C,[9]工资核对的全字段!$CW:$CW,0)</f>
        <v>10670.205900000001</v>
      </c>
      <c r="W12" s="156">
        <f t="shared" si="1"/>
        <v>0</v>
      </c>
    </row>
    <row r="13" spans="1:24" x14ac:dyDescent="0.15">
      <c r="A13" s="3" t="s">
        <v>430</v>
      </c>
      <c r="B13" s="3" t="s">
        <v>448</v>
      </c>
      <c r="C13" s="5">
        <v>7</v>
      </c>
      <c r="D13" s="164">
        <v>162</v>
      </c>
      <c r="E13" s="164">
        <v>194602.29</v>
      </c>
      <c r="F13" s="164">
        <v>53964</v>
      </c>
      <c r="G13" s="164">
        <v>2500</v>
      </c>
      <c r="H13" s="164"/>
      <c r="I13" s="164"/>
      <c r="J13" s="164">
        <f t="shared" si="4"/>
        <v>973.01144999999997</v>
      </c>
      <c r="K13" s="164">
        <v>3570</v>
      </c>
      <c r="L13" s="164">
        <f>F13*0.02</f>
        <v>1079.28</v>
      </c>
      <c r="M13" s="164">
        <f t="shared" si="2"/>
        <v>8122.2914499999997</v>
      </c>
      <c r="N13" s="164">
        <f>_xlfn.XLOOKUP(B13,'[7]5月社保'!$B:$B,'[7]5月社保'!$L:$L)</f>
        <v>644.16800000000001</v>
      </c>
      <c r="O13" s="164">
        <f>_xlfn.XLOOKUP(B13,'[1]②7月-汇总'!$D:$D,'[1]②7月-汇总'!$Y:$Y)</f>
        <v>0</v>
      </c>
      <c r="P13" s="164">
        <f>_xlfn.XLOOKUP(B13,'[1]②7月-汇总'!$D:$D,'[1]②7月-汇总'!$X:$X)</f>
        <v>0</v>
      </c>
      <c r="Q13" s="164">
        <v>120</v>
      </c>
      <c r="R13" s="164"/>
      <c r="S13" s="164"/>
      <c r="T13" s="168">
        <f t="shared" si="3"/>
        <v>7598.12345</v>
      </c>
      <c r="U13" s="167"/>
      <c r="V13" s="155">
        <f>_xlfn.XLOOKUP(B13,[9]工资核对的全字段!$C:$C,[9]工资核对的全字段!$CW:$CW,0)</f>
        <v>7598.123450000001</v>
      </c>
      <c r="W13" s="156">
        <f t="shared" si="1"/>
        <v>0</v>
      </c>
    </row>
    <row r="14" spans="1:24" x14ac:dyDescent="0.15">
      <c r="A14" s="3" t="s">
        <v>430</v>
      </c>
      <c r="B14" s="3" t="s">
        <v>449</v>
      </c>
      <c r="C14" s="5">
        <v>7</v>
      </c>
      <c r="D14" s="164">
        <v>98</v>
      </c>
      <c r="E14" s="164">
        <v>121186.53</v>
      </c>
      <c r="F14" s="164">
        <v>85604</v>
      </c>
      <c r="G14" s="164">
        <v>3000</v>
      </c>
      <c r="H14" s="164"/>
      <c r="I14" s="164"/>
      <c r="J14" s="164">
        <f t="shared" si="4"/>
        <v>605.93264999999997</v>
      </c>
      <c r="K14" s="164">
        <v>2940</v>
      </c>
      <c r="L14" s="164">
        <f>1400+15604*0.025</f>
        <v>1790.1</v>
      </c>
      <c r="M14" s="164">
        <f t="shared" si="2"/>
        <v>8336.0326499999992</v>
      </c>
      <c r="N14" s="164"/>
      <c r="O14" s="164">
        <f>_xlfn.XLOOKUP(B14,'[1]②7月-汇总'!$D:$D,'[1]②7月-汇总'!$Y:$Y)</f>
        <v>20</v>
      </c>
      <c r="P14" s="164">
        <f>_xlfn.XLOOKUP(B14,'[1]②7月-汇总'!$D:$D,'[1]②7月-汇总'!$X:$X)</f>
        <v>20</v>
      </c>
      <c r="Q14" s="164">
        <v>30</v>
      </c>
      <c r="R14" s="164"/>
      <c r="S14" s="164"/>
      <c r="T14" s="168">
        <f t="shared" si="3"/>
        <v>8326.0326499999992</v>
      </c>
      <c r="U14" s="167"/>
      <c r="V14" s="155">
        <f>_xlfn.XLOOKUP(B14,[9]工资核对的全字段!$C:$C,[9]工资核对的全字段!$CW:$CW,0)</f>
        <v>8326.032650000001</v>
      </c>
      <c r="W14" s="156">
        <f t="shared" si="1"/>
        <v>0</v>
      </c>
    </row>
    <row r="15" spans="1:24" x14ac:dyDescent="0.15">
      <c r="A15" s="3" t="s">
        <v>430</v>
      </c>
      <c r="B15" s="3" t="s">
        <v>450</v>
      </c>
      <c r="C15" s="5">
        <v>7</v>
      </c>
      <c r="D15" s="164"/>
      <c r="E15" s="164"/>
      <c r="F15" s="164"/>
      <c r="G15" s="164">
        <v>0</v>
      </c>
      <c r="H15" s="164"/>
      <c r="I15" s="164"/>
      <c r="J15" s="164">
        <f t="shared" si="4"/>
        <v>0</v>
      </c>
      <c r="K15" s="164"/>
      <c r="L15" s="164">
        <v>0</v>
      </c>
      <c r="M15" s="164">
        <v>2258</v>
      </c>
      <c r="N15" s="164"/>
      <c r="O15" s="164">
        <f>_xlfn.XLOOKUP(B15,'[1]②7月-汇总'!$D:$D,'[1]②7月-汇总'!$Y:$Y)</f>
        <v>0</v>
      </c>
      <c r="P15" s="164">
        <f>_xlfn.XLOOKUP(B15,'[1]②7月-汇总'!$D:$D,'[1]②7月-汇总'!$X:$X)</f>
        <v>0</v>
      </c>
      <c r="Q15" s="164"/>
      <c r="R15" s="164">
        <v>560</v>
      </c>
      <c r="S15" s="164"/>
      <c r="T15" s="168">
        <f t="shared" si="3"/>
        <v>2818</v>
      </c>
      <c r="U15" s="167" t="s">
        <v>451</v>
      </c>
      <c r="V15" s="155">
        <f>_xlfn.XLOOKUP(B15,[9]工资核对的全字段!$C:$C,[9]工资核对的全字段!$CW:$CW,0)</f>
        <v>2818.0645161290299</v>
      </c>
      <c r="W15" s="156">
        <f t="shared" si="1"/>
        <v>6.4516129029925651E-2</v>
      </c>
    </row>
    <row r="16" spans="1:24" x14ac:dyDescent="0.15">
      <c r="A16" s="3" t="s">
        <v>430</v>
      </c>
      <c r="B16" s="3" t="s">
        <v>452</v>
      </c>
      <c r="C16" s="5">
        <v>7</v>
      </c>
      <c r="D16" s="164"/>
      <c r="E16" s="164"/>
      <c r="F16" s="164"/>
      <c r="G16" s="164">
        <v>0</v>
      </c>
      <c r="H16" s="164"/>
      <c r="I16" s="164"/>
      <c r="J16" s="164">
        <f t="shared" si="4"/>
        <v>0</v>
      </c>
      <c r="K16" s="164"/>
      <c r="L16" s="164">
        <v>0</v>
      </c>
      <c r="M16" s="164">
        <v>1774</v>
      </c>
      <c r="N16" s="164"/>
      <c r="O16" s="164">
        <f>_xlfn.XLOOKUP(B16,'[1]②7月-汇总'!$D:$D,'[1]②7月-汇总'!$Y:$Y)</f>
        <v>0</v>
      </c>
      <c r="P16" s="164">
        <f>_xlfn.XLOOKUP(B16,'[1]②7月-汇总'!$D:$D,'[1]②7月-汇总'!$X:$X)</f>
        <v>0</v>
      </c>
      <c r="Q16" s="164"/>
      <c r="R16" s="164">
        <v>560</v>
      </c>
      <c r="S16" s="164"/>
      <c r="T16" s="168">
        <f t="shared" si="3"/>
        <v>2334</v>
      </c>
      <c r="U16" s="167" t="s">
        <v>453</v>
      </c>
      <c r="V16" s="155">
        <f>_xlfn.XLOOKUP(B16,[9]工资核对的全字段!$C:$C,[9]工资核对的全字段!$CW:$CW,0)</f>
        <v>2334.1935483871002</v>
      </c>
      <c r="W16" s="156">
        <f t="shared" si="1"/>
        <v>0.19354838710023614</v>
      </c>
    </row>
    <row r="17" spans="1:23" x14ac:dyDescent="0.15">
      <c r="A17" s="3" t="s">
        <v>430</v>
      </c>
      <c r="B17" s="3" t="s">
        <v>510</v>
      </c>
      <c r="C17" s="5">
        <v>7</v>
      </c>
      <c r="D17" s="164"/>
      <c r="E17" s="164">
        <v>0</v>
      </c>
      <c r="F17" s="164">
        <v>6014.88</v>
      </c>
      <c r="G17" s="164"/>
      <c r="H17" s="164"/>
      <c r="I17" s="164"/>
      <c r="J17" s="164">
        <f t="shared" si="4"/>
        <v>0</v>
      </c>
      <c r="K17" s="164">
        <v>0</v>
      </c>
      <c r="L17" s="164"/>
      <c r="M17" s="164">
        <f>F17*0.02</f>
        <v>120.2976</v>
      </c>
      <c r="N17" s="164"/>
      <c r="O17" s="164"/>
      <c r="P17" s="164"/>
      <c r="Q17" s="164"/>
      <c r="R17" s="164"/>
      <c r="S17" s="164"/>
      <c r="T17" s="168">
        <f t="shared" si="3"/>
        <v>120.2976</v>
      </c>
      <c r="U17" s="167"/>
      <c r="V17" s="155">
        <f>_xlfn.XLOOKUP(B17,[9]工资核对的全字段!$C:$C,[9]工资核对的全字段!$CW:$CW,0)</f>
        <v>120.3</v>
      </c>
      <c r="W17" s="156">
        <f t="shared" si="1"/>
        <v>2.3999999999944066E-3</v>
      </c>
    </row>
    <row r="18" spans="1:23" x14ac:dyDescent="0.15">
      <c r="A18" s="169" t="s">
        <v>432</v>
      </c>
      <c r="B18" s="169" t="s">
        <v>454</v>
      </c>
      <c r="C18" s="5">
        <v>7</v>
      </c>
      <c r="D18" s="164">
        <v>114</v>
      </c>
      <c r="E18" s="164">
        <v>137026.67000000001</v>
      </c>
      <c r="F18" s="170">
        <v>81488</v>
      </c>
      <c r="G18" s="171">
        <v>3000</v>
      </c>
      <c r="H18" s="170"/>
      <c r="I18" s="164"/>
      <c r="J18" s="164">
        <f t="shared" si="4"/>
        <v>685.13334999999995</v>
      </c>
      <c r="K18" s="164">
        <v>3405</v>
      </c>
      <c r="L18" s="171">
        <f>1400+11488*0.025</f>
        <v>1687.2</v>
      </c>
      <c r="M18" s="164">
        <f t="shared" ref="M18:M22" si="5">G18+J18+K18+L18+H18+I18</f>
        <v>8777.3333500000008</v>
      </c>
      <c r="N18" s="164"/>
      <c r="O18" s="164">
        <f>_xlfn.XLOOKUP(B18,'[1]②7月-汇总'!$D:$D,'[1]②7月-汇总'!$Y:$Y)</f>
        <v>10</v>
      </c>
      <c r="P18" s="164">
        <f>_xlfn.XLOOKUP(B18,'[1]②7月-汇总'!$D:$D,'[1]②7月-汇总'!$X:$X)</f>
        <v>0</v>
      </c>
      <c r="Q18" s="171">
        <v>120</v>
      </c>
      <c r="R18" s="171"/>
      <c r="S18" s="171"/>
      <c r="T18" s="168">
        <f t="shared" si="3"/>
        <v>8887.3333500000008</v>
      </c>
      <c r="U18" s="167"/>
      <c r="V18" s="155">
        <f>_xlfn.XLOOKUP(B18,[9]工资核对的全字段!$C:$C,[9]工资核对的全字段!$CW:$CW,0)</f>
        <v>8887.3333500000008</v>
      </c>
      <c r="W18" s="156">
        <f t="shared" si="1"/>
        <v>0</v>
      </c>
    </row>
    <row r="19" spans="1:23" x14ac:dyDescent="0.15">
      <c r="A19" s="169" t="s">
        <v>432</v>
      </c>
      <c r="B19" s="170" t="s">
        <v>455</v>
      </c>
      <c r="C19" s="5">
        <v>7</v>
      </c>
      <c r="D19" s="164">
        <v>149</v>
      </c>
      <c r="E19" s="164">
        <v>145128.6</v>
      </c>
      <c r="F19" s="170">
        <v>118438</v>
      </c>
      <c r="G19" s="170">
        <v>3500</v>
      </c>
      <c r="H19" s="170"/>
      <c r="I19" s="164"/>
      <c r="J19" s="164">
        <f t="shared" si="4"/>
        <v>725.64300000000003</v>
      </c>
      <c r="K19" s="164">
        <v>3275</v>
      </c>
      <c r="L19" s="171">
        <f>1400+48438*0.025</f>
        <v>2610.9499999999998</v>
      </c>
      <c r="M19" s="164">
        <f t="shared" si="5"/>
        <v>10111.593000000001</v>
      </c>
      <c r="N19" s="164"/>
      <c r="O19" s="164">
        <f>_xlfn.XLOOKUP(B19,'[1]②7月-汇总'!$D:$D,'[1]②7月-汇总'!$Y:$Y)</f>
        <v>10</v>
      </c>
      <c r="P19" s="164">
        <f>_xlfn.XLOOKUP(B19,'[1]②7月-汇总'!$D:$D,'[1]②7月-汇总'!$X:$X)</f>
        <v>0</v>
      </c>
      <c r="Q19" s="171">
        <v>90</v>
      </c>
      <c r="R19" s="171"/>
      <c r="S19" s="171"/>
      <c r="T19" s="168">
        <f t="shared" si="3"/>
        <v>10191.593000000001</v>
      </c>
      <c r="U19" s="167"/>
      <c r="V19" s="155">
        <f>_xlfn.XLOOKUP(B19,[9]工资核对的全字段!$C:$C,[9]工资核对的全字段!$CW:$CW,0)</f>
        <v>10191.593000000001</v>
      </c>
      <c r="W19" s="156">
        <f t="shared" si="1"/>
        <v>0</v>
      </c>
    </row>
    <row r="20" spans="1:23" x14ac:dyDescent="0.15">
      <c r="A20" s="169" t="s">
        <v>432</v>
      </c>
      <c r="B20" s="170" t="s">
        <v>456</v>
      </c>
      <c r="C20" s="5">
        <v>7</v>
      </c>
      <c r="D20" s="164">
        <v>132</v>
      </c>
      <c r="E20" s="164">
        <v>122913.82</v>
      </c>
      <c r="F20" s="170">
        <v>7800</v>
      </c>
      <c r="G20" s="171">
        <v>2500</v>
      </c>
      <c r="H20" s="170"/>
      <c r="I20" s="164"/>
      <c r="J20" s="164">
        <f t="shared" si="4"/>
        <v>614.56910000000005</v>
      </c>
      <c r="K20" s="164">
        <v>2555</v>
      </c>
      <c r="L20" s="171">
        <v>0</v>
      </c>
      <c r="M20" s="164">
        <f t="shared" si="5"/>
        <v>5669.5690999999997</v>
      </c>
      <c r="N20" s="164">
        <f>_xlfn.XLOOKUP(B20,'[7]5月社保'!$B:$B,'[7]5月社保'!$L:$L)</f>
        <v>644.16800000000001</v>
      </c>
      <c r="O20" s="164">
        <f>_xlfn.XLOOKUP(B20,'[1]②7月-汇总'!$D:$D,'[1]②7月-汇总'!$Y:$Y)</f>
        <v>30</v>
      </c>
      <c r="P20" s="164">
        <f>_xlfn.XLOOKUP(B20,'[1]②7月-汇总'!$D:$D,'[1]②7月-汇总'!$X:$X)</f>
        <v>0</v>
      </c>
      <c r="Q20" s="170">
        <v>60</v>
      </c>
      <c r="R20" s="170"/>
      <c r="S20" s="170"/>
      <c r="T20" s="168">
        <f t="shared" si="3"/>
        <v>5055.4011</v>
      </c>
      <c r="U20" s="167"/>
      <c r="V20" s="155">
        <f>_xlfn.XLOOKUP(B20,[9]工资核对的全字段!$C:$C,[9]工资核对的全字段!$CW:$CW,0)</f>
        <v>5055.401100000001</v>
      </c>
      <c r="W20" s="156">
        <f t="shared" si="1"/>
        <v>0</v>
      </c>
    </row>
    <row r="21" spans="1:23" x14ac:dyDescent="0.15">
      <c r="A21" s="169" t="s">
        <v>432</v>
      </c>
      <c r="B21" s="169" t="s">
        <v>457</v>
      </c>
      <c r="C21" s="5">
        <v>7</v>
      </c>
      <c r="D21" s="164">
        <v>105</v>
      </c>
      <c r="E21" s="164">
        <v>122893.57</v>
      </c>
      <c r="F21" s="170">
        <v>100180</v>
      </c>
      <c r="G21" s="170">
        <v>3000</v>
      </c>
      <c r="H21" s="170"/>
      <c r="I21" s="164"/>
      <c r="J21" s="164">
        <f t="shared" si="4"/>
        <v>614.46785</v>
      </c>
      <c r="K21" s="164">
        <v>3015</v>
      </c>
      <c r="L21" s="171">
        <f>1400+30180*0.025</f>
        <v>2154.5</v>
      </c>
      <c r="M21" s="164">
        <f t="shared" si="5"/>
        <v>8783.9678500000009</v>
      </c>
      <c r="N21" s="164">
        <f>_xlfn.XLOOKUP(B21,'[7]5月社保'!$B:$B,'[7]5月社保'!$L:$L)</f>
        <v>644.16800000000001</v>
      </c>
      <c r="O21" s="164">
        <f>_xlfn.XLOOKUP(B21,'[1]②7月-汇总'!$D:$D,'[1]②7月-汇总'!$Y:$Y)</f>
        <v>0</v>
      </c>
      <c r="P21" s="164">
        <f>_xlfn.XLOOKUP(B21,'[1]②7月-汇总'!$D:$D,'[1]②7月-汇总'!$X:$X)</f>
        <v>0</v>
      </c>
      <c r="Q21" s="172">
        <v>60</v>
      </c>
      <c r="R21" s="172"/>
      <c r="S21" s="172"/>
      <c r="T21" s="168">
        <f t="shared" si="3"/>
        <v>8199.7998499999994</v>
      </c>
      <c r="U21" s="167"/>
      <c r="V21" s="155">
        <f>_xlfn.XLOOKUP(B21,[9]工资核对的全字段!$C:$C,[9]工资核对的全字段!$CW:$CW,0)</f>
        <v>8199.7998500000012</v>
      </c>
      <c r="W21" s="156">
        <f t="shared" si="1"/>
        <v>0</v>
      </c>
    </row>
    <row r="22" spans="1:23" x14ac:dyDescent="0.15">
      <c r="A22" s="169" t="s">
        <v>432</v>
      </c>
      <c r="B22" s="169" t="s">
        <v>458</v>
      </c>
      <c r="C22" s="5">
        <v>7</v>
      </c>
      <c r="D22" s="164">
        <v>134</v>
      </c>
      <c r="E22" s="164">
        <v>125320.94</v>
      </c>
      <c r="F22" s="170">
        <v>55922</v>
      </c>
      <c r="G22" s="170">
        <v>2500</v>
      </c>
      <c r="H22" s="170"/>
      <c r="I22" s="164"/>
      <c r="J22" s="164">
        <f t="shared" si="4"/>
        <v>626.60469999999998</v>
      </c>
      <c r="K22" s="164">
        <v>2670</v>
      </c>
      <c r="L22" s="171">
        <f>F22*0.02</f>
        <v>1118.44</v>
      </c>
      <c r="M22" s="164">
        <f t="shared" si="5"/>
        <v>6915.0447000000004</v>
      </c>
      <c r="N22" s="164"/>
      <c r="O22" s="164">
        <f>_xlfn.XLOOKUP(B22,'[1]②7月-汇总'!$D:$D,'[1]②7月-汇总'!$Y:$Y)</f>
        <v>30</v>
      </c>
      <c r="P22" s="164">
        <f>_xlfn.XLOOKUP(B22,'[1]②7月-汇总'!$D:$D,'[1]②7月-汇总'!$X:$X)</f>
        <v>20</v>
      </c>
      <c r="Q22" s="172">
        <v>120</v>
      </c>
      <c r="R22" s="172"/>
      <c r="S22" s="172"/>
      <c r="T22" s="168">
        <f t="shared" si="3"/>
        <v>6985.0447000000004</v>
      </c>
      <c r="U22" s="167"/>
      <c r="V22" s="155">
        <f>_xlfn.XLOOKUP(B22,[9]工资核对的全字段!$C:$C,[9]工资核对的全字段!$CW:$CW,0)</f>
        <v>6985.0447000000004</v>
      </c>
      <c r="W22" s="156">
        <f t="shared" si="1"/>
        <v>0</v>
      </c>
    </row>
    <row r="23" spans="1:23" x14ac:dyDescent="0.15">
      <c r="A23" s="169" t="s">
        <v>432</v>
      </c>
      <c r="B23" s="169" t="s">
        <v>459</v>
      </c>
      <c r="C23" s="5">
        <v>7</v>
      </c>
      <c r="D23" s="164">
        <v>4</v>
      </c>
      <c r="E23" s="164">
        <v>7950</v>
      </c>
      <c r="F23" s="170">
        <v>0</v>
      </c>
      <c r="G23" s="171">
        <f>2500/31*8</f>
        <v>645.16129032258095</v>
      </c>
      <c r="H23" s="170"/>
      <c r="I23" s="164"/>
      <c r="J23" s="164"/>
      <c r="K23" s="164">
        <v>90</v>
      </c>
      <c r="L23" s="171">
        <v>0</v>
      </c>
      <c r="M23" s="164">
        <f>G23+J23+K23+L23+H23+I23</f>
        <v>735.16129032258095</v>
      </c>
      <c r="N23" s="164"/>
      <c r="O23" s="164">
        <f>_xlfn.XLOOKUP(B23,'[1]②7月-汇总'!$D:$D,'[1]②7月-汇总'!$Y:$Y)</f>
        <v>0</v>
      </c>
      <c r="P23" s="164">
        <f>_xlfn.XLOOKUP(B23,'[1]②7月-汇总'!$D:$D,'[1]②7月-汇总'!$X:$X)</f>
        <v>0</v>
      </c>
      <c r="Q23" s="172"/>
      <c r="R23" s="172">
        <v>560</v>
      </c>
      <c r="S23" s="172">
        <v>300</v>
      </c>
      <c r="T23" s="168">
        <v>1595</v>
      </c>
      <c r="U23" s="167" t="s">
        <v>460</v>
      </c>
      <c r="V23" s="155">
        <f>_xlfn.XLOOKUP(B23,[9]工资核对的全字段!$C:$C,[9]工资核对的全字段!$CW:$CW,0)</f>
        <v>1595.1612903225805</v>
      </c>
      <c r="W23" s="156">
        <f t="shared" si="1"/>
        <v>0.16129032258049847</v>
      </c>
    </row>
    <row r="24" spans="1:23" ht="15" customHeight="1" x14ac:dyDescent="0.15">
      <c r="A24" s="169" t="s">
        <v>432</v>
      </c>
      <c r="B24" s="169" t="s">
        <v>511</v>
      </c>
      <c r="C24" s="170">
        <v>7</v>
      </c>
      <c r="D24" s="164"/>
      <c r="E24" s="164">
        <v>0</v>
      </c>
      <c r="F24" s="170">
        <f>SUM(G3:H3)-SUM(F18:F23)</f>
        <v>62317</v>
      </c>
      <c r="G24" s="170"/>
      <c r="H24" s="170"/>
      <c r="I24" s="164"/>
      <c r="J24" s="164"/>
      <c r="K24" s="164">
        <v>0</v>
      </c>
      <c r="L24" s="171"/>
      <c r="M24" s="164">
        <f>F24*0.02</f>
        <v>1246.3399999999999</v>
      </c>
      <c r="N24" s="164"/>
      <c r="O24" s="164"/>
      <c r="P24" s="164"/>
      <c r="Q24" s="169"/>
      <c r="R24" s="169"/>
      <c r="S24" s="169"/>
      <c r="T24" s="168">
        <f t="shared" si="3"/>
        <v>1246.3399999999999</v>
      </c>
      <c r="U24" s="167"/>
      <c r="V24" s="155">
        <f>_xlfn.XLOOKUP(B24,[9]工资核对的全字段!$C:$C,[9]工资核对的全字段!$CW:$CW,0)</f>
        <v>1246.3399999999999</v>
      </c>
      <c r="W24" s="156">
        <f t="shared" si="1"/>
        <v>0</v>
      </c>
    </row>
    <row r="30" spans="1:23" x14ac:dyDescent="0.15">
      <c r="L30" s="155" t="s">
        <v>461</v>
      </c>
    </row>
  </sheetData>
  <phoneticPr fontId="20" type="noConversion"/>
  <conditionalFormatting sqref="B1:B11 B19:B21">
    <cfRule type="duplicateValues" dxfId="3" priority="4"/>
  </conditionalFormatting>
  <conditionalFormatting sqref="B12:B18">
    <cfRule type="duplicateValues" dxfId="2" priority="2"/>
  </conditionalFormatting>
  <conditionalFormatting sqref="B22:B23">
    <cfRule type="duplicateValues" dxfId="1" priority="3"/>
  </conditionalFormatting>
  <conditionalFormatting sqref="B24 N24:S24 U24">
    <cfRule type="duplicateValues" dxfId="0" priority="1"/>
  </conditionalFormatting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5"/>
  <sheetViews>
    <sheetView workbookViewId="0">
      <selection activeCell="I35" sqref="I35"/>
    </sheetView>
  </sheetViews>
  <sheetFormatPr defaultColWidth="9" defaultRowHeight="13.5" x14ac:dyDescent="0.15"/>
  <cols>
    <col min="1" max="1" width="7" customWidth="1"/>
    <col min="2" max="5" width="5.625" customWidth="1"/>
    <col min="6" max="6" width="11.75" customWidth="1"/>
    <col min="7" max="7" width="17" customWidth="1"/>
    <col min="8" max="8" width="9.875" customWidth="1"/>
    <col min="9" max="9" width="9" customWidth="1"/>
    <col min="10" max="10" width="11.125" style="6" customWidth="1"/>
    <col min="11" max="12" width="5.625" customWidth="1"/>
    <col min="13" max="13" width="7.75" customWidth="1"/>
    <col min="14" max="14" width="9.875" customWidth="1"/>
    <col min="15" max="15" width="13.125" customWidth="1"/>
  </cols>
  <sheetData>
    <row r="1" spans="1:17" ht="15" x14ac:dyDescent="0.15">
      <c r="A1" s="7" t="s">
        <v>319</v>
      </c>
      <c r="B1" s="7" t="s">
        <v>0</v>
      </c>
      <c r="C1" s="7" t="s">
        <v>19</v>
      </c>
      <c r="D1" s="7" t="s">
        <v>24</v>
      </c>
      <c r="E1" s="7" t="s">
        <v>23</v>
      </c>
      <c r="F1" s="7" t="s">
        <v>462</v>
      </c>
      <c r="G1" s="8" t="s">
        <v>463</v>
      </c>
      <c r="H1" s="7" t="s">
        <v>26</v>
      </c>
      <c r="I1" s="8" t="s">
        <v>324</v>
      </c>
      <c r="J1" s="7" t="s">
        <v>464</v>
      </c>
      <c r="K1" s="7" t="s">
        <v>465</v>
      </c>
      <c r="L1" s="7" t="s">
        <v>466</v>
      </c>
      <c r="M1" s="7" t="s">
        <v>326</v>
      </c>
      <c r="N1" s="8" t="s">
        <v>368</v>
      </c>
      <c r="O1" s="7" t="s">
        <v>40</v>
      </c>
    </row>
    <row r="2" spans="1:17" ht="16.5" x14ac:dyDescent="0.15">
      <c r="A2" s="9" t="s">
        <v>467</v>
      </c>
      <c r="B2" s="9">
        <v>6</v>
      </c>
      <c r="C2" s="9">
        <v>3500</v>
      </c>
      <c r="D2" s="9"/>
      <c r="E2" s="9"/>
      <c r="F2" s="9">
        <v>625493</v>
      </c>
      <c r="G2" s="10">
        <f>F2*0.01</f>
        <v>6254.93</v>
      </c>
      <c r="H2" s="10">
        <f>C2+D2+G2+E2</f>
        <v>9754.93</v>
      </c>
      <c r="I2" s="10"/>
      <c r="J2" s="9"/>
      <c r="K2" s="9"/>
      <c r="L2" s="9"/>
      <c r="M2" s="9"/>
      <c r="N2" s="10">
        <f>H2-I2-J2-K2+L2-M2</f>
        <v>9754.93</v>
      </c>
      <c r="O2" s="9">
        <f>_xlfn.XLOOKUP(A:A,'[8]3月'!$C:$C,'[8]3月'!$D:$D)</f>
        <v>0</v>
      </c>
      <c r="P2">
        <f>_xlfn.XLOOKUP(A2,[9]工资核对的全字段!$C:$C,[9]工资核对的全字段!$CW:$CW,0)</f>
        <v>9754.93</v>
      </c>
      <c r="Q2" s="36">
        <f>P2-N2</f>
        <v>0</v>
      </c>
    </row>
    <row r="3" spans="1:17" ht="16.5" x14ac:dyDescent="0.15">
      <c r="A3" s="11" t="s">
        <v>468</v>
      </c>
      <c r="B3" s="9">
        <v>6</v>
      </c>
      <c r="C3" s="9">
        <v>3500</v>
      </c>
      <c r="D3" s="9"/>
      <c r="E3" s="9"/>
      <c r="F3" s="11">
        <v>385650</v>
      </c>
      <c r="G3" s="10">
        <v>0</v>
      </c>
      <c r="H3" s="10">
        <f>C3+D3+G3+E3</f>
        <v>3500</v>
      </c>
      <c r="I3" s="10">
        <v>644.16800000000001</v>
      </c>
      <c r="J3" s="12"/>
      <c r="K3" s="9">
        <f>3500/31</f>
        <v>112.903225806452</v>
      </c>
      <c r="L3" s="11"/>
      <c r="M3" s="9"/>
      <c r="N3" s="10">
        <f>H3-I3-J3-K3+L3-M3</f>
        <v>2742.92877419355</v>
      </c>
      <c r="O3" s="9" t="s">
        <v>446</v>
      </c>
      <c r="P3">
        <f>_xlfn.XLOOKUP(A3,[9]工资核对的全字段!$C:$C,[9]工资核对的全字段!$CW:$CW,0)</f>
        <v>2742.9287741935482</v>
      </c>
      <c r="Q3" s="36">
        <f t="shared" ref="Q3:Q5" si="0">P3-N3</f>
        <v>0</v>
      </c>
    </row>
    <row r="4" spans="1:17" ht="16.5" x14ac:dyDescent="0.15">
      <c r="A4" s="11" t="s">
        <v>469</v>
      </c>
      <c r="B4" s="9">
        <v>6</v>
      </c>
      <c r="C4" s="9">
        <v>3000</v>
      </c>
      <c r="D4" s="9"/>
      <c r="E4" s="9"/>
      <c r="F4" s="12">
        <v>153076</v>
      </c>
      <c r="G4" s="10">
        <v>0</v>
      </c>
      <c r="H4" s="10">
        <f>C4+D4+G4+E4</f>
        <v>3000</v>
      </c>
      <c r="I4" s="10">
        <v>644.16800000000001</v>
      </c>
      <c r="J4" s="9">
        <v>20</v>
      </c>
      <c r="K4" s="11"/>
      <c r="L4" s="11"/>
      <c r="M4" s="9"/>
      <c r="N4" s="10">
        <f>H4-I4-J4-K4+L4-M4</f>
        <v>2335.8319999999999</v>
      </c>
      <c r="O4" s="9" t="s">
        <v>470</v>
      </c>
      <c r="P4">
        <f>_xlfn.XLOOKUP(A4,[9]工资核对的全字段!$C:$C,[9]工资核对的全字段!$CW:$CW,0)</f>
        <v>2335.8319999999999</v>
      </c>
      <c r="Q4" s="36">
        <f t="shared" si="0"/>
        <v>0</v>
      </c>
    </row>
    <row r="5" spans="1:17" ht="16.5" x14ac:dyDescent="0.15">
      <c r="A5" s="11" t="s">
        <v>471</v>
      </c>
      <c r="B5" s="9">
        <v>6</v>
      </c>
      <c r="C5" s="9">
        <v>3000</v>
      </c>
      <c r="D5" s="9">
        <v>50</v>
      </c>
      <c r="E5" s="9">
        <v>20</v>
      </c>
      <c r="F5" s="11">
        <v>85230</v>
      </c>
      <c r="G5" s="10">
        <v>0</v>
      </c>
      <c r="H5" s="10">
        <f>C5+D5+G5+E5</f>
        <v>3070</v>
      </c>
      <c r="I5" s="10"/>
      <c r="J5" s="9"/>
      <c r="K5" s="11"/>
      <c r="L5" s="11"/>
      <c r="M5" s="9"/>
      <c r="N5" s="10">
        <f>H5-I5-J5-K5+L5-M5</f>
        <v>3070</v>
      </c>
      <c r="O5" s="9">
        <f>_xlfn.XLOOKUP(A:A,'[8]3月'!$C:$C,'[8]3月'!$D:$D)</f>
        <v>0</v>
      </c>
      <c r="P5">
        <f>_xlfn.XLOOKUP(A5,[9]工资核对的全字段!$C:$C,[9]工资核对的全字段!$CW:$CW,0)</f>
        <v>3070</v>
      </c>
      <c r="Q5" s="36">
        <f t="shared" si="0"/>
        <v>0</v>
      </c>
    </row>
  </sheetData>
  <phoneticPr fontId="20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1"/>
  <sheetViews>
    <sheetView tabSelected="1" workbookViewId="0">
      <selection activeCell="J16" sqref="J16"/>
    </sheetView>
  </sheetViews>
  <sheetFormatPr defaultColWidth="9" defaultRowHeight="13.5" x14ac:dyDescent="0.15"/>
  <sheetData>
    <row r="1" spans="1:5" ht="16.5" x14ac:dyDescent="0.15">
      <c r="A1" s="1" t="s">
        <v>1</v>
      </c>
      <c r="B1" s="1" t="s">
        <v>472</v>
      </c>
      <c r="C1" s="2" t="s">
        <v>319</v>
      </c>
      <c r="D1" s="2" t="s">
        <v>26</v>
      </c>
      <c r="E1" s="1" t="s">
        <v>38</v>
      </c>
    </row>
    <row r="2" spans="1:5" ht="14.25" x14ac:dyDescent="0.15">
      <c r="A2" s="3" t="s">
        <v>473</v>
      </c>
      <c r="B2" s="3" t="s">
        <v>474</v>
      </c>
      <c r="C2" s="3" t="s">
        <v>475</v>
      </c>
      <c r="D2" s="4">
        <f>150*4</f>
        <v>600</v>
      </c>
      <c r="E2" s="4">
        <f>150*4</f>
        <v>600</v>
      </c>
    </row>
    <row r="3" spans="1:5" ht="14.25" x14ac:dyDescent="0.15">
      <c r="A3" s="3" t="s">
        <v>196</v>
      </c>
      <c r="B3" s="3" t="s">
        <v>474</v>
      </c>
      <c r="C3" s="3" t="s">
        <v>476</v>
      </c>
      <c r="D3" s="4">
        <f>1400/31*31</f>
        <v>1400</v>
      </c>
      <c r="E3" s="4">
        <f>1400/31*31</f>
        <v>1400</v>
      </c>
    </row>
    <row r="4" spans="1:5" ht="14.25" x14ac:dyDescent="0.15">
      <c r="A4" s="5" t="s">
        <v>140</v>
      </c>
      <c r="B4" s="3" t="s">
        <v>474</v>
      </c>
      <c r="C4" s="3" t="s">
        <v>477</v>
      </c>
      <c r="D4" s="4">
        <f>1000/31*31</f>
        <v>1000</v>
      </c>
      <c r="E4" s="4">
        <f>1000/31*31</f>
        <v>1000</v>
      </c>
    </row>
    <row r="5" spans="1:5" ht="14.25" x14ac:dyDescent="0.15">
      <c r="A5" s="3">
        <v>468</v>
      </c>
      <c r="B5" s="3" t="s">
        <v>474</v>
      </c>
      <c r="C5" s="3" t="s">
        <v>477</v>
      </c>
      <c r="D5" s="4">
        <f>1200/31*31</f>
        <v>1200</v>
      </c>
      <c r="E5" s="4">
        <f>1200/31*31</f>
        <v>1200</v>
      </c>
    </row>
    <row r="6" spans="1:5" ht="14.25" x14ac:dyDescent="0.15">
      <c r="A6" s="3" t="s">
        <v>63</v>
      </c>
      <c r="B6" s="3" t="s">
        <v>474</v>
      </c>
      <c r="C6" s="3" t="s">
        <v>478</v>
      </c>
      <c r="D6" s="4">
        <f>3200/31*31</f>
        <v>3200</v>
      </c>
      <c r="E6" s="4">
        <f>3200/31*31</f>
        <v>3200</v>
      </c>
    </row>
    <row r="7" spans="1:5" ht="14.25" x14ac:dyDescent="0.15">
      <c r="A7" s="3" t="s">
        <v>223</v>
      </c>
      <c r="B7" s="3" t="s">
        <v>474</v>
      </c>
      <c r="C7" s="3" t="s">
        <v>479</v>
      </c>
      <c r="D7" s="4">
        <f>3200/31*31</f>
        <v>3200</v>
      </c>
      <c r="E7" s="4">
        <f>3200/31*31</f>
        <v>3200</v>
      </c>
    </row>
    <row r="8" spans="1:5" ht="14.25" x14ac:dyDescent="0.15">
      <c r="A8" s="3" t="s">
        <v>150</v>
      </c>
      <c r="B8" s="3" t="s">
        <v>474</v>
      </c>
      <c r="C8" s="3" t="s">
        <v>480</v>
      </c>
      <c r="D8" s="4">
        <f>1200/31*31</f>
        <v>1200</v>
      </c>
      <c r="E8" s="4">
        <f>1200/31*31</f>
        <v>1200</v>
      </c>
    </row>
    <row r="9" spans="1:5" ht="14.25" x14ac:dyDescent="0.15">
      <c r="A9" s="3" t="s">
        <v>252</v>
      </c>
      <c r="B9" s="3" t="s">
        <v>474</v>
      </c>
      <c r="C9" s="3" t="s">
        <v>481</v>
      </c>
      <c r="D9" s="4">
        <f>1200/31*31</f>
        <v>1200</v>
      </c>
      <c r="E9" s="4">
        <f>1200/31*31</f>
        <v>1200</v>
      </c>
    </row>
    <row r="10" spans="1:5" ht="14.25" x14ac:dyDescent="0.15">
      <c r="A10" s="3" t="s">
        <v>235</v>
      </c>
      <c r="B10" s="3" t="s">
        <v>474</v>
      </c>
      <c r="C10" s="3" t="s">
        <v>482</v>
      </c>
      <c r="D10" s="4">
        <f>1300/31*31</f>
        <v>1300</v>
      </c>
      <c r="E10" s="4">
        <f>1300/31*31</f>
        <v>1300</v>
      </c>
    </row>
    <row r="11" spans="1:5" ht="14.25" x14ac:dyDescent="0.15">
      <c r="A11" s="3" t="s">
        <v>301</v>
      </c>
      <c r="B11" s="3" t="s">
        <v>474</v>
      </c>
      <c r="C11" s="3" t="s">
        <v>483</v>
      </c>
      <c r="D11" s="4">
        <v>1000</v>
      </c>
      <c r="E11" s="4">
        <v>1000</v>
      </c>
    </row>
    <row r="12" spans="1:5" ht="14.25" x14ac:dyDescent="0.15">
      <c r="A12" s="3" t="s">
        <v>131</v>
      </c>
      <c r="B12" s="3" t="s">
        <v>474</v>
      </c>
      <c r="C12" s="3" t="s">
        <v>484</v>
      </c>
      <c r="D12" s="4">
        <f>40*8</f>
        <v>320</v>
      </c>
      <c r="E12" s="4">
        <f>40*8</f>
        <v>320</v>
      </c>
    </row>
    <row r="13" spans="1:5" ht="14.25" x14ac:dyDescent="0.15">
      <c r="A13" s="3" t="s">
        <v>121</v>
      </c>
      <c r="B13" s="3" t="s">
        <v>474</v>
      </c>
      <c r="C13" s="3" t="s">
        <v>485</v>
      </c>
      <c r="D13" s="4">
        <f>3000/31*30</f>
        <v>2903.22580645161</v>
      </c>
      <c r="E13" s="4">
        <f>3000/31*30</f>
        <v>2903.22580645161</v>
      </c>
    </row>
    <row r="14" spans="1:5" ht="14.25" x14ac:dyDescent="0.15">
      <c r="A14" s="3" t="s">
        <v>82</v>
      </c>
      <c r="B14" s="3" t="s">
        <v>474</v>
      </c>
      <c r="C14" s="3" t="s">
        <v>486</v>
      </c>
      <c r="D14" s="4">
        <f t="shared" ref="D14:D17" si="0">1200/31*31</f>
        <v>1200</v>
      </c>
      <c r="E14" s="4">
        <f t="shared" ref="E14:E17" si="1">1200/31*31</f>
        <v>1200</v>
      </c>
    </row>
    <row r="15" spans="1:5" ht="14.25" x14ac:dyDescent="0.15">
      <c r="A15" s="3" t="s">
        <v>261</v>
      </c>
      <c r="B15" s="3" t="s">
        <v>474</v>
      </c>
      <c r="C15" s="3" t="s">
        <v>487</v>
      </c>
      <c r="D15" s="4">
        <f>1300/31*31</f>
        <v>1300</v>
      </c>
      <c r="E15" s="4">
        <f>1300/31*31</f>
        <v>1300</v>
      </c>
    </row>
    <row r="16" spans="1:5" ht="14.25" x14ac:dyDescent="0.15">
      <c r="A16" s="3" t="s">
        <v>269</v>
      </c>
      <c r="B16" s="3" t="s">
        <v>474</v>
      </c>
      <c r="C16" s="3" t="s">
        <v>488</v>
      </c>
      <c r="D16" s="4">
        <f t="shared" si="0"/>
        <v>1200</v>
      </c>
      <c r="E16" s="4">
        <f t="shared" si="1"/>
        <v>1200</v>
      </c>
    </row>
    <row r="17" spans="1:5" ht="14.25" x14ac:dyDescent="0.15">
      <c r="A17" s="3" t="s">
        <v>168</v>
      </c>
      <c r="B17" s="3" t="s">
        <v>474</v>
      </c>
      <c r="C17" s="3" t="s">
        <v>489</v>
      </c>
      <c r="D17" s="4">
        <f t="shared" si="0"/>
        <v>1200</v>
      </c>
      <c r="E17" s="4">
        <f t="shared" si="1"/>
        <v>1200</v>
      </c>
    </row>
    <row r="18" spans="1:5" ht="14.25" x14ac:dyDescent="0.15">
      <c r="A18" s="3" t="s">
        <v>177</v>
      </c>
      <c r="B18" s="3" t="s">
        <v>474</v>
      </c>
      <c r="C18" s="3" t="s">
        <v>490</v>
      </c>
      <c r="D18" s="4">
        <f>1400/31*31</f>
        <v>1400</v>
      </c>
      <c r="E18" s="4">
        <f>1400/31*31</f>
        <v>1400</v>
      </c>
    </row>
    <row r="19" spans="1:5" ht="14.25" x14ac:dyDescent="0.15">
      <c r="A19" s="3" t="s">
        <v>244</v>
      </c>
      <c r="B19" s="3" t="s">
        <v>474</v>
      </c>
      <c r="C19" s="3" t="s">
        <v>491</v>
      </c>
      <c r="D19" s="4">
        <f>1500/31*31</f>
        <v>1500</v>
      </c>
      <c r="E19" s="4">
        <f>1500/31*31</f>
        <v>1500</v>
      </c>
    </row>
    <row r="20" spans="1:5" ht="14.25" x14ac:dyDescent="0.15">
      <c r="A20" s="3" t="s">
        <v>285</v>
      </c>
      <c r="B20" s="3" t="s">
        <v>474</v>
      </c>
      <c r="C20" s="3" t="s">
        <v>492</v>
      </c>
      <c r="D20" s="4">
        <f>1400/31*31</f>
        <v>1400</v>
      </c>
      <c r="E20" s="4">
        <f>1400/31*31</f>
        <v>1400</v>
      </c>
    </row>
    <row r="21" spans="1:5" ht="14.25" x14ac:dyDescent="0.15">
      <c r="A21" s="3" t="s">
        <v>52</v>
      </c>
      <c r="B21" s="3" t="s">
        <v>474</v>
      </c>
      <c r="C21" s="3" t="s">
        <v>493</v>
      </c>
      <c r="D21" s="4">
        <f>1300/31*31</f>
        <v>1300</v>
      </c>
      <c r="E21" s="4">
        <f>1300/31*31</f>
        <v>1300</v>
      </c>
    </row>
    <row r="22" spans="1:5" ht="14.25" x14ac:dyDescent="0.15">
      <c r="A22" s="3" t="s">
        <v>158</v>
      </c>
      <c r="B22" s="3" t="s">
        <v>474</v>
      </c>
      <c r="C22" s="3" t="s">
        <v>494</v>
      </c>
      <c r="D22" s="4">
        <f>1200/31*31</f>
        <v>1200</v>
      </c>
      <c r="E22" s="4">
        <f>1200/31*31</f>
        <v>1200</v>
      </c>
    </row>
    <row r="23" spans="1:5" ht="14.25" x14ac:dyDescent="0.15">
      <c r="A23" s="3" t="s">
        <v>92</v>
      </c>
      <c r="B23" s="3" t="s">
        <v>474</v>
      </c>
      <c r="C23" s="3" t="s">
        <v>495</v>
      </c>
      <c r="D23" s="4">
        <f>1100/31*31</f>
        <v>1100</v>
      </c>
      <c r="E23" s="4">
        <f>1100/31*31</f>
        <v>1100</v>
      </c>
    </row>
    <row r="24" spans="1:5" ht="14.25" x14ac:dyDescent="0.15">
      <c r="A24" s="3" t="s">
        <v>102</v>
      </c>
      <c r="B24" s="3" t="s">
        <v>474</v>
      </c>
      <c r="C24" s="3" t="s">
        <v>496</v>
      </c>
      <c r="D24" s="4">
        <f>1400/31*31</f>
        <v>1400</v>
      </c>
      <c r="E24" s="4">
        <f>1400/31*31</f>
        <v>1400</v>
      </c>
    </row>
    <row r="25" spans="1:5" ht="14.25" x14ac:dyDescent="0.15">
      <c r="A25" s="3" t="s">
        <v>205</v>
      </c>
      <c r="B25" s="3" t="s">
        <v>474</v>
      </c>
      <c r="C25" s="3" t="s">
        <v>497</v>
      </c>
      <c r="D25" s="4">
        <f>1600/31*28</f>
        <v>1445.16129032258</v>
      </c>
      <c r="E25" s="4">
        <f>1600/31*28</f>
        <v>1445.16129032258</v>
      </c>
    </row>
    <row r="26" spans="1:5" ht="14.25" x14ac:dyDescent="0.15">
      <c r="A26" s="3" t="s">
        <v>277</v>
      </c>
      <c r="B26" s="3" t="s">
        <v>474</v>
      </c>
      <c r="C26" s="3" t="s">
        <v>498</v>
      </c>
      <c r="D26" s="4">
        <f>1200/31*31</f>
        <v>1200</v>
      </c>
      <c r="E26" s="4">
        <f>1200/31*31</f>
        <v>1200</v>
      </c>
    </row>
    <row r="27" spans="1:5" ht="14.25" x14ac:dyDescent="0.15">
      <c r="A27" s="3" t="s">
        <v>73</v>
      </c>
      <c r="B27" s="3" t="s">
        <v>474</v>
      </c>
      <c r="C27" s="3" t="s">
        <v>499</v>
      </c>
      <c r="D27" s="4">
        <f>1200/31*30</f>
        <v>1161.2903225806499</v>
      </c>
      <c r="E27" s="4">
        <f>1200/31*30</f>
        <v>1161.2903225806499</v>
      </c>
    </row>
    <row r="28" spans="1:5" ht="14.25" x14ac:dyDescent="0.15">
      <c r="A28" s="3" t="s">
        <v>111</v>
      </c>
      <c r="B28" s="3" t="s">
        <v>474</v>
      </c>
      <c r="C28" s="3" t="s">
        <v>500</v>
      </c>
      <c r="D28" s="4">
        <f>1100/31*30</f>
        <v>1064.5161290322601</v>
      </c>
      <c r="E28" s="4">
        <f>1100/31*30</f>
        <v>1064.5161290322601</v>
      </c>
    </row>
    <row r="29" spans="1:5" ht="14.25" x14ac:dyDescent="0.15">
      <c r="A29" s="3" t="s">
        <v>215</v>
      </c>
      <c r="B29" s="3" t="s">
        <v>474</v>
      </c>
      <c r="C29" s="3" t="s">
        <v>501</v>
      </c>
      <c r="D29" s="4">
        <f>1300/31*31</f>
        <v>1300</v>
      </c>
      <c r="E29" s="4">
        <f>1300/31*31</f>
        <v>1300</v>
      </c>
    </row>
    <row r="30" spans="1:5" ht="14.25" x14ac:dyDescent="0.15">
      <c r="A30" s="3" t="s">
        <v>308</v>
      </c>
      <c r="B30" s="3" t="s">
        <v>474</v>
      </c>
      <c r="C30" s="3" t="s">
        <v>502</v>
      </c>
      <c r="D30" s="4">
        <f>1200/31*31</f>
        <v>1200</v>
      </c>
      <c r="E30" s="4">
        <f>1200/31*31</f>
        <v>1200</v>
      </c>
    </row>
    <row r="31" spans="1:5" ht="14.25" x14ac:dyDescent="0.15">
      <c r="A31" s="3" t="s">
        <v>186</v>
      </c>
      <c r="B31" s="3" t="s">
        <v>474</v>
      </c>
      <c r="C31" s="3" t="s">
        <v>503</v>
      </c>
      <c r="D31" s="4">
        <f>3000/31*31</f>
        <v>3000</v>
      </c>
      <c r="E31" s="4">
        <f>3000/31*31</f>
        <v>3000</v>
      </c>
    </row>
  </sheetData>
  <phoneticPr fontId="20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美容师、顾问</vt:lpstr>
      <vt:lpstr>新店</vt:lpstr>
      <vt:lpstr>店助</vt:lpstr>
      <vt:lpstr>主任</vt:lpstr>
      <vt:lpstr>店长</vt:lpstr>
      <vt:lpstr>（总）经理</vt:lpstr>
      <vt:lpstr>科技部</vt:lpstr>
      <vt:lpstr>大项目部</vt:lpstr>
      <vt:lpstr>保洁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k16921</cp:lastModifiedBy>
  <dcterms:created xsi:type="dcterms:W3CDTF">2025-08-09T06:59:00Z</dcterms:created>
  <dcterms:modified xsi:type="dcterms:W3CDTF">2025-08-14T03:21:20Z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80BAAE71BA6F4B8BB8F7ECA1D6235356_11</vt:lpwstr>
  </property>
  <property fmtid="{D5CDD505-2E9C-101B-9397-08002B2CF9AE}" pid="3" name="KSOProductBuildVer">
    <vt:lpwstr>2052-12.1.0.21915</vt:lpwstr>
  </property>
  <property fmtid="{D5CDD505-2E9C-101B-9397-08002B2CF9AE}" pid="4" name="KSOReadingLayout">
    <vt:bool>true</vt:bool>
  </property>
</Properties>
</file>