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5512F35B-B665-4C5E-A26D-B6F4A0906B27}" xr6:coauthVersionLast="47" xr6:coauthVersionMax="47" xr10:uidLastSave="{00000000-0000-0000-0000-000000000000}"/>
  <bookViews>
    <workbookView xWindow="-120" yWindow="-120" windowWidth="29040" windowHeight="15840" firstSheet="1" activeTab="5" xr2:uid="{00000000-000D-0000-FFFF-FFFF00000000}"/>
  </bookViews>
  <sheets>
    <sheet name="核算规则" sheetId="79" r:id="rId1"/>
    <sheet name="基础设置" sheetId="65" r:id="rId2"/>
    <sheet name="①7月-花名册" sheetId="68" r:id="rId3"/>
    <sheet name="7月运营" sheetId="70" r:id="rId4"/>
    <sheet name="②7月-汇总" sheetId="69" r:id="rId5"/>
    <sheet name="上月未发人员明细" sheetId="80" r:id="rId6"/>
    <sheet name="Sheet1" sheetId="81" r:id="rId7"/>
  </sheets>
  <externalReferences>
    <externalReference r:id="rId8"/>
  </externalReferences>
  <definedNames>
    <definedName name="_xlnm._FilterDatabase" localSheetId="2" hidden="1">'①7月-花名册'!$A$1:$W$339</definedName>
    <definedName name="_xlnm._FilterDatabase" localSheetId="4" hidden="1">'②7月-汇总'!$A$3:$AQ$326</definedName>
    <definedName name="_xlnm._FilterDatabase" localSheetId="3" hidden="1">'7月运营'!$A$1:$M$46</definedName>
    <definedName name="_xlnm._FilterDatabase" localSheetId="6" hidden="1">Sheet1!$B$1:$B$308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80" l="1"/>
  <c r="B9" i="80"/>
  <c r="B10" i="80"/>
  <c r="B11" i="80"/>
  <c r="B12" i="80"/>
  <c r="B13" i="80"/>
  <c r="B14" i="80"/>
  <c r="B15" i="80"/>
  <c r="B16" i="80"/>
  <c r="B17" i="80"/>
  <c r="B18" i="80"/>
  <c r="B8" i="80"/>
  <c r="AD55" i="69" l="1"/>
  <c r="J326" i="69" l="1"/>
  <c r="N339" i="68"/>
  <c r="N3" i="68"/>
  <c r="N4" i="68"/>
  <c r="N5" i="68"/>
  <c r="N6" i="68"/>
  <c r="N7" i="68"/>
  <c r="N8" i="68"/>
  <c r="N9" i="68"/>
  <c r="N10" i="68"/>
  <c r="N11" i="68"/>
  <c r="N12" i="68"/>
  <c r="N13" i="68"/>
  <c r="N14" i="68"/>
  <c r="N15" i="68"/>
  <c r="N16" i="68"/>
  <c r="N17" i="68"/>
  <c r="N18" i="68"/>
  <c r="N19" i="68"/>
  <c r="N20" i="68"/>
  <c r="N21" i="68"/>
  <c r="N22" i="68"/>
  <c r="N23" i="68"/>
  <c r="N24" i="68"/>
  <c r="N25" i="68"/>
  <c r="N26" i="68"/>
  <c r="N27" i="68"/>
  <c r="N28" i="68"/>
  <c r="N29" i="68"/>
  <c r="N30" i="68"/>
  <c r="N31" i="68"/>
  <c r="N32" i="68"/>
  <c r="N33" i="68"/>
  <c r="N34" i="68"/>
  <c r="N35" i="68"/>
  <c r="N36" i="68"/>
  <c r="N37" i="68"/>
  <c r="N38" i="68"/>
  <c r="N39" i="68"/>
  <c r="N40" i="68"/>
  <c r="N41" i="68"/>
  <c r="N42" i="68"/>
  <c r="N43" i="68"/>
  <c r="N44" i="68"/>
  <c r="N45" i="68"/>
  <c r="N46" i="68"/>
  <c r="N47" i="68"/>
  <c r="N48" i="68"/>
  <c r="N49" i="68"/>
  <c r="N50" i="68"/>
  <c r="N51" i="68"/>
  <c r="N52" i="68"/>
  <c r="N53" i="68"/>
  <c r="N54" i="68"/>
  <c r="N55" i="68"/>
  <c r="N56" i="68"/>
  <c r="N57" i="68"/>
  <c r="N58" i="68"/>
  <c r="N59" i="68"/>
  <c r="N60" i="68"/>
  <c r="N61" i="68"/>
  <c r="N62" i="68"/>
  <c r="N63" i="68"/>
  <c r="N64" i="68"/>
  <c r="N65" i="68"/>
  <c r="N66" i="68"/>
  <c r="N67" i="68"/>
  <c r="N68" i="68"/>
  <c r="N69" i="68"/>
  <c r="N70" i="68"/>
  <c r="N71" i="68"/>
  <c r="N72" i="68"/>
  <c r="N73" i="68"/>
  <c r="N74" i="68"/>
  <c r="N75" i="68"/>
  <c r="N76" i="68"/>
  <c r="N77" i="68"/>
  <c r="N78" i="68"/>
  <c r="N79" i="68"/>
  <c r="N80" i="68"/>
  <c r="N81" i="68"/>
  <c r="N82" i="68"/>
  <c r="N83" i="68"/>
  <c r="N84" i="68"/>
  <c r="N85" i="68"/>
  <c r="N86" i="68"/>
  <c r="N87" i="68"/>
  <c r="N88" i="68"/>
  <c r="N89" i="68"/>
  <c r="N90" i="68"/>
  <c r="N91" i="68"/>
  <c r="N92" i="68"/>
  <c r="N93" i="68"/>
  <c r="N94" i="68"/>
  <c r="N95" i="68"/>
  <c r="N96" i="68"/>
  <c r="N97" i="68"/>
  <c r="N98" i="68"/>
  <c r="N99" i="68"/>
  <c r="N100" i="68"/>
  <c r="N101" i="68"/>
  <c r="N102" i="68"/>
  <c r="N103" i="68"/>
  <c r="N104" i="68"/>
  <c r="N105" i="68"/>
  <c r="N106" i="68"/>
  <c r="N107" i="68"/>
  <c r="N108" i="68"/>
  <c r="N109" i="68"/>
  <c r="N110" i="68"/>
  <c r="N111" i="68"/>
  <c r="N112" i="68"/>
  <c r="N113" i="68"/>
  <c r="N114" i="68"/>
  <c r="N115" i="68"/>
  <c r="N116" i="68"/>
  <c r="N117" i="68"/>
  <c r="N118" i="68"/>
  <c r="N119" i="68"/>
  <c r="N120" i="68"/>
  <c r="N121" i="68"/>
  <c r="N122" i="68"/>
  <c r="N123" i="68"/>
  <c r="N124" i="68"/>
  <c r="N125" i="68"/>
  <c r="N126" i="68"/>
  <c r="N127" i="68"/>
  <c r="N128" i="68"/>
  <c r="N129" i="68"/>
  <c r="N130" i="68"/>
  <c r="N131" i="68"/>
  <c r="N132" i="68"/>
  <c r="N133" i="68"/>
  <c r="N134" i="68"/>
  <c r="N135" i="68"/>
  <c r="N136" i="68"/>
  <c r="N137" i="68"/>
  <c r="N138" i="68"/>
  <c r="N139" i="68"/>
  <c r="N140" i="68"/>
  <c r="N141" i="68"/>
  <c r="N142" i="68"/>
  <c r="N143" i="68"/>
  <c r="N144" i="68"/>
  <c r="N145" i="68"/>
  <c r="N146" i="68"/>
  <c r="N147" i="68"/>
  <c r="N148" i="68"/>
  <c r="N149" i="68"/>
  <c r="N150" i="68"/>
  <c r="N151" i="68"/>
  <c r="N152" i="68"/>
  <c r="N153" i="68"/>
  <c r="N154" i="68"/>
  <c r="N155" i="68"/>
  <c r="N156" i="68"/>
  <c r="N157" i="68"/>
  <c r="N158" i="68"/>
  <c r="N159" i="68"/>
  <c r="N160" i="68"/>
  <c r="N161" i="68"/>
  <c r="N162" i="68"/>
  <c r="N163" i="68"/>
  <c r="N164" i="68"/>
  <c r="N165" i="68"/>
  <c r="N166" i="68"/>
  <c r="N167" i="68"/>
  <c r="N168" i="68"/>
  <c r="N169" i="68"/>
  <c r="N170" i="68"/>
  <c r="N171" i="68"/>
  <c r="N172" i="68"/>
  <c r="N173" i="68"/>
  <c r="N174" i="68"/>
  <c r="N175" i="68"/>
  <c r="N176" i="68"/>
  <c r="N177" i="68"/>
  <c r="N178" i="68"/>
  <c r="N179" i="68"/>
  <c r="N180" i="68"/>
  <c r="N181" i="68"/>
  <c r="N182" i="68"/>
  <c r="N183" i="68"/>
  <c r="N184" i="68"/>
  <c r="N185" i="68"/>
  <c r="N186" i="68"/>
  <c r="N187" i="68"/>
  <c r="N188" i="68"/>
  <c r="N189" i="68"/>
  <c r="N190" i="68"/>
  <c r="N191" i="68"/>
  <c r="N192" i="68"/>
  <c r="N193" i="68"/>
  <c r="N194" i="68"/>
  <c r="N195" i="68"/>
  <c r="N196" i="68"/>
  <c r="N197" i="68"/>
  <c r="N198" i="68"/>
  <c r="N199" i="68"/>
  <c r="N200" i="68"/>
  <c r="N201" i="68"/>
  <c r="N202" i="68"/>
  <c r="N203" i="68"/>
  <c r="N204" i="68"/>
  <c r="N205" i="68"/>
  <c r="N206" i="68"/>
  <c r="N207" i="68"/>
  <c r="N208" i="68"/>
  <c r="N209" i="68"/>
  <c r="N210" i="68"/>
  <c r="N211" i="68"/>
  <c r="N212" i="68"/>
  <c r="N213" i="68"/>
  <c r="N214" i="68"/>
  <c r="N215" i="68"/>
  <c r="N216" i="68"/>
  <c r="N217" i="68"/>
  <c r="N218" i="68"/>
  <c r="N219" i="68"/>
  <c r="N220" i="68"/>
  <c r="N221" i="68"/>
  <c r="N222" i="68"/>
  <c r="N223" i="68"/>
  <c r="N224" i="68"/>
  <c r="N225" i="68"/>
  <c r="N226" i="68"/>
  <c r="N227" i="68"/>
  <c r="N228" i="68"/>
  <c r="N229" i="68"/>
  <c r="N230" i="68"/>
  <c r="N231" i="68"/>
  <c r="N232" i="68"/>
  <c r="N233" i="68"/>
  <c r="N234" i="68"/>
  <c r="N235" i="68"/>
  <c r="N236" i="68"/>
  <c r="N237" i="68"/>
  <c r="N238" i="68"/>
  <c r="N239" i="68"/>
  <c r="N240" i="68"/>
  <c r="N241" i="68"/>
  <c r="N242" i="68"/>
  <c r="N243" i="68"/>
  <c r="N244" i="68"/>
  <c r="N245" i="68"/>
  <c r="N246" i="68"/>
  <c r="N247" i="68"/>
  <c r="N248" i="68"/>
  <c r="N249" i="68"/>
  <c r="N250" i="68"/>
  <c r="N251" i="68"/>
  <c r="N252" i="68"/>
  <c r="N253" i="68"/>
  <c r="N254" i="68"/>
  <c r="N255" i="68"/>
  <c r="N256" i="68"/>
  <c r="N257" i="68"/>
  <c r="N258" i="68"/>
  <c r="N259" i="68"/>
  <c r="N260" i="68"/>
  <c r="N261" i="68"/>
  <c r="N262" i="68"/>
  <c r="N263" i="68"/>
  <c r="N264" i="68"/>
  <c r="N265" i="68"/>
  <c r="N266" i="68"/>
  <c r="N267" i="68"/>
  <c r="N268" i="68"/>
  <c r="N269" i="68"/>
  <c r="N270" i="68"/>
  <c r="N271" i="68"/>
  <c r="N272" i="68"/>
  <c r="N273" i="68"/>
  <c r="N274" i="68"/>
  <c r="N275" i="68"/>
  <c r="N276" i="68"/>
  <c r="N277" i="68"/>
  <c r="N278" i="68"/>
  <c r="N279" i="68"/>
  <c r="N280" i="68"/>
  <c r="N281" i="68"/>
  <c r="N282" i="68"/>
  <c r="N283" i="68"/>
  <c r="N284" i="68"/>
  <c r="N285" i="68"/>
  <c r="N286" i="68"/>
  <c r="N287" i="68"/>
  <c r="N288" i="68"/>
  <c r="N289" i="68"/>
  <c r="N290" i="68"/>
  <c r="N291" i="68"/>
  <c r="N292" i="68"/>
  <c r="N293" i="68"/>
  <c r="N294" i="68"/>
  <c r="N295" i="68"/>
  <c r="N296" i="68"/>
  <c r="N297" i="68"/>
  <c r="N298" i="68"/>
  <c r="N299" i="68"/>
  <c r="N300" i="68"/>
  <c r="N301" i="68"/>
  <c r="N302" i="68"/>
  <c r="N303" i="68"/>
  <c r="N304" i="68"/>
  <c r="N305" i="68"/>
  <c r="N306" i="68"/>
  <c r="N307" i="68"/>
  <c r="N308" i="68"/>
  <c r="N309" i="68"/>
  <c r="N310" i="68"/>
  <c r="N311" i="68"/>
  <c r="N312" i="68"/>
  <c r="N313" i="68"/>
  <c r="N314" i="68"/>
  <c r="N315" i="68"/>
  <c r="N316" i="68"/>
  <c r="N317" i="68"/>
  <c r="N318" i="68"/>
  <c r="N319" i="68"/>
  <c r="N320" i="68"/>
  <c r="N321" i="68"/>
  <c r="N322" i="68"/>
  <c r="N323" i="68"/>
  <c r="N324" i="68"/>
  <c r="N325" i="68"/>
  <c r="N326" i="68"/>
  <c r="N327" i="68"/>
  <c r="N328" i="68"/>
  <c r="N329" i="68"/>
  <c r="N330" i="68"/>
  <c r="N331" i="68"/>
  <c r="N332" i="68"/>
  <c r="N333" i="68"/>
  <c r="N334" i="68"/>
  <c r="N335" i="68"/>
  <c r="N336" i="68"/>
  <c r="N337" i="68"/>
  <c r="N338" i="68"/>
  <c r="M339" i="68"/>
  <c r="M46" i="70"/>
  <c r="K46" i="70"/>
  <c r="J5" i="69"/>
  <c r="J6" i="69"/>
  <c r="J7" i="69"/>
  <c r="J8" i="69"/>
  <c r="J9" i="69"/>
  <c r="J10" i="69"/>
  <c r="J11" i="69"/>
  <c r="J12" i="69"/>
  <c r="J13" i="69"/>
  <c r="J14" i="69"/>
  <c r="J15" i="69"/>
  <c r="J16" i="69"/>
  <c r="J17" i="69"/>
  <c r="J18" i="69"/>
  <c r="J19" i="69"/>
  <c r="J20" i="69"/>
  <c r="J21" i="69"/>
  <c r="J22" i="69"/>
  <c r="J23" i="69"/>
  <c r="J24" i="69"/>
  <c r="J25" i="69"/>
  <c r="J26" i="69"/>
  <c r="J27" i="69"/>
  <c r="J28" i="69"/>
  <c r="J29" i="69"/>
  <c r="J30" i="69"/>
  <c r="J31" i="69"/>
  <c r="J32" i="69"/>
  <c r="J33" i="69"/>
  <c r="J34" i="69"/>
  <c r="J35" i="69"/>
  <c r="J36" i="69"/>
  <c r="J37" i="69"/>
  <c r="J38" i="69"/>
  <c r="J39" i="69"/>
  <c r="J40" i="69"/>
  <c r="J41" i="69"/>
  <c r="J42" i="69"/>
  <c r="J43" i="69"/>
  <c r="J44" i="69"/>
  <c r="J45" i="69"/>
  <c r="J46" i="69"/>
  <c r="J47" i="69"/>
  <c r="J48" i="69"/>
  <c r="J49" i="69"/>
  <c r="J50" i="69"/>
  <c r="J51" i="69"/>
  <c r="J52" i="69"/>
  <c r="J53" i="69"/>
  <c r="J54" i="69"/>
  <c r="J55" i="69"/>
  <c r="J56" i="69"/>
  <c r="J57" i="69"/>
  <c r="J58" i="69"/>
  <c r="J59" i="69"/>
  <c r="J60" i="69"/>
  <c r="J61" i="69"/>
  <c r="J62" i="69"/>
  <c r="J63" i="69"/>
  <c r="J64" i="69"/>
  <c r="J65" i="69"/>
  <c r="J66" i="69"/>
  <c r="J67" i="69"/>
  <c r="J68" i="69"/>
  <c r="J69" i="69"/>
  <c r="J70" i="69"/>
  <c r="J71" i="69"/>
  <c r="J72" i="69"/>
  <c r="J73" i="69"/>
  <c r="J74" i="69"/>
  <c r="J75" i="69"/>
  <c r="J76" i="69"/>
  <c r="J77" i="69"/>
  <c r="J78" i="69"/>
  <c r="J79" i="69"/>
  <c r="J80" i="69"/>
  <c r="J81" i="69"/>
  <c r="J82" i="69"/>
  <c r="J83" i="69"/>
  <c r="J84" i="69"/>
  <c r="J85" i="69"/>
  <c r="J86" i="69"/>
  <c r="J87" i="69"/>
  <c r="J88" i="69"/>
  <c r="J89" i="69"/>
  <c r="J90" i="69"/>
  <c r="J91" i="69"/>
  <c r="J92" i="69"/>
  <c r="J93" i="69"/>
  <c r="J94" i="69"/>
  <c r="J95" i="69"/>
  <c r="J96" i="69"/>
  <c r="J97" i="69"/>
  <c r="J98" i="69"/>
  <c r="J99" i="69"/>
  <c r="J100" i="69"/>
  <c r="J101" i="69"/>
  <c r="J102" i="69"/>
  <c r="J103" i="69"/>
  <c r="J104" i="69"/>
  <c r="J105" i="69"/>
  <c r="J106" i="69"/>
  <c r="J107" i="69"/>
  <c r="J108" i="69"/>
  <c r="J109" i="69"/>
  <c r="J110" i="69"/>
  <c r="J111" i="69"/>
  <c r="J112" i="69"/>
  <c r="J113" i="69"/>
  <c r="J114" i="69"/>
  <c r="J115" i="69"/>
  <c r="J116" i="69"/>
  <c r="J117" i="69"/>
  <c r="J118" i="69"/>
  <c r="J119" i="69"/>
  <c r="J120" i="69"/>
  <c r="J121" i="69"/>
  <c r="J122" i="69"/>
  <c r="J123" i="69"/>
  <c r="J124" i="69"/>
  <c r="J125" i="69"/>
  <c r="J126" i="69"/>
  <c r="J127" i="69"/>
  <c r="J128" i="69"/>
  <c r="J129" i="69"/>
  <c r="J130" i="69"/>
  <c r="J131" i="69"/>
  <c r="J132" i="69"/>
  <c r="J133" i="69"/>
  <c r="J134" i="69"/>
  <c r="J135" i="69"/>
  <c r="J136" i="69"/>
  <c r="J137" i="69"/>
  <c r="J138" i="69"/>
  <c r="J139" i="69"/>
  <c r="J140" i="69"/>
  <c r="J141" i="69"/>
  <c r="J142" i="69"/>
  <c r="J143" i="69"/>
  <c r="J144" i="69"/>
  <c r="J145" i="69"/>
  <c r="J146" i="69"/>
  <c r="J147" i="69"/>
  <c r="J148" i="69"/>
  <c r="J149" i="69"/>
  <c r="J150" i="69"/>
  <c r="J151" i="69"/>
  <c r="J152" i="69"/>
  <c r="J153" i="69"/>
  <c r="J154" i="69"/>
  <c r="J155" i="69"/>
  <c r="J156" i="69"/>
  <c r="J157" i="69"/>
  <c r="J158" i="69"/>
  <c r="J159" i="69"/>
  <c r="J160" i="69"/>
  <c r="J161" i="69"/>
  <c r="J162" i="69"/>
  <c r="J163" i="69"/>
  <c r="J164" i="69"/>
  <c r="J165" i="69"/>
  <c r="J166" i="69"/>
  <c r="J167" i="69"/>
  <c r="J168" i="69"/>
  <c r="J169" i="69"/>
  <c r="J170" i="69"/>
  <c r="J171" i="69"/>
  <c r="J172" i="69"/>
  <c r="J173" i="69"/>
  <c r="J174" i="69"/>
  <c r="J175" i="69"/>
  <c r="J176" i="69"/>
  <c r="J177" i="69"/>
  <c r="J178" i="69"/>
  <c r="J179" i="69"/>
  <c r="J180" i="69"/>
  <c r="J181" i="69"/>
  <c r="J182" i="69"/>
  <c r="J183" i="69"/>
  <c r="J184" i="69"/>
  <c r="J185" i="69"/>
  <c r="J186" i="69"/>
  <c r="J187" i="69"/>
  <c r="J188" i="69"/>
  <c r="J189" i="69"/>
  <c r="J190" i="69"/>
  <c r="J191" i="69"/>
  <c r="J192" i="69"/>
  <c r="J193" i="69"/>
  <c r="J194" i="69"/>
  <c r="J195" i="69"/>
  <c r="J196" i="69"/>
  <c r="J197" i="69"/>
  <c r="J198" i="69"/>
  <c r="J199" i="69"/>
  <c r="J200" i="69"/>
  <c r="J201" i="69"/>
  <c r="J202" i="69"/>
  <c r="J203" i="69"/>
  <c r="J204" i="69"/>
  <c r="J205" i="69"/>
  <c r="J206" i="69"/>
  <c r="J207" i="69"/>
  <c r="J208" i="69"/>
  <c r="J209" i="69"/>
  <c r="J210" i="69"/>
  <c r="J211" i="69"/>
  <c r="J212" i="69"/>
  <c r="J213" i="69"/>
  <c r="J214" i="69"/>
  <c r="J215" i="69"/>
  <c r="J216" i="69"/>
  <c r="J217" i="69"/>
  <c r="J218" i="69"/>
  <c r="J219" i="69"/>
  <c r="J220" i="69"/>
  <c r="J221" i="69"/>
  <c r="J222" i="69"/>
  <c r="J223" i="69"/>
  <c r="J224" i="69"/>
  <c r="J225" i="69"/>
  <c r="J226" i="69"/>
  <c r="J227" i="69"/>
  <c r="J228" i="69"/>
  <c r="J229" i="69"/>
  <c r="J230" i="69"/>
  <c r="J231" i="69"/>
  <c r="J232" i="69"/>
  <c r="J233" i="69"/>
  <c r="J234" i="69"/>
  <c r="J235" i="69"/>
  <c r="J236" i="69"/>
  <c r="J237" i="69"/>
  <c r="J238" i="69"/>
  <c r="J239" i="69"/>
  <c r="J240" i="69"/>
  <c r="J241" i="69"/>
  <c r="J242" i="69"/>
  <c r="J243" i="69"/>
  <c r="J244" i="69"/>
  <c r="J245" i="69"/>
  <c r="J246" i="69"/>
  <c r="J247" i="69"/>
  <c r="J248" i="69"/>
  <c r="J249" i="69"/>
  <c r="J250" i="69"/>
  <c r="J251" i="69"/>
  <c r="J252" i="69"/>
  <c r="J253" i="69"/>
  <c r="J254" i="69"/>
  <c r="J255" i="69"/>
  <c r="J256" i="69"/>
  <c r="J257" i="69"/>
  <c r="J258" i="69"/>
  <c r="J259" i="69"/>
  <c r="J260" i="69"/>
  <c r="J261" i="69"/>
  <c r="J262" i="69"/>
  <c r="J263" i="69"/>
  <c r="J264" i="69"/>
  <c r="J265" i="69"/>
  <c r="J266" i="69"/>
  <c r="J267" i="69"/>
  <c r="J268" i="69"/>
  <c r="J269" i="69"/>
  <c r="J270" i="69"/>
  <c r="J271" i="69"/>
  <c r="J272" i="69"/>
  <c r="J273" i="69"/>
  <c r="J274" i="69"/>
  <c r="J275" i="69"/>
  <c r="J276" i="69"/>
  <c r="J277" i="69"/>
  <c r="J278" i="69"/>
  <c r="J279" i="69"/>
  <c r="J280" i="69"/>
  <c r="J281" i="69"/>
  <c r="J282" i="69"/>
  <c r="J283" i="69"/>
  <c r="J284" i="69"/>
  <c r="J285" i="69"/>
  <c r="J286" i="69"/>
  <c r="J287" i="69"/>
  <c r="J288" i="69"/>
  <c r="J289" i="69"/>
  <c r="J290" i="69"/>
  <c r="J291" i="69"/>
  <c r="J292" i="69"/>
  <c r="J293" i="69"/>
  <c r="J294" i="69"/>
  <c r="J295" i="69"/>
  <c r="J296" i="69"/>
  <c r="J297" i="69"/>
  <c r="J298" i="69"/>
  <c r="J299" i="69"/>
  <c r="J300" i="69"/>
  <c r="J301" i="69"/>
  <c r="J302" i="69"/>
  <c r="J303" i="69"/>
  <c r="J304" i="69"/>
  <c r="J305" i="69"/>
  <c r="J306" i="69"/>
  <c r="J307" i="69"/>
  <c r="J308" i="69"/>
  <c r="J309" i="69"/>
  <c r="J310" i="69"/>
  <c r="J311" i="69"/>
  <c r="J312" i="69"/>
  <c r="J313" i="69"/>
  <c r="J314" i="69"/>
  <c r="J315" i="69"/>
  <c r="J316" i="69"/>
  <c r="J317" i="69"/>
  <c r="J318" i="69"/>
  <c r="J319" i="69"/>
  <c r="J320" i="69"/>
  <c r="J321" i="69"/>
  <c r="J322" i="69"/>
  <c r="J323" i="69"/>
  <c r="J324" i="69"/>
  <c r="J325" i="69"/>
  <c r="A8" i="80" a="1"/>
  <c r="A8" i="80" s="1"/>
  <c r="I5" i="80"/>
  <c r="F3" i="80"/>
  <c r="I2" i="80"/>
  <c r="F2" i="80"/>
  <c r="J4" i="69"/>
  <c r="F46" i="70"/>
  <c r="L46" i="70" s="1"/>
  <c r="M45" i="70"/>
  <c r="K45" i="70"/>
  <c r="F45" i="70"/>
  <c r="L45" i="70" s="1"/>
  <c r="M44" i="70"/>
  <c r="K44" i="70"/>
  <c r="F44" i="70"/>
  <c r="L44" i="70" s="1"/>
  <c r="M43" i="70"/>
  <c r="K43" i="70"/>
  <c r="F43" i="70"/>
  <c r="L43" i="70" s="1"/>
  <c r="M42" i="70"/>
  <c r="K42" i="70"/>
  <c r="F42" i="70"/>
  <c r="L42" i="70" s="1"/>
  <c r="M41" i="70"/>
  <c r="K41" i="70"/>
  <c r="F41" i="70"/>
  <c r="M40" i="70"/>
  <c r="K40" i="70"/>
  <c r="F40" i="70"/>
  <c r="L40" i="70" s="1"/>
  <c r="M39" i="70"/>
  <c r="K39" i="70"/>
  <c r="F39" i="70"/>
  <c r="L39" i="70" s="1"/>
  <c r="M38" i="70"/>
  <c r="K38" i="70"/>
  <c r="F38" i="70"/>
  <c r="I38" i="70" s="1"/>
  <c r="M37" i="70"/>
  <c r="K37" i="70"/>
  <c r="F37" i="70"/>
  <c r="L37" i="70" s="1"/>
  <c r="M36" i="70"/>
  <c r="K36" i="70"/>
  <c r="I36" i="70"/>
  <c r="F36" i="70"/>
  <c r="L36" i="70" s="1"/>
  <c r="M35" i="70"/>
  <c r="K35" i="70"/>
  <c r="F35" i="70"/>
  <c r="M34" i="70"/>
  <c r="K34" i="70"/>
  <c r="F34" i="70"/>
  <c r="L34" i="70" s="1"/>
  <c r="M33" i="70"/>
  <c r="K33" i="70"/>
  <c r="F33" i="70"/>
  <c r="L33" i="70" s="1"/>
  <c r="M32" i="70"/>
  <c r="K32" i="70"/>
  <c r="F32" i="70"/>
  <c r="L32" i="70" s="1"/>
  <c r="M31" i="70"/>
  <c r="K31" i="70"/>
  <c r="I31" i="70"/>
  <c r="F31" i="70"/>
  <c r="L31" i="70" s="1"/>
  <c r="M30" i="70"/>
  <c r="K30" i="70"/>
  <c r="F30" i="70"/>
  <c r="L30" i="70" s="1"/>
  <c r="M29" i="70"/>
  <c r="K29" i="70"/>
  <c r="F29" i="70"/>
  <c r="M28" i="70"/>
  <c r="K28" i="70"/>
  <c r="F28" i="70"/>
  <c r="L28" i="70" s="1"/>
  <c r="M27" i="70"/>
  <c r="K27" i="70"/>
  <c r="F27" i="70"/>
  <c r="L27" i="70" s="1"/>
  <c r="M26" i="70"/>
  <c r="K26" i="70"/>
  <c r="F26" i="70"/>
  <c r="L26" i="70" s="1"/>
  <c r="M25" i="70"/>
  <c r="K25" i="70"/>
  <c r="F25" i="70"/>
  <c r="I25" i="70" s="1"/>
  <c r="M24" i="70"/>
  <c r="K24" i="70"/>
  <c r="F24" i="70"/>
  <c r="L24" i="70" s="1"/>
  <c r="M23" i="70"/>
  <c r="K23" i="70"/>
  <c r="F23" i="70"/>
  <c r="M22" i="70"/>
  <c r="K22" i="70"/>
  <c r="F22" i="70"/>
  <c r="L22" i="70" s="1"/>
  <c r="M21" i="70"/>
  <c r="K21" i="70"/>
  <c r="H21" i="70"/>
  <c r="F21" i="70"/>
  <c r="L21" i="70" s="1"/>
  <c r="M20" i="70"/>
  <c r="K20" i="70"/>
  <c r="F20" i="70"/>
  <c r="L20" i="70" s="1"/>
  <c r="M19" i="70"/>
  <c r="K19" i="70"/>
  <c r="F19" i="70"/>
  <c r="L19" i="70" s="1"/>
  <c r="M18" i="70"/>
  <c r="K18" i="70"/>
  <c r="F18" i="70"/>
  <c r="L18" i="70" s="1"/>
  <c r="M17" i="70"/>
  <c r="K17" i="70"/>
  <c r="F17" i="70"/>
  <c r="L17" i="70" s="1"/>
  <c r="M16" i="70"/>
  <c r="K16" i="70"/>
  <c r="F16" i="70"/>
  <c r="L16" i="70" s="1"/>
  <c r="M15" i="70"/>
  <c r="K15" i="70"/>
  <c r="F15" i="70"/>
  <c r="M14" i="70"/>
  <c r="K14" i="70"/>
  <c r="F14" i="70"/>
  <c r="L14" i="70" s="1"/>
  <c r="M13" i="70"/>
  <c r="K13" i="70"/>
  <c r="F13" i="70"/>
  <c r="L13" i="70" s="1"/>
  <c r="M12" i="70"/>
  <c r="K12" i="70"/>
  <c r="F12" i="70"/>
  <c r="L12" i="70" s="1"/>
  <c r="M11" i="70"/>
  <c r="K11" i="70"/>
  <c r="F11" i="70"/>
  <c r="L11" i="70" s="1"/>
  <c r="M10" i="70"/>
  <c r="K10" i="70"/>
  <c r="F10" i="70"/>
  <c r="L10" i="70" s="1"/>
  <c r="M9" i="70"/>
  <c r="K9" i="70"/>
  <c r="H9" i="70"/>
  <c r="F9" i="70"/>
  <c r="L9" i="70" s="1"/>
  <c r="M8" i="70"/>
  <c r="K8" i="70"/>
  <c r="F8" i="70"/>
  <c r="L8" i="70" s="1"/>
  <c r="M7" i="70"/>
  <c r="K7" i="70"/>
  <c r="F7" i="70"/>
  <c r="I7" i="70" s="1"/>
  <c r="M6" i="70"/>
  <c r="K6" i="70"/>
  <c r="F6" i="70"/>
  <c r="L6" i="70" s="1"/>
  <c r="M5" i="70"/>
  <c r="K5" i="70"/>
  <c r="F5" i="70"/>
  <c r="M4" i="70"/>
  <c r="K4" i="70"/>
  <c r="F4" i="70"/>
  <c r="M3" i="70"/>
  <c r="K3" i="70"/>
  <c r="F3" i="70"/>
  <c r="L3" i="70" s="1"/>
  <c r="M2" i="70"/>
  <c r="K2" i="70"/>
  <c r="F2" i="70"/>
  <c r="L2" i="70" s="1"/>
  <c r="R338" i="68"/>
  <c r="Q338" i="68"/>
  <c r="P338" i="68"/>
  <c r="O338" i="68"/>
  <c r="M338" i="68"/>
  <c r="S338" i="68" s="1"/>
  <c r="L338" i="68"/>
  <c r="K338" i="68"/>
  <c r="J338" i="68"/>
  <c r="R337" i="68"/>
  <c r="Q337" i="68"/>
  <c r="P337" i="68"/>
  <c r="O337" i="68"/>
  <c r="M337" i="68"/>
  <c r="L337" i="68"/>
  <c r="K337" i="68"/>
  <c r="J337" i="68"/>
  <c r="R336" i="68"/>
  <c r="Q336" i="68"/>
  <c r="P336" i="68"/>
  <c r="O336" i="68"/>
  <c r="M336" i="68"/>
  <c r="L336" i="68"/>
  <c r="K336" i="68"/>
  <c r="J336" i="68"/>
  <c r="R335" i="68"/>
  <c r="Q335" i="68"/>
  <c r="P335" i="68"/>
  <c r="O335" i="68"/>
  <c r="M335" i="68"/>
  <c r="S335" i="68" s="1"/>
  <c r="L335" i="68"/>
  <c r="K335" i="68"/>
  <c r="J335" i="68"/>
  <c r="R334" i="68"/>
  <c r="Q334" i="68"/>
  <c r="P334" i="68"/>
  <c r="O334" i="68"/>
  <c r="M334" i="68"/>
  <c r="L334" i="68"/>
  <c r="K334" i="68"/>
  <c r="J334" i="68"/>
  <c r="R333" i="68"/>
  <c r="Q333" i="68"/>
  <c r="P333" i="68"/>
  <c r="O333" i="68"/>
  <c r="M333" i="68"/>
  <c r="L333" i="68"/>
  <c r="K333" i="68"/>
  <c r="J333" i="68"/>
  <c r="R332" i="68"/>
  <c r="Q332" i="68"/>
  <c r="P332" i="68"/>
  <c r="O332" i="68"/>
  <c r="M332" i="68"/>
  <c r="S332" i="68" s="1"/>
  <c r="L332" i="68"/>
  <c r="K332" i="68"/>
  <c r="J332" i="68"/>
  <c r="R331" i="68"/>
  <c r="Q331" i="68"/>
  <c r="P331" i="68"/>
  <c r="O331" i="68"/>
  <c r="M331" i="68"/>
  <c r="L331" i="68"/>
  <c r="K331" i="68"/>
  <c r="J331" i="68"/>
  <c r="R330" i="68"/>
  <c r="Q330" i="68"/>
  <c r="P330" i="68"/>
  <c r="O330" i="68"/>
  <c r="M330" i="68"/>
  <c r="L330" i="68"/>
  <c r="K330" i="68"/>
  <c r="J330" i="68"/>
  <c r="R329" i="68"/>
  <c r="Q329" i="68"/>
  <c r="P329" i="68"/>
  <c r="O329" i="68"/>
  <c r="M329" i="68"/>
  <c r="S329" i="68" s="1"/>
  <c r="L329" i="68"/>
  <c r="K329" i="68"/>
  <c r="J329" i="68"/>
  <c r="T328" i="68"/>
  <c r="R328" i="68"/>
  <c r="Q328" i="68"/>
  <c r="P328" i="68"/>
  <c r="O328" i="68"/>
  <c r="M328" i="68"/>
  <c r="L328" i="68"/>
  <c r="K328" i="68"/>
  <c r="J328" i="68"/>
  <c r="T327" i="68"/>
  <c r="R327" i="68"/>
  <c r="Q327" i="68"/>
  <c r="P327" i="68"/>
  <c r="O327" i="68"/>
  <c r="M327" i="68"/>
  <c r="S327" i="68" s="1"/>
  <c r="L327" i="68"/>
  <c r="K327" i="68"/>
  <c r="J327" i="68"/>
  <c r="R326" i="68"/>
  <c r="Q326" i="68"/>
  <c r="P326" i="68"/>
  <c r="O326" i="68"/>
  <c r="M326" i="68"/>
  <c r="S326" i="68" s="1"/>
  <c r="L326" i="68"/>
  <c r="K326" i="68"/>
  <c r="J326" i="68"/>
  <c r="T325" i="68"/>
  <c r="R325" i="68"/>
  <c r="Q325" i="68"/>
  <c r="P325" i="68"/>
  <c r="O325" i="68"/>
  <c r="M325" i="68"/>
  <c r="L325" i="68"/>
  <c r="K325" i="68"/>
  <c r="J325" i="68"/>
  <c r="R324" i="68"/>
  <c r="Q324" i="68"/>
  <c r="P324" i="68"/>
  <c r="O324" i="68"/>
  <c r="M324" i="68"/>
  <c r="S324" i="68" s="1"/>
  <c r="L324" i="68"/>
  <c r="K324" i="68"/>
  <c r="J324" i="68"/>
  <c r="R323" i="68"/>
  <c r="Q323" i="68"/>
  <c r="P323" i="68"/>
  <c r="O323" i="68"/>
  <c r="M323" i="68"/>
  <c r="L323" i="68"/>
  <c r="K323" i="68"/>
  <c r="J323" i="68"/>
  <c r="R322" i="68"/>
  <c r="Q322" i="68"/>
  <c r="P322" i="68"/>
  <c r="O322" i="68"/>
  <c r="M322" i="68"/>
  <c r="L322" i="68"/>
  <c r="K322" i="68"/>
  <c r="J322" i="68"/>
  <c r="T321" i="68"/>
  <c r="R321" i="68"/>
  <c r="Q321" i="68"/>
  <c r="P321" i="68"/>
  <c r="O321" i="68"/>
  <c r="M321" i="68"/>
  <c r="L321" i="68"/>
  <c r="K321" i="68"/>
  <c r="J321" i="68"/>
  <c r="R320" i="68"/>
  <c r="Q320" i="68"/>
  <c r="P320" i="68"/>
  <c r="O320" i="68"/>
  <c r="M320" i="68"/>
  <c r="L320" i="68"/>
  <c r="K320" i="68"/>
  <c r="J320" i="68"/>
  <c r="R319" i="68"/>
  <c r="Q319" i="68"/>
  <c r="P319" i="68"/>
  <c r="O319" i="68"/>
  <c r="M319" i="68"/>
  <c r="L319" i="68"/>
  <c r="K319" i="68"/>
  <c r="J319" i="68"/>
  <c r="R318" i="68"/>
  <c r="Q318" i="68"/>
  <c r="P318" i="68"/>
  <c r="O318" i="68"/>
  <c r="M318" i="68"/>
  <c r="S318" i="68" s="1"/>
  <c r="L318" i="68"/>
  <c r="K318" i="68"/>
  <c r="J318" i="68"/>
  <c r="R317" i="68"/>
  <c r="Q317" i="68"/>
  <c r="P317" i="68"/>
  <c r="O317" i="68"/>
  <c r="M317" i="68"/>
  <c r="L317" i="68"/>
  <c r="K317" i="68"/>
  <c r="J317" i="68"/>
  <c r="R316" i="68"/>
  <c r="Q316" i="68"/>
  <c r="P316" i="68"/>
  <c r="O316" i="68"/>
  <c r="M316" i="68"/>
  <c r="L316" i="68"/>
  <c r="K316" i="68"/>
  <c r="J316" i="68"/>
  <c r="T315" i="68"/>
  <c r="R315" i="68"/>
  <c r="Q315" i="68"/>
  <c r="P315" i="68"/>
  <c r="O315" i="68"/>
  <c r="M315" i="68"/>
  <c r="L315" i="68"/>
  <c r="K315" i="68"/>
  <c r="J315" i="68"/>
  <c r="R314" i="68"/>
  <c r="Q314" i="68"/>
  <c r="P314" i="68"/>
  <c r="O314" i="68"/>
  <c r="M314" i="68"/>
  <c r="S314" i="68" s="1"/>
  <c r="L314" i="68"/>
  <c r="K314" i="68"/>
  <c r="J314" i="68"/>
  <c r="R313" i="68"/>
  <c r="Q313" i="68"/>
  <c r="P313" i="68"/>
  <c r="O313" i="68"/>
  <c r="M313" i="68"/>
  <c r="L313" i="68"/>
  <c r="K313" i="68"/>
  <c r="J313" i="68"/>
  <c r="T312" i="68"/>
  <c r="R312" i="68"/>
  <c r="Q312" i="68"/>
  <c r="P312" i="68"/>
  <c r="O312" i="68"/>
  <c r="M312" i="68"/>
  <c r="S312" i="68" s="1"/>
  <c r="L312" i="68"/>
  <c r="K312" i="68"/>
  <c r="J312" i="68"/>
  <c r="T311" i="68"/>
  <c r="R311" i="68"/>
  <c r="Q311" i="68"/>
  <c r="P311" i="68"/>
  <c r="O311" i="68"/>
  <c r="M311" i="68"/>
  <c r="S311" i="68" s="1"/>
  <c r="L311" i="68"/>
  <c r="K311" i="68"/>
  <c r="J311" i="68"/>
  <c r="T310" i="68"/>
  <c r="R310" i="68"/>
  <c r="Q310" i="68"/>
  <c r="P310" i="68"/>
  <c r="O310" i="68"/>
  <c r="M310" i="68"/>
  <c r="S310" i="68" s="1"/>
  <c r="L310" i="68"/>
  <c r="K310" i="68"/>
  <c r="J310" i="68"/>
  <c r="T309" i="68"/>
  <c r="R309" i="68"/>
  <c r="Q309" i="68"/>
  <c r="P309" i="68"/>
  <c r="O309" i="68"/>
  <c r="M309" i="68"/>
  <c r="S309" i="68" s="1"/>
  <c r="L309" i="68"/>
  <c r="K309" i="68"/>
  <c r="J309" i="68"/>
  <c r="T308" i="68"/>
  <c r="R308" i="68"/>
  <c r="Q308" i="68"/>
  <c r="P308" i="68"/>
  <c r="O308" i="68"/>
  <c r="M308" i="68"/>
  <c r="S308" i="68" s="1"/>
  <c r="L308" i="68"/>
  <c r="K308" i="68"/>
  <c r="J308" i="68"/>
  <c r="T307" i="68"/>
  <c r="R307" i="68"/>
  <c r="Q307" i="68"/>
  <c r="P307" i="68"/>
  <c r="O307" i="68"/>
  <c r="M307" i="68"/>
  <c r="S307" i="68" s="1"/>
  <c r="L307" i="68"/>
  <c r="K307" i="68"/>
  <c r="J307" i="68"/>
  <c r="T306" i="68"/>
  <c r="R306" i="68"/>
  <c r="Q306" i="68"/>
  <c r="P306" i="68"/>
  <c r="O306" i="68"/>
  <c r="M306" i="68"/>
  <c r="S306" i="68" s="1"/>
  <c r="L306" i="68"/>
  <c r="K306" i="68"/>
  <c r="J306" i="68"/>
  <c r="T305" i="68"/>
  <c r="R305" i="68"/>
  <c r="Q305" i="68"/>
  <c r="P305" i="68"/>
  <c r="O305" i="68"/>
  <c r="M305" i="68"/>
  <c r="S305" i="68" s="1"/>
  <c r="L305" i="68"/>
  <c r="K305" i="68"/>
  <c r="J305" i="68"/>
  <c r="T304" i="68"/>
  <c r="R304" i="68"/>
  <c r="Q304" i="68"/>
  <c r="P304" i="68"/>
  <c r="O304" i="68"/>
  <c r="M304" i="68"/>
  <c r="S304" i="68" s="1"/>
  <c r="L304" i="68"/>
  <c r="K304" i="68"/>
  <c r="J304" i="68"/>
  <c r="T303" i="68"/>
  <c r="R303" i="68"/>
  <c r="Q303" i="68"/>
  <c r="P303" i="68"/>
  <c r="O303" i="68"/>
  <c r="M303" i="68"/>
  <c r="S303" i="68" s="1"/>
  <c r="L303" i="68"/>
  <c r="K303" i="68"/>
  <c r="J303" i="68"/>
  <c r="T302" i="68"/>
  <c r="R302" i="68"/>
  <c r="Q302" i="68"/>
  <c r="P302" i="68"/>
  <c r="O302" i="68"/>
  <c r="M302" i="68"/>
  <c r="S302" i="68" s="1"/>
  <c r="L302" i="68"/>
  <c r="K302" i="68"/>
  <c r="J302" i="68"/>
  <c r="T301" i="68"/>
  <c r="R301" i="68"/>
  <c r="Q301" i="68"/>
  <c r="P301" i="68"/>
  <c r="O301" i="68"/>
  <c r="M301" i="68"/>
  <c r="S301" i="68" s="1"/>
  <c r="L301" i="68"/>
  <c r="K301" i="68"/>
  <c r="J301" i="68"/>
  <c r="T300" i="68"/>
  <c r="R300" i="68"/>
  <c r="Q300" i="68"/>
  <c r="P300" i="68"/>
  <c r="O300" i="68"/>
  <c r="M300" i="68"/>
  <c r="S300" i="68" s="1"/>
  <c r="L300" i="68"/>
  <c r="K300" i="68"/>
  <c r="J300" i="68"/>
  <c r="T299" i="68"/>
  <c r="R299" i="68"/>
  <c r="Q299" i="68"/>
  <c r="P299" i="68"/>
  <c r="O299" i="68"/>
  <c r="M299" i="68"/>
  <c r="S299" i="68" s="1"/>
  <c r="L299" i="68"/>
  <c r="K299" i="68"/>
  <c r="J299" i="68"/>
  <c r="T298" i="68"/>
  <c r="R298" i="68"/>
  <c r="Q298" i="68"/>
  <c r="P298" i="68"/>
  <c r="O298" i="68"/>
  <c r="M298" i="68"/>
  <c r="S298" i="68" s="1"/>
  <c r="L298" i="68"/>
  <c r="K298" i="68"/>
  <c r="J298" i="68"/>
  <c r="T297" i="68"/>
  <c r="R297" i="68"/>
  <c r="Q297" i="68"/>
  <c r="P297" i="68"/>
  <c r="O297" i="68"/>
  <c r="M297" i="68"/>
  <c r="S297" i="68" s="1"/>
  <c r="L297" i="68"/>
  <c r="K297" i="68"/>
  <c r="J297" i="68"/>
  <c r="T296" i="68"/>
  <c r="R296" i="68"/>
  <c r="Q296" i="68"/>
  <c r="P296" i="68"/>
  <c r="O296" i="68"/>
  <c r="M296" i="68"/>
  <c r="S296" i="68" s="1"/>
  <c r="L296" i="68"/>
  <c r="K296" i="68"/>
  <c r="J296" i="68"/>
  <c r="T295" i="68"/>
  <c r="R295" i="68"/>
  <c r="Q295" i="68"/>
  <c r="P295" i="68"/>
  <c r="O295" i="68"/>
  <c r="M295" i="68"/>
  <c r="S295" i="68" s="1"/>
  <c r="L295" i="68"/>
  <c r="K295" i="68"/>
  <c r="J295" i="68"/>
  <c r="T294" i="68"/>
  <c r="R294" i="68"/>
  <c r="Q294" i="68"/>
  <c r="P294" i="68"/>
  <c r="O294" i="68"/>
  <c r="M294" i="68"/>
  <c r="S294" i="68" s="1"/>
  <c r="L294" i="68"/>
  <c r="K294" i="68"/>
  <c r="J294" i="68"/>
  <c r="T293" i="68"/>
  <c r="R293" i="68"/>
  <c r="Q293" i="68"/>
  <c r="P293" i="68"/>
  <c r="O293" i="68"/>
  <c r="M293" i="68"/>
  <c r="S293" i="68" s="1"/>
  <c r="L293" i="68"/>
  <c r="K293" i="68"/>
  <c r="J293" i="68"/>
  <c r="R292" i="68"/>
  <c r="Q292" i="68"/>
  <c r="P292" i="68"/>
  <c r="O292" i="68"/>
  <c r="M292" i="68"/>
  <c r="S292" i="68" s="1"/>
  <c r="L292" i="68"/>
  <c r="K292" i="68"/>
  <c r="J292" i="68"/>
  <c r="T291" i="68"/>
  <c r="R291" i="68"/>
  <c r="Q291" i="68"/>
  <c r="P291" i="68"/>
  <c r="O291" i="68"/>
  <c r="M291" i="68"/>
  <c r="S291" i="68" s="1"/>
  <c r="L291" i="68"/>
  <c r="K291" i="68"/>
  <c r="J291" i="68"/>
  <c r="T290" i="68"/>
  <c r="R290" i="68"/>
  <c r="Q290" i="68"/>
  <c r="P290" i="68"/>
  <c r="O290" i="68"/>
  <c r="M290" i="68"/>
  <c r="S290" i="68" s="1"/>
  <c r="L290" i="68"/>
  <c r="K290" i="68"/>
  <c r="J290" i="68"/>
  <c r="T289" i="68"/>
  <c r="R289" i="68"/>
  <c r="Q289" i="68"/>
  <c r="P289" i="68"/>
  <c r="O289" i="68"/>
  <c r="M289" i="68"/>
  <c r="S289" i="68" s="1"/>
  <c r="L289" i="68"/>
  <c r="K289" i="68"/>
  <c r="J289" i="68"/>
  <c r="R288" i="68"/>
  <c r="Q288" i="68"/>
  <c r="P288" i="68"/>
  <c r="O288" i="68"/>
  <c r="M288" i="68"/>
  <c r="S288" i="68" s="1"/>
  <c r="L288" i="68"/>
  <c r="K288" i="68"/>
  <c r="J288" i="68"/>
  <c r="T287" i="68"/>
  <c r="R287" i="68"/>
  <c r="Q287" i="68"/>
  <c r="P287" i="68"/>
  <c r="O287" i="68"/>
  <c r="M287" i="68"/>
  <c r="S287" i="68" s="1"/>
  <c r="L287" i="68"/>
  <c r="K287" i="68"/>
  <c r="J287" i="68"/>
  <c r="T286" i="68"/>
  <c r="R286" i="68"/>
  <c r="Q286" i="68"/>
  <c r="P286" i="68"/>
  <c r="O286" i="68"/>
  <c r="M286" i="68"/>
  <c r="S286" i="68" s="1"/>
  <c r="L286" i="68"/>
  <c r="K286" i="68"/>
  <c r="J286" i="68"/>
  <c r="T285" i="68"/>
  <c r="R285" i="68"/>
  <c r="Q285" i="68"/>
  <c r="P285" i="68"/>
  <c r="O285" i="68"/>
  <c r="M285" i="68"/>
  <c r="S285" i="68" s="1"/>
  <c r="L285" i="68"/>
  <c r="K285" i="68"/>
  <c r="J285" i="68"/>
  <c r="T284" i="68"/>
  <c r="R284" i="68"/>
  <c r="Q284" i="68"/>
  <c r="P284" i="68"/>
  <c r="O284" i="68"/>
  <c r="M284" i="68"/>
  <c r="S284" i="68" s="1"/>
  <c r="L284" i="68"/>
  <c r="K284" i="68"/>
  <c r="J284" i="68"/>
  <c r="T283" i="68"/>
  <c r="R283" i="68"/>
  <c r="Q283" i="68"/>
  <c r="P283" i="68"/>
  <c r="O283" i="68"/>
  <c r="M283" i="68"/>
  <c r="S283" i="68" s="1"/>
  <c r="L283" i="68"/>
  <c r="K283" i="68"/>
  <c r="J283" i="68"/>
  <c r="T282" i="68"/>
  <c r="R282" i="68"/>
  <c r="Q282" i="68"/>
  <c r="P282" i="68"/>
  <c r="O282" i="68"/>
  <c r="M282" i="68"/>
  <c r="S282" i="68" s="1"/>
  <c r="L282" i="68"/>
  <c r="K282" i="68"/>
  <c r="J282" i="68"/>
  <c r="R281" i="68"/>
  <c r="Q281" i="68"/>
  <c r="P281" i="68"/>
  <c r="O281" i="68"/>
  <c r="M281" i="68"/>
  <c r="S281" i="68" s="1"/>
  <c r="L281" i="68"/>
  <c r="K281" i="68"/>
  <c r="J281" i="68"/>
  <c r="R280" i="68"/>
  <c r="Q280" i="68"/>
  <c r="P280" i="68"/>
  <c r="O280" i="68"/>
  <c r="M280" i="68"/>
  <c r="S280" i="68" s="1"/>
  <c r="L280" i="68"/>
  <c r="K280" i="68"/>
  <c r="J280" i="68"/>
  <c r="R279" i="68"/>
  <c r="Q279" i="68"/>
  <c r="P279" i="68"/>
  <c r="O279" i="68"/>
  <c r="M279" i="68"/>
  <c r="S279" i="68" s="1"/>
  <c r="L279" i="68"/>
  <c r="K279" i="68"/>
  <c r="J279" i="68"/>
  <c r="R278" i="68"/>
  <c r="Q278" i="68"/>
  <c r="P278" i="68"/>
  <c r="O278" i="68"/>
  <c r="M278" i="68"/>
  <c r="S278" i="68" s="1"/>
  <c r="L278" i="68"/>
  <c r="K278" i="68"/>
  <c r="J278" i="68"/>
  <c r="R277" i="68"/>
  <c r="Q277" i="68"/>
  <c r="P277" i="68"/>
  <c r="O277" i="68"/>
  <c r="M277" i="68"/>
  <c r="S277" i="68" s="1"/>
  <c r="L277" i="68"/>
  <c r="K277" i="68"/>
  <c r="J277" i="68"/>
  <c r="R276" i="68"/>
  <c r="Q276" i="68"/>
  <c r="P276" i="68"/>
  <c r="O276" i="68"/>
  <c r="M276" i="68"/>
  <c r="S276" i="68" s="1"/>
  <c r="L276" i="68"/>
  <c r="K276" i="68"/>
  <c r="J276" i="68"/>
  <c r="R275" i="68"/>
  <c r="Q275" i="68"/>
  <c r="P275" i="68"/>
  <c r="O275" i="68"/>
  <c r="M275" i="68"/>
  <c r="S275" i="68" s="1"/>
  <c r="L275" i="68"/>
  <c r="K275" i="68"/>
  <c r="J275" i="68"/>
  <c r="R274" i="68"/>
  <c r="Q274" i="68"/>
  <c r="P274" i="68"/>
  <c r="O274" i="68"/>
  <c r="M274" i="68"/>
  <c r="S274" i="68" s="1"/>
  <c r="L274" i="68"/>
  <c r="K274" i="68"/>
  <c r="J274" i="68"/>
  <c r="R273" i="68"/>
  <c r="Q273" i="68"/>
  <c r="P273" i="68"/>
  <c r="O273" i="68"/>
  <c r="M273" i="68"/>
  <c r="S273" i="68" s="1"/>
  <c r="L273" i="68"/>
  <c r="K273" i="68"/>
  <c r="J273" i="68"/>
  <c r="R272" i="68"/>
  <c r="Q272" i="68"/>
  <c r="P272" i="68"/>
  <c r="O272" i="68"/>
  <c r="M272" i="68"/>
  <c r="S272" i="68" s="1"/>
  <c r="L272" i="68"/>
  <c r="K272" i="68"/>
  <c r="J272" i="68"/>
  <c r="R271" i="68"/>
  <c r="Q271" i="68"/>
  <c r="P271" i="68"/>
  <c r="O271" i="68"/>
  <c r="M271" i="68"/>
  <c r="S271" i="68" s="1"/>
  <c r="L271" i="68"/>
  <c r="K271" i="68"/>
  <c r="J271" i="68"/>
  <c r="R270" i="68"/>
  <c r="Q270" i="68"/>
  <c r="P270" i="68"/>
  <c r="O270" i="68"/>
  <c r="M270" i="68"/>
  <c r="S270" i="68" s="1"/>
  <c r="L270" i="68"/>
  <c r="K270" i="68"/>
  <c r="J270" i="68"/>
  <c r="R269" i="68"/>
  <c r="Q269" i="68"/>
  <c r="P269" i="68"/>
  <c r="O269" i="68"/>
  <c r="M269" i="68"/>
  <c r="S269" i="68" s="1"/>
  <c r="L269" i="68"/>
  <c r="K269" i="68"/>
  <c r="J269" i="68"/>
  <c r="R268" i="68"/>
  <c r="Q268" i="68"/>
  <c r="P268" i="68"/>
  <c r="O268" i="68"/>
  <c r="M268" i="68"/>
  <c r="S268" i="68" s="1"/>
  <c r="L268" i="68"/>
  <c r="K268" i="68"/>
  <c r="J268" i="68"/>
  <c r="R267" i="68"/>
  <c r="Q267" i="68"/>
  <c r="P267" i="68"/>
  <c r="O267" i="68"/>
  <c r="M267" i="68"/>
  <c r="S267" i="68" s="1"/>
  <c r="L267" i="68"/>
  <c r="K267" i="68"/>
  <c r="J267" i="68"/>
  <c r="R266" i="68"/>
  <c r="Q266" i="68"/>
  <c r="P266" i="68"/>
  <c r="O266" i="68"/>
  <c r="M266" i="68"/>
  <c r="S266" i="68" s="1"/>
  <c r="L266" i="68"/>
  <c r="K266" i="68"/>
  <c r="J266" i="68"/>
  <c r="R265" i="68"/>
  <c r="Q265" i="68"/>
  <c r="P265" i="68"/>
  <c r="O265" i="68"/>
  <c r="M265" i="68"/>
  <c r="S265" i="68" s="1"/>
  <c r="L265" i="68"/>
  <c r="K265" i="68"/>
  <c r="J265" i="68"/>
  <c r="R264" i="68"/>
  <c r="Q264" i="68"/>
  <c r="P264" i="68"/>
  <c r="O264" i="68"/>
  <c r="M264" i="68"/>
  <c r="S264" i="68" s="1"/>
  <c r="L264" i="68"/>
  <c r="K264" i="68"/>
  <c r="J264" i="68"/>
  <c r="R263" i="68"/>
  <c r="Q263" i="68"/>
  <c r="P263" i="68"/>
  <c r="O263" i="68"/>
  <c r="M263" i="68"/>
  <c r="S263" i="68" s="1"/>
  <c r="L263" i="68"/>
  <c r="K263" i="68"/>
  <c r="J263" i="68"/>
  <c r="R262" i="68"/>
  <c r="Q262" i="68"/>
  <c r="P262" i="68"/>
  <c r="O262" i="68"/>
  <c r="M262" i="68"/>
  <c r="S262" i="68" s="1"/>
  <c r="L262" i="68"/>
  <c r="K262" i="68"/>
  <c r="J262" i="68"/>
  <c r="R261" i="68"/>
  <c r="Q261" i="68"/>
  <c r="P261" i="68"/>
  <c r="O261" i="68"/>
  <c r="M261" i="68"/>
  <c r="S261" i="68" s="1"/>
  <c r="L261" i="68"/>
  <c r="K261" i="68"/>
  <c r="J261" i="68"/>
  <c r="R260" i="68"/>
  <c r="Q260" i="68"/>
  <c r="P260" i="68"/>
  <c r="O260" i="68"/>
  <c r="M260" i="68"/>
  <c r="S260" i="68" s="1"/>
  <c r="L260" i="68"/>
  <c r="K260" i="68"/>
  <c r="J260" i="68"/>
  <c r="R259" i="68"/>
  <c r="Q259" i="68"/>
  <c r="P259" i="68"/>
  <c r="O259" i="68"/>
  <c r="M259" i="68"/>
  <c r="S259" i="68" s="1"/>
  <c r="L259" i="68"/>
  <c r="K259" i="68"/>
  <c r="J259" i="68"/>
  <c r="R258" i="68"/>
  <c r="Q258" i="68"/>
  <c r="P258" i="68"/>
  <c r="O258" i="68"/>
  <c r="M258" i="68"/>
  <c r="S258" i="68" s="1"/>
  <c r="L258" i="68"/>
  <c r="K258" i="68"/>
  <c r="J258" i="68"/>
  <c r="R257" i="68"/>
  <c r="Q257" i="68"/>
  <c r="P257" i="68"/>
  <c r="O257" i="68"/>
  <c r="M257" i="68"/>
  <c r="S257" i="68" s="1"/>
  <c r="L257" i="68"/>
  <c r="K257" i="68"/>
  <c r="J257" i="68"/>
  <c r="R256" i="68"/>
  <c r="Q256" i="68"/>
  <c r="P256" i="68"/>
  <c r="O256" i="68"/>
  <c r="M256" i="68"/>
  <c r="S256" i="68" s="1"/>
  <c r="L256" i="68"/>
  <c r="K256" i="68"/>
  <c r="J256" i="68"/>
  <c r="R255" i="68"/>
  <c r="Q255" i="68"/>
  <c r="P255" i="68"/>
  <c r="O255" i="68"/>
  <c r="M255" i="68"/>
  <c r="S255" i="68" s="1"/>
  <c r="L255" i="68"/>
  <c r="K255" i="68"/>
  <c r="J255" i="68"/>
  <c r="R254" i="68"/>
  <c r="Q254" i="68"/>
  <c r="P254" i="68"/>
  <c r="O254" i="68"/>
  <c r="M254" i="68"/>
  <c r="S254" i="68" s="1"/>
  <c r="L254" i="68"/>
  <c r="K254" i="68"/>
  <c r="J254" i="68"/>
  <c r="R253" i="68"/>
  <c r="Q253" i="68"/>
  <c r="P253" i="68"/>
  <c r="O253" i="68"/>
  <c r="M253" i="68"/>
  <c r="S253" i="68" s="1"/>
  <c r="L253" i="68"/>
  <c r="K253" i="68"/>
  <c r="J253" i="68"/>
  <c r="R252" i="68"/>
  <c r="Q252" i="68"/>
  <c r="P252" i="68"/>
  <c r="O252" i="68"/>
  <c r="M252" i="68"/>
  <c r="S252" i="68" s="1"/>
  <c r="L252" i="68"/>
  <c r="K252" i="68"/>
  <c r="J252" i="68"/>
  <c r="R251" i="68"/>
  <c r="Q251" i="68"/>
  <c r="P251" i="68"/>
  <c r="O251" i="68"/>
  <c r="M251" i="68"/>
  <c r="S251" i="68" s="1"/>
  <c r="L251" i="68"/>
  <c r="K251" i="68"/>
  <c r="J251" i="68"/>
  <c r="R250" i="68"/>
  <c r="Q250" i="68"/>
  <c r="P250" i="68"/>
  <c r="O250" i="68"/>
  <c r="M250" i="68"/>
  <c r="S250" i="68" s="1"/>
  <c r="L250" i="68"/>
  <c r="K250" i="68"/>
  <c r="J250" i="68"/>
  <c r="R249" i="68"/>
  <c r="Q249" i="68"/>
  <c r="P249" i="68"/>
  <c r="O249" i="68"/>
  <c r="M249" i="68"/>
  <c r="S249" i="68" s="1"/>
  <c r="L249" i="68"/>
  <c r="K249" i="68"/>
  <c r="J249" i="68"/>
  <c r="R248" i="68"/>
  <c r="Q248" i="68"/>
  <c r="P248" i="68"/>
  <c r="O248" i="68"/>
  <c r="M248" i="68"/>
  <c r="S248" i="68" s="1"/>
  <c r="L248" i="68"/>
  <c r="K248" i="68"/>
  <c r="J248" i="68"/>
  <c r="R247" i="68"/>
  <c r="Q247" i="68"/>
  <c r="P247" i="68"/>
  <c r="O247" i="68"/>
  <c r="M247" i="68"/>
  <c r="S247" i="68" s="1"/>
  <c r="L247" i="68"/>
  <c r="K247" i="68"/>
  <c r="J247" i="68"/>
  <c r="R246" i="68"/>
  <c r="Q246" i="68"/>
  <c r="P246" i="68"/>
  <c r="O246" i="68"/>
  <c r="M246" i="68"/>
  <c r="S246" i="68" s="1"/>
  <c r="L246" i="68"/>
  <c r="K246" i="68"/>
  <c r="J246" i="68"/>
  <c r="R245" i="68"/>
  <c r="Q245" i="68"/>
  <c r="P245" i="68"/>
  <c r="O245" i="68"/>
  <c r="M245" i="68"/>
  <c r="S245" i="68" s="1"/>
  <c r="L245" i="68"/>
  <c r="K245" i="68"/>
  <c r="J245" i="68"/>
  <c r="R244" i="68"/>
  <c r="Q244" i="68"/>
  <c r="P244" i="68"/>
  <c r="O244" i="68"/>
  <c r="M244" i="68"/>
  <c r="S244" i="68" s="1"/>
  <c r="L244" i="68"/>
  <c r="K244" i="68"/>
  <c r="J244" i="68"/>
  <c r="R243" i="68"/>
  <c r="Q243" i="68"/>
  <c r="P243" i="68"/>
  <c r="O243" i="68"/>
  <c r="M243" i="68"/>
  <c r="S243" i="68" s="1"/>
  <c r="L243" i="68"/>
  <c r="K243" i="68"/>
  <c r="J243" i="68"/>
  <c r="R242" i="68"/>
  <c r="Q242" i="68"/>
  <c r="P242" i="68"/>
  <c r="O242" i="68"/>
  <c r="M242" i="68"/>
  <c r="S242" i="68" s="1"/>
  <c r="L242" i="68"/>
  <c r="K242" i="68"/>
  <c r="J242" i="68"/>
  <c r="R241" i="68"/>
  <c r="Q241" i="68"/>
  <c r="P241" i="68"/>
  <c r="O241" i="68"/>
  <c r="M241" i="68"/>
  <c r="S241" i="68" s="1"/>
  <c r="L241" i="68"/>
  <c r="K241" i="68"/>
  <c r="J241" i="68"/>
  <c r="R240" i="68"/>
  <c r="Q240" i="68"/>
  <c r="P240" i="68"/>
  <c r="O240" i="68"/>
  <c r="M240" i="68"/>
  <c r="S240" i="68" s="1"/>
  <c r="L240" i="68"/>
  <c r="K240" i="68"/>
  <c r="J240" i="68"/>
  <c r="R239" i="68"/>
  <c r="Q239" i="68"/>
  <c r="P239" i="68"/>
  <c r="O239" i="68"/>
  <c r="M239" i="68"/>
  <c r="S239" i="68" s="1"/>
  <c r="L239" i="68"/>
  <c r="K239" i="68"/>
  <c r="J239" i="68"/>
  <c r="R238" i="68"/>
  <c r="Q238" i="68"/>
  <c r="P238" i="68"/>
  <c r="O238" i="68"/>
  <c r="M238" i="68"/>
  <c r="S238" i="68" s="1"/>
  <c r="L238" i="68"/>
  <c r="K238" i="68"/>
  <c r="J238" i="68"/>
  <c r="R237" i="68"/>
  <c r="Q237" i="68"/>
  <c r="P237" i="68"/>
  <c r="O237" i="68"/>
  <c r="M237" i="68"/>
  <c r="S237" i="68" s="1"/>
  <c r="L237" i="68"/>
  <c r="K237" i="68"/>
  <c r="J237" i="68"/>
  <c r="R236" i="68"/>
  <c r="Q236" i="68"/>
  <c r="P236" i="68"/>
  <c r="O236" i="68"/>
  <c r="M236" i="68"/>
  <c r="S236" i="68" s="1"/>
  <c r="L236" i="68"/>
  <c r="K236" i="68"/>
  <c r="J236" i="68"/>
  <c r="R235" i="68"/>
  <c r="Q235" i="68"/>
  <c r="P235" i="68"/>
  <c r="O235" i="68"/>
  <c r="M235" i="68"/>
  <c r="S235" i="68" s="1"/>
  <c r="L235" i="68"/>
  <c r="K235" i="68"/>
  <c r="J235" i="68"/>
  <c r="R234" i="68"/>
  <c r="Q234" i="68"/>
  <c r="P234" i="68"/>
  <c r="O234" i="68"/>
  <c r="M234" i="68"/>
  <c r="S234" i="68" s="1"/>
  <c r="L234" i="68"/>
  <c r="K234" i="68"/>
  <c r="J234" i="68"/>
  <c r="R233" i="68"/>
  <c r="Q233" i="68"/>
  <c r="P233" i="68"/>
  <c r="O233" i="68"/>
  <c r="M233" i="68"/>
  <c r="S233" i="68" s="1"/>
  <c r="L233" i="68"/>
  <c r="K233" i="68"/>
  <c r="J233" i="68"/>
  <c r="R232" i="68"/>
  <c r="Q232" i="68"/>
  <c r="P232" i="68"/>
  <c r="O232" i="68"/>
  <c r="M232" i="68"/>
  <c r="S232" i="68" s="1"/>
  <c r="L232" i="68"/>
  <c r="K232" i="68"/>
  <c r="J232" i="68"/>
  <c r="R231" i="68"/>
  <c r="Q231" i="68"/>
  <c r="P231" i="68"/>
  <c r="O231" i="68"/>
  <c r="M231" i="68"/>
  <c r="S231" i="68" s="1"/>
  <c r="L231" i="68"/>
  <c r="K231" i="68"/>
  <c r="J231" i="68"/>
  <c r="R230" i="68"/>
  <c r="Q230" i="68"/>
  <c r="P230" i="68"/>
  <c r="O230" i="68"/>
  <c r="M230" i="68"/>
  <c r="S230" i="68" s="1"/>
  <c r="L230" i="68"/>
  <c r="K230" i="68"/>
  <c r="J230" i="68"/>
  <c r="R229" i="68"/>
  <c r="Q229" i="68"/>
  <c r="P229" i="68"/>
  <c r="O229" i="68"/>
  <c r="M229" i="68"/>
  <c r="S229" i="68" s="1"/>
  <c r="L229" i="68"/>
  <c r="K229" i="68"/>
  <c r="J229" i="68"/>
  <c r="R228" i="68"/>
  <c r="Q228" i="68"/>
  <c r="P228" i="68"/>
  <c r="O228" i="68"/>
  <c r="M228" i="68"/>
  <c r="S228" i="68" s="1"/>
  <c r="L228" i="68"/>
  <c r="K228" i="68"/>
  <c r="J228" i="68"/>
  <c r="R227" i="68"/>
  <c r="Q227" i="68"/>
  <c r="P227" i="68"/>
  <c r="O227" i="68"/>
  <c r="M227" i="68"/>
  <c r="S227" i="68" s="1"/>
  <c r="L227" i="68"/>
  <c r="K227" i="68"/>
  <c r="J227" i="68"/>
  <c r="R226" i="68"/>
  <c r="Q226" i="68"/>
  <c r="P226" i="68"/>
  <c r="O226" i="68"/>
  <c r="M226" i="68"/>
  <c r="S226" i="68" s="1"/>
  <c r="L226" i="68"/>
  <c r="K226" i="68"/>
  <c r="J226" i="68"/>
  <c r="R225" i="68"/>
  <c r="Q225" i="68"/>
  <c r="P225" i="68"/>
  <c r="O225" i="68"/>
  <c r="M225" i="68"/>
  <c r="S225" i="68" s="1"/>
  <c r="L225" i="68"/>
  <c r="K225" i="68"/>
  <c r="J225" i="68"/>
  <c r="R224" i="68"/>
  <c r="Q224" i="68"/>
  <c r="P224" i="68"/>
  <c r="O224" i="68"/>
  <c r="M224" i="68"/>
  <c r="S224" i="68" s="1"/>
  <c r="L224" i="68"/>
  <c r="K224" i="68"/>
  <c r="J224" i="68"/>
  <c r="R223" i="68"/>
  <c r="Q223" i="68"/>
  <c r="P223" i="68"/>
  <c r="O223" i="68"/>
  <c r="M223" i="68"/>
  <c r="S223" i="68" s="1"/>
  <c r="L223" i="68"/>
  <c r="K223" i="68"/>
  <c r="J223" i="68"/>
  <c r="R222" i="68"/>
  <c r="Q222" i="68"/>
  <c r="P222" i="68"/>
  <c r="O222" i="68"/>
  <c r="M222" i="68"/>
  <c r="S222" i="68" s="1"/>
  <c r="L222" i="68"/>
  <c r="K222" i="68"/>
  <c r="J222" i="68"/>
  <c r="R221" i="68"/>
  <c r="Q221" i="68"/>
  <c r="P221" i="68"/>
  <c r="O221" i="68"/>
  <c r="M221" i="68"/>
  <c r="S221" i="68" s="1"/>
  <c r="L221" i="68"/>
  <c r="K221" i="68"/>
  <c r="J221" i="68"/>
  <c r="R220" i="68"/>
  <c r="Q220" i="68"/>
  <c r="P220" i="68"/>
  <c r="O220" i="68"/>
  <c r="M220" i="68"/>
  <c r="S220" i="68" s="1"/>
  <c r="L220" i="68"/>
  <c r="K220" i="68"/>
  <c r="J220" i="68"/>
  <c r="R219" i="68"/>
  <c r="Q219" i="68"/>
  <c r="P219" i="68"/>
  <c r="O219" i="68"/>
  <c r="M219" i="68"/>
  <c r="S219" i="68" s="1"/>
  <c r="L219" i="68"/>
  <c r="K219" i="68"/>
  <c r="J219" i="68"/>
  <c r="R218" i="68"/>
  <c r="Q218" i="68"/>
  <c r="P218" i="68"/>
  <c r="O218" i="68"/>
  <c r="M218" i="68"/>
  <c r="S218" i="68" s="1"/>
  <c r="L218" i="68"/>
  <c r="K218" i="68"/>
  <c r="J218" i="68"/>
  <c r="R217" i="68"/>
  <c r="Q217" i="68"/>
  <c r="P217" i="68"/>
  <c r="O217" i="68"/>
  <c r="M217" i="68"/>
  <c r="S217" i="68" s="1"/>
  <c r="L217" i="68"/>
  <c r="K217" i="68"/>
  <c r="J217" i="68"/>
  <c r="R216" i="68"/>
  <c r="Q216" i="68"/>
  <c r="P216" i="68"/>
  <c r="O216" i="68"/>
  <c r="M216" i="68"/>
  <c r="S216" i="68" s="1"/>
  <c r="L216" i="68"/>
  <c r="K216" i="68"/>
  <c r="J216" i="68"/>
  <c r="R215" i="68"/>
  <c r="Q215" i="68"/>
  <c r="P215" i="68"/>
  <c r="O215" i="68"/>
  <c r="M215" i="68"/>
  <c r="S215" i="68" s="1"/>
  <c r="L215" i="68"/>
  <c r="K215" i="68"/>
  <c r="J215" i="68"/>
  <c r="R214" i="68"/>
  <c r="Q214" i="68"/>
  <c r="P214" i="68"/>
  <c r="O214" i="68"/>
  <c r="M214" i="68"/>
  <c r="S214" i="68" s="1"/>
  <c r="L214" i="68"/>
  <c r="K214" i="68"/>
  <c r="J214" i="68"/>
  <c r="R213" i="68"/>
  <c r="Q213" i="68"/>
  <c r="P213" i="68"/>
  <c r="O213" i="68"/>
  <c r="M213" i="68"/>
  <c r="S213" i="68" s="1"/>
  <c r="L213" i="68"/>
  <c r="K213" i="68"/>
  <c r="J213" i="68"/>
  <c r="R212" i="68"/>
  <c r="Q212" i="68"/>
  <c r="P212" i="68"/>
  <c r="O212" i="68"/>
  <c r="M212" i="68"/>
  <c r="S212" i="68" s="1"/>
  <c r="L212" i="68"/>
  <c r="K212" i="68"/>
  <c r="J212" i="68"/>
  <c r="R211" i="68"/>
  <c r="Q211" i="68"/>
  <c r="P211" i="68"/>
  <c r="O211" i="68"/>
  <c r="M211" i="68"/>
  <c r="S211" i="68" s="1"/>
  <c r="L211" i="68"/>
  <c r="K211" i="68"/>
  <c r="J211" i="68"/>
  <c r="R210" i="68"/>
  <c r="Q210" i="68"/>
  <c r="P210" i="68"/>
  <c r="O210" i="68"/>
  <c r="M210" i="68"/>
  <c r="S210" i="68" s="1"/>
  <c r="L210" i="68"/>
  <c r="K210" i="68"/>
  <c r="J210" i="68"/>
  <c r="R209" i="68"/>
  <c r="Q209" i="68"/>
  <c r="P209" i="68"/>
  <c r="O209" i="68"/>
  <c r="M209" i="68"/>
  <c r="S209" i="68" s="1"/>
  <c r="L209" i="68"/>
  <c r="K209" i="68"/>
  <c r="J209" i="68"/>
  <c r="R208" i="68"/>
  <c r="Q208" i="68"/>
  <c r="P208" i="68"/>
  <c r="O208" i="68"/>
  <c r="M208" i="68"/>
  <c r="S208" i="68" s="1"/>
  <c r="L208" i="68"/>
  <c r="K208" i="68"/>
  <c r="J208" i="68"/>
  <c r="R207" i="68"/>
  <c r="Q207" i="68"/>
  <c r="P207" i="68"/>
  <c r="O207" i="68"/>
  <c r="M207" i="68"/>
  <c r="S207" i="68" s="1"/>
  <c r="L207" i="68"/>
  <c r="K207" i="68"/>
  <c r="J207" i="68"/>
  <c r="R206" i="68"/>
  <c r="Q206" i="68"/>
  <c r="P206" i="68"/>
  <c r="O206" i="68"/>
  <c r="M206" i="68"/>
  <c r="S206" i="68" s="1"/>
  <c r="L206" i="68"/>
  <c r="K206" i="68"/>
  <c r="J206" i="68"/>
  <c r="R205" i="68"/>
  <c r="Q205" i="68"/>
  <c r="P205" i="68"/>
  <c r="O205" i="68"/>
  <c r="M205" i="68"/>
  <c r="S205" i="68" s="1"/>
  <c r="L205" i="68"/>
  <c r="K205" i="68"/>
  <c r="J205" i="68"/>
  <c r="R204" i="68"/>
  <c r="Q204" i="68"/>
  <c r="P204" i="68"/>
  <c r="O204" i="68"/>
  <c r="M204" i="68"/>
  <c r="S204" i="68" s="1"/>
  <c r="L204" i="68"/>
  <c r="K204" i="68"/>
  <c r="J204" i="68"/>
  <c r="R203" i="68"/>
  <c r="Q203" i="68"/>
  <c r="P203" i="68"/>
  <c r="O203" i="68"/>
  <c r="M203" i="68"/>
  <c r="S203" i="68" s="1"/>
  <c r="L203" i="68"/>
  <c r="K203" i="68"/>
  <c r="J203" i="68"/>
  <c r="R202" i="68"/>
  <c r="Q202" i="68"/>
  <c r="P202" i="68"/>
  <c r="O202" i="68"/>
  <c r="M202" i="68"/>
  <c r="S202" i="68" s="1"/>
  <c r="L202" i="68"/>
  <c r="K202" i="68"/>
  <c r="J202" i="68"/>
  <c r="R201" i="68"/>
  <c r="Q201" i="68"/>
  <c r="P201" i="68"/>
  <c r="O201" i="68"/>
  <c r="M201" i="68"/>
  <c r="S201" i="68" s="1"/>
  <c r="L201" i="68"/>
  <c r="K201" i="68"/>
  <c r="J201" i="68"/>
  <c r="R200" i="68"/>
  <c r="Q200" i="68"/>
  <c r="P200" i="68"/>
  <c r="O200" i="68"/>
  <c r="M200" i="68"/>
  <c r="S200" i="68" s="1"/>
  <c r="L200" i="68"/>
  <c r="K200" i="68"/>
  <c r="J200" i="68"/>
  <c r="R199" i="68"/>
  <c r="Q199" i="68"/>
  <c r="P199" i="68"/>
  <c r="O199" i="68"/>
  <c r="M199" i="68"/>
  <c r="S199" i="68" s="1"/>
  <c r="L199" i="68"/>
  <c r="K199" i="68"/>
  <c r="J199" i="68"/>
  <c r="R198" i="68"/>
  <c r="Q198" i="68"/>
  <c r="P198" i="68"/>
  <c r="O198" i="68"/>
  <c r="M198" i="68"/>
  <c r="S198" i="68" s="1"/>
  <c r="L198" i="68"/>
  <c r="K198" i="68"/>
  <c r="J198" i="68"/>
  <c r="R197" i="68"/>
  <c r="Q197" i="68"/>
  <c r="P197" i="68"/>
  <c r="O197" i="68"/>
  <c r="M197" i="68"/>
  <c r="S197" i="68" s="1"/>
  <c r="L197" i="68"/>
  <c r="K197" i="68"/>
  <c r="J197" i="68"/>
  <c r="R196" i="68"/>
  <c r="Q196" i="68"/>
  <c r="P196" i="68"/>
  <c r="O196" i="68"/>
  <c r="M196" i="68"/>
  <c r="S196" i="68" s="1"/>
  <c r="L196" i="68"/>
  <c r="K196" i="68"/>
  <c r="J196" i="68"/>
  <c r="R195" i="68"/>
  <c r="Q195" i="68"/>
  <c r="P195" i="68"/>
  <c r="O195" i="68"/>
  <c r="M195" i="68"/>
  <c r="S195" i="68" s="1"/>
  <c r="L195" i="68"/>
  <c r="K195" i="68"/>
  <c r="J195" i="68"/>
  <c r="R194" i="68"/>
  <c r="Q194" i="68"/>
  <c r="P194" i="68"/>
  <c r="O194" i="68"/>
  <c r="M194" i="68"/>
  <c r="S194" i="68" s="1"/>
  <c r="L194" i="68"/>
  <c r="K194" i="68"/>
  <c r="J194" i="68"/>
  <c r="R193" i="68"/>
  <c r="Q193" i="68"/>
  <c r="P193" i="68"/>
  <c r="O193" i="68"/>
  <c r="M193" i="68"/>
  <c r="S193" i="68" s="1"/>
  <c r="L193" i="68"/>
  <c r="K193" i="68"/>
  <c r="J193" i="68"/>
  <c r="R192" i="68"/>
  <c r="Q192" i="68"/>
  <c r="P192" i="68"/>
  <c r="O192" i="68"/>
  <c r="M192" i="68"/>
  <c r="S192" i="68" s="1"/>
  <c r="L192" i="68"/>
  <c r="K192" i="68"/>
  <c r="J192" i="68"/>
  <c r="R191" i="68"/>
  <c r="Q191" i="68"/>
  <c r="P191" i="68"/>
  <c r="O191" i="68"/>
  <c r="M191" i="68"/>
  <c r="S191" i="68" s="1"/>
  <c r="L191" i="68"/>
  <c r="K191" i="68"/>
  <c r="J191" i="68"/>
  <c r="R190" i="68"/>
  <c r="Q190" i="68"/>
  <c r="P190" i="68"/>
  <c r="O190" i="68"/>
  <c r="M190" i="68"/>
  <c r="S190" i="68" s="1"/>
  <c r="L190" i="68"/>
  <c r="K190" i="68"/>
  <c r="J190" i="68"/>
  <c r="R189" i="68"/>
  <c r="Q189" i="68"/>
  <c r="P189" i="68"/>
  <c r="O189" i="68"/>
  <c r="M189" i="68"/>
  <c r="S189" i="68" s="1"/>
  <c r="L189" i="68"/>
  <c r="K189" i="68"/>
  <c r="J189" i="68"/>
  <c r="R188" i="68"/>
  <c r="Q188" i="68"/>
  <c r="P188" i="68"/>
  <c r="O188" i="68"/>
  <c r="M188" i="68"/>
  <c r="S188" i="68" s="1"/>
  <c r="L188" i="68"/>
  <c r="K188" i="68"/>
  <c r="J188" i="68"/>
  <c r="R187" i="68"/>
  <c r="Q187" i="68"/>
  <c r="P187" i="68"/>
  <c r="O187" i="68"/>
  <c r="M187" i="68"/>
  <c r="S187" i="68" s="1"/>
  <c r="L187" i="68"/>
  <c r="K187" i="68"/>
  <c r="J187" i="68"/>
  <c r="R186" i="68"/>
  <c r="Q186" i="68"/>
  <c r="P186" i="68"/>
  <c r="O186" i="68"/>
  <c r="M186" i="68"/>
  <c r="S186" i="68" s="1"/>
  <c r="L186" i="68"/>
  <c r="K186" i="68"/>
  <c r="J186" i="68"/>
  <c r="R185" i="68"/>
  <c r="Q185" i="68"/>
  <c r="P185" i="68"/>
  <c r="O185" i="68"/>
  <c r="M185" i="68"/>
  <c r="S185" i="68" s="1"/>
  <c r="L185" i="68"/>
  <c r="K185" i="68"/>
  <c r="J185" i="68"/>
  <c r="R184" i="68"/>
  <c r="Q184" i="68"/>
  <c r="P184" i="68"/>
  <c r="O184" i="68"/>
  <c r="M184" i="68"/>
  <c r="S184" i="68" s="1"/>
  <c r="L184" i="68"/>
  <c r="K184" i="68"/>
  <c r="J184" i="68"/>
  <c r="R183" i="68"/>
  <c r="Q183" i="68"/>
  <c r="P183" i="68"/>
  <c r="O183" i="68"/>
  <c r="M183" i="68"/>
  <c r="S183" i="68" s="1"/>
  <c r="L183" i="68"/>
  <c r="K183" i="68"/>
  <c r="J183" i="68"/>
  <c r="R182" i="68"/>
  <c r="Q182" i="68"/>
  <c r="P182" i="68"/>
  <c r="O182" i="68"/>
  <c r="M182" i="68"/>
  <c r="S182" i="68" s="1"/>
  <c r="L182" i="68"/>
  <c r="K182" i="68"/>
  <c r="J182" i="68"/>
  <c r="R181" i="68"/>
  <c r="Q181" i="68"/>
  <c r="P181" i="68"/>
  <c r="O181" i="68"/>
  <c r="M181" i="68"/>
  <c r="S181" i="68" s="1"/>
  <c r="L181" i="68"/>
  <c r="K181" i="68"/>
  <c r="J181" i="68"/>
  <c r="R180" i="68"/>
  <c r="Q180" i="68"/>
  <c r="P180" i="68"/>
  <c r="O180" i="68"/>
  <c r="M180" i="68"/>
  <c r="S180" i="68" s="1"/>
  <c r="L180" i="68"/>
  <c r="K180" i="68"/>
  <c r="J180" i="68"/>
  <c r="R179" i="68"/>
  <c r="Q179" i="68"/>
  <c r="P179" i="68"/>
  <c r="O179" i="68"/>
  <c r="M179" i="68"/>
  <c r="S179" i="68" s="1"/>
  <c r="L179" i="68"/>
  <c r="K179" i="68"/>
  <c r="J179" i="68"/>
  <c r="R178" i="68"/>
  <c r="Q178" i="68"/>
  <c r="P178" i="68"/>
  <c r="O178" i="68"/>
  <c r="M178" i="68"/>
  <c r="S178" i="68" s="1"/>
  <c r="L178" i="68"/>
  <c r="K178" i="68"/>
  <c r="J178" i="68"/>
  <c r="R177" i="68"/>
  <c r="Q177" i="68"/>
  <c r="P177" i="68"/>
  <c r="O177" i="68"/>
  <c r="M177" i="68"/>
  <c r="S177" i="68" s="1"/>
  <c r="L177" i="68"/>
  <c r="K177" i="68"/>
  <c r="J177" i="68"/>
  <c r="R176" i="68"/>
  <c r="Q176" i="68"/>
  <c r="P176" i="68"/>
  <c r="O176" i="68"/>
  <c r="M176" i="68"/>
  <c r="S176" i="68" s="1"/>
  <c r="L176" i="68"/>
  <c r="K176" i="68"/>
  <c r="J176" i="68"/>
  <c r="R175" i="68"/>
  <c r="Q175" i="68"/>
  <c r="P175" i="68"/>
  <c r="O175" i="68"/>
  <c r="M175" i="68"/>
  <c r="S175" i="68" s="1"/>
  <c r="L175" i="68"/>
  <c r="K175" i="68"/>
  <c r="J175" i="68"/>
  <c r="R174" i="68"/>
  <c r="Q174" i="68"/>
  <c r="P174" i="68"/>
  <c r="O174" i="68"/>
  <c r="M174" i="68"/>
  <c r="S174" i="68" s="1"/>
  <c r="L174" i="68"/>
  <c r="K174" i="68"/>
  <c r="J174" i="68"/>
  <c r="R173" i="68"/>
  <c r="Q173" i="68"/>
  <c r="P173" i="68"/>
  <c r="O173" i="68"/>
  <c r="M173" i="68"/>
  <c r="S173" i="68" s="1"/>
  <c r="L173" i="68"/>
  <c r="K173" i="68"/>
  <c r="J173" i="68"/>
  <c r="R172" i="68"/>
  <c r="Q172" i="68"/>
  <c r="P172" i="68"/>
  <c r="O172" i="68"/>
  <c r="M172" i="68"/>
  <c r="S172" i="68" s="1"/>
  <c r="L172" i="68"/>
  <c r="K172" i="68"/>
  <c r="J172" i="68"/>
  <c r="R171" i="68"/>
  <c r="Q171" i="68"/>
  <c r="P171" i="68"/>
  <c r="O171" i="68"/>
  <c r="M171" i="68"/>
  <c r="S171" i="68" s="1"/>
  <c r="L171" i="68"/>
  <c r="K171" i="68"/>
  <c r="J171" i="68"/>
  <c r="R170" i="68"/>
  <c r="Q170" i="68"/>
  <c r="P170" i="68"/>
  <c r="O170" i="68"/>
  <c r="M170" i="68"/>
  <c r="S170" i="68" s="1"/>
  <c r="L170" i="68"/>
  <c r="K170" i="68"/>
  <c r="J170" i="68"/>
  <c r="R169" i="68"/>
  <c r="Q169" i="68"/>
  <c r="P169" i="68"/>
  <c r="O169" i="68"/>
  <c r="M169" i="68"/>
  <c r="S169" i="68" s="1"/>
  <c r="L169" i="68"/>
  <c r="K169" i="68"/>
  <c r="J169" i="68"/>
  <c r="R168" i="68"/>
  <c r="Q168" i="68"/>
  <c r="P168" i="68"/>
  <c r="O168" i="68"/>
  <c r="M168" i="68"/>
  <c r="S168" i="68" s="1"/>
  <c r="L168" i="68"/>
  <c r="K168" i="68"/>
  <c r="J168" i="68"/>
  <c r="R167" i="68"/>
  <c r="Q167" i="68"/>
  <c r="P167" i="68"/>
  <c r="O167" i="68"/>
  <c r="M167" i="68"/>
  <c r="S167" i="68" s="1"/>
  <c r="L167" i="68"/>
  <c r="K167" i="68"/>
  <c r="J167" i="68"/>
  <c r="R166" i="68"/>
  <c r="Q166" i="68"/>
  <c r="P166" i="68"/>
  <c r="O166" i="68"/>
  <c r="M166" i="68"/>
  <c r="S166" i="68" s="1"/>
  <c r="L166" i="68"/>
  <c r="K166" i="68"/>
  <c r="J166" i="68"/>
  <c r="R165" i="68"/>
  <c r="Q165" i="68"/>
  <c r="P165" i="68"/>
  <c r="O165" i="68"/>
  <c r="M165" i="68"/>
  <c r="S165" i="68" s="1"/>
  <c r="L165" i="68"/>
  <c r="K165" i="68"/>
  <c r="J165" i="68"/>
  <c r="R164" i="68"/>
  <c r="Q164" i="68"/>
  <c r="P164" i="68"/>
  <c r="O164" i="68"/>
  <c r="M164" i="68"/>
  <c r="S164" i="68" s="1"/>
  <c r="L164" i="68"/>
  <c r="K164" i="68"/>
  <c r="J164" i="68"/>
  <c r="R163" i="68"/>
  <c r="Q163" i="68"/>
  <c r="P163" i="68"/>
  <c r="O163" i="68"/>
  <c r="M163" i="68"/>
  <c r="S163" i="68" s="1"/>
  <c r="L163" i="68"/>
  <c r="K163" i="68"/>
  <c r="J163" i="68"/>
  <c r="R162" i="68"/>
  <c r="Q162" i="68"/>
  <c r="P162" i="68"/>
  <c r="O162" i="68"/>
  <c r="M162" i="68"/>
  <c r="S162" i="68" s="1"/>
  <c r="L162" i="68"/>
  <c r="K162" i="68"/>
  <c r="J162" i="68"/>
  <c r="R161" i="68"/>
  <c r="Q161" i="68"/>
  <c r="P161" i="68"/>
  <c r="O161" i="68"/>
  <c r="M161" i="68"/>
  <c r="S161" i="68" s="1"/>
  <c r="L161" i="68"/>
  <c r="K161" i="68"/>
  <c r="J161" i="68"/>
  <c r="R160" i="68"/>
  <c r="Q160" i="68"/>
  <c r="P160" i="68"/>
  <c r="O160" i="68"/>
  <c r="M160" i="68"/>
  <c r="S160" i="68" s="1"/>
  <c r="L160" i="68"/>
  <c r="K160" i="68"/>
  <c r="J160" i="68"/>
  <c r="R159" i="68"/>
  <c r="Q159" i="68"/>
  <c r="P159" i="68"/>
  <c r="O159" i="68"/>
  <c r="M159" i="68"/>
  <c r="S159" i="68" s="1"/>
  <c r="L159" i="68"/>
  <c r="K159" i="68"/>
  <c r="J159" i="68"/>
  <c r="R158" i="68"/>
  <c r="Q158" i="68"/>
  <c r="P158" i="68"/>
  <c r="O158" i="68"/>
  <c r="M158" i="68"/>
  <c r="S158" i="68" s="1"/>
  <c r="L158" i="68"/>
  <c r="K158" i="68"/>
  <c r="J158" i="68"/>
  <c r="R157" i="68"/>
  <c r="Q157" i="68"/>
  <c r="P157" i="68"/>
  <c r="O157" i="68"/>
  <c r="M157" i="68"/>
  <c r="S157" i="68" s="1"/>
  <c r="L157" i="68"/>
  <c r="K157" i="68"/>
  <c r="J157" i="68"/>
  <c r="R156" i="68"/>
  <c r="Q156" i="68"/>
  <c r="P156" i="68"/>
  <c r="O156" i="68"/>
  <c r="M156" i="68"/>
  <c r="S156" i="68" s="1"/>
  <c r="L156" i="68"/>
  <c r="K156" i="68"/>
  <c r="J156" i="68"/>
  <c r="R155" i="68"/>
  <c r="Q155" i="68"/>
  <c r="P155" i="68"/>
  <c r="O155" i="68"/>
  <c r="M155" i="68"/>
  <c r="S155" i="68" s="1"/>
  <c r="L155" i="68"/>
  <c r="K155" i="68"/>
  <c r="J155" i="68"/>
  <c r="R154" i="68"/>
  <c r="Q154" i="68"/>
  <c r="P154" i="68"/>
  <c r="O154" i="68"/>
  <c r="M154" i="68"/>
  <c r="S154" i="68" s="1"/>
  <c r="L154" i="68"/>
  <c r="K154" i="68"/>
  <c r="J154" i="68"/>
  <c r="R153" i="68"/>
  <c r="Q153" i="68"/>
  <c r="P153" i="68"/>
  <c r="O153" i="68"/>
  <c r="M153" i="68"/>
  <c r="S153" i="68" s="1"/>
  <c r="L153" i="68"/>
  <c r="K153" i="68"/>
  <c r="J153" i="68"/>
  <c r="R152" i="68"/>
  <c r="Q152" i="68"/>
  <c r="P152" i="68"/>
  <c r="O152" i="68"/>
  <c r="M152" i="68"/>
  <c r="S152" i="68" s="1"/>
  <c r="L152" i="68"/>
  <c r="K152" i="68"/>
  <c r="J152" i="68"/>
  <c r="R151" i="68"/>
  <c r="Q151" i="68"/>
  <c r="P151" i="68"/>
  <c r="O151" i="68"/>
  <c r="M151" i="68"/>
  <c r="S151" i="68" s="1"/>
  <c r="L151" i="68"/>
  <c r="K151" i="68"/>
  <c r="J151" i="68"/>
  <c r="R150" i="68"/>
  <c r="Q150" i="68"/>
  <c r="P150" i="68"/>
  <c r="O150" i="68"/>
  <c r="M150" i="68"/>
  <c r="S150" i="68" s="1"/>
  <c r="L150" i="68"/>
  <c r="K150" i="68"/>
  <c r="J150" i="68"/>
  <c r="R149" i="68"/>
  <c r="Q149" i="68"/>
  <c r="P149" i="68"/>
  <c r="O149" i="68"/>
  <c r="M149" i="68"/>
  <c r="S149" i="68" s="1"/>
  <c r="L149" i="68"/>
  <c r="K149" i="68"/>
  <c r="J149" i="68"/>
  <c r="R148" i="68"/>
  <c r="Q148" i="68"/>
  <c r="P148" i="68"/>
  <c r="O148" i="68"/>
  <c r="M148" i="68"/>
  <c r="S148" i="68" s="1"/>
  <c r="L148" i="68"/>
  <c r="K148" i="68"/>
  <c r="J148" i="68"/>
  <c r="R147" i="68"/>
  <c r="Q147" i="68"/>
  <c r="P147" i="68"/>
  <c r="O147" i="68"/>
  <c r="M147" i="68"/>
  <c r="S147" i="68" s="1"/>
  <c r="L147" i="68"/>
  <c r="K147" i="68"/>
  <c r="J147" i="68"/>
  <c r="R146" i="68"/>
  <c r="Q146" i="68"/>
  <c r="P146" i="68"/>
  <c r="O146" i="68"/>
  <c r="M146" i="68"/>
  <c r="S146" i="68" s="1"/>
  <c r="L146" i="68"/>
  <c r="K146" i="68"/>
  <c r="J146" i="68"/>
  <c r="R145" i="68"/>
  <c r="Q145" i="68"/>
  <c r="P145" i="68"/>
  <c r="O145" i="68"/>
  <c r="M145" i="68"/>
  <c r="S145" i="68" s="1"/>
  <c r="L145" i="68"/>
  <c r="K145" i="68"/>
  <c r="J145" i="68"/>
  <c r="R144" i="68"/>
  <c r="Q144" i="68"/>
  <c r="P144" i="68"/>
  <c r="O144" i="68"/>
  <c r="M144" i="68"/>
  <c r="S144" i="68" s="1"/>
  <c r="L144" i="68"/>
  <c r="K144" i="68"/>
  <c r="J144" i="68"/>
  <c r="R143" i="68"/>
  <c r="Q143" i="68"/>
  <c r="P143" i="68"/>
  <c r="O143" i="68"/>
  <c r="M143" i="68"/>
  <c r="S143" i="68" s="1"/>
  <c r="L143" i="68"/>
  <c r="K143" i="68"/>
  <c r="J143" i="68"/>
  <c r="R142" i="68"/>
  <c r="Q142" i="68"/>
  <c r="P142" i="68"/>
  <c r="O142" i="68"/>
  <c r="M142" i="68"/>
  <c r="S142" i="68" s="1"/>
  <c r="L142" i="68"/>
  <c r="K142" i="68"/>
  <c r="J142" i="68"/>
  <c r="R141" i="68"/>
  <c r="Q141" i="68"/>
  <c r="P141" i="68"/>
  <c r="O141" i="68"/>
  <c r="M141" i="68"/>
  <c r="S141" i="68" s="1"/>
  <c r="L141" i="68"/>
  <c r="K141" i="68"/>
  <c r="J141" i="68"/>
  <c r="R140" i="68"/>
  <c r="Q140" i="68"/>
  <c r="P140" i="68"/>
  <c r="O140" i="68"/>
  <c r="M140" i="68"/>
  <c r="S140" i="68" s="1"/>
  <c r="L140" i="68"/>
  <c r="K140" i="68"/>
  <c r="J140" i="68"/>
  <c r="R139" i="68"/>
  <c r="Q139" i="68"/>
  <c r="P139" i="68"/>
  <c r="O139" i="68"/>
  <c r="M139" i="68"/>
  <c r="S139" i="68" s="1"/>
  <c r="L139" i="68"/>
  <c r="K139" i="68"/>
  <c r="J139" i="68"/>
  <c r="R138" i="68"/>
  <c r="Q138" i="68"/>
  <c r="P138" i="68"/>
  <c r="O138" i="68"/>
  <c r="M138" i="68"/>
  <c r="S138" i="68" s="1"/>
  <c r="L138" i="68"/>
  <c r="K138" i="68"/>
  <c r="J138" i="68"/>
  <c r="R137" i="68"/>
  <c r="Q137" i="68"/>
  <c r="P137" i="68"/>
  <c r="O137" i="68"/>
  <c r="M137" i="68"/>
  <c r="S137" i="68" s="1"/>
  <c r="L137" i="68"/>
  <c r="K137" i="68"/>
  <c r="J137" i="68"/>
  <c r="R136" i="68"/>
  <c r="Q136" i="68"/>
  <c r="P136" i="68"/>
  <c r="O136" i="68"/>
  <c r="M136" i="68"/>
  <c r="S136" i="68" s="1"/>
  <c r="L136" i="68"/>
  <c r="K136" i="68"/>
  <c r="J136" i="68"/>
  <c r="R135" i="68"/>
  <c r="Q135" i="68"/>
  <c r="P135" i="68"/>
  <c r="O135" i="68"/>
  <c r="M135" i="68"/>
  <c r="S135" i="68" s="1"/>
  <c r="L135" i="68"/>
  <c r="K135" i="68"/>
  <c r="J135" i="68"/>
  <c r="R134" i="68"/>
  <c r="Q134" i="68"/>
  <c r="P134" i="68"/>
  <c r="O134" i="68"/>
  <c r="M134" i="68"/>
  <c r="S134" i="68" s="1"/>
  <c r="L134" i="68"/>
  <c r="K134" i="68"/>
  <c r="J134" i="68"/>
  <c r="R133" i="68"/>
  <c r="Q133" i="68"/>
  <c r="P133" i="68"/>
  <c r="O133" i="68"/>
  <c r="M133" i="68"/>
  <c r="S133" i="68" s="1"/>
  <c r="L133" i="68"/>
  <c r="K133" i="68"/>
  <c r="J133" i="68"/>
  <c r="R132" i="68"/>
  <c r="Q132" i="68"/>
  <c r="P132" i="68"/>
  <c r="O132" i="68"/>
  <c r="M132" i="68"/>
  <c r="S132" i="68" s="1"/>
  <c r="L132" i="68"/>
  <c r="K132" i="68"/>
  <c r="J132" i="68"/>
  <c r="R131" i="68"/>
  <c r="Q131" i="68"/>
  <c r="P131" i="68"/>
  <c r="O131" i="68"/>
  <c r="M131" i="68"/>
  <c r="S131" i="68" s="1"/>
  <c r="L131" i="68"/>
  <c r="K131" i="68"/>
  <c r="J131" i="68"/>
  <c r="R130" i="68"/>
  <c r="Q130" i="68"/>
  <c r="P130" i="68"/>
  <c r="O130" i="68"/>
  <c r="M130" i="68"/>
  <c r="S130" i="68" s="1"/>
  <c r="L130" i="68"/>
  <c r="K130" i="68"/>
  <c r="J130" i="68"/>
  <c r="R129" i="68"/>
  <c r="Q129" i="68"/>
  <c r="P129" i="68"/>
  <c r="O129" i="68"/>
  <c r="M129" i="68"/>
  <c r="S129" i="68" s="1"/>
  <c r="L129" i="68"/>
  <c r="K129" i="68"/>
  <c r="J129" i="68"/>
  <c r="R128" i="68"/>
  <c r="Q128" i="68"/>
  <c r="P128" i="68"/>
  <c r="O128" i="68"/>
  <c r="M128" i="68"/>
  <c r="S128" i="68" s="1"/>
  <c r="L128" i="68"/>
  <c r="K128" i="68"/>
  <c r="J128" i="68"/>
  <c r="R127" i="68"/>
  <c r="Q127" i="68"/>
  <c r="P127" i="68"/>
  <c r="O127" i="68"/>
  <c r="M127" i="68"/>
  <c r="S127" i="68" s="1"/>
  <c r="L127" i="68"/>
  <c r="K127" i="68"/>
  <c r="J127" i="68"/>
  <c r="R126" i="68"/>
  <c r="Q126" i="68"/>
  <c r="P126" i="68"/>
  <c r="O126" i="68"/>
  <c r="M126" i="68"/>
  <c r="S126" i="68" s="1"/>
  <c r="L126" i="68"/>
  <c r="K126" i="68"/>
  <c r="J126" i="68"/>
  <c r="R125" i="68"/>
  <c r="Q125" i="68"/>
  <c r="P125" i="68"/>
  <c r="O125" i="68"/>
  <c r="M125" i="68"/>
  <c r="S125" i="68" s="1"/>
  <c r="L125" i="68"/>
  <c r="K125" i="68"/>
  <c r="J125" i="68"/>
  <c r="R124" i="68"/>
  <c r="Q124" i="68"/>
  <c r="P124" i="68"/>
  <c r="O124" i="68"/>
  <c r="M124" i="68"/>
  <c r="S124" i="68" s="1"/>
  <c r="L124" i="68"/>
  <c r="K124" i="68"/>
  <c r="J124" i="68"/>
  <c r="R123" i="68"/>
  <c r="Q123" i="68"/>
  <c r="P123" i="68"/>
  <c r="O123" i="68"/>
  <c r="M123" i="68"/>
  <c r="S123" i="68" s="1"/>
  <c r="L123" i="68"/>
  <c r="K123" i="68"/>
  <c r="J123" i="68"/>
  <c r="R122" i="68"/>
  <c r="Q122" i="68"/>
  <c r="P122" i="68"/>
  <c r="O122" i="68"/>
  <c r="M122" i="68"/>
  <c r="S122" i="68" s="1"/>
  <c r="L122" i="68"/>
  <c r="K122" i="68"/>
  <c r="J122" i="68"/>
  <c r="R121" i="68"/>
  <c r="Q121" i="68"/>
  <c r="P121" i="68"/>
  <c r="O121" i="68"/>
  <c r="M121" i="68"/>
  <c r="S121" i="68" s="1"/>
  <c r="L121" i="68"/>
  <c r="K121" i="68"/>
  <c r="J121" i="68"/>
  <c r="R120" i="68"/>
  <c r="Q120" i="68"/>
  <c r="P120" i="68"/>
  <c r="O120" i="68"/>
  <c r="M120" i="68"/>
  <c r="S120" i="68" s="1"/>
  <c r="L120" i="68"/>
  <c r="K120" i="68"/>
  <c r="J120" i="68"/>
  <c r="R119" i="68"/>
  <c r="Q119" i="68"/>
  <c r="P119" i="68"/>
  <c r="O119" i="68"/>
  <c r="M119" i="68"/>
  <c r="S119" i="68" s="1"/>
  <c r="L119" i="68"/>
  <c r="K119" i="68"/>
  <c r="J119" i="68"/>
  <c r="R118" i="68"/>
  <c r="Q118" i="68"/>
  <c r="P118" i="68"/>
  <c r="O118" i="68"/>
  <c r="M118" i="68"/>
  <c r="S118" i="68" s="1"/>
  <c r="L118" i="68"/>
  <c r="K118" i="68"/>
  <c r="J118" i="68"/>
  <c r="R117" i="68"/>
  <c r="Q117" i="68"/>
  <c r="P117" i="68"/>
  <c r="O117" i="68"/>
  <c r="M117" i="68"/>
  <c r="S117" i="68" s="1"/>
  <c r="L117" i="68"/>
  <c r="K117" i="68"/>
  <c r="J117" i="68"/>
  <c r="R116" i="68"/>
  <c r="Q116" i="68"/>
  <c r="P116" i="68"/>
  <c r="O116" i="68"/>
  <c r="M116" i="68"/>
  <c r="S116" i="68" s="1"/>
  <c r="L116" i="68"/>
  <c r="K116" i="68"/>
  <c r="J116" i="68"/>
  <c r="R115" i="68"/>
  <c r="Q115" i="68"/>
  <c r="P115" i="68"/>
  <c r="O115" i="68"/>
  <c r="M115" i="68"/>
  <c r="S115" i="68" s="1"/>
  <c r="L115" i="68"/>
  <c r="K115" i="68"/>
  <c r="J115" i="68"/>
  <c r="R114" i="68"/>
  <c r="Q114" i="68"/>
  <c r="P114" i="68"/>
  <c r="O114" i="68"/>
  <c r="M114" i="68"/>
  <c r="S114" i="68" s="1"/>
  <c r="L114" i="68"/>
  <c r="K114" i="68"/>
  <c r="J114" i="68"/>
  <c r="R113" i="68"/>
  <c r="Q113" i="68"/>
  <c r="P113" i="68"/>
  <c r="O113" i="68"/>
  <c r="M113" i="68"/>
  <c r="S113" i="68" s="1"/>
  <c r="L113" i="68"/>
  <c r="K113" i="68"/>
  <c r="J113" i="68"/>
  <c r="R112" i="68"/>
  <c r="Q112" i="68"/>
  <c r="P112" i="68"/>
  <c r="O112" i="68"/>
  <c r="M112" i="68"/>
  <c r="S112" i="68" s="1"/>
  <c r="L112" i="68"/>
  <c r="K112" i="68"/>
  <c r="J112" i="68"/>
  <c r="R111" i="68"/>
  <c r="Q111" i="68"/>
  <c r="P111" i="68"/>
  <c r="O111" i="68"/>
  <c r="M111" i="68"/>
  <c r="S111" i="68" s="1"/>
  <c r="L111" i="68"/>
  <c r="K111" i="68"/>
  <c r="J111" i="68"/>
  <c r="R110" i="68"/>
  <c r="Q110" i="68"/>
  <c r="P110" i="68"/>
  <c r="O110" i="68"/>
  <c r="M110" i="68"/>
  <c r="S110" i="68" s="1"/>
  <c r="L110" i="68"/>
  <c r="K110" i="68"/>
  <c r="J110" i="68"/>
  <c r="R109" i="68"/>
  <c r="Q109" i="68"/>
  <c r="P109" i="68"/>
  <c r="O109" i="68"/>
  <c r="M109" i="68"/>
  <c r="S109" i="68" s="1"/>
  <c r="L109" i="68"/>
  <c r="K109" i="68"/>
  <c r="J109" i="68"/>
  <c r="R108" i="68"/>
  <c r="Q108" i="68"/>
  <c r="P108" i="68"/>
  <c r="O108" i="68"/>
  <c r="M108" i="68"/>
  <c r="S108" i="68" s="1"/>
  <c r="L108" i="68"/>
  <c r="K108" i="68"/>
  <c r="J108" i="68"/>
  <c r="R107" i="68"/>
  <c r="Q107" i="68"/>
  <c r="P107" i="68"/>
  <c r="O107" i="68"/>
  <c r="M107" i="68"/>
  <c r="S107" i="68" s="1"/>
  <c r="L107" i="68"/>
  <c r="K107" i="68"/>
  <c r="J107" i="68"/>
  <c r="R106" i="68"/>
  <c r="Q106" i="68"/>
  <c r="P106" i="68"/>
  <c r="O106" i="68"/>
  <c r="M106" i="68"/>
  <c r="S106" i="68" s="1"/>
  <c r="L106" i="68"/>
  <c r="K106" i="68"/>
  <c r="J106" i="68"/>
  <c r="R105" i="68"/>
  <c r="Q105" i="68"/>
  <c r="P105" i="68"/>
  <c r="O105" i="68"/>
  <c r="M105" i="68"/>
  <c r="S105" i="68" s="1"/>
  <c r="L105" i="68"/>
  <c r="K105" i="68"/>
  <c r="J105" i="68"/>
  <c r="R104" i="68"/>
  <c r="Q104" i="68"/>
  <c r="P104" i="68"/>
  <c r="O104" i="68"/>
  <c r="M104" i="68"/>
  <c r="S104" i="68" s="1"/>
  <c r="L104" i="68"/>
  <c r="K104" i="68"/>
  <c r="J104" i="68"/>
  <c r="R103" i="68"/>
  <c r="Q103" i="68"/>
  <c r="P103" i="68"/>
  <c r="O103" i="68"/>
  <c r="M103" i="68"/>
  <c r="S103" i="68" s="1"/>
  <c r="L103" i="68"/>
  <c r="K103" i="68"/>
  <c r="J103" i="68"/>
  <c r="R102" i="68"/>
  <c r="Q102" i="68"/>
  <c r="P102" i="68"/>
  <c r="O102" i="68"/>
  <c r="M102" i="68"/>
  <c r="S102" i="68" s="1"/>
  <c r="L102" i="68"/>
  <c r="K102" i="68"/>
  <c r="J102" i="68"/>
  <c r="R101" i="68"/>
  <c r="Q101" i="68"/>
  <c r="P101" i="68"/>
  <c r="O101" i="68"/>
  <c r="M101" i="68"/>
  <c r="S101" i="68" s="1"/>
  <c r="L101" i="68"/>
  <c r="K101" i="68"/>
  <c r="J101" i="68"/>
  <c r="R100" i="68"/>
  <c r="Q100" i="68"/>
  <c r="P100" i="68"/>
  <c r="O100" i="68"/>
  <c r="M100" i="68"/>
  <c r="S100" i="68" s="1"/>
  <c r="L100" i="68"/>
  <c r="K100" i="68"/>
  <c r="J100" i="68"/>
  <c r="R99" i="68"/>
  <c r="Q99" i="68"/>
  <c r="P99" i="68"/>
  <c r="O99" i="68"/>
  <c r="M99" i="68"/>
  <c r="S99" i="68" s="1"/>
  <c r="L99" i="68"/>
  <c r="K99" i="68"/>
  <c r="J99" i="68"/>
  <c r="R98" i="68"/>
  <c r="Q98" i="68"/>
  <c r="P98" i="68"/>
  <c r="O98" i="68"/>
  <c r="M98" i="68"/>
  <c r="S98" i="68" s="1"/>
  <c r="L98" i="68"/>
  <c r="K98" i="68"/>
  <c r="J98" i="68"/>
  <c r="R97" i="68"/>
  <c r="Q97" i="68"/>
  <c r="P97" i="68"/>
  <c r="O97" i="68"/>
  <c r="M97" i="68"/>
  <c r="S97" i="68" s="1"/>
  <c r="L97" i="68"/>
  <c r="K97" i="68"/>
  <c r="J97" i="68"/>
  <c r="R96" i="68"/>
  <c r="Q96" i="68"/>
  <c r="P96" i="68"/>
  <c r="O96" i="68"/>
  <c r="M96" i="68"/>
  <c r="S96" i="68" s="1"/>
  <c r="L96" i="68"/>
  <c r="K96" i="68"/>
  <c r="J96" i="68"/>
  <c r="R95" i="68"/>
  <c r="Q95" i="68"/>
  <c r="P95" i="68"/>
  <c r="O95" i="68"/>
  <c r="M95" i="68"/>
  <c r="S95" i="68" s="1"/>
  <c r="L95" i="68"/>
  <c r="K95" i="68"/>
  <c r="J95" i="68"/>
  <c r="R94" i="68"/>
  <c r="Q94" i="68"/>
  <c r="P94" i="68"/>
  <c r="O94" i="68"/>
  <c r="M94" i="68"/>
  <c r="S94" i="68" s="1"/>
  <c r="L94" i="68"/>
  <c r="K94" i="68"/>
  <c r="J94" i="68"/>
  <c r="R93" i="68"/>
  <c r="Q93" i="68"/>
  <c r="P93" i="68"/>
  <c r="O93" i="68"/>
  <c r="M93" i="68"/>
  <c r="S93" i="68" s="1"/>
  <c r="L93" i="68"/>
  <c r="K93" i="68"/>
  <c r="J93" i="68"/>
  <c r="R92" i="68"/>
  <c r="Q92" i="68"/>
  <c r="P92" i="68"/>
  <c r="O92" i="68"/>
  <c r="M92" i="68"/>
  <c r="S92" i="68" s="1"/>
  <c r="L92" i="68"/>
  <c r="K92" i="68"/>
  <c r="J92" i="68"/>
  <c r="R91" i="68"/>
  <c r="Q91" i="68"/>
  <c r="P91" i="68"/>
  <c r="O91" i="68"/>
  <c r="M91" i="68"/>
  <c r="S91" i="68" s="1"/>
  <c r="L91" i="68"/>
  <c r="K91" i="68"/>
  <c r="J91" i="68"/>
  <c r="R90" i="68"/>
  <c r="Q90" i="68"/>
  <c r="P90" i="68"/>
  <c r="O90" i="68"/>
  <c r="M90" i="68"/>
  <c r="S90" i="68" s="1"/>
  <c r="L90" i="68"/>
  <c r="K90" i="68"/>
  <c r="J90" i="68"/>
  <c r="R89" i="68"/>
  <c r="Q89" i="68"/>
  <c r="P89" i="68"/>
  <c r="O89" i="68"/>
  <c r="M89" i="68"/>
  <c r="S89" i="68" s="1"/>
  <c r="L89" i="68"/>
  <c r="K89" i="68"/>
  <c r="J89" i="68"/>
  <c r="R88" i="68"/>
  <c r="Q88" i="68"/>
  <c r="P88" i="68"/>
  <c r="O88" i="68"/>
  <c r="M88" i="68"/>
  <c r="S88" i="68" s="1"/>
  <c r="L88" i="68"/>
  <c r="K88" i="68"/>
  <c r="J88" i="68"/>
  <c r="R87" i="68"/>
  <c r="Q87" i="68"/>
  <c r="P87" i="68"/>
  <c r="O87" i="68"/>
  <c r="M87" i="68"/>
  <c r="S87" i="68" s="1"/>
  <c r="L87" i="68"/>
  <c r="K87" i="68"/>
  <c r="J87" i="68"/>
  <c r="R86" i="68"/>
  <c r="Q86" i="68"/>
  <c r="P86" i="68"/>
  <c r="O86" i="68"/>
  <c r="M86" i="68"/>
  <c r="S86" i="68" s="1"/>
  <c r="L86" i="68"/>
  <c r="K86" i="68"/>
  <c r="J86" i="68"/>
  <c r="R85" i="68"/>
  <c r="Q85" i="68"/>
  <c r="P85" i="68"/>
  <c r="O85" i="68"/>
  <c r="M85" i="68"/>
  <c r="S85" i="68" s="1"/>
  <c r="L85" i="68"/>
  <c r="K85" i="68"/>
  <c r="J85" i="68"/>
  <c r="R84" i="68"/>
  <c r="Q84" i="68"/>
  <c r="P84" i="68"/>
  <c r="O84" i="68"/>
  <c r="M84" i="68"/>
  <c r="S84" i="68" s="1"/>
  <c r="L84" i="68"/>
  <c r="K84" i="68"/>
  <c r="J84" i="68"/>
  <c r="R83" i="68"/>
  <c r="Q83" i="68"/>
  <c r="P83" i="68"/>
  <c r="O83" i="68"/>
  <c r="M83" i="68"/>
  <c r="S83" i="68" s="1"/>
  <c r="L83" i="68"/>
  <c r="K83" i="68"/>
  <c r="J83" i="68"/>
  <c r="R82" i="68"/>
  <c r="Q82" i="68"/>
  <c r="P82" i="68"/>
  <c r="O82" i="68"/>
  <c r="M82" i="68"/>
  <c r="S82" i="68" s="1"/>
  <c r="L82" i="68"/>
  <c r="K82" i="68"/>
  <c r="J82" i="68"/>
  <c r="R81" i="68"/>
  <c r="Q81" i="68"/>
  <c r="P81" i="68"/>
  <c r="O81" i="68"/>
  <c r="M81" i="68"/>
  <c r="S81" i="68" s="1"/>
  <c r="L81" i="68"/>
  <c r="K81" i="68"/>
  <c r="J81" i="68"/>
  <c r="R80" i="68"/>
  <c r="Q80" i="68"/>
  <c r="P80" i="68"/>
  <c r="O80" i="68"/>
  <c r="M80" i="68"/>
  <c r="S80" i="68" s="1"/>
  <c r="L80" i="68"/>
  <c r="K80" i="68"/>
  <c r="J80" i="68"/>
  <c r="R79" i="68"/>
  <c r="Q79" i="68"/>
  <c r="P79" i="68"/>
  <c r="O79" i="68"/>
  <c r="M79" i="68"/>
  <c r="S79" i="68" s="1"/>
  <c r="L79" i="68"/>
  <c r="K79" i="68"/>
  <c r="J79" i="68"/>
  <c r="R78" i="68"/>
  <c r="Q78" i="68"/>
  <c r="P78" i="68"/>
  <c r="O78" i="68"/>
  <c r="M78" i="68"/>
  <c r="S78" i="68" s="1"/>
  <c r="L78" i="68"/>
  <c r="K78" i="68"/>
  <c r="J78" i="68"/>
  <c r="R77" i="68"/>
  <c r="Q77" i="68"/>
  <c r="P77" i="68"/>
  <c r="O77" i="68"/>
  <c r="M77" i="68"/>
  <c r="S77" i="68" s="1"/>
  <c r="L77" i="68"/>
  <c r="K77" i="68"/>
  <c r="J77" i="68"/>
  <c r="R76" i="68"/>
  <c r="Q76" i="68"/>
  <c r="P76" i="68"/>
  <c r="O76" i="68"/>
  <c r="M76" i="68"/>
  <c r="S76" i="68" s="1"/>
  <c r="L76" i="68"/>
  <c r="K76" i="68"/>
  <c r="J76" i="68"/>
  <c r="R75" i="68"/>
  <c r="Q75" i="68"/>
  <c r="P75" i="68"/>
  <c r="O75" i="68"/>
  <c r="M75" i="68"/>
  <c r="S75" i="68" s="1"/>
  <c r="L75" i="68"/>
  <c r="K75" i="68"/>
  <c r="J75" i="68"/>
  <c r="R74" i="68"/>
  <c r="Q74" i="68"/>
  <c r="P74" i="68"/>
  <c r="O74" i="68"/>
  <c r="M74" i="68"/>
  <c r="S74" i="68" s="1"/>
  <c r="L74" i="68"/>
  <c r="K74" i="68"/>
  <c r="J74" i="68"/>
  <c r="R73" i="68"/>
  <c r="Q73" i="68"/>
  <c r="P73" i="68"/>
  <c r="O73" i="68"/>
  <c r="M73" i="68"/>
  <c r="S73" i="68" s="1"/>
  <c r="L73" i="68"/>
  <c r="K73" i="68"/>
  <c r="J73" i="68"/>
  <c r="R72" i="68"/>
  <c r="Q72" i="68"/>
  <c r="P72" i="68"/>
  <c r="O72" i="68"/>
  <c r="M72" i="68"/>
  <c r="S72" i="68" s="1"/>
  <c r="L72" i="68"/>
  <c r="K72" i="68"/>
  <c r="J72" i="68"/>
  <c r="R71" i="68"/>
  <c r="Q71" i="68"/>
  <c r="P71" i="68"/>
  <c r="O71" i="68"/>
  <c r="M71" i="68"/>
  <c r="S71" i="68" s="1"/>
  <c r="L71" i="68"/>
  <c r="K71" i="68"/>
  <c r="J71" i="68"/>
  <c r="R70" i="68"/>
  <c r="Q70" i="68"/>
  <c r="P70" i="68"/>
  <c r="O70" i="68"/>
  <c r="M70" i="68"/>
  <c r="S70" i="68" s="1"/>
  <c r="L70" i="68"/>
  <c r="K70" i="68"/>
  <c r="J70" i="68"/>
  <c r="R69" i="68"/>
  <c r="Q69" i="68"/>
  <c r="P69" i="68"/>
  <c r="O69" i="68"/>
  <c r="M69" i="68"/>
  <c r="S69" i="68" s="1"/>
  <c r="L69" i="68"/>
  <c r="K69" i="68"/>
  <c r="J69" i="68"/>
  <c r="R68" i="68"/>
  <c r="Q68" i="68"/>
  <c r="P68" i="68"/>
  <c r="O68" i="68"/>
  <c r="M68" i="68"/>
  <c r="S68" i="68" s="1"/>
  <c r="L68" i="68"/>
  <c r="K68" i="68"/>
  <c r="J68" i="68"/>
  <c r="R67" i="68"/>
  <c r="Q67" i="68"/>
  <c r="P67" i="68"/>
  <c r="O67" i="68"/>
  <c r="M67" i="68"/>
  <c r="S67" i="68" s="1"/>
  <c r="L67" i="68"/>
  <c r="K67" i="68"/>
  <c r="J67" i="68"/>
  <c r="R66" i="68"/>
  <c r="Q66" i="68"/>
  <c r="P66" i="68"/>
  <c r="O66" i="68"/>
  <c r="M66" i="68"/>
  <c r="S66" i="68" s="1"/>
  <c r="L66" i="68"/>
  <c r="K66" i="68"/>
  <c r="J66" i="68"/>
  <c r="R65" i="68"/>
  <c r="Q65" i="68"/>
  <c r="P65" i="68"/>
  <c r="O65" i="68"/>
  <c r="M65" i="68"/>
  <c r="S65" i="68" s="1"/>
  <c r="L65" i="68"/>
  <c r="K65" i="68"/>
  <c r="J65" i="68"/>
  <c r="R64" i="68"/>
  <c r="Q64" i="68"/>
  <c r="P64" i="68"/>
  <c r="O64" i="68"/>
  <c r="M64" i="68"/>
  <c r="S64" i="68" s="1"/>
  <c r="L64" i="68"/>
  <c r="K64" i="68"/>
  <c r="J64" i="68"/>
  <c r="R63" i="68"/>
  <c r="Q63" i="68"/>
  <c r="P63" i="68"/>
  <c r="O63" i="68"/>
  <c r="M63" i="68"/>
  <c r="S63" i="68" s="1"/>
  <c r="L63" i="68"/>
  <c r="K63" i="68"/>
  <c r="J63" i="68"/>
  <c r="R62" i="68"/>
  <c r="Q62" i="68"/>
  <c r="P62" i="68"/>
  <c r="O62" i="68"/>
  <c r="M62" i="68"/>
  <c r="S62" i="68" s="1"/>
  <c r="L62" i="68"/>
  <c r="K62" i="68"/>
  <c r="J62" i="68"/>
  <c r="R61" i="68"/>
  <c r="Q61" i="68"/>
  <c r="P61" i="68"/>
  <c r="O61" i="68"/>
  <c r="M61" i="68"/>
  <c r="S61" i="68" s="1"/>
  <c r="L61" i="68"/>
  <c r="K61" i="68"/>
  <c r="J61" i="68"/>
  <c r="R60" i="68"/>
  <c r="Q60" i="68"/>
  <c r="P60" i="68"/>
  <c r="O60" i="68"/>
  <c r="M60" i="68"/>
  <c r="S60" i="68" s="1"/>
  <c r="L60" i="68"/>
  <c r="K60" i="68"/>
  <c r="J60" i="68"/>
  <c r="R59" i="68"/>
  <c r="Q59" i="68"/>
  <c r="P59" i="68"/>
  <c r="O59" i="68"/>
  <c r="M59" i="68"/>
  <c r="S59" i="68" s="1"/>
  <c r="L59" i="68"/>
  <c r="K59" i="68"/>
  <c r="J59" i="68"/>
  <c r="R58" i="68"/>
  <c r="Q58" i="68"/>
  <c r="P58" i="68"/>
  <c r="O58" i="68"/>
  <c r="M58" i="68"/>
  <c r="S58" i="68" s="1"/>
  <c r="L58" i="68"/>
  <c r="K58" i="68"/>
  <c r="J58" i="68"/>
  <c r="R57" i="68"/>
  <c r="Q57" i="68"/>
  <c r="P57" i="68"/>
  <c r="O57" i="68"/>
  <c r="M57" i="68"/>
  <c r="S57" i="68" s="1"/>
  <c r="L57" i="68"/>
  <c r="K57" i="68"/>
  <c r="J57" i="68"/>
  <c r="R56" i="68"/>
  <c r="Q56" i="68"/>
  <c r="P56" i="68"/>
  <c r="O56" i="68"/>
  <c r="M56" i="68"/>
  <c r="S56" i="68" s="1"/>
  <c r="L56" i="68"/>
  <c r="K56" i="68"/>
  <c r="J56" i="68"/>
  <c r="R55" i="68"/>
  <c r="Q55" i="68"/>
  <c r="P55" i="68"/>
  <c r="O55" i="68"/>
  <c r="M55" i="68"/>
  <c r="S55" i="68" s="1"/>
  <c r="L55" i="68"/>
  <c r="K55" i="68"/>
  <c r="J55" i="68"/>
  <c r="R54" i="68"/>
  <c r="Q54" i="68"/>
  <c r="P54" i="68"/>
  <c r="O54" i="68"/>
  <c r="M54" i="68"/>
  <c r="S54" i="68" s="1"/>
  <c r="L54" i="68"/>
  <c r="K54" i="68"/>
  <c r="J54" i="68"/>
  <c r="R53" i="68"/>
  <c r="Q53" i="68"/>
  <c r="P53" i="68"/>
  <c r="O53" i="68"/>
  <c r="M53" i="68"/>
  <c r="S53" i="68" s="1"/>
  <c r="L53" i="68"/>
  <c r="K53" i="68"/>
  <c r="J53" i="68"/>
  <c r="R52" i="68"/>
  <c r="Q52" i="68"/>
  <c r="P52" i="68"/>
  <c r="O52" i="68"/>
  <c r="M52" i="68"/>
  <c r="S52" i="68" s="1"/>
  <c r="L52" i="68"/>
  <c r="K52" i="68"/>
  <c r="J52" i="68"/>
  <c r="R51" i="68"/>
  <c r="Q51" i="68"/>
  <c r="P51" i="68"/>
  <c r="O51" i="68"/>
  <c r="M51" i="68"/>
  <c r="S51" i="68" s="1"/>
  <c r="L51" i="68"/>
  <c r="K51" i="68"/>
  <c r="J51" i="68"/>
  <c r="R50" i="68"/>
  <c r="Q50" i="68"/>
  <c r="P50" i="68"/>
  <c r="O50" i="68"/>
  <c r="M50" i="68"/>
  <c r="S50" i="68" s="1"/>
  <c r="L50" i="68"/>
  <c r="K50" i="68"/>
  <c r="J50" i="68"/>
  <c r="R49" i="68"/>
  <c r="Q49" i="68"/>
  <c r="P49" i="68"/>
  <c r="O49" i="68"/>
  <c r="M49" i="68"/>
  <c r="S49" i="68" s="1"/>
  <c r="L49" i="68"/>
  <c r="K49" i="68"/>
  <c r="J49" i="68"/>
  <c r="R48" i="68"/>
  <c r="Q48" i="68"/>
  <c r="P48" i="68"/>
  <c r="O48" i="68"/>
  <c r="M48" i="68"/>
  <c r="S48" i="68" s="1"/>
  <c r="L48" i="68"/>
  <c r="K48" i="68"/>
  <c r="J48" i="68"/>
  <c r="R47" i="68"/>
  <c r="Q47" i="68"/>
  <c r="P47" i="68"/>
  <c r="O47" i="68"/>
  <c r="M47" i="68"/>
  <c r="S47" i="68" s="1"/>
  <c r="L47" i="68"/>
  <c r="K47" i="68"/>
  <c r="J47" i="68"/>
  <c r="R46" i="68"/>
  <c r="Q46" i="68"/>
  <c r="P46" i="68"/>
  <c r="O46" i="68"/>
  <c r="M46" i="68"/>
  <c r="S46" i="68" s="1"/>
  <c r="L46" i="68"/>
  <c r="K46" i="68"/>
  <c r="J46" i="68"/>
  <c r="R45" i="68"/>
  <c r="Q45" i="68"/>
  <c r="P45" i="68"/>
  <c r="O45" i="68"/>
  <c r="M45" i="68"/>
  <c r="S45" i="68" s="1"/>
  <c r="L45" i="68"/>
  <c r="K45" i="68"/>
  <c r="J45" i="68"/>
  <c r="R44" i="68"/>
  <c r="Q44" i="68"/>
  <c r="P44" i="68"/>
  <c r="O44" i="68"/>
  <c r="M44" i="68"/>
  <c r="S44" i="68" s="1"/>
  <c r="L44" i="68"/>
  <c r="K44" i="68"/>
  <c r="J44" i="68"/>
  <c r="R43" i="68"/>
  <c r="Q43" i="68"/>
  <c r="P43" i="68"/>
  <c r="O43" i="68"/>
  <c r="M43" i="68"/>
  <c r="S43" i="68" s="1"/>
  <c r="L43" i="68"/>
  <c r="K43" i="68"/>
  <c r="J43" i="68"/>
  <c r="R42" i="68"/>
  <c r="Q42" i="68"/>
  <c r="P42" i="68"/>
  <c r="O42" i="68"/>
  <c r="M42" i="68"/>
  <c r="S42" i="68" s="1"/>
  <c r="L42" i="68"/>
  <c r="K42" i="68"/>
  <c r="J42" i="68"/>
  <c r="R41" i="68"/>
  <c r="Q41" i="68"/>
  <c r="P41" i="68"/>
  <c r="O41" i="68"/>
  <c r="M41" i="68"/>
  <c r="S41" i="68" s="1"/>
  <c r="L41" i="68"/>
  <c r="K41" i="68"/>
  <c r="J41" i="68"/>
  <c r="R40" i="68"/>
  <c r="Q40" i="68"/>
  <c r="P40" i="68"/>
  <c r="O40" i="68"/>
  <c r="M40" i="68"/>
  <c r="S40" i="68" s="1"/>
  <c r="L40" i="68"/>
  <c r="K40" i="68"/>
  <c r="J40" i="68"/>
  <c r="R39" i="68"/>
  <c r="Q39" i="68"/>
  <c r="P39" i="68"/>
  <c r="O39" i="68"/>
  <c r="M39" i="68"/>
  <c r="S39" i="68" s="1"/>
  <c r="L39" i="68"/>
  <c r="K39" i="68"/>
  <c r="J39" i="68"/>
  <c r="R38" i="68"/>
  <c r="Q38" i="68"/>
  <c r="P38" i="68"/>
  <c r="O38" i="68"/>
  <c r="M38" i="68"/>
  <c r="S38" i="68" s="1"/>
  <c r="L38" i="68"/>
  <c r="K38" i="68"/>
  <c r="J38" i="68"/>
  <c r="R37" i="68"/>
  <c r="Q37" i="68"/>
  <c r="P37" i="68"/>
  <c r="O37" i="68"/>
  <c r="M37" i="68"/>
  <c r="S37" i="68" s="1"/>
  <c r="L37" i="68"/>
  <c r="K37" i="68"/>
  <c r="J37" i="68"/>
  <c r="R36" i="68"/>
  <c r="Q36" i="68"/>
  <c r="P36" i="68"/>
  <c r="O36" i="68"/>
  <c r="M36" i="68"/>
  <c r="S36" i="68" s="1"/>
  <c r="L36" i="68"/>
  <c r="K36" i="68"/>
  <c r="J36" i="68"/>
  <c r="R35" i="68"/>
  <c r="Q35" i="68"/>
  <c r="P35" i="68"/>
  <c r="O35" i="68"/>
  <c r="M35" i="68"/>
  <c r="S35" i="68" s="1"/>
  <c r="L35" i="68"/>
  <c r="K35" i="68"/>
  <c r="J35" i="68"/>
  <c r="R34" i="68"/>
  <c r="Q34" i="68"/>
  <c r="P34" i="68"/>
  <c r="O34" i="68"/>
  <c r="M34" i="68"/>
  <c r="S34" i="68" s="1"/>
  <c r="L34" i="68"/>
  <c r="K34" i="68"/>
  <c r="J34" i="68"/>
  <c r="R33" i="68"/>
  <c r="Q33" i="68"/>
  <c r="P33" i="68"/>
  <c r="O33" i="68"/>
  <c r="M33" i="68"/>
  <c r="S33" i="68" s="1"/>
  <c r="L33" i="68"/>
  <c r="K33" i="68"/>
  <c r="J33" i="68"/>
  <c r="R32" i="68"/>
  <c r="Q32" i="68"/>
  <c r="P32" i="68"/>
  <c r="O32" i="68"/>
  <c r="M32" i="68"/>
  <c r="S32" i="68" s="1"/>
  <c r="L32" i="68"/>
  <c r="K32" i="68"/>
  <c r="J32" i="68"/>
  <c r="R31" i="68"/>
  <c r="Q31" i="68"/>
  <c r="P31" i="68"/>
  <c r="O31" i="68"/>
  <c r="M31" i="68"/>
  <c r="S31" i="68" s="1"/>
  <c r="L31" i="68"/>
  <c r="K31" i="68"/>
  <c r="J31" i="68"/>
  <c r="R30" i="68"/>
  <c r="Q30" i="68"/>
  <c r="P30" i="68"/>
  <c r="O30" i="68"/>
  <c r="M30" i="68"/>
  <c r="S30" i="68" s="1"/>
  <c r="L30" i="68"/>
  <c r="K30" i="68"/>
  <c r="J30" i="68"/>
  <c r="R29" i="68"/>
  <c r="Q29" i="68"/>
  <c r="P29" i="68"/>
  <c r="O29" i="68"/>
  <c r="M29" i="68"/>
  <c r="S29" i="68" s="1"/>
  <c r="L29" i="68"/>
  <c r="K29" i="68"/>
  <c r="J29" i="68"/>
  <c r="R28" i="68"/>
  <c r="Q28" i="68"/>
  <c r="P28" i="68"/>
  <c r="O28" i="68"/>
  <c r="M28" i="68"/>
  <c r="S28" i="68" s="1"/>
  <c r="L28" i="68"/>
  <c r="K28" i="68"/>
  <c r="J28" i="68"/>
  <c r="R27" i="68"/>
  <c r="Q27" i="68"/>
  <c r="P27" i="68"/>
  <c r="O27" i="68"/>
  <c r="M27" i="68"/>
  <c r="S27" i="68" s="1"/>
  <c r="L27" i="68"/>
  <c r="K27" i="68"/>
  <c r="J27" i="68"/>
  <c r="R26" i="68"/>
  <c r="Q26" i="68"/>
  <c r="P26" i="68"/>
  <c r="O26" i="68"/>
  <c r="M26" i="68"/>
  <c r="S26" i="68" s="1"/>
  <c r="L26" i="68"/>
  <c r="K26" i="68"/>
  <c r="J26" i="68"/>
  <c r="R25" i="68"/>
  <c r="Q25" i="68"/>
  <c r="P25" i="68"/>
  <c r="O25" i="68"/>
  <c r="M25" i="68"/>
  <c r="S25" i="68" s="1"/>
  <c r="L25" i="68"/>
  <c r="K25" i="68"/>
  <c r="J25" i="68"/>
  <c r="R24" i="68"/>
  <c r="Q24" i="68"/>
  <c r="P24" i="68"/>
  <c r="O24" i="68"/>
  <c r="M24" i="68"/>
  <c r="S24" i="68" s="1"/>
  <c r="L24" i="68"/>
  <c r="K24" i="68"/>
  <c r="J24" i="68"/>
  <c r="R23" i="68"/>
  <c r="Q23" i="68"/>
  <c r="P23" i="68"/>
  <c r="O23" i="68"/>
  <c r="M23" i="68"/>
  <c r="S23" i="68" s="1"/>
  <c r="L23" i="68"/>
  <c r="K23" i="68"/>
  <c r="J23" i="68"/>
  <c r="R22" i="68"/>
  <c r="Q22" i="68"/>
  <c r="P22" i="68"/>
  <c r="O22" i="68"/>
  <c r="M22" i="68"/>
  <c r="S22" i="68" s="1"/>
  <c r="L22" i="68"/>
  <c r="K22" i="68"/>
  <c r="J22" i="68"/>
  <c r="R21" i="68"/>
  <c r="Q21" i="68"/>
  <c r="P21" i="68"/>
  <c r="O21" i="68"/>
  <c r="M21" i="68"/>
  <c r="S21" i="68" s="1"/>
  <c r="L21" i="68"/>
  <c r="K21" i="68"/>
  <c r="J21" i="68"/>
  <c r="R20" i="68"/>
  <c r="Q20" i="68"/>
  <c r="P20" i="68"/>
  <c r="O20" i="68"/>
  <c r="M20" i="68"/>
  <c r="S20" i="68" s="1"/>
  <c r="L20" i="68"/>
  <c r="K20" i="68"/>
  <c r="J20" i="68"/>
  <c r="R19" i="68"/>
  <c r="Q19" i="68"/>
  <c r="P19" i="68"/>
  <c r="O19" i="68"/>
  <c r="M19" i="68"/>
  <c r="S19" i="68" s="1"/>
  <c r="L19" i="68"/>
  <c r="K19" i="68"/>
  <c r="J19" i="68"/>
  <c r="R18" i="68"/>
  <c r="Q18" i="68"/>
  <c r="P18" i="68"/>
  <c r="O18" i="68"/>
  <c r="M18" i="68"/>
  <c r="S18" i="68" s="1"/>
  <c r="L18" i="68"/>
  <c r="K18" i="68"/>
  <c r="J18" i="68"/>
  <c r="R17" i="68"/>
  <c r="Q17" i="68"/>
  <c r="P17" i="68"/>
  <c r="O17" i="68"/>
  <c r="M17" i="68"/>
  <c r="S17" i="68" s="1"/>
  <c r="L17" i="68"/>
  <c r="K17" i="68"/>
  <c r="J17" i="68"/>
  <c r="R16" i="68"/>
  <c r="Q16" i="68"/>
  <c r="P16" i="68"/>
  <c r="O16" i="68"/>
  <c r="M16" i="68"/>
  <c r="S16" i="68" s="1"/>
  <c r="L16" i="68"/>
  <c r="K16" i="68"/>
  <c r="J16" i="68"/>
  <c r="R15" i="68"/>
  <c r="Q15" i="68"/>
  <c r="P15" i="68"/>
  <c r="O15" i="68"/>
  <c r="M15" i="68"/>
  <c r="S15" i="68" s="1"/>
  <c r="L15" i="68"/>
  <c r="K15" i="68"/>
  <c r="J15" i="68"/>
  <c r="R14" i="68"/>
  <c r="Q14" i="68"/>
  <c r="P14" i="68"/>
  <c r="O14" i="68"/>
  <c r="M14" i="68"/>
  <c r="S14" i="68" s="1"/>
  <c r="L14" i="68"/>
  <c r="K14" i="68"/>
  <c r="J14" i="68"/>
  <c r="R13" i="68"/>
  <c r="Q13" i="68"/>
  <c r="P13" i="68"/>
  <c r="O13" i="68"/>
  <c r="M13" i="68"/>
  <c r="S13" i="68" s="1"/>
  <c r="L13" i="68"/>
  <c r="K13" i="68"/>
  <c r="J13" i="68"/>
  <c r="R12" i="68"/>
  <c r="Q12" i="68"/>
  <c r="P12" i="68"/>
  <c r="O12" i="68"/>
  <c r="M12" i="68"/>
  <c r="S12" i="68" s="1"/>
  <c r="L12" i="68"/>
  <c r="K12" i="68"/>
  <c r="J12" i="68"/>
  <c r="R11" i="68"/>
  <c r="Q11" i="68"/>
  <c r="P11" i="68"/>
  <c r="O11" i="68"/>
  <c r="M11" i="68"/>
  <c r="S11" i="68" s="1"/>
  <c r="L11" i="68"/>
  <c r="K11" i="68"/>
  <c r="J11" i="68"/>
  <c r="R10" i="68"/>
  <c r="Q10" i="68"/>
  <c r="P10" i="68"/>
  <c r="O10" i="68"/>
  <c r="M10" i="68"/>
  <c r="S10" i="68" s="1"/>
  <c r="L10" i="68"/>
  <c r="K10" i="68"/>
  <c r="J10" i="68"/>
  <c r="R9" i="68"/>
  <c r="Q9" i="68"/>
  <c r="P9" i="68"/>
  <c r="O9" i="68"/>
  <c r="M9" i="68"/>
  <c r="S9" i="68" s="1"/>
  <c r="L9" i="68"/>
  <c r="K9" i="68"/>
  <c r="J9" i="68"/>
  <c r="R8" i="68"/>
  <c r="Q8" i="68"/>
  <c r="P8" i="68"/>
  <c r="O8" i="68"/>
  <c r="M8" i="68"/>
  <c r="S8" i="68" s="1"/>
  <c r="L8" i="68"/>
  <c r="K8" i="68"/>
  <c r="J8" i="68"/>
  <c r="R7" i="68"/>
  <c r="Q7" i="68"/>
  <c r="P7" i="68"/>
  <c r="O7" i="68"/>
  <c r="M7" i="68"/>
  <c r="S7" i="68" s="1"/>
  <c r="L7" i="68"/>
  <c r="K7" i="68"/>
  <c r="J7" i="68"/>
  <c r="R6" i="68"/>
  <c r="Q6" i="68"/>
  <c r="P6" i="68"/>
  <c r="O6" i="68"/>
  <c r="M6" i="68"/>
  <c r="S6" i="68" s="1"/>
  <c r="L6" i="68"/>
  <c r="K6" i="68"/>
  <c r="J6" i="68"/>
  <c r="R5" i="68"/>
  <c r="Q5" i="68"/>
  <c r="P5" i="68"/>
  <c r="O5" i="68"/>
  <c r="M5" i="68"/>
  <c r="S5" i="68" s="1"/>
  <c r="L5" i="68"/>
  <c r="K5" i="68"/>
  <c r="J5" i="68"/>
  <c r="R4" i="68"/>
  <c r="Q4" i="68"/>
  <c r="P4" i="68"/>
  <c r="O4" i="68"/>
  <c r="M4" i="68"/>
  <c r="S4" i="68" s="1"/>
  <c r="L4" i="68"/>
  <c r="K4" i="68"/>
  <c r="J4" i="68"/>
  <c r="R3" i="68"/>
  <c r="Q3" i="68"/>
  <c r="P3" i="68"/>
  <c r="O3" i="68"/>
  <c r="M3" i="68"/>
  <c r="S3" i="68" s="1"/>
  <c r="L3" i="68"/>
  <c r="K3" i="68"/>
  <c r="J3" i="68"/>
  <c r="R2" i="68"/>
  <c r="Q2" i="68"/>
  <c r="P2" i="68"/>
  <c r="O2" i="68"/>
  <c r="N2" i="68"/>
  <c r="M2" i="68"/>
  <c r="L2" i="68"/>
  <c r="K2" i="68"/>
  <c r="J2" i="68"/>
  <c r="I12" i="70" l="1"/>
  <c r="I22" i="70"/>
  <c r="I15" i="70"/>
  <c r="I41" i="70"/>
  <c r="J41" i="70" s="1"/>
  <c r="I18" i="70"/>
  <c r="I45" i="70"/>
  <c r="J45" i="70" s="1"/>
  <c r="I29" i="70"/>
  <c r="I21" i="70"/>
  <c r="J21" i="70" s="1"/>
  <c r="I23" i="70"/>
  <c r="J23" i="70" s="1"/>
  <c r="I40" i="70"/>
  <c r="J40" i="70" s="1"/>
  <c r="L29" i="70"/>
  <c r="I34" i="70"/>
  <c r="J34" i="70" s="1"/>
  <c r="I33" i="70"/>
  <c r="J33" i="70" s="1"/>
  <c r="I17" i="70"/>
  <c r="J17" i="70" s="1"/>
  <c r="L7" i="70"/>
  <c r="L23" i="70"/>
  <c r="I27" i="70"/>
  <c r="I10" i="70"/>
  <c r="I20" i="70"/>
  <c r="I35" i="70"/>
  <c r="I8" i="70"/>
  <c r="J8" i="70" s="1"/>
  <c r="I4" i="70"/>
  <c r="J4" i="70" s="1"/>
  <c r="I16" i="70"/>
  <c r="I28" i="70"/>
  <c r="J28" i="70" s="1"/>
  <c r="I6" i="70"/>
  <c r="I14" i="70"/>
  <c r="J14" i="70" s="1"/>
  <c r="I37" i="70"/>
  <c r="J37" i="70" s="1"/>
  <c r="I26" i="70"/>
  <c r="I43" i="70"/>
  <c r="J43" i="70" s="1"/>
  <c r="L4" i="70"/>
  <c r="L15" i="70"/>
  <c r="I32" i="70"/>
  <c r="J32" i="70" s="1"/>
  <c r="I19" i="70"/>
  <c r="J19" i="70" s="1"/>
  <c r="I3" i="70"/>
  <c r="J3" i="70" s="1"/>
  <c r="J7" i="70"/>
  <c r="I5" i="70"/>
  <c r="J5" i="70" s="1"/>
  <c r="I24" i="70"/>
  <c r="J24" i="70" s="1"/>
  <c r="J29" i="70"/>
  <c r="L38" i="70"/>
  <c r="I44" i="70"/>
  <c r="J44" i="70" s="1"/>
  <c r="I30" i="70"/>
  <c r="J30" i="70" s="1"/>
  <c r="I42" i="70"/>
  <c r="J42" i="70" s="1"/>
  <c r="L5" i="70"/>
  <c r="L25" i="70"/>
  <c r="I11" i="70"/>
  <c r="J11" i="70" s="1"/>
  <c r="L35" i="70"/>
  <c r="I9" i="70"/>
  <c r="J9" i="70" s="1"/>
  <c r="J22" i="70"/>
  <c r="I39" i="70"/>
  <c r="J39" i="70" s="1"/>
  <c r="L41" i="70"/>
  <c r="J38" i="70"/>
  <c r="I46" i="70"/>
  <c r="J46" i="70" s="1"/>
  <c r="I13" i="70"/>
  <c r="J13" i="70" s="1"/>
  <c r="I2" i="70"/>
  <c r="J2" i="70" s="1"/>
  <c r="J10" i="70"/>
  <c r="J15" i="70"/>
  <c r="J27" i="70"/>
  <c r="S313" i="68"/>
  <c r="J35" i="70"/>
  <c r="S330" i="68"/>
  <c r="J20" i="70"/>
  <c r="J25" i="70"/>
  <c r="S316" i="68"/>
  <c r="S325" i="68"/>
  <c r="J6" i="70"/>
  <c r="J31" i="70"/>
  <c r="A3" i="69" a="1"/>
  <c r="J16" i="70"/>
  <c r="J26" i="70"/>
  <c r="S319" i="68"/>
  <c r="S322" i="68"/>
  <c r="J12" i="70"/>
  <c r="J36" i="70"/>
  <c r="S323" i="68"/>
  <c r="S337" i="68"/>
  <c r="S333" i="68"/>
  <c r="S334" i="68"/>
  <c r="S317" i="68"/>
  <c r="S315" i="68"/>
  <c r="S320" i="68"/>
  <c r="S336" i="68"/>
  <c r="S331" i="68"/>
  <c r="S2" i="68"/>
  <c r="S321" i="68"/>
  <c r="J18" i="70"/>
  <c r="S328" i="68"/>
  <c r="AH326" i="69" l="1"/>
  <c r="AK326" i="69"/>
  <c r="AQ5" i="69"/>
  <c r="AQ33" i="69"/>
  <c r="AQ61" i="69"/>
  <c r="AQ89" i="69"/>
  <c r="AQ117" i="69"/>
  <c r="AQ145" i="69"/>
  <c r="AQ173" i="69"/>
  <c r="AQ201" i="69"/>
  <c r="AQ229" i="69"/>
  <c r="AQ257" i="69"/>
  <c r="AQ285" i="69"/>
  <c r="AQ313" i="69"/>
  <c r="AQ189" i="69"/>
  <c r="AQ190" i="69"/>
  <c r="AQ107" i="69"/>
  <c r="AQ24" i="69"/>
  <c r="AQ277" i="69"/>
  <c r="AQ110" i="69"/>
  <c r="AQ279" i="69"/>
  <c r="AQ113" i="69"/>
  <c r="AQ86" i="69"/>
  <c r="AQ87" i="69"/>
  <c r="AQ116" i="69"/>
  <c r="AQ6" i="69"/>
  <c r="AQ34" i="69"/>
  <c r="AQ62" i="69"/>
  <c r="AQ90" i="69"/>
  <c r="AQ118" i="69"/>
  <c r="AQ146" i="69"/>
  <c r="AQ174" i="69"/>
  <c r="AQ202" i="69"/>
  <c r="AQ230" i="69"/>
  <c r="AQ258" i="69"/>
  <c r="AQ286" i="69"/>
  <c r="AQ314" i="69"/>
  <c r="AQ77" i="69"/>
  <c r="AQ106" i="69"/>
  <c r="AQ275" i="69"/>
  <c r="AQ276" i="69"/>
  <c r="AQ221" i="69"/>
  <c r="AQ82" i="69"/>
  <c r="AQ251" i="69"/>
  <c r="AQ253" i="69"/>
  <c r="AQ88" i="69"/>
  <c r="AQ7" i="69"/>
  <c r="AQ35" i="69"/>
  <c r="AQ63" i="69"/>
  <c r="AQ91" i="69"/>
  <c r="AQ119" i="69"/>
  <c r="AQ147" i="69"/>
  <c r="AQ175" i="69"/>
  <c r="AQ203" i="69"/>
  <c r="AQ231" i="69"/>
  <c r="AQ259" i="69"/>
  <c r="AQ287" i="69"/>
  <c r="AQ315" i="69"/>
  <c r="AQ105" i="69"/>
  <c r="AQ134" i="69"/>
  <c r="AQ79" i="69"/>
  <c r="AQ192" i="69"/>
  <c r="AQ137" i="69"/>
  <c r="AQ250" i="69"/>
  <c r="AQ223" i="69"/>
  <c r="AQ196" i="69"/>
  <c r="AQ169" i="69"/>
  <c r="AQ254" i="69"/>
  <c r="AQ283" i="69"/>
  <c r="AQ228" i="69"/>
  <c r="AQ8" i="69"/>
  <c r="AQ36" i="69"/>
  <c r="AQ64" i="69"/>
  <c r="AQ92" i="69"/>
  <c r="AQ120" i="69"/>
  <c r="AQ148" i="69"/>
  <c r="AQ176" i="69"/>
  <c r="AQ204" i="69"/>
  <c r="AQ232" i="69"/>
  <c r="AQ260" i="69"/>
  <c r="AQ288" i="69"/>
  <c r="AQ316" i="69"/>
  <c r="AQ133" i="69"/>
  <c r="AQ274" i="69"/>
  <c r="AQ247" i="69"/>
  <c r="AQ248" i="69"/>
  <c r="AQ193" i="69"/>
  <c r="AQ26" i="69"/>
  <c r="AQ195" i="69"/>
  <c r="AQ84" i="69"/>
  <c r="AQ310" i="69"/>
  <c r="AQ9" i="69"/>
  <c r="AQ37" i="69"/>
  <c r="AQ65" i="69"/>
  <c r="AQ93" i="69"/>
  <c r="AQ121" i="69"/>
  <c r="AQ149" i="69"/>
  <c r="AQ177" i="69"/>
  <c r="AQ205" i="69"/>
  <c r="AQ233" i="69"/>
  <c r="AQ261" i="69"/>
  <c r="AQ289" i="69"/>
  <c r="AQ317" i="69"/>
  <c r="AQ49" i="69"/>
  <c r="AQ78" i="69"/>
  <c r="AQ163" i="69"/>
  <c r="AQ108" i="69"/>
  <c r="AQ249" i="69"/>
  <c r="AQ307" i="69"/>
  <c r="AQ280" i="69"/>
  <c r="AQ198" i="69"/>
  <c r="AQ144" i="69"/>
  <c r="AQ10" i="69"/>
  <c r="AQ38" i="69"/>
  <c r="AQ66" i="69"/>
  <c r="AQ94" i="69"/>
  <c r="AQ122" i="69"/>
  <c r="AQ150" i="69"/>
  <c r="AQ178" i="69"/>
  <c r="AQ206" i="69"/>
  <c r="AQ234" i="69"/>
  <c r="AQ262" i="69"/>
  <c r="AQ290" i="69"/>
  <c r="AQ318" i="69"/>
  <c r="AQ168" i="69"/>
  <c r="AQ170" i="69"/>
  <c r="AQ143" i="69"/>
  <c r="AQ11" i="69"/>
  <c r="AQ39" i="69"/>
  <c r="AQ67" i="69"/>
  <c r="AQ95" i="69"/>
  <c r="AQ123" i="69"/>
  <c r="AQ151" i="69"/>
  <c r="AQ179" i="69"/>
  <c r="AQ207" i="69"/>
  <c r="AQ235" i="69"/>
  <c r="AQ263" i="69"/>
  <c r="AQ291" i="69"/>
  <c r="AQ319" i="69"/>
  <c r="AQ48" i="69"/>
  <c r="AQ245" i="69"/>
  <c r="AQ162" i="69"/>
  <c r="AQ23" i="69"/>
  <c r="AQ304" i="69"/>
  <c r="AQ305" i="69"/>
  <c r="AQ306" i="69"/>
  <c r="AQ167" i="69"/>
  <c r="AQ224" i="69"/>
  <c r="AQ197" i="69"/>
  <c r="AQ171" i="69"/>
  <c r="AQ312" i="69"/>
  <c r="AQ12" i="69"/>
  <c r="AQ40" i="69"/>
  <c r="AQ68" i="69"/>
  <c r="AQ96" i="69"/>
  <c r="AQ124" i="69"/>
  <c r="AQ152" i="69"/>
  <c r="AQ180" i="69"/>
  <c r="AQ208" i="69"/>
  <c r="AQ236" i="69"/>
  <c r="AQ264" i="69"/>
  <c r="AQ292" i="69"/>
  <c r="AQ320" i="69"/>
  <c r="AQ132" i="69"/>
  <c r="AQ161" i="69"/>
  <c r="AQ303" i="69"/>
  <c r="AQ52" i="69"/>
  <c r="AQ109" i="69"/>
  <c r="AQ222" i="69"/>
  <c r="AQ83" i="69"/>
  <c r="AQ252" i="69"/>
  <c r="AQ282" i="69"/>
  <c r="AQ13" i="69"/>
  <c r="AQ41" i="69"/>
  <c r="AQ69" i="69"/>
  <c r="AQ97" i="69"/>
  <c r="AQ125" i="69"/>
  <c r="AQ153" i="69"/>
  <c r="AQ181" i="69"/>
  <c r="AQ209" i="69"/>
  <c r="AQ237" i="69"/>
  <c r="AQ265" i="69"/>
  <c r="AQ293" i="69"/>
  <c r="AQ321" i="69"/>
  <c r="AQ188" i="69"/>
  <c r="AQ301" i="69"/>
  <c r="AQ218" i="69"/>
  <c r="AQ191" i="69"/>
  <c r="AQ164" i="69"/>
  <c r="AQ165" i="69"/>
  <c r="AQ166" i="69"/>
  <c r="AQ111" i="69"/>
  <c r="AQ140" i="69"/>
  <c r="AQ225" i="69"/>
  <c r="AQ199" i="69"/>
  <c r="AQ200" i="69"/>
  <c r="AQ14" i="69"/>
  <c r="AQ42" i="69"/>
  <c r="AQ70" i="69"/>
  <c r="AQ98" i="69"/>
  <c r="AQ126" i="69"/>
  <c r="AQ154" i="69"/>
  <c r="AQ182" i="69"/>
  <c r="AQ210" i="69"/>
  <c r="AQ238" i="69"/>
  <c r="AQ266" i="69"/>
  <c r="AQ294" i="69"/>
  <c r="AQ322" i="69"/>
  <c r="AQ104" i="69"/>
  <c r="AQ246" i="69"/>
  <c r="AQ219" i="69"/>
  <c r="AQ25" i="69"/>
  <c r="AQ194" i="69"/>
  <c r="AQ308" i="69"/>
  <c r="AQ141" i="69"/>
  <c r="AQ311" i="69"/>
  <c r="AQ284" i="69"/>
  <c r="AQ15" i="69"/>
  <c r="AQ43" i="69"/>
  <c r="AQ71" i="69"/>
  <c r="AQ99" i="69"/>
  <c r="AQ127" i="69"/>
  <c r="AQ155" i="69"/>
  <c r="AQ183" i="69"/>
  <c r="AQ211" i="69"/>
  <c r="AQ239" i="69"/>
  <c r="AQ267" i="69"/>
  <c r="AQ295" i="69"/>
  <c r="AQ323" i="69"/>
  <c r="AQ160" i="69"/>
  <c r="AQ273" i="69"/>
  <c r="AQ50" i="69"/>
  <c r="AQ136" i="69"/>
  <c r="AQ81" i="69"/>
  <c r="AQ278" i="69"/>
  <c r="AQ55" i="69"/>
  <c r="AQ112" i="69"/>
  <c r="AQ85" i="69"/>
  <c r="AQ226" i="69"/>
  <c r="AQ255" i="69"/>
  <c r="AQ256" i="69"/>
  <c r="AQ16" i="69"/>
  <c r="AQ44" i="69"/>
  <c r="AQ72" i="69"/>
  <c r="AQ100" i="69"/>
  <c r="AQ128" i="69"/>
  <c r="AQ156" i="69"/>
  <c r="AQ184" i="69"/>
  <c r="AQ212" i="69"/>
  <c r="AQ240" i="69"/>
  <c r="AQ268" i="69"/>
  <c r="AQ296" i="69"/>
  <c r="AQ324" i="69"/>
  <c r="AQ76" i="69"/>
  <c r="AQ217" i="69"/>
  <c r="AQ302" i="69"/>
  <c r="AQ135" i="69"/>
  <c r="AQ220" i="69"/>
  <c r="AQ54" i="69"/>
  <c r="AQ139" i="69"/>
  <c r="AQ309" i="69"/>
  <c r="AQ114" i="69"/>
  <c r="AQ115" i="69"/>
  <c r="AQ17" i="69"/>
  <c r="AQ45" i="69"/>
  <c r="AQ73" i="69"/>
  <c r="AQ101" i="69"/>
  <c r="AQ129" i="69"/>
  <c r="AQ157" i="69"/>
  <c r="AQ185" i="69"/>
  <c r="AQ213" i="69"/>
  <c r="AQ241" i="69"/>
  <c r="AQ269" i="69"/>
  <c r="AQ297" i="69"/>
  <c r="AQ325" i="69"/>
  <c r="AQ18" i="69"/>
  <c r="AQ46" i="69"/>
  <c r="AQ74" i="69"/>
  <c r="AQ102" i="69"/>
  <c r="AQ130" i="69"/>
  <c r="AQ158" i="69"/>
  <c r="AQ186" i="69"/>
  <c r="AQ214" i="69"/>
  <c r="AQ242" i="69"/>
  <c r="AQ270" i="69"/>
  <c r="AQ298" i="69"/>
  <c r="AQ326" i="69"/>
  <c r="AQ19" i="69"/>
  <c r="AQ47" i="69"/>
  <c r="AQ75" i="69"/>
  <c r="AQ103" i="69"/>
  <c r="AQ131" i="69"/>
  <c r="AQ159" i="69"/>
  <c r="AQ187" i="69"/>
  <c r="AQ215" i="69"/>
  <c r="AQ243" i="69"/>
  <c r="AQ271" i="69"/>
  <c r="AQ299" i="69"/>
  <c r="AQ4" i="69"/>
  <c r="AQ20" i="69"/>
  <c r="AQ216" i="69"/>
  <c r="AQ244" i="69"/>
  <c r="AQ272" i="69"/>
  <c r="AQ300" i="69"/>
  <c r="AQ21" i="69"/>
  <c r="AQ22" i="69"/>
  <c r="AQ51" i="69"/>
  <c r="AQ80" i="69"/>
  <c r="AQ53" i="69"/>
  <c r="AQ138" i="69"/>
  <c r="AQ27" i="69"/>
  <c r="AQ56" i="69"/>
  <c r="AQ57" i="69"/>
  <c r="AQ58" i="69"/>
  <c r="AQ59" i="69"/>
  <c r="AQ60" i="69"/>
  <c r="AQ281" i="69"/>
  <c r="AQ142" i="69"/>
  <c r="AQ227" i="69"/>
  <c r="AQ172" i="69"/>
  <c r="AQ28" i="69"/>
  <c r="AQ29" i="69"/>
  <c r="AQ30" i="69"/>
  <c r="AQ31" i="69"/>
  <c r="AQ32" i="69"/>
  <c r="AN326" i="69"/>
  <c r="AO326" i="69" s="1"/>
  <c r="AM326" i="69"/>
  <c r="AL326" i="69"/>
  <c r="AI326" i="69"/>
  <c r="AJ326" i="69"/>
  <c r="G326" i="69"/>
  <c r="H326" i="69"/>
  <c r="P326" i="69" s="1"/>
  <c r="I326" i="69"/>
  <c r="AH209" i="69"/>
  <c r="AK212" i="69"/>
  <c r="AN215" i="69"/>
  <c r="AO215" i="69" s="1"/>
  <c r="AI222" i="69"/>
  <c r="AL225" i="69"/>
  <c r="AK232" i="69"/>
  <c r="AI239" i="69"/>
  <c r="AL242" i="69"/>
  <c r="AN245" i="69"/>
  <c r="AO245" i="69" s="1"/>
  <c r="AH252" i="69"/>
  <c r="AK255" i="69"/>
  <c r="AH259" i="69"/>
  <c r="AK262" i="69"/>
  <c r="AN265" i="69"/>
  <c r="AO265" i="69" s="1"/>
  <c r="AJ269" i="69"/>
  <c r="AL272" i="69"/>
  <c r="AM275" i="69"/>
  <c r="AI282" i="69"/>
  <c r="AM285" i="69"/>
  <c r="AH289" i="69"/>
  <c r="AL292" i="69"/>
  <c r="AI299" i="69"/>
  <c r="AK302" i="69"/>
  <c r="AL305" i="69"/>
  <c r="AN308" i="69"/>
  <c r="AO308" i="69" s="1"/>
  <c r="AJ312" i="69"/>
  <c r="AN315" i="69"/>
  <c r="AO315" i="69" s="1"/>
  <c r="AJ319" i="69"/>
  <c r="AM322" i="69"/>
  <c r="AJ204" i="69"/>
  <c r="AM207" i="69"/>
  <c r="AK7" i="69"/>
  <c r="AI14" i="69"/>
  <c r="AL17" i="69"/>
  <c r="AH21" i="69"/>
  <c r="AK24" i="69"/>
  <c r="AN27" i="69"/>
  <c r="AO27" i="69" s="1"/>
  <c r="AI31" i="69"/>
  <c r="AL34" i="69"/>
  <c r="AI38" i="69"/>
  <c r="AL41" i="69"/>
  <c r="AI48" i="69"/>
  <c r="AL51" i="69"/>
  <c r="AN54" i="69"/>
  <c r="AO54" i="69" s="1"/>
  <c r="AI58" i="69"/>
  <c r="AL61" i="69"/>
  <c r="AJ65" i="69"/>
  <c r="AN68" i="69"/>
  <c r="AO68" i="69" s="1"/>
  <c r="AH72" i="69"/>
  <c r="AK75" i="69"/>
  <c r="AN78" i="69"/>
  <c r="AO78" i="69" s="1"/>
  <c r="AH82" i="69"/>
  <c r="AL85" i="69"/>
  <c r="AL92" i="69"/>
  <c r="AI96" i="69"/>
  <c r="AL99" i="69"/>
  <c r="AI106" i="69"/>
  <c r="AL109" i="69"/>
  <c r="AK116" i="69"/>
  <c r="AK123" i="69"/>
  <c r="AN126" i="69"/>
  <c r="AO126" i="69" s="1"/>
  <c r="AJ130" i="69"/>
  <c r="AM133" i="69"/>
  <c r="AK140" i="69"/>
  <c r="AJ147" i="69"/>
  <c r="AN150" i="69"/>
  <c r="AO150" i="69" s="1"/>
  <c r="AH154" i="69"/>
  <c r="AK157" i="69"/>
  <c r="AN160" i="69"/>
  <c r="AO160" i="69" s="1"/>
  <c r="AJ164" i="69"/>
  <c r="AI209" i="69"/>
  <c r="AL212" i="69"/>
  <c r="AH219" i="69"/>
  <c r="AJ222" i="69"/>
  <c r="AM225" i="69"/>
  <c r="AH229" i="69"/>
  <c r="AL232" i="69"/>
  <c r="AJ239" i="69"/>
  <c r="AM242" i="69"/>
  <c r="AI252" i="69"/>
  <c r="AL255" i="69"/>
  <c r="AI259" i="69"/>
  <c r="AL262" i="69"/>
  <c r="AH266" i="69"/>
  <c r="AK269" i="69"/>
  <c r="AM272" i="69"/>
  <c r="AN275" i="69"/>
  <c r="AO275" i="69" s="1"/>
  <c r="AJ282" i="69"/>
  <c r="AN285" i="69"/>
  <c r="AO285" i="69" s="1"/>
  <c r="AI289" i="69"/>
  <c r="AM292" i="69"/>
  <c r="AJ299" i="69"/>
  <c r="AL302" i="69"/>
  <c r="AM305" i="69"/>
  <c r="AH309" i="69"/>
  <c r="AK312" i="69"/>
  <c r="AK319" i="69"/>
  <c r="AN322" i="69"/>
  <c r="AO322" i="69" s="1"/>
  <c r="AH201" i="69"/>
  <c r="AK204" i="69"/>
  <c r="AN207" i="69"/>
  <c r="AO207" i="69" s="1"/>
  <c r="AL7" i="69"/>
  <c r="AJ14" i="69"/>
  <c r="AM17" i="69"/>
  <c r="AI21" i="69"/>
  <c r="AL24" i="69"/>
  <c r="AJ31" i="69"/>
  <c r="AM34" i="69"/>
  <c r="AJ38" i="69"/>
  <c r="AM41" i="69"/>
  <c r="AJ48" i="69"/>
  <c r="AM51" i="69"/>
  <c r="AH55" i="69"/>
  <c r="AJ58" i="69"/>
  <c r="AM61" i="69"/>
  <c r="AK65" i="69"/>
  <c r="AI72" i="69"/>
  <c r="AL75" i="69"/>
  <c r="AI82" i="69"/>
  <c r="AM85" i="69"/>
  <c r="AH89" i="69"/>
  <c r="AM92" i="69"/>
  <c r="AJ96" i="69"/>
  <c r="AM99" i="69"/>
  <c r="AJ106" i="69"/>
  <c r="AM109" i="69"/>
  <c r="AH113" i="69"/>
  <c r="AL116" i="69"/>
  <c r="AH120" i="69"/>
  <c r="AL123" i="69"/>
  <c r="AH127" i="69"/>
  <c r="AK130" i="69"/>
  <c r="AN133" i="69"/>
  <c r="AO133" i="69" s="1"/>
  <c r="AH137" i="69"/>
  <c r="AL140" i="69"/>
  <c r="AK147" i="69"/>
  <c r="AI154" i="69"/>
  <c r="AL157" i="69"/>
  <c r="AH161" i="69"/>
  <c r="AK164" i="69"/>
  <c r="AJ209" i="69"/>
  <c r="AM212" i="69"/>
  <c r="AH216" i="69"/>
  <c r="AI219" i="69"/>
  <c r="AK222" i="69"/>
  <c r="AN225" i="69"/>
  <c r="AO225" i="69" s="1"/>
  <c r="AI229" i="69"/>
  <c r="AM232" i="69"/>
  <c r="AH236" i="69"/>
  <c r="AK239" i="69"/>
  <c r="AN242" i="69"/>
  <c r="AO242" i="69" s="1"/>
  <c r="AH249" i="69"/>
  <c r="AJ252" i="69"/>
  <c r="AM255" i="69"/>
  <c r="AJ259" i="69"/>
  <c r="AM262" i="69"/>
  <c r="AI266" i="69"/>
  <c r="AL269" i="69"/>
  <c r="AN272" i="69"/>
  <c r="AO272" i="69" s="1"/>
  <c r="AH279" i="69"/>
  <c r="AK282" i="69"/>
  <c r="AJ289" i="69"/>
  <c r="AN292" i="69"/>
  <c r="AO292" i="69" s="1"/>
  <c r="AH296" i="69"/>
  <c r="AK299" i="69"/>
  <c r="AM302" i="69"/>
  <c r="AN305" i="69"/>
  <c r="AO305" i="69" s="1"/>
  <c r="AI309" i="69"/>
  <c r="AL312" i="69"/>
  <c r="AH316" i="69"/>
  <c r="AL319" i="69"/>
  <c r="AI201" i="69"/>
  <c r="AL204" i="69"/>
  <c r="AH208" i="69"/>
  <c r="AM7" i="69"/>
  <c r="AH11" i="69"/>
  <c r="AK14" i="69"/>
  <c r="AN17" i="69"/>
  <c r="AO17" i="69" s="1"/>
  <c r="AJ21" i="69"/>
  <c r="AM24" i="69"/>
  <c r="AK31" i="69"/>
  <c r="AN34" i="69"/>
  <c r="AO34" i="69" s="1"/>
  <c r="AK38" i="69"/>
  <c r="AN41" i="69"/>
  <c r="AO41" i="69" s="1"/>
  <c r="AH45" i="69"/>
  <c r="AK48" i="69"/>
  <c r="AN51" i="69"/>
  <c r="AO51" i="69" s="1"/>
  <c r="AI55" i="69"/>
  <c r="AK58" i="69"/>
  <c r="AN61" i="69"/>
  <c r="AO61" i="69" s="1"/>
  <c r="AL65" i="69"/>
  <c r="AJ72" i="69"/>
  <c r="AM75" i="69"/>
  <c r="AJ82" i="69"/>
  <c r="AN85" i="69"/>
  <c r="AO85" i="69" s="1"/>
  <c r="AI89" i="69"/>
  <c r="AN92" i="69"/>
  <c r="AO92" i="69" s="1"/>
  <c r="AK96" i="69"/>
  <c r="AN99" i="69"/>
  <c r="AO99" i="69" s="1"/>
  <c r="AH103" i="69"/>
  <c r="AK106" i="69"/>
  <c r="AN109" i="69"/>
  <c r="AO109" i="69" s="1"/>
  <c r="AI113" i="69"/>
  <c r="AM116" i="69"/>
  <c r="AI120" i="69"/>
  <c r="AM123" i="69"/>
  <c r="AI127" i="69"/>
  <c r="AL130" i="69"/>
  <c r="AI137" i="69"/>
  <c r="AM140" i="69"/>
  <c r="AH144" i="69"/>
  <c r="AL147" i="69"/>
  <c r="AJ154" i="69"/>
  <c r="AM157" i="69"/>
  <c r="AI161" i="69"/>
  <c r="AL164" i="69"/>
  <c r="AK209" i="69"/>
  <c r="AN212" i="69"/>
  <c r="AO212" i="69" s="1"/>
  <c r="AI216" i="69"/>
  <c r="AJ219" i="69"/>
  <c r="AL222" i="69"/>
  <c r="AJ229" i="69"/>
  <c r="AN232" i="69"/>
  <c r="AO232" i="69" s="1"/>
  <c r="AI236" i="69"/>
  <c r="AL239" i="69"/>
  <c r="AH246" i="69"/>
  <c r="AI249" i="69"/>
  <c r="AK252" i="69"/>
  <c r="AN255" i="69"/>
  <c r="AO255" i="69" s="1"/>
  <c r="AK259" i="69"/>
  <c r="AN262" i="69"/>
  <c r="AO262" i="69" s="1"/>
  <c r="AJ266" i="69"/>
  <c r="AM269" i="69"/>
  <c r="AI279" i="69"/>
  <c r="AL282" i="69"/>
  <c r="AK289" i="69"/>
  <c r="AI296" i="69"/>
  <c r="AL299" i="69"/>
  <c r="AN302" i="69"/>
  <c r="AO302" i="69" s="1"/>
  <c r="AJ309" i="69"/>
  <c r="AM312" i="69"/>
  <c r="AI316" i="69"/>
  <c r="AM319" i="69"/>
  <c r="AJ201" i="69"/>
  <c r="AM204" i="69"/>
  <c r="AI208" i="69"/>
  <c r="AN7" i="69"/>
  <c r="AO7" i="69" s="1"/>
  <c r="AI11" i="69"/>
  <c r="AL14" i="69"/>
  <c r="AH18" i="69"/>
  <c r="AK21" i="69"/>
  <c r="AN24" i="69"/>
  <c r="AO24" i="69" s="1"/>
  <c r="AH28" i="69"/>
  <c r="AL31" i="69"/>
  <c r="AH35" i="69"/>
  <c r="AL38" i="69"/>
  <c r="AI45" i="69"/>
  <c r="AL48" i="69"/>
  <c r="AJ55" i="69"/>
  <c r="AL58" i="69"/>
  <c r="AH62" i="69"/>
  <c r="AM65" i="69"/>
  <c r="AH69" i="69"/>
  <c r="AK72" i="69"/>
  <c r="AN75" i="69"/>
  <c r="AO75" i="69" s="1"/>
  <c r="AH79" i="69"/>
  <c r="AK82" i="69"/>
  <c r="AJ89" i="69"/>
  <c r="AH93" i="69"/>
  <c r="AL96" i="69"/>
  <c r="AI103" i="69"/>
  <c r="AL106" i="69"/>
  <c r="AJ113" i="69"/>
  <c r="AN116" i="69"/>
  <c r="AO116" i="69" s="1"/>
  <c r="AJ120" i="69"/>
  <c r="AN123" i="69"/>
  <c r="AO123" i="69" s="1"/>
  <c r="AJ127" i="69"/>
  <c r="AM130" i="69"/>
  <c r="AJ137" i="69"/>
  <c r="AN140" i="69"/>
  <c r="AO140" i="69" s="1"/>
  <c r="AI144" i="69"/>
  <c r="AM147" i="69"/>
  <c r="AH151" i="69"/>
  <c r="AK154" i="69"/>
  <c r="AN157" i="69"/>
  <c r="AO157" i="69" s="1"/>
  <c r="AJ161" i="69"/>
  <c r="AM164" i="69"/>
  <c r="AL209" i="69"/>
  <c r="AH213" i="69"/>
  <c r="AJ216" i="69"/>
  <c r="AK219" i="69"/>
  <c r="AM222" i="69"/>
  <c r="AK229" i="69"/>
  <c r="AJ236" i="69"/>
  <c r="AM239" i="69"/>
  <c r="AI246" i="69"/>
  <c r="AJ249" i="69"/>
  <c r="AL252" i="69"/>
  <c r="AH256" i="69"/>
  <c r="AL259" i="69"/>
  <c r="AH263" i="69"/>
  <c r="AK266" i="69"/>
  <c r="AN269" i="69"/>
  <c r="AO269" i="69" s="1"/>
  <c r="AM209" i="69"/>
  <c r="AI213" i="69"/>
  <c r="AK216" i="69"/>
  <c r="AL219" i="69"/>
  <c r="AN222" i="69"/>
  <c r="AO222" i="69" s="1"/>
  <c r="AH226" i="69"/>
  <c r="AL229" i="69"/>
  <c r="AN209" i="69"/>
  <c r="AO209" i="69" s="1"/>
  <c r="AJ213" i="69"/>
  <c r="AL216" i="69"/>
  <c r="AM219" i="69"/>
  <c r="AI226" i="69"/>
  <c r="AM229" i="69"/>
  <c r="AH233" i="69"/>
  <c r="AL236" i="69"/>
  <c r="AI243" i="69"/>
  <c r="AK246" i="69"/>
  <c r="AL249" i="69"/>
  <c r="AL210" i="69"/>
  <c r="AH217" i="69"/>
  <c r="AI220" i="69"/>
  <c r="AK223" i="69"/>
  <c r="AN226" i="69"/>
  <c r="AO226" i="69" s="1"/>
  <c r="AI230" i="69"/>
  <c r="AM233" i="69"/>
  <c r="AH237" i="69"/>
  <c r="AK240" i="69"/>
  <c r="AN243" i="69"/>
  <c r="AO243" i="69" s="1"/>
  <c r="AI250" i="69"/>
  <c r="AL253" i="69"/>
  <c r="AK260" i="69"/>
  <c r="AI267" i="69"/>
  <c r="AL270" i="69"/>
  <c r="AN273" i="69"/>
  <c r="AO273" i="69" s="1"/>
  <c r="AH280" i="69"/>
  <c r="AK283" i="69"/>
  <c r="AH287" i="69"/>
  <c r="AK290" i="69"/>
  <c r="AN293" i="69"/>
  <c r="AO293" i="69" s="1"/>
  <c r="AJ297" i="69"/>
  <c r="AL300" i="69"/>
  <c r="AM303" i="69"/>
  <c r="AI310" i="69"/>
  <c r="AM313" i="69"/>
  <c r="AH317" i="69"/>
  <c r="AH210" i="69"/>
  <c r="AK214" i="69"/>
  <c r="AL218" i="69"/>
  <c r="AL223" i="69"/>
  <c r="AN227" i="69"/>
  <c r="AO227" i="69" s="1"/>
  <c r="AI233" i="69"/>
  <c r="AL237" i="69"/>
  <c r="AL246" i="69"/>
  <c r="AM250" i="69"/>
  <c r="AM254" i="69"/>
  <c r="AN258" i="69"/>
  <c r="AO258" i="69" s="1"/>
  <c r="AN263" i="69"/>
  <c r="AO263" i="69" s="1"/>
  <c r="AH276" i="69"/>
  <c r="AH284" i="69"/>
  <c r="AI288" i="69"/>
  <c r="AI292" i="69"/>
  <c r="AL296" i="69"/>
  <c r="AM300" i="69"/>
  <c r="AJ304" i="69"/>
  <c r="AH308" i="69"/>
  <c r="AI312" i="69"/>
  <c r="AN316" i="69"/>
  <c r="AO316" i="69" s="1"/>
  <c r="AN320" i="69"/>
  <c r="AO320" i="69" s="1"/>
  <c r="AL324" i="69"/>
  <c r="AL203" i="69"/>
  <c r="AJ207" i="69"/>
  <c r="AH12" i="69"/>
  <c r="AM19" i="69"/>
  <c r="AK23" i="69"/>
  <c r="AK27" i="69"/>
  <c r="AN31" i="69"/>
  <c r="AO31" i="69" s="1"/>
  <c r="AN35" i="69"/>
  <c r="AO35" i="69" s="1"/>
  <c r="AM39" i="69"/>
  <c r="AM43" i="69"/>
  <c r="AK47" i="69"/>
  <c r="AI51" i="69"/>
  <c r="AL55" i="69"/>
  <c r="AK59" i="69"/>
  <c r="AK63" i="69"/>
  <c r="AJ67" i="69"/>
  <c r="AJ71" i="69"/>
  <c r="AH75" i="69"/>
  <c r="AJ79" i="69"/>
  <c r="AJ83" i="69"/>
  <c r="AJ87" i="69"/>
  <c r="AJ91" i="69"/>
  <c r="AI95" i="69"/>
  <c r="AI99" i="69"/>
  <c r="AK103" i="69"/>
  <c r="AI107" i="69"/>
  <c r="AI111" i="69"/>
  <c r="AI115" i="69"/>
  <c r="AI119" i="69"/>
  <c r="AH123" i="69"/>
  <c r="AL127" i="69"/>
  <c r="AJ131" i="69"/>
  <c r="AH135" i="69"/>
  <c r="AH139" i="69"/>
  <c r="AH143" i="69"/>
  <c r="AJ151" i="69"/>
  <c r="AJ155" i="69"/>
  <c r="AH159" i="69"/>
  <c r="AM166" i="69"/>
  <c r="AI170" i="69"/>
  <c r="AL173" i="69"/>
  <c r="AI177" i="69"/>
  <c r="AM180" i="69"/>
  <c r="AJ187" i="69"/>
  <c r="AM190" i="69"/>
  <c r="AK197" i="69"/>
  <c r="AI210" i="69"/>
  <c r="AL214" i="69"/>
  <c r="AM218" i="69"/>
  <c r="AM223" i="69"/>
  <c r="AH228" i="69"/>
  <c r="AJ233" i="69"/>
  <c r="AM237" i="69"/>
  <c r="AM246" i="69"/>
  <c r="AN250" i="69"/>
  <c r="AO250" i="69" s="1"/>
  <c r="AN254" i="69"/>
  <c r="AO254" i="69" s="1"/>
  <c r="AM259" i="69"/>
  <c r="AH272" i="69"/>
  <c r="AI276" i="69"/>
  <c r="AI284" i="69"/>
  <c r="AJ288" i="69"/>
  <c r="AJ292" i="69"/>
  <c r="AM296" i="69"/>
  <c r="AN300" i="69"/>
  <c r="AO300" i="69" s="1"/>
  <c r="AK304" i="69"/>
  <c r="AI308" i="69"/>
  <c r="AN312" i="69"/>
  <c r="AO312" i="69" s="1"/>
  <c r="AM324" i="69"/>
  <c r="AM203" i="69"/>
  <c r="AK207" i="69"/>
  <c r="AH8" i="69"/>
  <c r="AI12" i="69"/>
  <c r="AN19" i="69"/>
  <c r="AO19" i="69" s="1"/>
  <c r="AL23" i="69"/>
  <c r="AL27" i="69"/>
  <c r="AN39" i="69"/>
  <c r="AO39" i="69" s="1"/>
  <c r="AN43" i="69"/>
  <c r="AO43" i="69" s="1"/>
  <c r="AL47" i="69"/>
  <c r="AJ51" i="69"/>
  <c r="AM55" i="69"/>
  <c r="AL59" i="69"/>
  <c r="AL63" i="69"/>
  <c r="AK67" i="69"/>
  <c r="AK71" i="69"/>
  <c r="AI75" i="69"/>
  <c r="AK79" i="69"/>
  <c r="AK83" i="69"/>
  <c r="AK87" i="69"/>
  <c r="AK91" i="69"/>
  <c r="AJ95" i="69"/>
  <c r="AJ99" i="69"/>
  <c r="AL103" i="69"/>
  <c r="AJ107" i="69"/>
  <c r="AJ111" i="69"/>
  <c r="AJ115" i="69"/>
  <c r="AJ119" i="69"/>
  <c r="AI123" i="69"/>
  <c r="AM127" i="69"/>
  <c r="AK131" i="69"/>
  <c r="AI135" i="69"/>
  <c r="AI139" i="69"/>
  <c r="AI143" i="69"/>
  <c r="AH147" i="69"/>
  <c r="AK151" i="69"/>
  <c r="AK155" i="69"/>
  <c r="AI159" i="69"/>
  <c r="AN166" i="69"/>
  <c r="AO166" i="69" s="1"/>
  <c r="AJ170" i="69"/>
  <c r="AM173" i="69"/>
  <c r="AJ177" i="69"/>
  <c r="AN180" i="69"/>
  <c r="AO180" i="69" s="1"/>
  <c r="AH184" i="69"/>
  <c r="AK187" i="69"/>
  <c r="AN190" i="69"/>
  <c r="AO190" i="69" s="1"/>
  <c r="AH194" i="69"/>
  <c r="AL197" i="69"/>
  <c r="AJ210" i="69"/>
  <c r="AM214" i="69"/>
  <c r="AN218" i="69"/>
  <c r="AO218" i="69" s="1"/>
  <c r="AN223" i="69"/>
  <c r="AO223" i="69" s="1"/>
  <c r="AI228" i="69"/>
  <c r="AK233" i="69"/>
  <c r="AN237" i="69"/>
  <c r="AO237" i="69" s="1"/>
  <c r="AH242" i="69"/>
  <c r="AN246" i="69"/>
  <c r="AO246" i="69" s="1"/>
  <c r="AN259" i="69"/>
  <c r="AO259" i="69" s="1"/>
  <c r="AH264" i="69"/>
  <c r="AH268" i="69"/>
  <c r="AI272" i="69"/>
  <c r="AJ276" i="69"/>
  <c r="AI280" i="69"/>
  <c r="AJ284" i="69"/>
  <c r="AK288" i="69"/>
  <c r="AK292" i="69"/>
  <c r="AN296" i="69"/>
  <c r="AO296" i="69" s="1"/>
  <c r="AL304" i="69"/>
  <c r="AJ308" i="69"/>
  <c r="AN324" i="69"/>
  <c r="AO324" i="69" s="1"/>
  <c r="AN203" i="69"/>
  <c r="AO203" i="69" s="1"/>
  <c r="AL207" i="69"/>
  <c r="AI8" i="69"/>
  <c r="AJ12" i="69"/>
  <c r="AH16" i="69"/>
  <c r="AM23" i="69"/>
  <c r="AM27" i="69"/>
  <c r="AH40" i="69"/>
  <c r="AM47" i="69"/>
  <c r="AK51" i="69"/>
  <c r="AN55" i="69"/>
  <c r="AO55" i="69" s="1"/>
  <c r="AM59" i="69"/>
  <c r="AM63" i="69"/>
  <c r="AL67" i="69"/>
  <c r="AL71" i="69"/>
  <c r="AJ75" i="69"/>
  <c r="AL79" i="69"/>
  <c r="AL83" i="69"/>
  <c r="AL87" i="69"/>
  <c r="AL91" i="69"/>
  <c r="AK95" i="69"/>
  <c r="AK99" i="69"/>
  <c r="AM103" i="69"/>
  <c r="AK107" i="69"/>
  <c r="AK111" i="69"/>
  <c r="AK115" i="69"/>
  <c r="AK119" i="69"/>
  <c r="AJ123" i="69"/>
  <c r="AN127" i="69"/>
  <c r="AO127" i="69" s="1"/>
  <c r="AL131" i="69"/>
  <c r="AJ135" i="69"/>
  <c r="AJ139" i="69"/>
  <c r="AJ143" i="69"/>
  <c r="AI147" i="69"/>
  <c r="AL151" i="69"/>
  <c r="AL155" i="69"/>
  <c r="AJ159" i="69"/>
  <c r="AH163" i="69"/>
  <c r="AH167" i="69"/>
  <c r="AK170" i="69"/>
  <c r="AN173" i="69"/>
  <c r="AO173" i="69" s="1"/>
  <c r="AK177" i="69"/>
  <c r="AI184" i="69"/>
  <c r="AL187" i="69"/>
  <c r="AI194" i="69"/>
  <c r="AM197" i="69"/>
  <c r="AI217" i="69"/>
  <c r="AI221" i="69"/>
  <c r="AJ226" i="69"/>
  <c r="AN230" i="69"/>
  <c r="AO230" i="69" s="1"/>
  <c r="AK235" i="69"/>
  <c r="AI240" i="69"/>
  <c r="AL244" i="69"/>
  <c r="AK248" i="69"/>
  <c r="AI253" i="69"/>
  <c r="AK257" i="69"/>
  <c r="AL261" i="69"/>
  <c r="AM265" i="69"/>
  <c r="AK270" i="69"/>
  <c r="AJ274" i="69"/>
  <c r="AH278" i="69"/>
  <c r="AK286" i="69"/>
  <c r="AM290" i="69"/>
  <c r="AN294" i="69"/>
  <c r="AO294" i="69" s="1"/>
  <c r="AM298" i="69"/>
  <c r="AM306" i="69"/>
  <c r="AM310" i="69"/>
  <c r="AM314" i="69"/>
  <c r="AN318" i="69"/>
  <c r="AO318" i="69" s="1"/>
  <c r="AI323" i="69"/>
  <c r="AI202" i="69"/>
  <c r="AN5" i="69"/>
  <c r="AO5" i="69" s="1"/>
  <c r="AH10" i="69"/>
  <c r="AJ18" i="69"/>
  <c r="AH22" i="69"/>
  <c r="AM29" i="69"/>
  <c r="AL33" i="69"/>
  <c r="AN37" i="69"/>
  <c r="AO37" i="69" s="1"/>
  <c r="AH42" i="69"/>
  <c r="AH46" i="69"/>
  <c r="AL53" i="69"/>
  <c r="AJ57" i="69"/>
  <c r="AI61" i="69"/>
  <c r="AN69" i="69"/>
  <c r="AO69" i="69" s="1"/>
  <c r="AL73" i="69"/>
  <c r="AL77" i="69"/>
  <c r="AJ81" i="69"/>
  <c r="AI85" i="69"/>
  <c r="AL89" i="69"/>
  <c r="AN93" i="69"/>
  <c r="AO93" i="69" s="1"/>
  <c r="AM97" i="69"/>
  <c r="AK101" i="69"/>
  <c r="AK105" i="69"/>
  <c r="AI109" i="69"/>
  <c r="AL113" i="69"/>
  <c r="AK117" i="69"/>
  <c r="AM121" i="69"/>
  <c r="AL125" i="69"/>
  <c r="AJ129" i="69"/>
  <c r="AJ133" i="69"/>
  <c r="AL137" i="69"/>
  <c r="AK141" i="69"/>
  <c r="AJ145" i="69"/>
  <c r="AK149" i="69"/>
  <c r="AJ153" i="69"/>
  <c r="AH157" i="69"/>
  <c r="AL161" i="69"/>
  <c r="AJ165" i="69"/>
  <c r="AN168" i="69"/>
  <c r="AO168" i="69" s="1"/>
  <c r="AI172" i="69"/>
  <c r="AM175" i="69"/>
  <c r="AH179" i="69"/>
  <c r="AK182" i="69"/>
  <c r="AN185" i="69"/>
  <c r="AO185" i="69" s="1"/>
  <c r="AJ189" i="69"/>
  <c r="AM192" i="69"/>
  <c r="AH196" i="69"/>
  <c r="AL199" i="69"/>
  <c r="AK210" i="69"/>
  <c r="AI215" i="69"/>
  <c r="AM220" i="69"/>
  <c r="AK225" i="69"/>
  <c r="AK231" i="69"/>
  <c r="AI242" i="69"/>
  <c r="AK247" i="69"/>
  <c r="AJ257" i="69"/>
  <c r="AH262" i="69"/>
  <c r="AK267" i="69"/>
  <c r="AJ272" i="69"/>
  <c r="AK281" i="69"/>
  <c r="AJ286" i="69"/>
  <c r="AJ291" i="69"/>
  <c r="AM295" i="69"/>
  <c r="AH305" i="69"/>
  <c r="AL314" i="69"/>
  <c r="AH324" i="69"/>
  <c r="AN208" i="69"/>
  <c r="AO208" i="69" s="1"/>
  <c r="AK9" i="69"/>
  <c r="AN13" i="69"/>
  <c r="AO13" i="69" s="1"/>
  <c r="AN18" i="69"/>
  <c r="AO18" i="69" s="1"/>
  <c r="AI28" i="69"/>
  <c r="AL32" i="69"/>
  <c r="AI37" i="69"/>
  <c r="AL46" i="69"/>
  <c r="AN50" i="69"/>
  <c r="AO50" i="69" s="1"/>
  <c r="AI60" i="69"/>
  <c r="AM64" i="69"/>
  <c r="AM69" i="69"/>
  <c r="AI74" i="69"/>
  <c r="AK78" i="69"/>
  <c r="AM83" i="69"/>
  <c r="AH88" i="69"/>
  <c r="AI93" i="69"/>
  <c r="AL97" i="69"/>
  <c r="AH102" i="69"/>
  <c r="AN106" i="69"/>
  <c r="AO106" i="69" s="1"/>
  <c r="AL111" i="69"/>
  <c r="AH121" i="69"/>
  <c r="AK125" i="69"/>
  <c r="AN129" i="69"/>
  <c r="AO129" i="69" s="1"/>
  <c r="AM134" i="69"/>
  <c r="AK139" i="69"/>
  <c r="AJ144" i="69"/>
  <c r="AM148" i="69"/>
  <c r="AI153" i="69"/>
  <c r="AI158" i="69"/>
  <c r="AK162" i="69"/>
  <c r="AI167" i="69"/>
  <c r="AI171" i="69"/>
  <c r="AH175" i="69"/>
  <c r="AH183" i="69"/>
  <c r="AN194" i="69"/>
  <c r="AO194" i="69" s="1"/>
  <c r="AN198" i="69"/>
  <c r="AO198" i="69" s="1"/>
  <c r="I17" i="69"/>
  <c r="I45" i="69"/>
  <c r="I73" i="69"/>
  <c r="I101" i="69"/>
  <c r="I129" i="69"/>
  <c r="I157" i="69"/>
  <c r="I185" i="69"/>
  <c r="I213" i="69"/>
  <c r="I241" i="69"/>
  <c r="I269" i="69"/>
  <c r="I297" i="69"/>
  <c r="I325" i="69"/>
  <c r="H32" i="69"/>
  <c r="H60" i="69"/>
  <c r="H88" i="69"/>
  <c r="H116" i="69"/>
  <c r="H144" i="69"/>
  <c r="H172" i="69"/>
  <c r="H200" i="69"/>
  <c r="H228" i="69"/>
  <c r="H256" i="69"/>
  <c r="H284" i="69"/>
  <c r="H312" i="69"/>
  <c r="G19" i="69"/>
  <c r="G47" i="69"/>
  <c r="G75" i="69"/>
  <c r="G103" i="69"/>
  <c r="G131" i="69"/>
  <c r="G159" i="69"/>
  <c r="G187" i="69"/>
  <c r="G215" i="69"/>
  <c r="G243" i="69"/>
  <c r="G271" i="69"/>
  <c r="G299" i="69"/>
  <c r="AM210" i="69"/>
  <c r="AJ215" i="69"/>
  <c r="AN220" i="69"/>
  <c r="AO220" i="69" s="1"/>
  <c r="AK226" i="69"/>
  <c r="AL231" i="69"/>
  <c r="AI237" i="69"/>
  <c r="AJ242" i="69"/>
  <c r="AL247" i="69"/>
  <c r="AL257" i="69"/>
  <c r="AI262" i="69"/>
  <c r="AL267" i="69"/>
  <c r="AK272" i="69"/>
  <c r="AH277" i="69"/>
  <c r="AL281" i="69"/>
  <c r="AL286" i="69"/>
  <c r="AK291" i="69"/>
  <c r="AN295" i="69"/>
  <c r="AO295" i="69" s="1"/>
  <c r="AH301" i="69"/>
  <c r="AI305" i="69"/>
  <c r="AH310" i="69"/>
  <c r="AN314" i="69"/>
  <c r="AO314" i="69" s="1"/>
  <c r="AI324" i="69"/>
  <c r="AL9" i="69"/>
  <c r="AH23" i="69"/>
  <c r="AJ28" i="69"/>
  <c r="AM32" i="69"/>
  <c r="AJ37" i="69"/>
  <c r="AI42" i="69"/>
  <c r="AM46" i="69"/>
  <c r="AJ60" i="69"/>
  <c r="AN64" i="69"/>
  <c r="AO64" i="69" s="1"/>
  <c r="AJ74" i="69"/>
  <c r="AL78" i="69"/>
  <c r="AN83" i="69"/>
  <c r="AO83" i="69" s="1"/>
  <c r="AI88" i="69"/>
  <c r="AJ93" i="69"/>
  <c r="AN97" i="69"/>
  <c r="AO97" i="69" s="1"/>
  <c r="AI102" i="69"/>
  <c r="AM111" i="69"/>
  <c r="AH116" i="69"/>
  <c r="AI121" i="69"/>
  <c r="AM125" i="69"/>
  <c r="AH130" i="69"/>
  <c r="AN134" i="69"/>
  <c r="AO134" i="69" s="1"/>
  <c r="AL139" i="69"/>
  <c r="AK144" i="69"/>
  <c r="AN148" i="69"/>
  <c r="AO148" i="69" s="1"/>
  <c r="AK153" i="69"/>
  <c r="AJ158" i="69"/>
  <c r="AL162" i="69"/>
  <c r="AJ167" i="69"/>
  <c r="AJ171" i="69"/>
  <c r="AI175" i="69"/>
  <c r="AI179" i="69"/>
  <c r="AI183" i="69"/>
  <c r="AH191" i="69"/>
  <c r="AH195" i="69"/>
  <c r="AH199" i="69"/>
  <c r="I18" i="69"/>
  <c r="I46" i="69"/>
  <c r="I74" i="69"/>
  <c r="I102" i="69"/>
  <c r="I130" i="69"/>
  <c r="I158" i="69"/>
  <c r="I186" i="69"/>
  <c r="I214" i="69"/>
  <c r="I242" i="69"/>
  <c r="I270" i="69"/>
  <c r="I298" i="69"/>
  <c r="H5" i="69"/>
  <c r="H33" i="69"/>
  <c r="H61" i="69"/>
  <c r="H89" i="69"/>
  <c r="H117" i="69"/>
  <c r="H145" i="69"/>
  <c r="H173" i="69"/>
  <c r="H201" i="69"/>
  <c r="H229" i="69"/>
  <c r="H257" i="69"/>
  <c r="H285" i="69"/>
  <c r="H313" i="69"/>
  <c r="G20" i="69"/>
  <c r="G48" i="69"/>
  <c r="G76" i="69"/>
  <c r="G104" i="69"/>
  <c r="G132" i="69"/>
  <c r="G160" i="69"/>
  <c r="G188" i="69"/>
  <c r="G216" i="69"/>
  <c r="G244" i="69"/>
  <c r="G272" i="69"/>
  <c r="G300" i="69"/>
  <c r="AN210" i="69"/>
  <c r="AO210" i="69" s="1"/>
  <c r="AK215" i="69"/>
  <c r="AL226" i="69"/>
  <c r="AM231" i="69"/>
  <c r="AJ237" i="69"/>
  <c r="AK242" i="69"/>
  <c r="AM247" i="69"/>
  <c r="AM252" i="69"/>
  <c r="AM257" i="69"/>
  <c r="AJ262" i="69"/>
  <c r="AM267" i="69"/>
  <c r="AI277" i="69"/>
  <c r="AM281" i="69"/>
  <c r="AM286" i="69"/>
  <c r="AL291" i="69"/>
  <c r="AJ296" i="69"/>
  <c r="AI301" i="69"/>
  <c r="AJ305" i="69"/>
  <c r="AJ310" i="69"/>
  <c r="AH315" i="69"/>
  <c r="AH320" i="69"/>
  <c r="AJ324" i="69"/>
  <c r="AH204" i="69"/>
  <c r="AM9" i="69"/>
  <c r="AH14" i="69"/>
  <c r="AI23" i="69"/>
  <c r="AK28" i="69"/>
  <c r="AN32" i="69"/>
  <c r="AO32" i="69" s="1"/>
  <c r="AK37" i="69"/>
  <c r="AJ42" i="69"/>
  <c r="AN46" i="69"/>
  <c r="AO46" i="69" s="1"/>
  <c r="AH56" i="69"/>
  <c r="AK60" i="69"/>
  <c r="AH65" i="69"/>
  <c r="AK74" i="69"/>
  <c r="AM78" i="69"/>
  <c r="AJ88" i="69"/>
  <c r="AK93" i="69"/>
  <c r="AJ102" i="69"/>
  <c r="AN111" i="69"/>
  <c r="AO111" i="69" s="1"/>
  <c r="AI116" i="69"/>
  <c r="AJ121" i="69"/>
  <c r="AN125" i="69"/>
  <c r="AO125" i="69" s="1"/>
  <c r="AI130" i="69"/>
  <c r="AM139" i="69"/>
  <c r="AL144" i="69"/>
  <c r="AH149" i="69"/>
  <c r="AL153" i="69"/>
  <c r="AK158" i="69"/>
  <c r="AM162" i="69"/>
  <c r="AK167" i="69"/>
  <c r="AK171" i="69"/>
  <c r="AJ175" i="69"/>
  <c r="AJ179" i="69"/>
  <c r="AJ183" i="69"/>
  <c r="AH187" i="69"/>
  <c r="AI191" i="69"/>
  <c r="AI195" i="69"/>
  <c r="AI199" i="69"/>
  <c r="I19" i="69"/>
  <c r="I47" i="69"/>
  <c r="I75" i="69"/>
  <c r="I103" i="69"/>
  <c r="I131" i="69"/>
  <c r="I159" i="69"/>
  <c r="I187" i="69"/>
  <c r="I215" i="69"/>
  <c r="I243" i="69"/>
  <c r="I271" i="69"/>
  <c r="I299" i="69"/>
  <c r="H6" i="69"/>
  <c r="H34" i="69"/>
  <c r="H62" i="69"/>
  <c r="H90" i="69"/>
  <c r="H118" i="69"/>
  <c r="H146" i="69"/>
  <c r="H174" i="69"/>
  <c r="H202" i="69"/>
  <c r="H230" i="69"/>
  <c r="H258" i="69"/>
  <c r="H286" i="69"/>
  <c r="H314" i="69"/>
  <c r="G21" i="69"/>
  <c r="G49" i="69"/>
  <c r="G77" i="69"/>
  <c r="G105" i="69"/>
  <c r="G133" i="69"/>
  <c r="G161" i="69"/>
  <c r="G189" i="69"/>
  <c r="G217" i="69"/>
  <c r="G245" i="69"/>
  <c r="G273" i="69"/>
  <c r="G301" i="69"/>
  <c r="AL215" i="69"/>
  <c r="AM226" i="69"/>
  <c r="AN231" i="69"/>
  <c r="AO231" i="69" s="1"/>
  <c r="AK237" i="69"/>
  <c r="AH243" i="69"/>
  <c r="AN247" i="69"/>
  <c r="AO247" i="69" s="1"/>
  <c r="AN252" i="69"/>
  <c r="AO252" i="69" s="1"/>
  <c r="AN257" i="69"/>
  <c r="AO257" i="69" s="1"/>
  <c r="AI263" i="69"/>
  <c r="AN267" i="69"/>
  <c r="AO267" i="69" s="1"/>
  <c r="AH273" i="69"/>
  <c r="AJ277" i="69"/>
  <c r="AN281" i="69"/>
  <c r="AO281" i="69" s="1"/>
  <c r="AN286" i="69"/>
  <c r="AO286" i="69" s="1"/>
  <c r="AM291" i="69"/>
  <c r="AK296" i="69"/>
  <c r="AJ301" i="69"/>
  <c r="AK305" i="69"/>
  <c r="AK310" i="69"/>
  <c r="AI315" i="69"/>
  <c r="AI320" i="69"/>
  <c r="AK324" i="69"/>
  <c r="AI204" i="69"/>
  <c r="AH5" i="69"/>
  <c r="AN9" i="69"/>
  <c r="AO9" i="69" s="1"/>
  <c r="AM14" i="69"/>
  <c r="AH19" i="69"/>
  <c r="AJ23" i="69"/>
  <c r="AL28" i="69"/>
  <c r="AL37" i="69"/>
  <c r="AK42" i="69"/>
  <c r="AH51" i="69"/>
  <c r="AI56" i="69"/>
  <c r="AL60" i="69"/>
  <c r="AI65" i="69"/>
  <c r="AH70" i="69"/>
  <c r="AL74" i="69"/>
  <c r="AI79" i="69"/>
  <c r="AH84" i="69"/>
  <c r="AK88" i="69"/>
  <c r="AL93" i="69"/>
  <c r="AK102" i="69"/>
  <c r="AH107" i="69"/>
  <c r="AJ116" i="69"/>
  <c r="AK121" i="69"/>
  <c r="AN130" i="69"/>
  <c r="AO130" i="69" s="1"/>
  <c r="AN139" i="69"/>
  <c r="AO139" i="69" s="1"/>
  <c r="AM144" i="69"/>
  <c r="AI149" i="69"/>
  <c r="AM153" i="69"/>
  <c r="AL158" i="69"/>
  <c r="AN162" i="69"/>
  <c r="AO162" i="69" s="1"/>
  <c r="AL167" i="69"/>
  <c r="AL171" i="69"/>
  <c r="AK175" i="69"/>
  <c r="AK179" i="69"/>
  <c r="AK183" i="69"/>
  <c r="AI187" i="69"/>
  <c r="AJ191" i="69"/>
  <c r="AJ195" i="69"/>
  <c r="AJ199" i="69"/>
  <c r="I20" i="69"/>
  <c r="I48" i="69"/>
  <c r="I76" i="69"/>
  <c r="I104" i="69"/>
  <c r="I132" i="69"/>
  <c r="I160" i="69"/>
  <c r="I188" i="69"/>
  <c r="I216" i="69"/>
  <c r="I244" i="69"/>
  <c r="I272" i="69"/>
  <c r="I300" i="69"/>
  <c r="H7" i="69"/>
  <c r="H35" i="69"/>
  <c r="H63" i="69"/>
  <c r="H91" i="69"/>
  <c r="H119" i="69"/>
  <c r="H147" i="69"/>
  <c r="H175" i="69"/>
  <c r="H203" i="69"/>
  <c r="H231" i="69"/>
  <c r="H259" i="69"/>
  <c r="H287" i="69"/>
  <c r="H315" i="69"/>
  <c r="G22" i="69"/>
  <c r="G50" i="69"/>
  <c r="G78" i="69"/>
  <c r="G106" i="69"/>
  <c r="G134" i="69"/>
  <c r="G162" i="69"/>
  <c r="G190" i="69"/>
  <c r="G218" i="69"/>
  <c r="G246" i="69"/>
  <c r="G274" i="69"/>
  <c r="G302" i="69"/>
  <c r="AM215" i="69"/>
  <c r="AH221" i="69"/>
  <c r="AH238" i="69"/>
  <c r="AJ243" i="69"/>
  <c r="AH253" i="69"/>
  <c r="AJ263" i="69"/>
  <c r="AI268" i="69"/>
  <c r="AI273" i="69"/>
  <c r="AK277" i="69"/>
  <c r="AI287" i="69"/>
  <c r="AN291" i="69"/>
  <c r="AO291" i="69" s="1"/>
  <c r="AH297" i="69"/>
  <c r="AK301" i="69"/>
  <c r="AH306" i="69"/>
  <c r="AL310" i="69"/>
  <c r="AJ315" i="69"/>
  <c r="AJ320" i="69"/>
  <c r="AH325" i="69"/>
  <c r="AN204" i="69"/>
  <c r="AO204" i="69" s="1"/>
  <c r="AI5" i="69"/>
  <c r="AN14" i="69"/>
  <c r="AO14" i="69" s="1"/>
  <c r="AI19" i="69"/>
  <c r="AN23" i="69"/>
  <c r="AO23" i="69" s="1"/>
  <c r="AM28" i="69"/>
  <c r="AM37" i="69"/>
  <c r="AL42" i="69"/>
  <c r="AH52" i="69"/>
  <c r="AJ56" i="69"/>
  <c r="AM60" i="69"/>
  <c r="AN65" i="69"/>
  <c r="AO65" i="69" s="1"/>
  <c r="AI70" i="69"/>
  <c r="AM74" i="69"/>
  <c r="AM79" i="69"/>
  <c r="AI84" i="69"/>
  <c r="AL88" i="69"/>
  <c r="AM93" i="69"/>
  <c r="AH98" i="69"/>
  <c r="AL102" i="69"/>
  <c r="AL107" i="69"/>
  <c r="AH112" i="69"/>
  <c r="AL121" i="69"/>
  <c r="AK135" i="69"/>
  <c r="AN144" i="69"/>
  <c r="AO144" i="69" s="1"/>
  <c r="AJ149" i="69"/>
  <c r="AN153" i="69"/>
  <c r="AO153" i="69" s="1"/>
  <c r="AM158" i="69"/>
  <c r="AI163" i="69"/>
  <c r="AM167" i="69"/>
  <c r="AM171" i="69"/>
  <c r="AL175" i="69"/>
  <c r="AL179" i="69"/>
  <c r="AL183" i="69"/>
  <c r="AM187" i="69"/>
  <c r="AK191" i="69"/>
  <c r="AK195" i="69"/>
  <c r="AK199" i="69"/>
  <c r="AH211" i="69"/>
  <c r="AM216" i="69"/>
  <c r="AJ221" i="69"/>
  <c r="AH232" i="69"/>
  <c r="AI238" i="69"/>
  <c r="AK243" i="69"/>
  <c r="AJ253" i="69"/>
  <c r="AK263" i="69"/>
  <c r="AJ268" i="69"/>
  <c r="AJ273" i="69"/>
  <c r="AL277" i="69"/>
  <c r="AH282" i="69"/>
  <c r="AJ287" i="69"/>
  <c r="AI297" i="69"/>
  <c r="AL301" i="69"/>
  <c r="AI306" i="69"/>
  <c r="AN310" i="69"/>
  <c r="AO310" i="69" s="1"/>
  <c r="AK315" i="69"/>
  <c r="AK320" i="69"/>
  <c r="AI325" i="69"/>
  <c r="AH205" i="69"/>
  <c r="AJ5" i="69"/>
  <c r="AI10" i="69"/>
  <c r="AH15" i="69"/>
  <c r="AJ19" i="69"/>
  <c r="AH24" i="69"/>
  <c r="AN28" i="69"/>
  <c r="AO28" i="69" s="1"/>
  <c r="AH33" i="69"/>
  <c r="AM42" i="69"/>
  <c r="AH47" i="69"/>
  <c r="AI52" i="69"/>
  <c r="AK56" i="69"/>
  <c r="AN60" i="69"/>
  <c r="AO60" i="69" s="1"/>
  <c r="AH66" i="69"/>
  <c r="AJ70" i="69"/>
  <c r="AN74" i="69"/>
  <c r="AO74" i="69" s="1"/>
  <c r="AN79" i="69"/>
  <c r="AO79" i="69" s="1"/>
  <c r="AJ84" i="69"/>
  <c r="AM88" i="69"/>
  <c r="AI98" i="69"/>
  <c r="AM102" i="69"/>
  <c r="AM107" i="69"/>
  <c r="AI112" i="69"/>
  <c r="AN121" i="69"/>
  <c r="AO121" i="69" s="1"/>
  <c r="AH126" i="69"/>
  <c r="AL135" i="69"/>
  <c r="AH140" i="69"/>
  <c r="AL149" i="69"/>
  <c r="AN158" i="69"/>
  <c r="AO158" i="69" s="1"/>
  <c r="AJ163" i="69"/>
  <c r="AN167" i="69"/>
  <c r="AO167" i="69" s="1"/>
  <c r="AN171" i="69"/>
  <c r="AO171" i="69" s="1"/>
  <c r="AN175" i="69"/>
  <c r="AO175" i="69" s="1"/>
  <c r="AM179" i="69"/>
  <c r="AM183" i="69"/>
  <c r="AN187" i="69"/>
  <c r="AO187" i="69" s="1"/>
  <c r="AL191" i="69"/>
  <c r="AL195" i="69"/>
  <c r="AM199" i="69"/>
  <c r="AI211" i="69"/>
  <c r="AN216" i="69"/>
  <c r="AO216" i="69" s="1"/>
  <c r="AK221" i="69"/>
  <c r="AH227" i="69"/>
  <c r="AI232" i="69"/>
  <c r="AJ238" i="69"/>
  <c r="AL243" i="69"/>
  <c r="AH248" i="69"/>
  <c r="AK253" i="69"/>
  <c r="AH258" i="69"/>
  <c r="AL263" i="69"/>
  <c r="AK268" i="69"/>
  <c r="AK273" i="69"/>
  <c r="AM277" i="69"/>
  <c r="AM282" i="69"/>
  <c r="AK287" i="69"/>
  <c r="AK297" i="69"/>
  <c r="AM301" i="69"/>
  <c r="AJ306" i="69"/>
  <c r="AL315" i="69"/>
  <c r="AL320" i="69"/>
  <c r="AJ325" i="69"/>
  <c r="AI205" i="69"/>
  <c r="AK5" i="69"/>
  <c r="AJ10" i="69"/>
  <c r="AI15" i="69"/>
  <c r="AK19" i="69"/>
  <c r="AI24" i="69"/>
  <c r="AI33" i="69"/>
  <c r="AH38" i="69"/>
  <c r="AN42" i="69"/>
  <c r="AO42" i="69" s="1"/>
  <c r="AI47" i="69"/>
  <c r="AJ52" i="69"/>
  <c r="AL56" i="69"/>
  <c r="AI66" i="69"/>
  <c r="AK70" i="69"/>
  <c r="AH80" i="69"/>
  <c r="AK84" i="69"/>
  <c r="AN88" i="69"/>
  <c r="AO88" i="69" s="1"/>
  <c r="AH94" i="69"/>
  <c r="AJ98" i="69"/>
  <c r="AN102" i="69"/>
  <c r="AO102" i="69" s="1"/>
  <c r="AN107" i="69"/>
  <c r="AO107" i="69" s="1"/>
  <c r="AJ112" i="69"/>
  <c r="AH117" i="69"/>
  <c r="AI126" i="69"/>
  <c r="AH131" i="69"/>
  <c r="AM135" i="69"/>
  <c r="AI140" i="69"/>
  <c r="AM149" i="69"/>
  <c r="AK163" i="69"/>
  <c r="AN179" i="69"/>
  <c r="AO179" i="69" s="1"/>
  <c r="AN183" i="69"/>
  <c r="AO183" i="69" s="1"/>
  <c r="AM191" i="69"/>
  <c r="AM195" i="69"/>
  <c r="AN199" i="69"/>
  <c r="AO199" i="69" s="1"/>
  <c r="AJ211" i="69"/>
  <c r="AL221" i="69"/>
  <c r="AI227" i="69"/>
  <c r="AJ232" i="69"/>
  <c r="AK238" i="69"/>
  <c r="AM243" i="69"/>
  <c r="AI248" i="69"/>
  <c r="AM253" i="69"/>
  <c r="AI258" i="69"/>
  <c r="AM263" i="69"/>
  <c r="AL268" i="69"/>
  <c r="AL273" i="69"/>
  <c r="AN277" i="69"/>
  <c r="AO277" i="69" s="1"/>
  <c r="AN282" i="69"/>
  <c r="AO282" i="69" s="1"/>
  <c r="AL287" i="69"/>
  <c r="AH292" i="69"/>
  <c r="AL297" i="69"/>
  <c r="AN301" i="69"/>
  <c r="AO301" i="69" s="1"/>
  <c r="AK306" i="69"/>
  <c r="AM315" i="69"/>
  <c r="AM320" i="69"/>
  <c r="AK325" i="69"/>
  <c r="AJ205" i="69"/>
  <c r="AL5" i="69"/>
  <c r="AK10" i="69"/>
  <c r="AJ15" i="69"/>
  <c r="AL19" i="69"/>
  <c r="AJ24" i="69"/>
  <c r="AJ33" i="69"/>
  <c r="AM38" i="69"/>
  <c r="AH43" i="69"/>
  <c r="AJ47" i="69"/>
  <c r="AK52" i="69"/>
  <c r="AM56" i="69"/>
  <c r="AJ66" i="69"/>
  <c r="AL70" i="69"/>
  <c r="AI80" i="69"/>
  <c r="AL84" i="69"/>
  <c r="AI94" i="69"/>
  <c r="AK98" i="69"/>
  <c r="AJ103" i="69"/>
  <c r="AH108" i="69"/>
  <c r="AK112" i="69"/>
  <c r="AI117" i="69"/>
  <c r="AH122" i="69"/>
  <c r="AJ126" i="69"/>
  <c r="AI131" i="69"/>
  <c r="AN135" i="69"/>
  <c r="AO135" i="69" s="1"/>
  <c r="AJ140" i="69"/>
  <c r="AH145" i="69"/>
  <c r="AN149" i="69"/>
  <c r="AO149" i="69" s="1"/>
  <c r="AL154" i="69"/>
  <c r="AL163" i="69"/>
  <c r="AH168" i="69"/>
  <c r="AH180" i="69"/>
  <c r="AN191" i="69"/>
  <c r="AO191" i="69" s="1"/>
  <c r="AN195" i="69"/>
  <c r="AO195" i="69" s="1"/>
  <c r="AK211" i="69"/>
  <c r="AM221" i="69"/>
  <c r="AJ227" i="69"/>
  <c r="AL233" i="69"/>
  <c r="AL238" i="69"/>
  <c r="AJ248" i="69"/>
  <c r="AN253" i="69"/>
  <c r="AO253" i="69" s="1"/>
  <c r="AJ258" i="69"/>
  <c r="AI264" i="69"/>
  <c r="AM268" i="69"/>
  <c r="AM273" i="69"/>
  <c r="AM287" i="69"/>
  <c r="AM297" i="69"/>
  <c r="AL306" i="69"/>
  <c r="AH311" i="69"/>
  <c r="AJ316" i="69"/>
  <c r="AH321" i="69"/>
  <c r="AL325" i="69"/>
  <c r="AK205" i="69"/>
  <c r="AM5" i="69"/>
  <c r="AL10" i="69"/>
  <c r="AK15" i="69"/>
  <c r="AH29" i="69"/>
  <c r="AK33" i="69"/>
  <c r="AN38" i="69"/>
  <c r="AO38" i="69" s="1"/>
  <c r="AI43" i="69"/>
  <c r="AN47" i="69"/>
  <c r="AO47" i="69" s="1"/>
  <c r="AL52" i="69"/>
  <c r="AN56" i="69"/>
  <c r="AO56" i="69" s="1"/>
  <c r="AH61" i="69"/>
  <c r="AK66" i="69"/>
  <c r="AM70" i="69"/>
  <c r="AJ80" i="69"/>
  <c r="AM84" i="69"/>
  <c r="AK89" i="69"/>
  <c r="AJ94" i="69"/>
  <c r="AL98" i="69"/>
  <c r="AN103" i="69"/>
  <c r="AO103" i="69" s="1"/>
  <c r="AI108" i="69"/>
  <c r="AL112" i="69"/>
  <c r="AJ117" i="69"/>
  <c r="AI122" i="69"/>
  <c r="AK126" i="69"/>
  <c r="AM131" i="69"/>
  <c r="AH136" i="69"/>
  <c r="AI145" i="69"/>
  <c r="AM154" i="69"/>
  <c r="AK159" i="69"/>
  <c r="AM163" i="69"/>
  <c r="AI168" i="69"/>
  <c r="AH172" i="69"/>
  <c r="AH176" i="69"/>
  <c r="AI180" i="69"/>
  <c r="AJ184" i="69"/>
  <c r="AH188" i="69"/>
  <c r="AH192" i="69"/>
  <c r="AL211" i="69"/>
  <c r="AJ217" i="69"/>
  <c r="AN221" i="69"/>
  <c r="AO221" i="69" s="1"/>
  <c r="AK227" i="69"/>
  <c r="AN233" i="69"/>
  <c r="AO233" i="69" s="1"/>
  <c r="AM238" i="69"/>
  <c r="AH244" i="69"/>
  <c r="AL248" i="69"/>
  <c r="AK258" i="69"/>
  <c r="AJ264" i="69"/>
  <c r="AN268" i="69"/>
  <c r="AO268" i="69" s="1"/>
  <c r="AI278" i="69"/>
  <c r="AN287" i="69"/>
  <c r="AO287" i="69" s="1"/>
  <c r="AH293" i="69"/>
  <c r="AN297" i="69"/>
  <c r="AO297" i="69" s="1"/>
  <c r="AN306" i="69"/>
  <c r="AO306" i="69" s="1"/>
  <c r="AI311" i="69"/>
  <c r="AK316" i="69"/>
  <c r="AI321" i="69"/>
  <c r="AM325" i="69"/>
  <c r="AL205" i="69"/>
  <c r="AH6" i="69"/>
  <c r="AM10" i="69"/>
  <c r="AL15" i="69"/>
  <c r="AH20" i="69"/>
  <c r="AI29" i="69"/>
  <c r="AM33" i="69"/>
  <c r="AJ43" i="69"/>
  <c r="AM52" i="69"/>
  <c r="AJ61" i="69"/>
  <c r="AL66" i="69"/>
  <c r="AN70" i="69"/>
  <c r="AO70" i="69" s="1"/>
  <c r="AK80" i="69"/>
  <c r="AN84" i="69"/>
  <c r="AO84" i="69" s="1"/>
  <c r="AM89" i="69"/>
  <c r="AK94" i="69"/>
  <c r="AM98" i="69"/>
  <c r="AJ108" i="69"/>
  <c r="AM112" i="69"/>
  <c r="AL117" i="69"/>
  <c r="AJ122" i="69"/>
  <c r="AL126" i="69"/>
  <c r="AN131" i="69"/>
  <c r="AO131" i="69" s="1"/>
  <c r="AI136" i="69"/>
  <c r="AK145" i="69"/>
  <c r="AH150" i="69"/>
  <c r="AN154" i="69"/>
  <c r="AO154" i="69" s="1"/>
  <c r="AL159" i="69"/>
  <c r="AN163" i="69"/>
  <c r="AO163" i="69" s="1"/>
  <c r="AJ168" i="69"/>
  <c r="AJ172" i="69"/>
  <c r="AI176" i="69"/>
  <c r="AJ180" i="69"/>
  <c r="AK184" i="69"/>
  <c r="AI188" i="69"/>
  <c r="AI192" i="69"/>
  <c r="AI196" i="69"/>
  <c r="AH200" i="69"/>
  <c r="AM211" i="69"/>
  <c r="AK217" i="69"/>
  <c r="AL227" i="69"/>
  <c r="AN238" i="69"/>
  <c r="AO238" i="69" s="1"/>
  <c r="AI244" i="69"/>
  <c r="AM248" i="69"/>
  <c r="AL258" i="69"/>
  <c r="AK264" i="69"/>
  <c r="AH269" i="69"/>
  <c r="AJ278" i="69"/>
  <c r="AH283" i="69"/>
  <c r="AI293" i="69"/>
  <c r="AH302" i="69"/>
  <c r="AJ311" i="69"/>
  <c r="AL316" i="69"/>
  <c r="AJ321" i="69"/>
  <c r="AN325" i="69"/>
  <c r="AO325" i="69" s="1"/>
  <c r="AM205" i="69"/>
  <c r="AI6" i="69"/>
  <c r="AN10" i="69"/>
  <c r="AO10" i="69" s="1"/>
  <c r="AM15" i="69"/>
  <c r="AI20" i="69"/>
  <c r="AH25" i="69"/>
  <c r="AJ29" i="69"/>
  <c r="AN33" i="69"/>
  <c r="AO33" i="69" s="1"/>
  <c r="AK43" i="69"/>
  <c r="AN52" i="69"/>
  <c r="AO52" i="69" s="1"/>
  <c r="AK61" i="69"/>
  <c r="AM66" i="69"/>
  <c r="AH71" i="69"/>
  <c r="AH76" i="69"/>
  <c r="AL80" i="69"/>
  <c r="AN89" i="69"/>
  <c r="AO89" i="69" s="1"/>
  <c r="AL94" i="69"/>
  <c r="AN98" i="69"/>
  <c r="AO98" i="69" s="1"/>
  <c r="AK108" i="69"/>
  <c r="AN112" i="69"/>
  <c r="AO112" i="69" s="1"/>
  <c r="AM117" i="69"/>
  <c r="AK122" i="69"/>
  <c r="AM126" i="69"/>
  <c r="AJ136" i="69"/>
  <c r="AH141" i="69"/>
  <c r="AL145" i="69"/>
  <c r="AI150" i="69"/>
  <c r="AH155" i="69"/>
  <c r="AM159" i="69"/>
  <c r="AH164" i="69"/>
  <c r="AK168" i="69"/>
  <c r="AK172" i="69"/>
  <c r="AJ176" i="69"/>
  <c r="AK180" i="69"/>
  <c r="AL184" i="69"/>
  <c r="AJ188" i="69"/>
  <c r="AJ192" i="69"/>
  <c r="AJ196" i="69"/>
  <c r="AI200" i="69"/>
  <c r="AK213" i="69"/>
  <c r="AH218" i="69"/>
  <c r="AN228" i="69"/>
  <c r="AO228" i="69" s="1"/>
  <c r="AM234" i="69"/>
  <c r="AH240" i="69"/>
  <c r="AH250" i="69"/>
  <c r="AL260" i="69"/>
  <c r="AH265" i="69"/>
  <c r="AJ270" i="69"/>
  <c r="AN274" i="69"/>
  <c r="AO274" i="69" s="1"/>
  <c r="AK279" i="69"/>
  <c r="AK284" i="69"/>
  <c r="AI294" i="69"/>
  <c r="AL298" i="69"/>
  <c r="AJ303" i="69"/>
  <c r="AM307" i="69"/>
  <c r="AH313" i="69"/>
  <c r="AM317" i="69"/>
  <c r="AI322" i="69"/>
  <c r="AH202" i="69"/>
  <c r="AK206" i="69"/>
  <c r="AH7" i="69"/>
  <c r="AK12" i="69"/>
  <c r="AM16" i="69"/>
  <c r="AL21" i="69"/>
  <c r="AN25" i="69"/>
  <c r="AO25" i="69" s="1"/>
  <c r="AI30" i="69"/>
  <c r="AJ35" i="69"/>
  <c r="AI40" i="69"/>
  <c r="AK44" i="69"/>
  <c r="AJ49" i="69"/>
  <c r="AK53" i="69"/>
  <c r="AN57" i="69"/>
  <c r="AO57" i="69" s="1"/>
  <c r="AN62" i="69"/>
  <c r="AO62" i="69" s="1"/>
  <c r="AM67" i="69"/>
  <c r="AL72" i="69"/>
  <c r="AN76" i="69"/>
  <c r="AO76" i="69" s="1"/>
  <c r="AI81" i="69"/>
  <c r="AI86" i="69"/>
  <c r="AM90" i="69"/>
  <c r="AL95" i="69"/>
  <c r="AK100" i="69"/>
  <c r="AM104" i="69"/>
  <c r="AH109" i="69"/>
  <c r="AH114" i="69"/>
  <c r="AL118" i="69"/>
  <c r="AH124" i="69"/>
  <c r="AJ128" i="69"/>
  <c r="AL132" i="69"/>
  <c r="AK137" i="69"/>
  <c r="AK146" i="69"/>
  <c r="AM151" i="69"/>
  <c r="AH156" i="69"/>
  <c r="AJ160" i="69"/>
  <c r="AI165" i="69"/>
  <c r="AI169" i="69"/>
  <c r="AH173" i="69"/>
  <c r="AL177" i="69"/>
  <c r="AK181" i="69"/>
  <c r="AI185" i="69"/>
  <c r="AI189" i="69"/>
  <c r="AH193" i="69"/>
  <c r="I5" i="69"/>
  <c r="I33" i="69"/>
  <c r="I61" i="69"/>
  <c r="I89" i="69"/>
  <c r="I117" i="69"/>
  <c r="I145" i="69"/>
  <c r="I173" i="69"/>
  <c r="I201" i="69"/>
  <c r="I229" i="69"/>
  <c r="I257" i="69"/>
  <c r="I285" i="69"/>
  <c r="I313" i="69"/>
  <c r="H20" i="69"/>
  <c r="H48" i="69"/>
  <c r="H76" i="69"/>
  <c r="H104" i="69"/>
  <c r="H132" i="69"/>
  <c r="H160" i="69"/>
  <c r="H188" i="69"/>
  <c r="H216" i="69"/>
  <c r="H244" i="69"/>
  <c r="H272" i="69"/>
  <c r="H300" i="69"/>
  <c r="G7" i="69"/>
  <c r="G35" i="69"/>
  <c r="G63" i="69"/>
  <c r="G91" i="69"/>
  <c r="G119" i="69"/>
  <c r="G147" i="69"/>
  <c r="G175" i="69"/>
  <c r="G203" i="69"/>
  <c r="G231" i="69"/>
  <c r="G259" i="69"/>
  <c r="G287" i="69"/>
  <c r="G315" i="69"/>
  <c r="AN211" i="69"/>
  <c r="AO211" i="69" s="1"/>
  <c r="AH220" i="69"/>
  <c r="AH230" i="69"/>
  <c r="AN248" i="69"/>
  <c r="AO248" i="69" s="1"/>
  <c r="AM256" i="69"/>
  <c r="AL265" i="69"/>
  <c r="AM274" i="69"/>
  <c r="AI283" i="69"/>
  <c r="AL290" i="69"/>
  <c r="AH299" i="69"/>
  <c r="AL307" i="69"/>
  <c r="AM316" i="69"/>
  <c r="AM323" i="69"/>
  <c r="AN11" i="69"/>
  <c r="AO11" i="69" s="1"/>
  <c r="AJ20" i="69"/>
  <c r="AN26" i="69"/>
  <c r="AO26" i="69" s="1"/>
  <c r="AH36" i="69"/>
  <c r="AJ44" i="69"/>
  <c r="AN59" i="69"/>
  <c r="AO59" i="69" s="1"/>
  <c r="AJ68" i="69"/>
  <c r="AM76" i="69"/>
  <c r="AH92" i="69"/>
  <c r="AN117" i="69"/>
  <c r="AO117" i="69" s="1"/>
  <c r="AI133" i="69"/>
  <c r="AN141" i="69"/>
  <c r="AO141" i="69" s="1"/>
  <c r="AJ150" i="69"/>
  <c r="AN165" i="69"/>
  <c r="AO165" i="69" s="1"/>
  <c r="AL180" i="69"/>
  <c r="AK186" i="69"/>
  <c r="AL193" i="69"/>
  <c r="AN200" i="69"/>
  <c r="AO200" i="69" s="1"/>
  <c r="I25" i="69"/>
  <c r="I58" i="69"/>
  <c r="I92" i="69"/>
  <c r="I125" i="69"/>
  <c r="I162" i="69"/>
  <c r="I195" i="69"/>
  <c r="I228" i="69"/>
  <c r="I262" i="69"/>
  <c r="I295" i="69"/>
  <c r="H11" i="69"/>
  <c r="H44" i="69"/>
  <c r="H78" i="69"/>
  <c r="H111" i="69"/>
  <c r="H148" i="69"/>
  <c r="H181" i="69"/>
  <c r="H214" i="69"/>
  <c r="H248" i="69"/>
  <c r="H281" i="69"/>
  <c r="H318" i="69"/>
  <c r="G30" i="69"/>
  <c r="G64" i="69"/>
  <c r="G97" i="69"/>
  <c r="G130" i="69"/>
  <c r="G167" i="69"/>
  <c r="G200" i="69"/>
  <c r="G234" i="69"/>
  <c r="G267" i="69"/>
  <c r="G304" i="69"/>
  <c r="AJ220" i="69"/>
  <c r="AJ230" i="69"/>
  <c r="AJ240" i="69"/>
  <c r="AK249" i="69"/>
  <c r="AN256" i="69"/>
  <c r="AO256" i="69" s="1"/>
  <c r="AL266" i="69"/>
  <c r="AJ283" i="69"/>
  <c r="AN290" i="69"/>
  <c r="AO290" i="69" s="1"/>
  <c r="AM299" i="69"/>
  <c r="AN307" i="69"/>
  <c r="AO307" i="69" s="1"/>
  <c r="AI317" i="69"/>
  <c r="AN323" i="69"/>
  <c r="AO323" i="69" s="1"/>
  <c r="AL12" i="69"/>
  <c r="AK20" i="69"/>
  <c r="AH27" i="69"/>
  <c r="AI36" i="69"/>
  <c r="AL44" i="69"/>
  <c r="AK68" i="69"/>
  <c r="AH77" i="69"/>
  <c r="AH85" i="69"/>
  <c r="AI92" i="69"/>
  <c r="AJ109" i="69"/>
  <c r="AH118" i="69"/>
  <c r="AH125" i="69"/>
  <c r="AK133" i="69"/>
  <c r="AH142" i="69"/>
  <c r="AK150" i="69"/>
  <c r="AI157" i="69"/>
  <c r="AI173" i="69"/>
  <c r="AL186" i="69"/>
  <c r="AM193" i="69"/>
  <c r="I26" i="69"/>
  <c r="I59" i="69"/>
  <c r="I93" i="69"/>
  <c r="I126" i="69"/>
  <c r="I163" i="69"/>
  <c r="I196" i="69"/>
  <c r="I230" i="69"/>
  <c r="I263" i="69"/>
  <c r="I296" i="69"/>
  <c r="H12" i="69"/>
  <c r="H45" i="69"/>
  <c r="H79" i="69"/>
  <c r="H112" i="69"/>
  <c r="H149" i="69"/>
  <c r="H182" i="69"/>
  <c r="H215" i="69"/>
  <c r="H249" i="69"/>
  <c r="H282" i="69"/>
  <c r="H319" i="69"/>
  <c r="G31" i="69"/>
  <c r="G65" i="69"/>
  <c r="G98" i="69"/>
  <c r="G135" i="69"/>
  <c r="G168" i="69"/>
  <c r="G201" i="69"/>
  <c r="G235" i="69"/>
  <c r="G268" i="69"/>
  <c r="G305" i="69"/>
  <c r="AH212" i="69"/>
  <c r="AK220" i="69"/>
  <c r="AK230" i="69"/>
  <c r="AL240" i="69"/>
  <c r="AM249" i="69"/>
  <c r="AH257" i="69"/>
  <c r="AM266" i="69"/>
  <c r="AL283" i="69"/>
  <c r="AH291" i="69"/>
  <c r="AN299" i="69"/>
  <c r="AO299" i="69" s="1"/>
  <c r="AJ317" i="69"/>
  <c r="AH207" i="69"/>
  <c r="AM12" i="69"/>
  <c r="AL20" i="69"/>
  <c r="AI27" i="69"/>
  <c r="AJ36" i="69"/>
  <c r="AM44" i="69"/>
  <c r="AH53" i="69"/>
  <c r="AL68" i="69"/>
  <c r="AI77" i="69"/>
  <c r="AJ85" i="69"/>
  <c r="AJ92" i="69"/>
  <c r="AH101" i="69"/>
  <c r="AK109" i="69"/>
  <c r="AI118" i="69"/>
  <c r="AI125" i="69"/>
  <c r="AL133" i="69"/>
  <c r="AI142" i="69"/>
  <c r="AL150" i="69"/>
  <c r="AJ157" i="69"/>
  <c r="AJ173" i="69"/>
  <c r="AH181" i="69"/>
  <c r="AM186" i="69"/>
  <c r="AN193" i="69"/>
  <c r="AO193" i="69" s="1"/>
  <c r="I27" i="69"/>
  <c r="I60" i="69"/>
  <c r="I94" i="69"/>
  <c r="I127" i="69"/>
  <c r="I164" i="69"/>
  <c r="I197" i="69"/>
  <c r="I231" i="69"/>
  <c r="I264" i="69"/>
  <c r="I301" i="69"/>
  <c r="H13" i="69"/>
  <c r="H46" i="69"/>
  <c r="H80" i="69"/>
  <c r="H113" i="69"/>
  <c r="H150" i="69"/>
  <c r="H183" i="69"/>
  <c r="H217" i="69"/>
  <c r="H250" i="69"/>
  <c r="H283" i="69"/>
  <c r="H320" i="69"/>
  <c r="G32" i="69"/>
  <c r="G66" i="69"/>
  <c r="G99" i="69"/>
  <c r="G136" i="69"/>
  <c r="G169" i="69"/>
  <c r="G202" i="69"/>
  <c r="G236" i="69"/>
  <c r="G269" i="69"/>
  <c r="G306" i="69"/>
  <c r="AI212" i="69"/>
  <c r="AL220" i="69"/>
  <c r="AL230" i="69"/>
  <c r="AM240" i="69"/>
  <c r="AN249" i="69"/>
  <c r="AO249" i="69" s="1"/>
  <c r="AI257" i="69"/>
  <c r="AN266" i="69"/>
  <c r="AO266" i="69" s="1"/>
  <c r="AH275" i="69"/>
  <c r="AM283" i="69"/>
  <c r="AI291" i="69"/>
  <c r="AK317" i="69"/>
  <c r="AI207" i="69"/>
  <c r="AN12" i="69"/>
  <c r="AO12" i="69" s="1"/>
  <c r="AM20" i="69"/>
  <c r="AJ27" i="69"/>
  <c r="AK36" i="69"/>
  <c r="AN44" i="69"/>
  <c r="AO44" i="69" s="1"/>
  <c r="AI53" i="69"/>
  <c r="AH60" i="69"/>
  <c r="AM68" i="69"/>
  <c r="AJ77" i="69"/>
  <c r="AK85" i="69"/>
  <c r="AK92" i="69"/>
  <c r="AI101" i="69"/>
  <c r="AJ118" i="69"/>
  <c r="AJ125" i="69"/>
  <c r="AH134" i="69"/>
  <c r="AJ142" i="69"/>
  <c r="AM150" i="69"/>
  <c r="AH158" i="69"/>
  <c r="AH166" i="69"/>
  <c r="AK173" i="69"/>
  <c r="AI181" i="69"/>
  <c r="AN186" i="69"/>
  <c r="AO186" i="69" s="1"/>
  <c r="I28" i="69"/>
  <c r="I62" i="69"/>
  <c r="I95" i="69"/>
  <c r="I128" i="69"/>
  <c r="I165" i="69"/>
  <c r="I198" i="69"/>
  <c r="I232" i="69"/>
  <c r="I265" i="69"/>
  <c r="I302" i="69"/>
  <c r="H47" i="69"/>
  <c r="H151" i="69"/>
  <c r="H184" i="69"/>
  <c r="H218" i="69"/>
  <c r="AJ212" i="69"/>
  <c r="AH222" i="69"/>
  <c r="AM230" i="69"/>
  <c r="AN240" i="69"/>
  <c r="AO240" i="69" s="1"/>
  <c r="AM258" i="69"/>
  <c r="AI275" i="69"/>
  <c r="AN283" i="69"/>
  <c r="AO283" i="69" s="1"/>
  <c r="AJ293" i="69"/>
  <c r="AH300" i="69"/>
  <c r="AK308" i="69"/>
  <c r="AL317" i="69"/>
  <c r="AJ208" i="69"/>
  <c r="AN20" i="69"/>
  <c r="AO20" i="69" s="1"/>
  <c r="AK29" i="69"/>
  <c r="AL36" i="69"/>
  <c r="AJ45" i="69"/>
  <c r="AJ53" i="69"/>
  <c r="AI62" i="69"/>
  <c r="AI69" i="69"/>
  <c r="AK77" i="69"/>
  <c r="AH86" i="69"/>
  <c r="AM94" i="69"/>
  <c r="AJ101" i="69"/>
  <c r="AH110" i="69"/>
  <c r="AK118" i="69"/>
  <c r="AK127" i="69"/>
  <c r="AI134" i="69"/>
  <c r="AK142" i="69"/>
  <c r="AI151" i="69"/>
  <c r="AN159" i="69"/>
  <c r="AO159" i="69" s="1"/>
  <c r="AI166" i="69"/>
  <c r="AH174" i="69"/>
  <c r="AJ181" i="69"/>
  <c r="AK188" i="69"/>
  <c r="AJ194" i="69"/>
  <c r="I29" i="69"/>
  <c r="I63" i="69"/>
  <c r="I96" i="69"/>
  <c r="I133" i="69"/>
  <c r="I166" i="69"/>
  <c r="I199" i="69"/>
  <c r="I233" i="69"/>
  <c r="I266" i="69"/>
  <c r="I303" i="69"/>
  <c r="H15" i="69"/>
  <c r="AL213" i="69"/>
  <c r="AH231" i="69"/>
  <c r="AH241" i="69"/>
  <c r="AJ250" i="69"/>
  <c r="AJ275" i="69"/>
  <c r="AL284" i="69"/>
  <c r="AK293" i="69"/>
  <c r="AI300" i="69"/>
  <c r="AL308" i="69"/>
  <c r="AN317" i="69"/>
  <c r="AO317" i="69" s="1"/>
  <c r="AK201" i="69"/>
  <c r="AK208" i="69"/>
  <c r="AM21" i="69"/>
  <c r="AL29" i="69"/>
  <c r="AM36" i="69"/>
  <c r="AK45" i="69"/>
  <c r="AM53" i="69"/>
  <c r="AJ62" i="69"/>
  <c r="AJ69" i="69"/>
  <c r="AM77" i="69"/>
  <c r="AJ86" i="69"/>
  <c r="AN94" i="69"/>
  <c r="AO94" i="69" s="1"/>
  <c r="AL101" i="69"/>
  <c r="AI110" i="69"/>
  <c r="AM118" i="69"/>
  <c r="AJ134" i="69"/>
  <c r="AL142" i="69"/>
  <c r="AN151" i="69"/>
  <c r="AO151" i="69" s="1"/>
  <c r="AJ166" i="69"/>
  <c r="AI174" i="69"/>
  <c r="AL181" i="69"/>
  <c r="AL188" i="69"/>
  <c r="AK194" i="69"/>
  <c r="I30" i="69"/>
  <c r="I64" i="69"/>
  <c r="I97" i="69"/>
  <c r="I134" i="69"/>
  <c r="I167" i="69"/>
  <c r="I200" i="69"/>
  <c r="I234" i="69"/>
  <c r="I267" i="69"/>
  <c r="I304" i="69"/>
  <c r="AM213" i="69"/>
  <c r="AH223" i="69"/>
  <c r="AI231" i="69"/>
  <c r="AI241" i="69"/>
  <c r="AK250" i="69"/>
  <c r="AH260" i="69"/>
  <c r="AH267" i="69"/>
  <c r="AK275" i="69"/>
  <c r="AM284" i="69"/>
  <c r="AL293" i="69"/>
  <c r="AJ300" i="69"/>
  <c r="AM308" i="69"/>
  <c r="AL201" i="69"/>
  <c r="AL208" i="69"/>
  <c r="AH13" i="69"/>
  <c r="AN21" i="69"/>
  <c r="AO21" i="69" s="1"/>
  <c r="AN29" i="69"/>
  <c r="AO29" i="69" s="1"/>
  <c r="AN36" i="69"/>
  <c r="AO36" i="69" s="1"/>
  <c r="AL45" i="69"/>
  <c r="AN53" i="69"/>
  <c r="AO53" i="69" s="1"/>
  <c r="AK62" i="69"/>
  <c r="AK69" i="69"/>
  <c r="AN77" i="69"/>
  <c r="AO77" i="69" s="1"/>
  <c r="AK86" i="69"/>
  <c r="AM101" i="69"/>
  <c r="AJ110" i="69"/>
  <c r="AN118" i="69"/>
  <c r="AO118" i="69" s="1"/>
  <c r="AK134" i="69"/>
  <c r="AM142" i="69"/>
  <c r="AH152" i="69"/>
  <c r="AK166" i="69"/>
  <c r="AJ174" i="69"/>
  <c r="AM181" i="69"/>
  <c r="AM188" i="69"/>
  <c r="AL194" i="69"/>
  <c r="I31" i="69"/>
  <c r="I65" i="69"/>
  <c r="I98" i="69"/>
  <c r="I135" i="69"/>
  <c r="I168" i="69"/>
  <c r="I202" i="69"/>
  <c r="I235" i="69"/>
  <c r="I268" i="69"/>
  <c r="I305" i="69"/>
  <c r="AN213" i="69"/>
  <c r="AO213" i="69" s="1"/>
  <c r="AI223" i="69"/>
  <c r="AJ231" i="69"/>
  <c r="AJ241" i="69"/>
  <c r="AL250" i="69"/>
  <c r="AI260" i="69"/>
  <c r="AJ267" i="69"/>
  <c r="AL275" i="69"/>
  <c r="AN284" i="69"/>
  <c r="AO284" i="69" s="1"/>
  <c r="AM293" i="69"/>
  <c r="AK300" i="69"/>
  <c r="AK309" i="69"/>
  <c r="AH318" i="69"/>
  <c r="AM201" i="69"/>
  <c r="AM208" i="69"/>
  <c r="AI13" i="69"/>
  <c r="AH37" i="69"/>
  <c r="AM45" i="69"/>
  <c r="AL62" i="69"/>
  <c r="AL69" i="69"/>
  <c r="AL86" i="69"/>
  <c r="AN101" i="69"/>
  <c r="AO101" i="69" s="1"/>
  <c r="AK110" i="69"/>
  <c r="AH119" i="69"/>
  <c r="AH128" i="69"/>
  <c r="AL134" i="69"/>
  <c r="AN142" i="69"/>
  <c r="AO142" i="69" s="1"/>
  <c r="AI152" i="69"/>
  <c r="AH160" i="69"/>
  <c r="AL166" i="69"/>
  <c r="AK174" i="69"/>
  <c r="AN181" i="69"/>
  <c r="AO181" i="69" s="1"/>
  <c r="AN188" i="69"/>
  <c r="AO188" i="69" s="1"/>
  <c r="AM194" i="69"/>
  <c r="I32" i="69"/>
  <c r="I66" i="69"/>
  <c r="I99" i="69"/>
  <c r="I136" i="69"/>
  <c r="I169" i="69"/>
  <c r="I203" i="69"/>
  <c r="I236" i="69"/>
  <c r="I273" i="69"/>
  <c r="I306" i="69"/>
  <c r="H18" i="69"/>
  <c r="AJ223" i="69"/>
  <c r="AH234" i="69"/>
  <c r="AK241" i="69"/>
  <c r="AJ260" i="69"/>
  <c r="AI269" i="69"/>
  <c r="AK276" i="69"/>
  <c r="AH294" i="69"/>
  <c r="AI302" i="69"/>
  <c r="AL309" i="69"/>
  <c r="AI318" i="69"/>
  <c r="AN201" i="69"/>
  <c r="AO201" i="69" s="1"/>
  <c r="AJ6" i="69"/>
  <c r="AJ13" i="69"/>
  <c r="AH30" i="69"/>
  <c r="AH39" i="69"/>
  <c r="AN45" i="69"/>
  <c r="AO45" i="69" s="1"/>
  <c r="AM62" i="69"/>
  <c r="AI71" i="69"/>
  <c r="AM86" i="69"/>
  <c r="AH95" i="69"/>
  <c r="AH104" i="69"/>
  <c r="AL110" i="69"/>
  <c r="AL119" i="69"/>
  <c r="AI128" i="69"/>
  <c r="AK136" i="69"/>
  <c r="AK143" i="69"/>
  <c r="AJ152" i="69"/>
  <c r="AI160" i="69"/>
  <c r="AL168" i="69"/>
  <c r="AL174" i="69"/>
  <c r="AH189" i="69"/>
  <c r="AK196" i="69"/>
  <c r="I34" i="69"/>
  <c r="I67" i="69"/>
  <c r="I100" i="69"/>
  <c r="I137" i="69"/>
  <c r="I170" i="69"/>
  <c r="I204" i="69"/>
  <c r="I237" i="69"/>
  <c r="I274" i="69"/>
  <c r="I307" i="69"/>
  <c r="H19" i="69"/>
  <c r="H53" i="69"/>
  <c r="H86" i="69"/>
  <c r="AH214" i="69"/>
  <c r="AI234" i="69"/>
  <c r="AL241" i="69"/>
  <c r="AH251" i="69"/>
  <c r="AM260" i="69"/>
  <c r="AL276" i="69"/>
  <c r="AH285" i="69"/>
  <c r="AJ294" i="69"/>
  <c r="AJ302" i="69"/>
  <c r="AM309" i="69"/>
  <c r="AJ318" i="69"/>
  <c r="AJ202" i="69"/>
  <c r="AK6" i="69"/>
  <c r="AK13" i="69"/>
  <c r="AI22" i="69"/>
  <c r="AJ30" i="69"/>
  <c r="AI39" i="69"/>
  <c r="AI46" i="69"/>
  <c r="AH54" i="69"/>
  <c r="AH63" i="69"/>
  <c r="AM71" i="69"/>
  <c r="AH78" i="69"/>
  <c r="AN86" i="69"/>
  <c r="AO86" i="69" s="1"/>
  <c r="AM95" i="69"/>
  <c r="AI104" i="69"/>
  <c r="AM110" i="69"/>
  <c r="AM119" i="69"/>
  <c r="AK128" i="69"/>
  <c r="AL136" i="69"/>
  <c r="AL143" i="69"/>
  <c r="AK152" i="69"/>
  <c r="AK160" i="69"/>
  <c r="AM168" i="69"/>
  <c r="AM174" i="69"/>
  <c r="AK189" i="69"/>
  <c r="AL196" i="69"/>
  <c r="I35" i="69"/>
  <c r="I68" i="69"/>
  <c r="I105" i="69"/>
  <c r="I138" i="69"/>
  <c r="I171" i="69"/>
  <c r="I205" i="69"/>
  <c r="I238" i="69"/>
  <c r="I275" i="69"/>
  <c r="I308" i="69"/>
  <c r="H21" i="69"/>
  <c r="H54" i="69"/>
  <c r="H87" i="69"/>
  <c r="AI214" i="69"/>
  <c r="AH224" i="69"/>
  <c r="AJ234" i="69"/>
  <c r="AM241" i="69"/>
  <c r="AI251" i="69"/>
  <c r="AN260" i="69"/>
  <c r="AO260" i="69" s="1"/>
  <c r="AM276" i="69"/>
  <c r="AI285" i="69"/>
  <c r="AK294" i="69"/>
  <c r="AN309" i="69"/>
  <c r="AO309" i="69" s="1"/>
  <c r="AK318" i="69"/>
  <c r="AK202" i="69"/>
  <c r="AL6" i="69"/>
  <c r="AL13" i="69"/>
  <c r="AJ22" i="69"/>
  <c r="AK30" i="69"/>
  <c r="AJ39" i="69"/>
  <c r="AJ46" i="69"/>
  <c r="AI54" i="69"/>
  <c r="AI63" i="69"/>
  <c r="AN71" i="69"/>
  <c r="AO71" i="69" s="1"/>
  <c r="AI78" i="69"/>
  <c r="AH87" i="69"/>
  <c r="AN95" i="69"/>
  <c r="AO95" i="69" s="1"/>
  <c r="AJ104" i="69"/>
  <c r="AN110" i="69"/>
  <c r="AO110" i="69" s="1"/>
  <c r="AN119" i="69"/>
  <c r="AO119" i="69" s="1"/>
  <c r="AL128" i="69"/>
  <c r="AM136" i="69"/>
  <c r="AM143" i="69"/>
  <c r="AL152" i="69"/>
  <c r="AL160" i="69"/>
  <c r="AN174" i="69"/>
  <c r="AO174" i="69" s="1"/>
  <c r="AH182" i="69"/>
  <c r="AL189" i="69"/>
  <c r="AM196" i="69"/>
  <c r="I36" i="69"/>
  <c r="I69" i="69"/>
  <c r="I106" i="69"/>
  <c r="I139" i="69"/>
  <c r="I172" i="69"/>
  <c r="I206" i="69"/>
  <c r="I239" i="69"/>
  <c r="I276" i="69"/>
  <c r="I309" i="69"/>
  <c r="H22" i="69"/>
  <c r="H55" i="69"/>
  <c r="H92" i="69"/>
  <c r="H125" i="69"/>
  <c r="AL217" i="69"/>
  <c r="AN224" i="69"/>
  <c r="AO224" i="69" s="1"/>
  <c r="AJ235" i="69"/>
  <c r="AH254" i="69"/>
  <c r="AK261" i="69"/>
  <c r="AJ279" i="69"/>
  <c r="AH288" i="69"/>
  <c r="AI295" i="69"/>
  <c r="AH312" i="69"/>
  <c r="AK321" i="69"/>
  <c r="AH203" i="69"/>
  <c r="AJ8" i="69"/>
  <c r="AL16" i="69"/>
  <c r="AI25" i="69"/>
  <c r="AH32" i="69"/>
  <c r="AM40" i="69"/>
  <c r="AI49" i="69"/>
  <c r="AH57" i="69"/>
  <c r="AI64" i="69"/>
  <c r="AH81" i="69"/>
  <c r="AH90" i="69"/>
  <c r="AH97" i="69"/>
  <c r="AJ105" i="69"/>
  <c r="AL122" i="69"/>
  <c r="AI129" i="69"/>
  <c r="AJ146" i="69"/>
  <c r="AI155" i="69"/>
  <c r="AM169" i="69"/>
  <c r="AH177" i="69"/>
  <c r="AM184" i="69"/>
  <c r="AI190" i="69"/>
  <c r="AN197" i="69"/>
  <c r="AO197" i="69" s="1"/>
  <c r="I9" i="69"/>
  <c r="I42" i="69"/>
  <c r="I79" i="69"/>
  <c r="I112" i="69"/>
  <c r="I146" i="69"/>
  <c r="I179" i="69"/>
  <c r="I212" i="69"/>
  <c r="I249" i="69"/>
  <c r="I282" i="69"/>
  <c r="I316" i="69"/>
  <c r="H28" i="69"/>
  <c r="H65" i="69"/>
  <c r="H98" i="69"/>
  <c r="H131" i="69"/>
  <c r="H165" i="69"/>
  <c r="H198" i="69"/>
  <c r="H235" i="69"/>
  <c r="H268" i="69"/>
  <c r="H302" i="69"/>
  <c r="G14" i="69"/>
  <c r="G51" i="69"/>
  <c r="G84" i="69"/>
  <c r="G117" i="69"/>
  <c r="G151" i="69"/>
  <c r="G184" i="69"/>
  <c r="G221" i="69"/>
  <c r="G254" i="69"/>
  <c r="G288" i="69"/>
  <c r="G321" i="69"/>
  <c r="AJ214" i="69"/>
  <c r="AM228" i="69"/>
  <c r="AK245" i="69"/>
  <c r="AJ261" i="69"/>
  <c r="AN276" i="69"/>
  <c r="AO276" i="69" s="1"/>
  <c r="AM304" i="69"/>
  <c r="AN319" i="69"/>
  <c r="AO319" i="69" s="1"/>
  <c r="AM6" i="69"/>
  <c r="AI18" i="69"/>
  <c r="AH34" i="69"/>
  <c r="AH49" i="69"/>
  <c r="AJ63" i="69"/>
  <c r="AI76" i="69"/>
  <c r="AL90" i="69"/>
  <c r="AI105" i="69"/>
  <c r="AK132" i="69"/>
  <c r="AN147" i="69"/>
  <c r="AO147" i="69" s="1"/>
  <c r="AM185" i="69"/>
  <c r="AJ198" i="69"/>
  <c r="I22" i="69"/>
  <c r="I84" i="69"/>
  <c r="I147" i="69"/>
  <c r="I208" i="69"/>
  <c r="I259" i="69"/>
  <c r="I321" i="69"/>
  <c r="H51" i="69"/>
  <c r="H99" i="69"/>
  <c r="H138" i="69"/>
  <c r="H180" i="69"/>
  <c r="H223" i="69"/>
  <c r="H264" i="69"/>
  <c r="H303" i="69"/>
  <c r="G23" i="69"/>
  <c r="G60" i="69"/>
  <c r="G101" i="69"/>
  <c r="G142" i="69"/>
  <c r="G180" i="69"/>
  <c r="G222" i="69"/>
  <c r="G260" i="69"/>
  <c r="G297" i="69"/>
  <c r="AM18" i="69"/>
  <c r="AM49" i="69"/>
  <c r="AI91" i="69"/>
  <c r="AH133" i="69"/>
  <c r="AJ162" i="69"/>
  <c r="AM198" i="69"/>
  <c r="I87" i="69"/>
  <c r="I277" i="69"/>
  <c r="H102" i="69"/>
  <c r="H226" i="69"/>
  <c r="G67" i="69"/>
  <c r="G183" i="69"/>
  <c r="G307" i="69"/>
  <c r="G265" i="69"/>
  <c r="AL323" i="69"/>
  <c r="H196" i="69"/>
  <c r="G316" i="69"/>
  <c r="AN214" i="69"/>
  <c r="AO214" i="69" s="1"/>
  <c r="AN229" i="69"/>
  <c r="AO229" i="69" s="1"/>
  <c r="AL245" i="69"/>
  <c r="AM261" i="69"/>
  <c r="AK278" i="69"/>
  <c r="AH290" i="69"/>
  <c r="AN304" i="69"/>
  <c r="AO304" i="69" s="1"/>
  <c r="AL321" i="69"/>
  <c r="AN6" i="69"/>
  <c r="AO6" i="69" s="1"/>
  <c r="AK18" i="69"/>
  <c r="AI34" i="69"/>
  <c r="AK49" i="69"/>
  <c r="AN63" i="69"/>
  <c r="AO63" i="69" s="1"/>
  <c r="AJ76" i="69"/>
  <c r="AN90" i="69"/>
  <c r="AO90" i="69" s="1"/>
  <c r="AL105" i="69"/>
  <c r="AK120" i="69"/>
  <c r="AM132" i="69"/>
  <c r="AH162" i="69"/>
  <c r="AK176" i="69"/>
  <c r="AH186" i="69"/>
  <c r="AK198" i="69"/>
  <c r="I23" i="69"/>
  <c r="I85" i="69"/>
  <c r="I148" i="69"/>
  <c r="I209" i="69"/>
  <c r="I260" i="69"/>
  <c r="I322" i="69"/>
  <c r="H52" i="69"/>
  <c r="H100" i="69"/>
  <c r="H139" i="69"/>
  <c r="H185" i="69"/>
  <c r="H224" i="69"/>
  <c r="H265" i="69"/>
  <c r="H304" i="69"/>
  <c r="G24" i="69"/>
  <c r="G61" i="69"/>
  <c r="G102" i="69"/>
  <c r="G143" i="69"/>
  <c r="G181" i="69"/>
  <c r="G223" i="69"/>
  <c r="G261" i="69"/>
  <c r="G298" i="69"/>
  <c r="AJ246" i="69"/>
  <c r="AJ290" i="69"/>
  <c r="AJ7" i="69"/>
  <c r="AN105" i="69"/>
  <c r="AO105" i="69" s="1"/>
  <c r="AH148" i="69"/>
  <c r="AJ186" i="69"/>
  <c r="I150" i="69"/>
  <c r="H57" i="69"/>
  <c r="H187" i="69"/>
  <c r="G26" i="69"/>
  <c r="G145" i="69"/>
  <c r="G263" i="69"/>
  <c r="G186" i="69"/>
  <c r="AL25" i="69"/>
  <c r="I224" i="69"/>
  <c r="G79" i="69"/>
  <c r="AM245" i="69"/>
  <c r="AN261" i="69"/>
  <c r="AO261" i="69" s="1"/>
  <c r="AL278" i="69"/>
  <c r="AI290" i="69"/>
  <c r="AM321" i="69"/>
  <c r="AI7" i="69"/>
  <c r="AL18" i="69"/>
  <c r="AJ34" i="69"/>
  <c r="AL49" i="69"/>
  <c r="AK76" i="69"/>
  <c r="AH91" i="69"/>
  <c r="AM105" i="69"/>
  <c r="AL120" i="69"/>
  <c r="AN132" i="69"/>
  <c r="AO132" i="69" s="1"/>
  <c r="AI162" i="69"/>
  <c r="AL176" i="69"/>
  <c r="AI186" i="69"/>
  <c r="AL198" i="69"/>
  <c r="I24" i="69"/>
  <c r="I86" i="69"/>
  <c r="I149" i="69"/>
  <c r="I210" i="69"/>
  <c r="I261" i="69"/>
  <c r="I323" i="69"/>
  <c r="H56" i="69"/>
  <c r="H101" i="69"/>
  <c r="H140" i="69"/>
  <c r="H186" i="69"/>
  <c r="H225" i="69"/>
  <c r="H266" i="69"/>
  <c r="H305" i="69"/>
  <c r="G25" i="69"/>
  <c r="G62" i="69"/>
  <c r="G107" i="69"/>
  <c r="G144" i="69"/>
  <c r="G182" i="69"/>
  <c r="G224" i="69"/>
  <c r="G262" i="69"/>
  <c r="G303" i="69"/>
  <c r="AM278" i="69"/>
  <c r="AN321" i="69"/>
  <c r="AO321" i="69" s="1"/>
  <c r="AK34" i="69"/>
  <c r="AL76" i="69"/>
  <c r="AM120" i="69"/>
  <c r="AM176" i="69"/>
  <c r="I37" i="69"/>
  <c r="I211" i="69"/>
  <c r="I324" i="69"/>
  <c r="H141" i="69"/>
  <c r="H267" i="69"/>
  <c r="G108" i="69"/>
  <c r="G225" i="69"/>
  <c r="G148" i="69"/>
  <c r="AK40" i="69"/>
  <c r="I287" i="69"/>
  <c r="G116" i="69"/>
  <c r="H306" i="69"/>
  <c r="AM311" i="69"/>
  <c r="H24" i="69"/>
  <c r="G155" i="69"/>
  <c r="AH215" i="69"/>
  <c r="AK234" i="69"/>
  <c r="AL264" i="69"/>
  <c r="AN278" i="69"/>
  <c r="AO278" i="69" s="1"/>
  <c r="AL294" i="69"/>
  <c r="AH307" i="69"/>
  <c r="AH322" i="69"/>
  <c r="AK22" i="69"/>
  <c r="AI35" i="69"/>
  <c r="AN49" i="69"/>
  <c r="AO49" i="69" s="1"/>
  <c r="AH64" i="69"/>
  <c r="AJ78" i="69"/>
  <c r="AM91" i="69"/>
  <c r="AN120" i="69"/>
  <c r="AO120" i="69" s="1"/>
  <c r="AN136" i="69"/>
  <c r="AO136" i="69" s="1"/>
  <c r="AI148" i="69"/>
  <c r="AI164" i="69"/>
  <c r="AN176" i="69"/>
  <c r="AO176" i="69" s="1"/>
  <c r="AM189" i="69"/>
  <c r="AJ200" i="69"/>
  <c r="I38" i="69"/>
  <c r="I88" i="69"/>
  <c r="I151" i="69"/>
  <c r="I217" i="69"/>
  <c r="I278" i="69"/>
  <c r="H8" i="69"/>
  <c r="H58" i="69"/>
  <c r="H103" i="69"/>
  <c r="H142" i="69"/>
  <c r="H189" i="69"/>
  <c r="H227" i="69"/>
  <c r="H269" i="69"/>
  <c r="H307" i="69"/>
  <c r="G27" i="69"/>
  <c r="G68" i="69"/>
  <c r="G109" i="69"/>
  <c r="G146" i="69"/>
  <c r="G185" i="69"/>
  <c r="G226" i="69"/>
  <c r="G264" i="69"/>
  <c r="G308" i="69"/>
  <c r="G309" i="69"/>
  <c r="AJ9" i="69"/>
  <c r="I111" i="69"/>
  <c r="H321" i="69"/>
  <c r="AM217" i="69"/>
  <c r="AL234" i="69"/>
  <c r="AH247" i="69"/>
  <c r="AM264" i="69"/>
  <c r="AL279" i="69"/>
  <c r="AM294" i="69"/>
  <c r="AI307" i="69"/>
  <c r="AJ322" i="69"/>
  <c r="AK8" i="69"/>
  <c r="AL22" i="69"/>
  <c r="AK35" i="69"/>
  <c r="AJ64" i="69"/>
  <c r="AM80" i="69"/>
  <c r="AN91" i="69"/>
  <c r="AO91" i="69" s="1"/>
  <c r="AM122" i="69"/>
  <c r="AJ148" i="69"/>
  <c r="AN164" i="69"/>
  <c r="AO164" i="69" s="1"/>
  <c r="AM177" i="69"/>
  <c r="AN189" i="69"/>
  <c r="AO189" i="69" s="1"/>
  <c r="AK200" i="69"/>
  <c r="I39" i="69"/>
  <c r="I90" i="69"/>
  <c r="I152" i="69"/>
  <c r="I218" i="69"/>
  <c r="I279" i="69"/>
  <c r="H9" i="69"/>
  <c r="H59" i="69"/>
  <c r="H105" i="69"/>
  <c r="H143" i="69"/>
  <c r="H190" i="69"/>
  <c r="H232" i="69"/>
  <c r="H270" i="69"/>
  <c r="H308" i="69"/>
  <c r="G28" i="69"/>
  <c r="G69" i="69"/>
  <c r="G110" i="69"/>
  <c r="G227" i="69"/>
  <c r="AM251" i="69"/>
  <c r="AM50" i="69"/>
  <c r="AK178" i="69"/>
  <c r="H157" i="69"/>
  <c r="G237" i="69"/>
  <c r="AN217" i="69"/>
  <c r="AO217" i="69" s="1"/>
  <c r="AN234" i="69"/>
  <c r="AO234" i="69" s="1"/>
  <c r="AI247" i="69"/>
  <c r="AN264" i="69"/>
  <c r="AO264" i="69" s="1"/>
  <c r="AM279" i="69"/>
  <c r="AJ307" i="69"/>
  <c r="AK322" i="69"/>
  <c r="AL8" i="69"/>
  <c r="AM22" i="69"/>
  <c r="AL35" i="69"/>
  <c r="AH50" i="69"/>
  <c r="AK64" i="69"/>
  <c r="AN80" i="69"/>
  <c r="AO80" i="69" s="1"/>
  <c r="AH106" i="69"/>
  <c r="AN122" i="69"/>
  <c r="AO122" i="69" s="1"/>
  <c r="AM137" i="69"/>
  <c r="AK148" i="69"/>
  <c r="AN177" i="69"/>
  <c r="AO177" i="69" s="1"/>
  <c r="AL200" i="69"/>
  <c r="I40" i="69"/>
  <c r="I91" i="69"/>
  <c r="I153" i="69"/>
  <c r="I219" i="69"/>
  <c r="I280" i="69"/>
  <c r="H10" i="69"/>
  <c r="H64" i="69"/>
  <c r="H106" i="69"/>
  <c r="H152" i="69"/>
  <c r="H191" i="69"/>
  <c r="H233" i="69"/>
  <c r="H271" i="69"/>
  <c r="H309" i="69"/>
  <c r="G29" i="69"/>
  <c r="G70" i="69"/>
  <c r="G111" i="69"/>
  <c r="G149" i="69"/>
  <c r="G191" i="69"/>
  <c r="G228" i="69"/>
  <c r="G266" i="69"/>
  <c r="G310" i="69"/>
  <c r="AK218" i="69"/>
  <c r="AM81" i="69"/>
  <c r="H70" i="69"/>
  <c r="G196" i="69"/>
  <c r="AH235" i="69"/>
  <c r="AJ247" i="69"/>
  <c r="AN279" i="69"/>
  <c r="AO279" i="69" s="1"/>
  <c r="AK307" i="69"/>
  <c r="AL322" i="69"/>
  <c r="AM8" i="69"/>
  <c r="AN22" i="69"/>
  <c r="AO22" i="69" s="1"/>
  <c r="AM35" i="69"/>
  <c r="AI50" i="69"/>
  <c r="AL64" i="69"/>
  <c r="AM106" i="69"/>
  <c r="AN137" i="69"/>
  <c r="AO137" i="69" s="1"/>
  <c r="AL148" i="69"/>
  <c r="AM200" i="69"/>
  <c r="I41" i="69"/>
  <c r="I107" i="69"/>
  <c r="I154" i="69"/>
  <c r="I220" i="69"/>
  <c r="I281" i="69"/>
  <c r="H14" i="69"/>
  <c r="H66" i="69"/>
  <c r="H107" i="69"/>
  <c r="H153" i="69"/>
  <c r="H192" i="69"/>
  <c r="H234" i="69"/>
  <c r="H273" i="69"/>
  <c r="H310" i="69"/>
  <c r="G33" i="69"/>
  <c r="G71" i="69"/>
  <c r="G112" i="69"/>
  <c r="G150" i="69"/>
  <c r="G192" i="69"/>
  <c r="G229" i="69"/>
  <c r="G270" i="69"/>
  <c r="G311" i="69"/>
  <c r="AN235" i="69"/>
  <c r="AO235" i="69" s="1"/>
  <c r="AH67" i="69"/>
  <c r="AJ138" i="69"/>
  <c r="I174" i="69"/>
  <c r="G38" i="69"/>
  <c r="AI235" i="69"/>
  <c r="AJ251" i="69"/>
  <c r="AJ280" i="69"/>
  <c r="AH295" i="69"/>
  <c r="AH323" i="69"/>
  <c r="AN8" i="69"/>
  <c r="AO8" i="69" s="1"/>
  <c r="AK39" i="69"/>
  <c r="AJ50" i="69"/>
  <c r="AN66" i="69"/>
  <c r="AO66" i="69" s="1"/>
  <c r="AH96" i="69"/>
  <c r="AL108" i="69"/>
  <c r="AM152" i="69"/>
  <c r="AH165" i="69"/>
  <c r="AH178" i="69"/>
  <c r="AH190" i="69"/>
  <c r="I43" i="69"/>
  <c r="I108" i="69"/>
  <c r="I155" i="69"/>
  <c r="I221" i="69"/>
  <c r="I283" i="69"/>
  <c r="H16" i="69"/>
  <c r="H67" i="69"/>
  <c r="H108" i="69"/>
  <c r="H154" i="69"/>
  <c r="H193" i="69"/>
  <c r="H236" i="69"/>
  <c r="H274" i="69"/>
  <c r="H311" i="69"/>
  <c r="G34" i="69"/>
  <c r="G72" i="69"/>
  <c r="G113" i="69"/>
  <c r="G152" i="69"/>
  <c r="G193" i="69"/>
  <c r="G230" i="69"/>
  <c r="G275" i="69"/>
  <c r="G312" i="69"/>
  <c r="AL295" i="69"/>
  <c r="AL190" i="69"/>
  <c r="I50" i="69"/>
  <c r="H277" i="69"/>
  <c r="AI218" i="69"/>
  <c r="AL235" i="69"/>
  <c r="AK251" i="69"/>
  <c r="AI265" i="69"/>
  <c r="AK280" i="69"/>
  <c r="AJ295" i="69"/>
  <c r="AK311" i="69"/>
  <c r="AJ323" i="69"/>
  <c r="AH9" i="69"/>
  <c r="AJ25" i="69"/>
  <c r="AL39" i="69"/>
  <c r="AK50" i="69"/>
  <c r="AK81" i="69"/>
  <c r="AM96" i="69"/>
  <c r="AM108" i="69"/>
  <c r="AI124" i="69"/>
  <c r="AH138" i="69"/>
  <c r="AN152" i="69"/>
  <c r="AO152" i="69" s="1"/>
  <c r="AK165" i="69"/>
  <c r="AI178" i="69"/>
  <c r="AJ190" i="69"/>
  <c r="I44" i="69"/>
  <c r="I109" i="69"/>
  <c r="I156" i="69"/>
  <c r="I222" i="69"/>
  <c r="I284" i="69"/>
  <c r="H17" i="69"/>
  <c r="H68" i="69"/>
  <c r="H109" i="69"/>
  <c r="H155" i="69"/>
  <c r="H194" i="69"/>
  <c r="H237" i="69"/>
  <c r="H275" i="69"/>
  <c r="H316" i="69"/>
  <c r="G36" i="69"/>
  <c r="G73" i="69"/>
  <c r="G114" i="69"/>
  <c r="G153" i="69"/>
  <c r="G194" i="69"/>
  <c r="G232" i="69"/>
  <c r="G276" i="69"/>
  <c r="G313" i="69"/>
  <c r="AM280" i="69"/>
  <c r="AK124" i="69"/>
  <c r="H239" i="69"/>
  <c r="AJ218" i="69"/>
  <c r="AM235" i="69"/>
  <c r="AL251" i="69"/>
  <c r="AJ265" i="69"/>
  <c r="AL280" i="69"/>
  <c r="AK295" i="69"/>
  <c r="AL311" i="69"/>
  <c r="AK323" i="69"/>
  <c r="AI9" i="69"/>
  <c r="AK25" i="69"/>
  <c r="AJ40" i="69"/>
  <c r="AL50" i="69"/>
  <c r="AL81" i="69"/>
  <c r="AN96" i="69"/>
  <c r="AO96" i="69" s="1"/>
  <c r="AN108" i="69"/>
  <c r="AO108" i="69" s="1"/>
  <c r="AJ124" i="69"/>
  <c r="AI138" i="69"/>
  <c r="AL165" i="69"/>
  <c r="AJ178" i="69"/>
  <c r="AK190" i="69"/>
  <c r="I49" i="69"/>
  <c r="I110" i="69"/>
  <c r="I161" i="69"/>
  <c r="I223" i="69"/>
  <c r="I286" i="69"/>
  <c r="H23" i="69"/>
  <c r="H69" i="69"/>
  <c r="H110" i="69"/>
  <c r="H156" i="69"/>
  <c r="H195" i="69"/>
  <c r="H238" i="69"/>
  <c r="H276" i="69"/>
  <c r="H317" i="69"/>
  <c r="G37" i="69"/>
  <c r="G74" i="69"/>
  <c r="G115" i="69"/>
  <c r="G154" i="69"/>
  <c r="G195" i="69"/>
  <c r="G233" i="69"/>
  <c r="G277" i="69"/>
  <c r="G314" i="69"/>
  <c r="AK265" i="69"/>
  <c r="AM165" i="69"/>
  <c r="H114" i="69"/>
  <c r="G278" i="69"/>
  <c r="AI224" i="69"/>
  <c r="AL254" i="69"/>
  <c r="AJ285" i="69"/>
  <c r="AK298" i="69"/>
  <c r="AL313" i="69"/>
  <c r="AM13" i="69"/>
  <c r="AJ26" i="69"/>
  <c r="AH41" i="69"/>
  <c r="AK55" i="69"/>
  <c r="AM82" i="69"/>
  <c r="AH99" i="69"/>
  <c r="AN113" i="69"/>
  <c r="AO113" i="69" s="1"/>
  <c r="AM128" i="69"/>
  <c r="AI141" i="69"/>
  <c r="AL169" i="69"/>
  <c r="AI182" i="69"/>
  <c r="I55" i="69"/>
  <c r="I118" i="69"/>
  <c r="I180" i="69"/>
  <c r="I245" i="69"/>
  <c r="I292" i="69"/>
  <c r="H30" i="69"/>
  <c r="H75" i="69"/>
  <c r="H123" i="69"/>
  <c r="H163" i="69"/>
  <c r="H206" i="69"/>
  <c r="H245" i="69"/>
  <c r="H289" i="69"/>
  <c r="G5" i="69"/>
  <c r="G43" i="69"/>
  <c r="G85" i="69"/>
  <c r="G123" i="69"/>
  <c r="G164" i="69"/>
  <c r="G205" i="69"/>
  <c r="G242" i="69"/>
  <c r="G283" i="69"/>
  <c r="G322" i="69"/>
  <c r="AJ224" i="69"/>
  <c r="AH255" i="69"/>
  <c r="AH271" i="69"/>
  <c r="AK285" i="69"/>
  <c r="AN298" i="69"/>
  <c r="AO298" i="69" s="1"/>
  <c r="AN313" i="69"/>
  <c r="AO313" i="69" s="1"/>
  <c r="AI203" i="69"/>
  <c r="AN15" i="69"/>
  <c r="AO15" i="69" s="1"/>
  <c r="AK26" i="69"/>
  <c r="AI41" i="69"/>
  <c r="AI57" i="69"/>
  <c r="AN82" i="69"/>
  <c r="AO82" i="69" s="1"/>
  <c r="AI114" i="69"/>
  <c r="AN128" i="69"/>
  <c r="AO128" i="69" s="1"/>
  <c r="AJ141" i="69"/>
  <c r="AI156" i="69"/>
  <c r="AN169" i="69"/>
  <c r="AO169" i="69" s="1"/>
  <c r="AJ182" i="69"/>
  <c r="AI193" i="69"/>
  <c r="I6" i="69"/>
  <c r="I56" i="69"/>
  <c r="I119" i="69"/>
  <c r="I181" i="69"/>
  <c r="I246" i="69"/>
  <c r="I293" i="69"/>
  <c r="H31" i="69"/>
  <c r="H77" i="69"/>
  <c r="H124" i="69"/>
  <c r="H164" i="69"/>
  <c r="H207" i="69"/>
  <c r="H246" i="69"/>
  <c r="H290" i="69"/>
  <c r="G6" i="69"/>
  <c r="G44" i="69"/>
  <c r="G86" i="69"/>
  <c r="G124" i="69"/>
  <c r="G165" i="69"/>
  <c r="G206" i="69"/>
  <c r="G247" i="69"/>
  <c r="G284" i="69"/>
  <c r="G323" i="69"/>
  <c r="AK224" i="69"/>
  <c r="AH239" i="69"/>
  <c r="AI255" i="69"/>
  <c r="AI271" i="69"/>
  <c r="AL285" i="69"/>
  <c r="AJ203" i="69"/>
  <c r="AI16" i="69"/>
  <c r="AL26" i="69"/>
  <c r="AJ41" i="69"/>
  <c r="AK57" i="69"/>
  <c r="AM72" i="69"/>
  <c r="AH83" i="69"/>
  <c r="AH100" i="69"/>
  <c r="AJ114" i="69"/>
  <c r="AL141" i="69"/>
  <c r="AJ156" i="69"/>
  <c r="AL182" i="69"/>
  <c r="AJ193" i="69"/>
  <c r="I7" i="69"/>
  <c r="I57" i="69"/>
  <c r="I120" i="69"/>
  <c r="I182" i="69"/>
  <c r="AJ254" i="69"/>
  <c r="AH286" i="69"/>
  <c r="AI314" i="69"/>
  <c r="AH48" i="69"/>
  <c r="AH74" i="69"/>
  <c r="AN138" i="69"/>
  <c r="AO138" i="69" s="1"/>
  <c r="AL170" i="69"/>
  <c r="AH197" i="69"/>
  <c r="I71" i="69"/>
  <c r="I190" i="69"/>
  <c r="I314" i="69"/>
  <c r="H85" i="69"/>
  <c r="H170" i="69"/>
  <c r="H254" i="69"/>
  <c r="G12" i="69"/>
  <c r="G92" i="69"/>
  <c r="G173" i="69"/>
  <c r="G252" i="69"/>
  <c r="AL318" i="69"/>
  <c r="AH171" i="69"/>
  <c r="I193" i="69"/>
  <c r="H177" i="69"/>
  <c r="G95" i="69"/>
  <c r="H292" i="69"/>
  <c r="G286" i="69"/>
  <c r="AN58" i="69"/>
  <c r="AO58" i="69" s="1"/>
  <c r="I250" i="69"/>
  <c r="G209" i="69"/>
  <c r="AM270" i="69"/>
  <c r="H39" i="69"/>
  <c r="AN184" i="69"/>
  <c r="AO184" i="69" s="1"/>
  <c r="H212" i="69"/>
  <c r="AI303" i="69"/>
  <c r="G137" i="69"/>
  <c r="AL192" i="69"/>
  <c r="H73" i="69"/>
  <c r="G240" i="69"/>
  <c r="AM11" i="69"/>
  <c r="H325" i="69"/>
  <c r="I178" i="69"/>
  <c r="G324" i="69"/>
  <c r="AK16" i="69"/>
  <c r="G88" i="69"/>
  <c r="AK169" i="69"/>
  <c r="H252" i="69"/>
  <c r="AN73" i="69"/>
  <c r="AO73" i="69" s="1"/>
  <c r="H169" i="69"/>
  <c r="AN219" i="69"/>
  <c r="AO219" i="69" s="1"/>
  <c r="AK254" i="69"/>
  <c r="AI286" i="69"/>
  <c r="AJ314" i="69"/>
  <c r="AH17" i="69"/>
  <c r="AM48" i="69"/>
  <c r="AN81" i="69"/>
  <c r="AO81" i="69" s="1"/>
  <c r="AK113" i="69"/>
  <c r="AM141" i="69"/>
  <c r="AM170" i="69"/>
  <c r="AI197" i="69"/>
  <c r="I72" i="69"/>
  <c r="I191" i="69"/>
  <c r="I315" i="69"/>
  <c r="H93" i="69"/>
  <c r="H171" i="69"/>
  <c r="H255" i="69"/>
  <c r="G13" i="69"/>
  <c r="G93" i="69"/>
  <c r="G174" i="69"/>
  <c r="G253" i="69"/>
  <c r="AI256" i="69"/>
  <c r="AJ17" i="69"/>
  <c r="AK114" i="69"/>
  <c r="I318" i="69"/>
  <c r="H261" i="69"/>
  <c r="G177" i="69"/>
  <c r="G18" i="69"/>
  <c r="H209" i="69"/>
  <c r="AN30" i="69"/>
  <c r="AO30" i="69" s="1"/>
  <c r="H128" i="69"/>
  <c r="AK236" i="69"/>
  <c r="H211" i="69"/>
  <c r="I252" i="69"/>
  <c r="G211" i="69"/>
  <c r="AJ271" i="69"/>
  <c r="G292" i="69"/>
  <c r="H242" i="69"/>
  <c r="AL43" i="69"/>
  <c r="AN280" i="69"/>
  <c r="AO280" i="69" s="1"/>
  <c r="AK193" i="69"/>
  <c r="H251" i="69"/>
  <c r="H83" i="69"/>
  <c r="AM138" i="69"/>
  <c r="G172" i="69"/>
  <c r="AJ255" i="69"/>
  <c r="AL288" i="69"/>
  <c r="AK314" i="69"/>
  <c r="AI17" i="69"/>
  <c r="AN48" i="69"/>
  <c r="AO48" i="69" s="1"/>
  <c r="AM113" i="69"/>
  <c r="AN143" i="69"/>
  <c r="AO143" i="69" s="1"/>
  <c r="AN170" i="69"/>
  <c r="AO170" i="69" s="1"/>
  <c r="AJ197" i="69"/>
  <c r="I77" i="69"/>
  <c r="I192" i="69"/>
  <c r="I317" i="69"/>
  <c r="H94" i="69"/>
  <c r="H176" i="69"/>
  <c r="H260" i="69"/>
  <c r="G15" i="69"/>
  <c r="G94" i="69"/>
  <c r="G176" i="69"/>
  <c r="G255" i="69"/>
  <c r="AM288" i="69"/>
  <c r="AJ54" i="69"/>
  <c r="AM145" i="69"/>
  <c r="I78" i="69"/>
  <c r="H95" i="69"/>
  <c r="G16" i="69"/>
  <c r="G256" i="69"/>
  <c r="H263" i="69"/>
  <c r="G46" i="69"/>
  <c r="AL228" i="69"/>
  <c r="G52" i="69"/>
  <c r="AN270" i="69"/>
  <c r="AO270" i="69" s="1"/>
  <c r="H133" i="69"/>
  <c r="AK274" i="69"/>
  <c r="AN192" i="69"/>
  <c r="AO192" i="69" s="1"/>
  <c r="I291" i="69"/>
  <c r="AI245" i="69"/>
  <c r="G248" i="69"/>
  <c r="I310" i="69"/>
  <c r="G249" i="69"/>
  <c r="AN251" i="69"/>
  <c r="AO251" i="69" s="1"/>
  <c r="I70" i="69"/>
  <c r="G11" i="69"/>
  <c r="AH270" i="69"/>
  <c r="H210" i="69"/>
  <c r="I122" i="69"/>
  <c r="AK156" i="69"/>
  <c r="H130" i="69"/>
  <c r="AI97" i="69"/>
  <c r="I253" i="69"/>
  <c r="AN100" i="69"/>
  <c r="AO100" i="69" s="1"/>
  <c r="I21" i="69"/>
  <c r="AL274" i="69"/>
  <c r="H81" i="69"/>
  <c r="AJ245" i="69"/>
  <c r="G10" i="69"/>
  <c r="AH314" i="69"/>
  <c r="G251" i="69"/>
  <c r="AL224" i="69"/>
  <c r="AJ256" i="69"/>
  <c r="AN288" i="69"/>
  <c r="AO288" i="69" s="1"/>
  <c r="AM318" i="69"/>
  <c r="AK17" i="69"/>
  <c r="AK54" i="69"/>
  <c r="AL82" i="69"/>
  <c r="AL114" i="69"/>
  <c r="AN145" i="69"/>
  <c r="AO145" i="69" s="1"/>
  <c r="AL172" i="69"/>
  <c r="AH198" i="69"/>
  <c r="I80" i="69"/>
  <c r="I194" i="69"/>
  <c r="I319" i="69"/>
  <c r="H96" i="69"/>
  <c r="H178" i="69"/>
  <c r="H262" i="69"/>
  <c r="G17" i="69"/>
  <c r="G96" i="69"/>
  <c r="G178" i="69"/>
  <c r="G257" i="69"/>
  <c r="AM224" i="69"/>
  <c r="AL54" i="69"/>
  <c r="AH146" i="69"/>
  <c r="AI198" i="69"/>
  <c r="I81" i="69"/>
  <c r="I320" i="69"/>
  <c r="H179" i="69"/>
  <c r="G179" i="69"/>
  <c r="AM155" i="69"/>
  <c r="G126" i="69"/>
  <c r="AI270" i="69"/>
  <c r="AH59" i="69"/>
  <c r="H294" i="69"/>
  <c r="AN124" i="69"/>
  <c r="AO124" i="69" s="1"/>
  <c r="H40" i="69"/>
  <c r="AN236" i="69"/>
  <c r="AO236" i="69" s="1"/>
  <c r="AN161" i="69"/>
  <c r="AO161" i="69" s="1"/>
  <c r="I290" i="69"/>
  <c r="AI313" i="69"/>
  <c r="H162" i="69"/>
  <c r="AJ132" i="69"/>
  <c r="H166" i="69"/>
  <c r="AK73" i="69"/>
  <c r="G9" i="69"/>
  <c r="AM73" i="69"/>
  <c r="I184" i="69"/>
  <c r="AJ281" i="69"/>
  <c r="AK256" i="69"/>
  <c r="AH319" i="69"/>
  <c r="AM25" i="69"/>
  <c r="AI83" i="69"/>
  <c r="AM114" i="69"/>
  <c r="AM172" i="69"/>
  <c r="I207" i="69"/>
  <c r="H97" i="69"/>
  <c r="G100" i="69"/>
  <c r="G258" i="69"/>
  <c r="AM58" i="69"/>
  <c r="I248" i="69"/>
  <c r="AJ298" i="69"/>
  <c r="AN182" i="69"/>
  <c r="AO182" i="69" s="1"/>
  <c r="G128" i="69"/>
  <c r="AH303" i="69"/>
  <c r="G54" i="69"/>
  <c r="AJ59" i="69"/>
  <c r="G55" i="69"/>
  <c r="AN244" i="69"/>
  <c r="AO244" i="69" s="1"/>
  <c r="H243" i="69"/>
  <c r="AJ313" i="69"/>
  <c r="H82" i="69"/>
  <c r="AI281" i="69"/>
  <c r="AK46" i="69"/>
  <c r="AH225" i="69"/>
  <c r="AL256" i="69"/>
  <c r="AL289" i="69"/>
  <c r="AI319" i="69"/>
  <c r="AM54" i="69"/>
  <c r="AI87" i="69"/>
  <c r="AN114" i="69"/>
  <c r="AO114" i="69" s="1"/>
  <c r="AI146" i="69"/>
  <c r="AN172" i="69"/>
  <c r="AO172" i="69" s="1"/>
  <c r="I82" i="69"/>
  <c r="I225" i="69"/>
  <c r="H25" i="69"/>
  <c r="H115" i="69"/>
  <c r="H197" i="69"/>
  <c r="H278" i="69"/>
  <c r="G39" i="69"/>
  <c r="G118" i="69"/>
  <c r="G197" i="69"/>
  <c r="G279" i="69"/>
  <c r="AK228" i="69"/>
  <c r="AL124" i="69"/>
  <c r="G127" i="69"/>
  <c r="AM124" i="69"/>
  <c r="H129" i="69"/>
  <c r="AI59" i="69"/>
  <c r="H295" i="69"/>
  <c r="AI206" i="69"/>
  <c r="H296" i="69"/>
  <c r="AN311" i="69"/>
  <c r="AO311" i="69" s="1"/>
  <c r="G158" i="69"/>
  <c r="I51" i="69"/>
  <c r="G83" i="69"/>
  <c r="AJ16" i="69"/>
  <c r="G8" i="69"/>
  <c r="AK138" i="69"/>
  <c r="G170" i="69"/>
  <c r="AI44" i="69"/>
  <c r="H168" i="69"/>
  <c r="AH170" i="69"/>
  <c r="H253" i="69"/>
  <c r="AI225" i="69"/>
  <c r="AM289" i="69"/>
  <c r="AL202" i="69"/>
  <c r="AH26" i="69"/>
  <c r="AL57" i="69"/>
  <c r="AM87" i="69"/>
  <c r="AH115" i="69"/>
  <c r="AL146" i="69"/>
  <c r="I83" i="69"/>
  <c r="I226" i="69"/>
  <c r="H26" i="69"/>
  <c r="H120" i="69"/>
  <c r="H199" i="69"/>
  <c r="H279" i="69"/>
  <c r="G40" i="69"/>
  <c r="G120" i="69"/>
  <c r="G198" i="69"/>
  <c r="G280" i="69"/>
  <c r="AM30" i="69"/>
  <c r="H127" i="69"/>
  <c r="AN205" i="69"/>
  <c r="AO205" i="69" s="1"/>
  <c r="G289" i="69"/>
  <c r="I251" i="69"/>
  <c r="G290" i="69"/>
  <c r="AH206" i="69"/>
  <c r="G129" i="69"/>
  <c r="I10" i="69"/>
  <c r="G212" i="69"/>
  <c r="AK41" i="69"/>
  <c r="AI73" i="69"/>
  <c r="H74" i="69"/>
  <c r="H247" i="69"/>
  <c r="AK313" i="69"/>
  <c r="AL138" i="69"/>
  <c r="G89" i="69"/>
  <c r="G90" i="69"/>
  <c r="AJ225" i="69"/>
  <c r="AN289" i="69"/>
  <c r="AO289" i="69" s="1"/>
  <c r="AM202" i="69"/>
  <c r="AI26" i="69"/>
  <c r="AM57" i="69"/>
  <c r="AN87" i="69"/>
  <c r="AO87" i="69" s="1"/>
  <c r="AL115" i="69"/>
  <c r="AM146" i="69"/>
  <c r="AL178" i="69"/>
  <c r="I113" i="69"/>
  <c r="I227" i="69"/>
  <c r="H27" i="69"/>
  <c r="H121" i="69"/>
  <c r="H204" i="69"/>
  <c r="H280" i="69"/>
  <c r="G41" i="69"/>
  <c r="G121" i="69"/>
  <c r="G199" i="69"/>
  <c r="G281" i="69"/>
  <c r="AI298" i="69"/>
  <c r="I116" i="69"/>
  <c r="AM182" i="69"/>
  <c r="H293" i="69"/>
  <c r="AK90" i="69"/>
  <c r="G210" i="69"/>
  <c r="AM31" i="69"/>
  <c r="I8" i="69"/>
  <c r="AL156" i="69"/>
  <c r="I124" i="69"/>
  <c r="AL11" i="69"/>
  <c r="G319" i="69"/>
  <c r="AK104" i="69"/>
  <c r="G163" i="69"/>
  <c r="AH169" i="69"/>
  <c r="I294" i="69"/>
  <c r="AH281" i="69"/>
  <c r="I311" i="69"/>
  <c r="G250" i="69"/>
  <c r="AI254" i="69"/>
  <c r="AM227" i="69"/>
  <c r="AH261" i="69"/>
  <c r="AN202" i="69"/>
  <c r="AO202" i="69" s="1"/>
  <c r="AM26" i="69"/>
  <c r="AM115" i="69"/>
  <c r="AN146" i="69"/>
  <c r="AO146" i="69" s="1"/>
  <c r="AM178" i="69"/>
  <c r="I114" i="69"/>
  <c r="I240" i="69"/>
  <c r="H29" i="69"/>
  <c r="H122" i="69"/>
  <c r="H205" i="69"/>
  <c r="H288" i="69"/>
  <c r="G42" i="69"/>
  <c r="G122" i="69"/>
  <c r="G204" i="69"/>
  <c r="G282" i="69"/>
  <c r="AK203" i="69"/>
  <c r="G208" i="69"/>
  <c r="AJ90" i="69"/>
  <c r="I121" i="69"/>
  <c r="G53" i="69"/>
  <c r="AM236" i="69"/>
  <c r="H213" i="69"/>
  <c r="AH73" i="69"/>
  <c r="H161" i="69"/>
  <c r="I177" i="69"/>
  <c r="I52" i="69"/>
  <c r="AJ169" i="69"/>
  <c r="I183" i="69"/>
  <c r="AN16" i="69"/>
  <c r="AO16" i="69" s="1"/>
  <c r="AH111" i="69"/>
  <c r="I189" i="69"/>
  <c r="AJ228" i="69"/>
  <c r="AI261" i="69"/>
  <c r="AH298" i="69"/>
  <c r="AL30" i="69"/>
  <c r="AH58" i="69"/>
  <c r="AN115" i="69"/>
  <c r="AO115" i="69" s="1"/>
  <c r="AH153" i="69"/>
  <c r="AN178" i="69"/>
  <c r="AO178" i="69" s="1"/>
  <c r="I115" i="69"/>
  <c r="I247" i="69"/>
  <c r="H36" i="69"/>
  <c r="H126" i="69"/>
  <c r="H208" i="69"/>
  <c r="H291" i="69"/>
  <c r="G45" i="69"/>
  <c r="G125" i="69"/>
  <c r="G207" i="69"/>
  <c r="G285" i="69"/>
  <c r="AI90" i="69"/>
  <c r="H37" i="69"/>
  <c r="AN155" i="69"/>
  <c r="AO155" i="69" s="1"/>
  <c r="H38" i="69"/>
  <c r="AH31" i="69"/>
  <c r="I123" i="69"/>
  <c r="G291" i="69"/>
  <c r="AI32" i="69"/>
  <c r="H41" i="69"/>
  <c r="AH132" i="69"/>
  <c r="G82" i="69"/>
  <c r="AI132" i="69"/>
  <c r="G241" i="69"/>
  <c r="AL104" i="69"/>
  <c r="G87" i="69"/>
  <c r="AH44" i="69"/>
  <c r="H167" i="69"/>
  <c r="AN196" i="69"/>
  <c r="AO196" i="69" s="1"/>
  <c r="I54" i="69"/>
  <c r="H84" i="69"/>
  <c r="AK271" i="69"/>
  <c r="AK303" i="69"/>
  <c r="AJ206" i="69"/>
  <c r="AJ32" i="69"/>
  <c r="AI67" i="69"/>
  <c r="AJ97" i="69"/>
  <c r="AM156" i="69"/>
  <c r="I11" i="69"/>
  <c r="I140" i="69"/>
  <c r="I254" i="69"/>
  <c r="H42" i="69"/>
  <c r="H134" i="69"/>
  <c r="H219" i="69"/>
  <c r="H297" i="69"/>
  <c r="G56" i="69"/>
  <c r="G138" i="69"/>
  <c r="G213" i="69"/>
  <c r="G293" i="69"/>
  <c r="AN239" i="69"/>
  <c r="AO239" i="69" s="1"/>
  <c r="AL271" i="69"/>
  <c r="AL303" i="69"/>
  <c r="AL206" i="69"/>
  <c r="AK32" i="69"/>
  <c r="AN67" i="69"/>
  <c r="AO67" i="69" s="1"/>
  <c r="AK97" i="69"/>
  <c r="AH129" i="69"/>
  <c r="AN156" i="69"/>
  <c r="AO156" i="69" s="1"/>
  <c r="AH185" i="69"/>
  <c r="I12" i="69"/>
  <c r="I141" i="69"/>
  <c r="I255" i="69"/>
  <c r="H43" i="69"/>
  <c r="H135" i="69"/>
  <c r="H220" i="69"/>
  <c r="H298" i="69"/>
  <c r="G57" i="69"/>
  <c r="G139" i="69"/>
  <c r="G214" i="69"/>
  <c r="G294" i="69"/>
  <c r="AN241" i="69"/>
  <c r="AO241" i="69" s="1"/>
  <c r="AM271" i="69"/>
  <c r="AN303" i="69"/>
  <c r="AO303" i="69" s="1"/>
  <c r="AM206" i="69"/>
  <c r="AL40" i="69"/>
  <c r="AH68" i="69"/>
  <c r="AI100" i="69"/>
  <c r="AK129" i="69"/>
  <c r="AJ185" i="69"/>
  <c r="I13" i="69"/>
  <c r="I142" i="69"/>
  <c r="I256" i="69"/>
  <c r="H49" i="69"/>
  <c r="H136" i="69"/>
  <c r="H221" i="69"/>
  <c r="H299" i="69"/>
  <c r="G58" i="69"/>
  <c r="G140" i="69"/>
  <c r="G219" i="69"/>
  <c r="G295" i="69"/>
  <c r="AJ244" i="69"/>
  <c r="AN271" i="69"/>
  <c r="AO271" i="69" s="1"/>
  <c r="AN206" i="69"/>
  <c r="AO206" i="69" s="1"/>
  <c r="AN40" i="69"/>
  <c r="AO40" i="69" s="1"/>
  <c r="AI68" i="69"/>
  <c r="AJ100" i="69"/>
  <c r="AL129" i="69"/>
  <c r="AM160" i="69"/>
  <c r="AK185" i="69"/>
  <c r="I14" i="69"/>
  <c r="I143" i="69"/>
  <c r="I258" i="69"/>
  <c r="H50" i="69"/>
  <c r="H137" i="69"/>
  <c r="H222" i="69"/>
  <c r="H301" i="69"/>
  <c r="G59" i="69"/>
  <c r="G141" i="69"/>
  <c r="G220" i="69"/>
  <c r="G296" i="69"/>
  <c r="AK244" i="69"/>
  <c r="AH274" i="69"/>
  <c r="AH304" i="69"/>
  <c r="AJ11" i="69"/>
  <c r="AN72" i="69"/>
  <c r="AO72" i="69" s="1"/>
  <c r="AL100" i="69"/>
  <c r="AM129" i="69"/>
  <c r="AK161" i="69"/>
  <c r="AL185" i="69"/>
  <c r="I15" i="69"/>
  <c r="I144" i="69"/>
  <c r="I288" i="69"/>
  <c r="H71" i="69"/>
  <c r="H158" i="69"/>
  <c r="H240" i="69"/>
  <c r="H322" i="69"/>
  <c r="G80" i="69"/>
  <c r="G156" i="69"/>
  <c r="G238" i="69"/>
  <c r="G317" i="69"/>
  <c r="AM244" i="69"/>
  <c r="AI274" i="69"/>
  <c r="AI304" i="69"/>
  <c r="AK11" i="69"/>
  <c r="AM100" i="69"/>
  <c r="AM161" i="69"/>
  <c r="AK192" i="69"/>
  <c r="I16" i="69"/>
  <c r="I175" i="69"/>
  <c r="I289" i="69"/>
  <c r="H72" i="69"/>
  <c r="H159" i="69"/>
  <c r="H241" i="69"/>
  <c r="H323" i="69"/>
  <c r="G81" i="69"/>
  <c r="G157" i="69"/>
  <c r="G239" i="69"/>
  <c r="G318" i="69"/>
  <c r="I176" i="69"/>
  <c r="H324" i="69"/>
  <c r="AH245" i="69"/>
  <c r="G320" i="69"/>
  <c r="AJ73" i="69"/>
  <c r="G166" i="69"/>
  <c r="AN104" i="69"/>
  <c r="AO104" i="69" s="1"/>
  <c r="I53" i="69"/>
  <c r="G325" i="69"/>
  <c r="AH105" i="69"/>
  <c r="G171" i="69"/>
  <c r="I312" i="69"/>
  <c r="AI4" i="69"/>
  <c r="AJ4" i="69"/>
  <c r="AK4" i="69"/>
  <c r="AM4" i="69"/>
  <c r="G4" i="69"/>
  <c r="H4" i="69"/>
  <c r="I4" i="69"/>
  <c r="AL4" i="69"/>
  <c r="AH4" i="69"/>
  <c r="V2" i="69" s="1"/>
  <c r="A3" i="69"/>
  <c r="AN4" i="69"/>
  <c r="AO4" i="69" s="1"/>
  <c r="V326" i="69" l="1"/>
  <c r="W326" i="69" s="1"/>
  <c r="Q326" i="69"/>
  <c r="R326" i="69" s="1"/>
  <c r="T326" i="69" s="1"/>
  <c r="U326" i="69" s="1"/>
  <c r="S326" i="69"/>
  <c r="AP326" i="69" s="1"/>
  <c r="P159" i="69"/>
  <c r="Q159" i="69" s="1"/>
  <c r="R159" i="69" s="1"/>
  <c r="T159" i="69" s="1"/>
  <c r="U159" i="69" s="1"/>
  <c r="V159" i="69"/>
  <c r="W159" i="69" s="1"/>
  <c r="P299" i="69"/>
  <c r="Q299" i="69" s="1"/>
  <c r="R299" i="69" s="1"/>
  <c r="T299" i="69" s="1"/>
  <c r="U299" i="69" s="1"/>
  <c r="V299" i="69"/>
  <c r="W299" i="69" s="1"/>
  <c r="P294" i="69"/>
  <c r="S294" i="69" s="1"/>
  <c r="AP294" i="69" s="1"/>
  <c r="V294" i="69"/>
  <c r="W294" i="69" s="1"/>
  <c r="P16" i="69"/>
  <c r="Q16" i="69" s="1"/>
  <c r="R16" i="69" s="1"/>
  <c r="T16" i="69" s="1"/>
  <c r="U16" i="69" s="1"/>
  <c r="V16" i="69"/>
  <c r="W16" i="69" s="1"/>
  <c r="P186" i="69"/>
  <c r="S186" i="69" s="1"/>
  <c r="AP186" i="69" s="1"/>
  <c r="P139" i="69"/>
  <c r="Q139" i="69" s="1"/>
  <c r="R139" i="69" s="1"/>
  <c r="T139" i="69" s="1"/>
  <c r="U139" i="69" s="1"/>
  <c r="V139" i="69"/>
  <c r="W139" i="69" s="1"/>
  <c r="P303" i="69"/>
  <c r="Q303" i="69" s="1"/>
  <c r="R303" i="69" s="1"/>
  <c r="T303" i="69" s="1"/>
  <c r="U303" i="69" s="1"/>
  <c r="P15" i="69"/>
  <c r="Q15" i="69" s="1"/>
  <c r="R15" i="69" s="1"/>
  <c r="T15" i="69" s="1"/>
  <c r="U15" i="69" s="1"/>
  <c r="V15" i="69"/>
  <c r="W15" i="69" s="1"/>
  <c r="P149" i="69"/>
  <c r="S149" i="69" s="1"/>
  <c r="AP149" i="69" s="1"/>
  <c r="P248" i="69"/>
  <c r="S248" i="69" s="1"/>
  <c r="AP248" i="69" s="1"/>
  <c r="P147" i="69"/>
  <c r="Q147" i="69" s="1"/>
  <c r="R147" i="69" s="1"/>
  <c r="T147" i="69" s="1"/>
  <c r="U147" i="69" s="1"/>
  <c r="V147" i="69"/>
  <c r="W147" i="69" s="1"/>
  <c r="P144" i="69"/>
  <c r="Q144" i="69" s="1"/>
  <c r="R144" i="69" s="1"/>
  <c r="T144" i="69" s="1"/>
  <c r="U144" i="69" s="1"/>
  <c r="P72" i="69"/>
  <c r="S72" i="69" s="1"/>
  <c r="AP72" i="69" s="1"/>
  <c r="V72" i="69"/>
  <c r="W72" i="69" s="1"/>
  <c r="P221" i="69"/>
  <c r="Q221" i="69" s="1"/>
  <c r="V221" i="69"/>
  <c r="W221" i="69" s="1"/>
  <c r="P288" i="69"/>
  <c r="S288" i="69" s="1"/>
  <c r="AP288" i="69" s="1"/>
  <c r="V288" i="69"/>
  <c r="W288" i="69" s="1"/>
  <c r="P247" i="69"/>
  <c r="Q247" i="69" s="1"/>
  <c r="R247" i="69" s="1"/>
  <c r="T247" i="69" s="1"/>
  <c r="U247" i="69" s="1"/>
  <c r="P254" i="69"/>
  <c r="S254" i="69" s="1"/>
  <c r="AP254" i="69" s="1"/>
  <c r="P140" i="69"/>
  <c r="P100" i="69"/>
  <c r="Q100" i="69" s="1"/>
  <c r="R100" i="69" s="1"/>
  <c r="P264" i="69"/>
  <c r="S264" i="69" s="1"/>
  <c r="AP264" i="69" s="1"/>
  <c r="V264" i="69"/>
  <c r="W264" i="69" s="1"/>
  <c r="P112" i="69"/>
  <c r="Q112" i="69" s="1"/>
  <c r="R112" i="69" s="1"/>
  <c r="T112" i="69" s="1"/>
  <c r="U112" i="69" s="1"/>
  <c r="P214" i="69"/>
  <c r="S214" i="69" s="1"/>
  <c r="AP214" i="69" s="1"/>
  <c r="P119" i="69"/>
  <c r="S119" i="69" s="1"/>
  <c r="AP119" i="69" s="1"/>
  <c r="P116" i="69"/>
  <c r="S116" i="69" s="1"/>
  <c r="AP116" i="69" s="1"/>
  <c r="V116" i="69"/>
  <c r="W116" i="69" s="1"/>
  <c r="P136" i="69"/>
  <c r="S136" i="69" s="1"/>
  <c r="AP136" i="69" s="1"/>
  <c r="P167" i="69"/>
  <c r="S167" i="69" s="1"/>
  <c r="AP167" i="69" s="1"/>
  <c r="V167" i="69"/>
  <c r="P205" i="69"/>
  <c r="Q205" i="69" s="1"/>
  <c r="R205" i="69" s="1"/>
  <c r="T205" i="69" s="1"/>
  <c r="U205" i="69" s="1"/>
  <c r="P293" i="69"/>
  <c r="S293" i="69" s="1"/>
  <c r="AP293" i="69" s="1"/>
  <c r="V293" i="69"/>
  <c r="W293" i="69" s="1"/>
  <c r="P74" i="69"/>
  <c r="P278" i="69"/>
  <c r="Q278" i="69" s="1"/>
  <c r="R278" i="69" s="1"/>
  <c r="T278" i="69" s="1"/>
  <c r="U278" i="69" s="1"/>
  <c r="V278" i="69"/>
  <c r="W278" i="69" s="1"/>
  <c r="P170" i="69"/>
  <c r="Q170" i="69" s="1"/>
  <c r="R170" i="69" s="1"/>
  <c r="T170" i="69" s="1"/>
  <c r="U170" i="69" s="1"/>
  <c r="P308" i="69"/>
  <c r="S308" i="69" s="1"/>
  <c r="AP308" i="69" s="1"/>
  <c r="V308" i="69"/>
  <c r="W308" i="69" s="1"/>
  <c r="P101" i="69"/>
  <c r="S101" i="69" s="1"/>
  <c r="AP101" i="69" s="1"/>
  <c r="V101" i="69"/>
  <c r="W101" i="69" s="1"/>
  <c r="P52" i="69"/>
  <c r="S52" i="69" s="1"/>
  <c r="AP52" i="69" s="1"/>
  <c r="V52" i="69"/>
  <c r="W52" i="69" s="1"/>
  <c r="P223" i="69"/>
  <c r="Q223" i="69" s="1"/>
  <c r="R223" i="69" s="1"/>
  <c r="T223" i="69" s="1"/>
  <c r="U223" i="69" s="1"/>
  <c r="V223" i="69"/>
  <c r="W223" i="69" s="1"/>
  <c r="P87" i="69"/>
  <c r="Q87" i="69" s="1"/>
  <c r="R87" i="69" s="1"/>
  <c r="T87" i="69" s="1"/>
  <c r="U87" i="69" s="1"/>
  <c r="V87" i="69"/>
  <c r="P79" i="69"/>
  <c r="S79" i="69" s="1"/>
  <c r="AP79" i="69" s="1"/>
  <c r="P181" i="69"/>
  <c r="Q181" i="69" s="1"/>
  <c r="R181" i="69" s="1"/>
  <c r="P91" i="69"/>
  <c r="Q91" i="69" s="1"/>
  <c r="R91" i="69" s="1"/>
  <c r="T91" i="69" s="1"/>
  <c r="U91" i="69" s="1"/>
  <c r="P88" i="69"/>
  <c r="V88" i="69"/>
  <c r="W88" i="69" s="1"/>
  <c r="P49" i="69"/>
  <c r="Q49" i="69" s="1"/>
  <c r="R49" i="69" s="1"/>
  <c r="P122" i="69"/>
  <c r="S122" i="69" s="1"/>
  <c r="AP122" i="69" s="1"/>
  <c r="P197" i="69"/>
  <c r="S197" i="69" s="1"/>
  <c r="AP197" i="69" s="1"/>
  <c r="P133" i="69"/>
  <c r="Q133" i="69" s="1"/>
  <c r="R133" i="69" s="1"/>
  <c r="T133" i="69" s="1"/>
  <c r="U133" i="69" s="1"/>
  <c r="V133" i="69"/>
  <c r="W133" i="69" s="1"/>
  <c r="P85" i="69"/>
  <c r="Q85" i="69" s="1"/>
  <c r="R85" i="69" s="1"/>
  <c r="P289" i="69"/>
  <c r="Q289" i="69" s="1"/>
  <c r="R289" i="69" s="1"/>
  <c r="T289" i="69" s="1"/>
  <c r="U289" i="69" s="1"/>
  <c r="V289" i="69"/>
  <c r="W289" i="69" s="1"/>
  <c r="P316" i="69"/>
  <c r="Q316" i="69" s="1"/>
  <c r="R316" i="69" s="1"/>
  <c r="P270" i="69"/>
  <c r="S270" i="69" s="1"/>
  <c r="AP270" i="69" s="1"/>
  <c r="V270" i="69"/>
  <c r="W270" i="69" s="1"/>
  <c r="P56" i="69"/>
  <c r="Q56" i="69" s="1"/>
  <c r="R56" i="69" s="1"/>
  <c r="P180" i="69"/>
  <c r="S180" i="69" s="1"/>
  <c r="AP180" i="69" s="1"/>
  <c r="P54" i="69"/>
  <c r="Q54" i="69" s="1"/>
  <c r="R54" i="69" s="1"/>
  <c r="T54" i="69" s="1"/>
  <c r="U54" i="69" s="1"/>
  <c r="V54" i="69"/>
  <c r="W54" i="69" s="1"/>
  <c r="P45" i="69"/>
  <c r="S45" i="69" s="1"/>
  <c r="AP45" i="69" s="1"/>
  <c r="P148" i="69"/>
  <c r="P63" i="69"/>
  <c r="Q63" i="69" s="1"/>
  <c r="R63" i="69" s="1"/>
  <c r="T63" i="69" s="1"/>
  <c r="U63" i="69" s="1"/>
  <c r="P60" i="69"/>
  <c r="S60" i="69" s="1"/>
  <c r="AP60" i="69" s="1"/>
  <c r="P29" i="69"/>
  <c r="S29" i="69" s="1"/>
  <c r="AP29" i="69" s="1"/>
  <c r="V29" i="69"/>
  <c r="W29" i="69" s="1"/>
  <c r="P115" i="69"/>
  <c r="Q115" i="69" s="1"/>
  <c r="R115" i="69" s="1"/>
  <c r="T115" i="69" s="1"/>
  <c r="U115" i="69" s="1"/>
  <c r="V115" i="69"/>
  <c r="W115" i="69" s="1"/>
  <c r="P325" i="69"/>
  <c r="Q325" i="69" s="1"/>
  <c r="R325" i="69" s="1"/>
  <c r="P245" i="69"/>
  <c r="S245" i="69" s="1"/>
  <c r="AP245" i="69" s="1"/>
  <c r="V245" i="69"/>
  <c r="P114" i="69"/>
  <c r="Q114" i="69" s="1"/>
  <c r="R114" i="69" s="1"/>
  <c r="T114" i="69" s="1"/>
  <c r="U114" i="69" s="1"/>
  <c r="P275" i="69"/>
  <c r="Q275" i="69" s="1"/>
  <c r="R275" i="69" s="1"/>
  <c r="T275" i="69" s="1"/>
  <c r="U275" i="69" s="1"/>
  <c r="V275" i="69"/>
  <c r="W275" i="69" s="1"/>
  <c r="P232" i="69"/>
  <c r="Q232" i="69" s="1"/>
  <c r="R232" i="69" s="1"/>
  <c r="T232" i="69" s="1"/>
  <c r="U232" i="69" s="1"/>
  <c r="V232" i="69"/>
  <c r="W232" i="69" s="1"/>
  <c r="P196" i="69"/>
  <c r="P138" i="69"/>
  <c r="Q138" i="69" s="1"/>
  <c r="R138" i="69" s="1"/>
  <c r="T138" i="69" s="1"/>
  <c r="U138" i="69" s="1"/>
  <c r="V138" i="69"/>
  <c r="W138" i="69" s="1"/>
  <c r="P21" i="69"/>
  <c r="V21" i="69"/>
  <c r="P12" i="69"/>
  <c r="S12" i="69" s="1"/>
  <c r="AP12" i="69" s="1"/>
  <c r="P111" i="69"/>
  <c r="P300" i="69"/>
  <c r="Q300" i="69" s="1"/>
  <c r="R300" i="69" s="1"/>
  <c r="P35" i="69"/>
  <c r="Q35" i="69" s="1"/>
  <c r="R35" i="69" s="1"/>
  <c r="T35" i="69" s="1"/>
  <c r="U35" i="69" s="1"/>
  <c r="V35" i="69"/>
  <c r="W35" i="69" s="1"/>
  <c r="P32" i="69"/>
  <c r="S32" i="69" s="1"/>
  <c r="AP32" i="69" s="1"/>
  <c r="P253" i="69"/>
  <c r="S253" i="69" s="1"/>
  <c r="AP253" i="69" s="1"/>
  <c r="P25" i="69"/>
  <c r="Q25" i="69" s="1"/>
  <c r="R25" i="69" s="1"/>
  <c r="P206" i="69"/>
  <c r="S206" i="69" s="1"/>
  <c r="AP206" i="69" s="1"/>
  <c r="P237" i="69"/>
  <c r="S237" i="69" s="1"/>
  <c r="AP237" i="69" s="1"/>
  <c r="P190" i="69"/>
  <c r="P99" i="69"/>
  <c r="S99" i="69" s="1"/>
  <c r="AP99" i="69" s="1"/>
  <c r="V99" i="69"/>
  <c r="W99" i="69" s="1"/>
  <c r="P78" i="69"/>
  <c r="S78" i="69" s="1"/>
  <c r="AP78" i="69" s="1"/>
  <c r="V78" i="69"/>
  <c r="W78" i="69" s="1"/>
  <c r="P272" i="69"/>
  <c r="V272" i="69"/>
  <c r="W272" i="69" s="1"/>
  <c r="P7" i="69"/>
  <c r="S7" i="69" s="1"/>
  <c r="AP7" i="69" s="1"/>
  <c r="P314" i="69"/>
  <c r="Q314" i="69" s="1"/>
  <c r="R314" i="69" s="1"/>
  <c r="T314" i="69" s="1"/>
  <c r="U314" i="69" s="1"/>
  <c r="V314" i="69"/>
  <c r="W314" i="69" s="1"/>
  <c r="P97" i="69"/>
  <c r="Q97" i="69" s="1"/>
  <c r="R97" i="69" s="1"/>
  <c r="V97" i="69" s="1"/>
  <c r="P179" i="69"/>
  <c r="S179" i="69" s="1"/>
  <c r="AP179" i="69" s="1"/>
  <c r="V179" i="69"/>
  <c r="W179" i="69" s="1"/>
  <c r="P163" i="69"/>
  <c r="S163" i="69" s="1"/>
  <c r="AP163" i="69" s="1"/>
  <c r="V163" i="69"/>
  <c r="W163" i="69" s="1"/>
  <c r="P194" i="69"/>
  <c r="S194" i="69" s="1"/>
  <c r="AP194" i="69" s="1"/>
  <c r="P310" i="69"/>
  <c r="S310" i="69" s="1"/>
  <c r="AP310" i="69" s="1"/>
  <c r="V310" i="69"/>
  <c r="P70" i="69"/>
  <c r="Q70" i="69" s="1"/>
  <c r="R70" i="69" s="1"/>
  <c r="T70" i="69" s="1"/>
  <c r="U70" i="69" s="1"/>
  <c r="V70" i="69"/>
  <c r="W70" i="69" s="1"/>
  <c r="P143" i="69"/>
  <c r="P267" i="69"/>
  <c r="S267" i="69" s="1"/>
  <c r="AP267" i="69" s="1"/>
  <c r="P51" i="69"/>
  <c r="S51" i="69" s="1"/>
  <c r="AP51" i="69" s="1"/>
  <c r="P44" i="69"/>
  <c r="V44" i="69"/>
  <c r="W44" i="69" s="1"/>
  <c r="P244" i="69"/>
  <c r="Q244" i="69" s="1"/>
  <c r="R244" i="69" s="1"/>
  <c r="P286" i="69"/>
  <c r="Q286" i="69" s="1"/>
  <c r="R286" i="69" s="1"/>
  <c r="T286" i="69" s="1"/>
  <c r="U286" i="69" s="1"/>
  <c r="V286" i="69"/>
  <c r="W286" i="69" s="1"/>
  <c r="P168" i="69"/>
  <c r="P255" i="69"/>
  <c r="Q255" i="69" s="1"/>
  <c r="R255" i="69" s="1"/>
  <c r="P73" i="69"/>
  <c r="Q73" i="69" s="1"/>
  <c r="R73" i="69" s="1"/>
  <c r="T73" i="69" s="1"/>
  <c r="U73" i="69" s="1"/>
  <c r="V73" i="69"/>
  <c r="W73" i="69" s="1"/>
  <c r="P123" i="69"/>
  <c r="P155" i="69"/>
  <c r="V155" i="69"/>
  <c r="W155" i="69" s="1"/>
  <c r="P273" i="69"/>
  <c r="V273" i="69"/>
  <c r="W273" i="69" s="1"/>
  <c r="P105" i="69"/>
  <c r="P321" i="69"/>
  <c r="Q321" i="69" s="1"/>
  <c r="R321" i="69" s="1"/>
  <c r="P141" i="69"/>
  <c r="P187" i="69"/>
  <c r="V187" i="69"/>
  <c r="W187" i="69" s="1"/>
  <c r="P11" i="69"/>
  <c r="S11" i="69" s="1"/>
  <c r="AP11" i="69" s="1"/>
  <c r="V11" i="69"/>
  <c r="W11" i="69" s="1"/>
  <c r="P216" i="69"/>
  <c r="S216" i="69" s="1"/>
  <c r="AP216" i="69" s="1"/>
  <c r="P258" i="69"/>
  <c r="Q258" i="69" s="1"/>
  <c r="R258" i="69" s="1"/>
  <c r="T258" i="69" s="1"/>
  <c r="U258" i="69" s="1"/>
  <c r="V258" i="69"/>
  <c r="W258" i="69" s="1"/>
  <c r="P301" i="69"/>
  <c r="S301" i="69" s="1"/>
  <c r="AP301" i="69" s="1"/>
  <c r="P263" i="69"/>
  <c r="S263" i="69" s="1"/>
  <c r="AP263" i="69" s="1"/>
  <c r="P171" i="69"/>
  <c r="P75" i="69"/>
  <c r="P109" i="69"/>
  <c r="Q109" i="69" s="1"/>
  <c r="R109" i="69" s="1"/>
  <c r="T109" i="69" s="1"/>
  <c r="U109" i="69" s="1"/>
  <c r="P234" i="69"/>
  <c r="S234" i="69" s="1"/>
  <c r="AP234" i="69" s="1"/>
  <c r="P59" i="69"/>
  <c r="P57" i="69"/>
  <c r="V57" i="69"/>
  <c r="W57" i="69" s="1"/>
  <c r="P188" i="69"/>
  <c r="S188" i="69" s="1"/>
  <c r="AP188" i="69" s="1"/>
  <c r="V188" i="69"/>
  <c r="W188" i="69" s="1"/>
  <c r="P230" i="69"/>
  <c r="S230" i="69" s="1"/>
  <c r="AP230" i="69" s="1"/>
  <c r="V230" i="69"/>
  <c r="W230" i="69" s="1"/>
  <c r="P222" i="69"/>
  <c r="S222" i="69" s="1"/>
  <c r="AP222" i="69" s="1"/>
  <c r="V222" i="69"/>
  <c r="W222" i="69" s="1"/>
  <c r="P83" i="69"/>
  <c r="Q83" i="69" s="1"/>
  <c r="R83" i="69" s="1"/>
  <c r="T83" i="69" s="1"/>
  <c r="U83" i="69" s="1"/>
  <c r="V83" i="69"/>
  <c r="W83" i="69" s="1"/>
  <c r="P93" i="69"/>
  <c r="V93" i="69"/>
  <c r="W93" i="69" s="1"/>
  <c r="P30" i="69"/>
  <c r="S30" i="69" s="1"/>
  <c r="AP30" i="69" s="1"/>
  <c r="V30" i="69"/>
  <c r="W30" i="69" s="1"/>
  <c r="P68" i="69"/>
  <c r="P277" i="69"/>
  <c r="S277" i="69" s="1"/>
  <c r="AP277" i="69" s="1"/>
  <c r="V277" i="69"/>
  <c r="W277" i="69" s="1"/>
  <c r="P192" i="69"/>
  <c r="S192" i="69" s="1"/>
  <c r="AP192" i="69" s="1"/>
  <c r="P9" i="69"/>
  <c r="Q9" i="69" s="1"/>
  <c r="R9" i="69" s="1"/>
  <c r="T9" i="69" s="1"/>
  <c r="U9" i="69" s="1"/>
  <c r="V9" i="69"/>
  <c r="W9" i="69" s="1"/>
  <c r="P125" i="69"/>
  <c r="S125" i="69" s="1"/>
  <c r="AP125" i="69" s="1"/>
  <c r="V125" i="69"/>
  <c r="W125" i="69" s="1"/>
  <c r="P160" i="69"/>
  <c r="Q160" i="69" s="1"/>
  <c r="R160" i="69" s="1"/>
  <c r="P202" i="69"/>
  <c r="Q202" i="69" s="1"/>
  <c r="R202" i="69" s="1"/>
  <c r="T202" i="69" s="1"/>
  <c r="U202" i="69" s="1"/>
  <c r="V202" i="69"/>
  <c r="W202" i="69" s="1"/>
  <c r="P137" i="69"/>
  <c r="Q137" i="69" s="1"/>
  <c r="R137" i="69" s="1"/>
  <c r="P41" i="69"/>
  <c r="S41" i="69" s="1"/>
  <c r="AP41" i="69" s="1"/>
  <c r="P280" i="69"/>
  <c r="V280" i="69"/>
  <c r="W280" i="69" s="1"/>
  <c r="P81" i="69"/>
  <c r="V81" i="69"/>
  <c r="W81" i="69" s="1"/>
  <c r="P251" i="69"/>
  <c r="V251" i="69"/>
  <c r="W251" i="69" s="1"/>
  <c r="P17" i="69"/>
  <c r="P153" i="69"/>
  <c r="Q153" i="69" s="1"/>
  <c r="R153" i="69" s="1"/>
  <c r="P226" i="69"/>
  <c r="V226" i="69"/>
  <c r="W226" i="69" s="1"/>
  <c r="P92" i="69"/>
  <c r="Q92" i="69" s="1"/>
  <c r="R92" i="69" s="1"/>
  <c r="T92" i="69" s="1"/>
  <c r="U92" i="69" s="1"/>
  <c r="P18" i="69"/>
  <c r="S18" i="69" s="1"/>
  <c r="AP18" i="69" s="1"/>
  <c r="V18" i="69"/>
  <c r="W18" i="69" s="1"/>
  <c r="P132" i="69"/>
  <c r="Q132" i="69" s="1"/>
  <c r="R132" i="69" s="1"/>
  <c r="T132" i="69" s="1"/>
  <c r="U132" i="69" s="1"/>
  <c r="P174" i="69"/>
  <c r="S174" i="69" s="1"/>
  <c r="AP174" i="69" s="1"/>
  <c r="P50" i="69"/>
  <c r="Q50" i="69" s="1"/>
  <c r="R50" i="69" s="1"/>
  <c r="T50" i="69" s="1"/>
  <c r="U50" i="69" s="1"/>
  <c r="V50" i="69"/>
  <c r="W50" i="69" s="1"/>
  <c r="P204" i="69"/>
  <c r="S204" i="69" s="1"/>
  <c r="AP204" i="69" s="1"/>
  <c r="P95" i="69"/>
  <c r="V95" i="69"/>
  <c r="W95" i="69" s="1"/>
  <c r="P212" i="69"/>
  <c r="S212" i="69" s="1"/>
  <c r="AP212" i="69" s="1"/>
  <c r="P107" i="69"/>
  <c r="P102" i="69"/>
  <c r="Q102" i="69" s="1"/>
  <c r="R102" i="69" s="1"/>
  <c r="T102" i="69" s="1"/>
  <c r="U102" i="69" s="1"/>
  <c r="V102" i="69"/>
  <c r="W102" i="69" s="1"/>
  <c r="P55" i="69"/>
  <c r="Q55" i="69" s="1"/>
  <c r="R55" i="69" s="1"/>
  <c r="T55" i="69" s="1"/>
  <c r="U55" i="69" s="1"/>
  <c r="V55" i="69"/>
  <c r="W55" i="69" s="1"/>
  <c r="P104" i="69"/>
  <c r="S104" i="69" s="1"/>
  <c r="AP104" i="69" s="1"/>
  <c r="V104" i="69"/>
  <c r="W104" i="69" s="1"/>
  <c r="P146" i="69"/>
  <c r="Q146" i="69" s="1"/>
  <c r="R146" i="69" s="1"/>
  <c r="T146" i="69" s="1"/>
  <c r="U146" i="69" s="1"/>
  <c r="V146" i="69"/>
  <c r="W146" i="69" s="1"/>
  <c r="P121" i="69"/>
  <c r="S121" i="69" s="1"/>
  <c r="AP121" i="69" s="1"/>
  <c r="V121" i="69"/>
  <c r="W121" i="69" s="1"/>
  <c r="P66" i="69"/>
  <c r="S66" i="69" s="1"/>
  <c r="AP66" i="69" s="1"/>
  <c r="V66" i="69"/>
  <c r="W66" i="69" s="1"/>
  <c r="P22" i="69"/>
  <c r="Q22" i="69" s="1"/>
  <c r="R22" i="69" s="1"/>
  <c r="T22" i="69" s="1"/>
  <c r="U22" i="69" s="1"/>
  <c r="P76" i="69"/>
  <c r="V76" i="69"/>
  <c r="W76" i="69" s="1"/>
  <c r="P118" i="69"/>
  <c r="P297" i="69"/>
  <c r="Q297" i="69" s="1"/>
  <c r="R297" i="69" s="1"/>
  <c r="T297" i="69" s="1"/>
  <c r="U297" i="69" s="1"/>
  <c r="V297" i="69"/>
  <c r="W297" i="69" s="1"/>
  <c r="P27" i="69"/>
  <c r="S27" i="69" s="1"/>
  <c r="AP27" i="69" s="1"/>
  <c r="P127" i="69"/>
  <c r="S127" i="69" s="1"/>
  <c r="AP127" i="69" s="1"/>
  <c r="P39" i="69"/>
  <c r="S39" i="69" s="1"/>
  <c r="AP39" i="69" s="1"/>
  <c r="V39" i="69"/>
  <c r="W39" i="69" s="1"/>
  <c r="P14" i="69"/>
  <c r="S14" i="69" s="1"/>
  <c r="AP14" i="69" s="1"/>
  <c r="V14" i="69"/>
  <c r="W14" i="69" s="1"/>
  <c r="P48" i="69"/>
  <c r="V48" i="69"/>
  <c r="W48" i="69" s="1"/>
  <c r="P90" i="69"/>
  <c r="S90" i="69" s="1"/>
  <c r="AP90" i="69" s="1"/>
  <c r="P219" i="69"/>
  <c r="V219" i="69"/>
  <c r="P242" i="69"/>
  <c r="Q242" i="69" s="1"/>
  <c r="R242" i="69" s="1"/>
  <c r="T242" i="69" s="1"/>
  <c r="U242" i="69" s="1"/>
  <c r="V242" i="69"/>
  <c r="W242" i="69" s="1"/>
  <c r="P302" i="69"/>
  <c r="V302" i="69"/>
  <c r="W302" i="69" s="1"/>
  <c r="P20" i="69"/>
  <c r="Q20" i="69" s="1"/>
  <c r="R20" i="69" s="1"/>
  <c r="T20" i="69" s="1"/>
  <c r="U20" i="69" s="1"/>
  <c r="V20" i="69"/>
  <c r="W20" i="69" s="1"/>
  <c r="P62" i="69"/>
  <c r="V62" i="69"/>
  <c r="W62" i="69" s="1"/>
  <c r="P313" i="69"/>
  <c r="Q313" i="69" s="1"/>
  <c r="R313" i="69" s="1"/>
  <c r="T313" i="69" s="1"/>
  <c r="U313" i="69" s="1"/>
  <c r="P134" i="69"/>
  <c r="S134" i="69" s="1"/>
  <c r="AP134" i="69" s="1"/>
  <c r="V134" i="69"/>
  <c r="W134" i="69" s="1"/>
  <c r="P38" i="69"/>
  <c r="Q38" i="69" s="1"/>
  <c r="R38" i="69" s="1"/>
  <c r="T38" i="69" s="1"/>
  <c r="U38" i="69" s="1"/>
  <c r="V38" i="69"/>
  <c r="W38" i="69" s="1"/>
  <c r="P317" i="69"/>
  <c r="Q317" i="69" s="1"/>
  <c r="R317" i="69" s="1"/>
  <c r="P268" i="69"/>
  <c r="S268" i="69" s="1"/>
  <c r="AP268" i="69" s="1"/>
  <c r="V268" i="69"/>
  <c r="W268" i="69" s="1"/>
  <c r="P34" i="69"/>
  <c r="Q34" i="69" s="1"/>
  <c r="R34" i="69" s="1"/>
  <c r="T34" i="69" s="1"/>
  <c r="U34" i="69" s="1"/>
  <c r="V34" i="69"/>
  <c r="W34" i="69" s="1"/>
  <c r="P285" i="69"/>
  <c r="S285" i="69" s="1"/>
  <c r="AP285" i="69" s="1"/>
  <c r="V285" i="69"/>
  <c r="W285" i="69" s="1"/>
  <c r="P322" i="69"/>
  <c r="Q322" i="69" s="1"/>
  <c r="R322" i="69" s="1"/>
  <c r="T322" i="69" s="1"/>
  <c r="U322" i="69" s="1"/>
  <c r="P42" i="69"/>
  <c r="S42" i="69" s="1"/>
  <c r="AP42" i="69" s="1"/>
  <c r="V42" i="69"/>
  <c r="W42" i="69" s="1"/>
  <c r="P161" i="69"/>
  <c r="S161" i="69" s="1"/>
  <c r="AP161" i="69" s="1"/>
  <c r="V161" i="69"/>
  <c r="W161" i="69" s="1"/>
  <c r="P130" i="69"/>
  <c r="Q130" i="69" s="1"/>
  <c r="R130" i="69" s="1"/>
  <c r="T130" i="69" s="1"/>
  <c r="U130" i="69" s="1"/>
  <c r="V130" i="69"/>
  <c r="P276" i="69"/>
  <c r="Q276" i="69" s="1"/>
  <c r="R276" i="69" s="1"/>
  <c r="T276" i="69" s="1"/>
  <c r="U276" i="69" s="1"/>
  <c r="V276" i="69"/>
  <c r="W276" i="69" s="1"/>
  <c r="P235" i="69"/>
  <c r="S235" i="69" s="1"/>
  <c r="AP235" i="69" s="1"/>
  <c r="P6" i="69"/>
  <c r="Q6" i="69" s="1"/>
  <c r="R6" i="69" s="1"/>
  <c r="T6" i="69" s="1"/>
  <c r="U6" i="69" s="1"/>
  <c r="V6" i="69"/>
  <c r="W6" i="69" s="1"/>
  <c r="P257" i="69"/>
  <c r="Q257" i="69" s="1"/>
  <c r="R257" i="69" s="1"/>
  <c r="T257" i="69" s="1"/>
  <c r="U257" i="69" s="1"/>
  <c r="V257" i="69"/>
  <c r="W257" i="69" s="1"/>
  <c r="P240" i="69"/>
  <c r="Q240" i="69" s="1"/>
  <c r="R240" i="69" s="1"/>
  <c r="T240" i="69" s="1"/>
  <c r="U240" i="69" s="1"/>
  <c r="P37" i="69"/>
  <c r="Q37" i="69" s="1"/>
  <c r="R37" i="69" s="1"/>
  <c r="T37" i="69" s="1"/>
  <c r="U37" i="69" s="1"/>
  <c r="V37" i="69"/>
  <c r="W37" i="69" s="1"/>
  <c r="P296" i="69"/>
  <c r="Q296" i="69" s="1"/>
  <c r="R296" i="69" s="1"/>
  <c r="T296" i="69" s="1"/>
  <c r="U296" i="69" s="1"/>
  <c r="V296" i="69"/>
  <c r="W296" i="69" s="1"/>
  <c r="P262" i="69"/>
  <c r="S262" i="69" s="1"/>
  <c r="AP262" i="69" s="1"/>
  <c r="V262" i="69"/>
  <c r="W262" i="69" s="1"/>
  <c r="P238" i="69"/>
  <c r="P309" i="69"/>
  <c r="Q309" i="69" s="1"/>
  <c r="P198" i="69"/>
  <c r="S198" i="69" s="1"/>
  <c r="AP198" i="69" s="1"/>
  <c r="V198" i="69"/>
  <c r="W198" i="69" s="1"/>
  <c r="P218" i="69"/>
  <c r="S218" i="69" s="1"/>
  <c r="AP218" i="69" s="1"/>
  <c r="V218" i="69"/>
  <c r="W218" i="69" s="1"/>
  <c r="P320" i="69"/>
  <c r="P229" i="69"/>
  <c r="Q229" i="69" s="1"/>
  <c r="V229" i="69"/>
  <c r="W229" i="69" s="1"/>
  <c r="P158" i="69"/>
  <c r="Q158" i="69" s="1"/>
  <c r="R158" i="69" s="1"/>
  <c r="T158" i="69" s="1"/>
  <c r="U158" i="69" s="1"/>
  <c r="P213" i="69"/>
  <c r="Q213" i="69" s="1"/>
  <c r="R213" i="69" s="1"/>
  <c r="P178" i="69"/>
  <c r="Q178" i="69" s="1"/>
  <c r="R178" i="69" s="1"/>
  <c r="P290" i="69"/>
  <c r="V290" i="69"/>
  <c r="W290" i="69" s="1"/>
  <c r="P195" i="69"/>
  <c r="Q195" i="69" s="1"/>
  <c r="R195" i="69" s="1"/>
  <c r="T195" i="69" s="1"/>
  <c r="U195" i="69" s="1"/>
  <c r="V195" i="69"/>
  <c r="W195" i="69" s="1"/>
  <c r="P271" i="69"/>
  <c r="S271" i="69" s="1"/>
  <c r="AP271" i="69" s="1"/>
  <c r="V271" i="69"/>
  <c r="W271" i="69" s="1"/>
  <c r="P165" i="69"/>
  <c r="Q165" i="69" s="1"/>
  <c r="R165" i="69" s="1"/>
  <c r="T165" i="69" s="1"/>
  <c r="U165" i="69" s="1"/>
  <c r="V165" i="69"/>
  <c r="W165" i="69" s="1"/>
  <c r="P184" i="69"/>
  <c r="Q184" i="69" s="1"/>
  <c r="R184" i="69" s="1"/>
  <c r="P283" i="69"/>
  <c r="S283" i="69" s="1"/>
  <c r="AP283" i="69" s="1"/>
  <c r="V283" i="69"/>
  <c r="W283" i="69" s="1"/>
  <c r="P201" i="69"/>
  <c r="Q201" i="69" s="1"/>
  <c r="R201" i="69" s="1"/>
  <c r="V201" i="69"/>
  <c r="P71" i="69"/>
  <c r="S71" i="69" s="1"/>
  <c r="AP71" i="69" s="1"/>
  <c r="V71" i="69"/>
  <c r="W71" i="69" s="1"/>
  <c r="P279" i="69"/>
  <c r="S279" i="69" s="1"/>
  <c r="AP279" i="69" s="1"/>
  <c r="V279" i="69"/>
  <c r="W279" i="69" s="1"/>
  <c r="P295" i="69"/>
  <c r="V295" i="69"/>
  <c r="W295" i="69" s="1"/>
  <c r="P82" i="69"/>
  <c r="S82" i="69" s="1"/>
  <c r="AP82" i="69" s="1"/>
  <c r="P166" i="69"/>
  <c r="Q166" i="69" s="1"/>
  <c r="R166" i="69" s="1"/>
  <c r="T166" i="69" s="1"/>
  <c r="U166" i="69" s="1"/>
  <c r="V166" i="69"/>
  <c r="W166" i="69" s="1"/>
  <c r="P96" i="69"/>
  <c r="S96" i="69" s="1"/>
  <c r="AP96" i="69" s="1"/>
  <c r="P210" i="69"/>
  <c r="Q210" i="69" s="1"/>
  <c r="R210" i="69" s="1"/>
  <c r="T210" i="69" s="1"/>
  <c r="U210" i="69" s="1"/>
  <c r="V210" i="69"/>
  <c r="W210" i="69" s="1"/>
  <c r="P211" i="69"/>
  <c r="Q211" i="69" s="1"/>
  <c r="R211" i="69" s="1"/>
  <c r="T211" i="69" s="1"/>
  <c r="U211" i="69" s="1"/>
  <c r="V211" i="69"/>
  <c r="W211" i="69" s="1"/>
  <c r="P292" i="69"/>
  <c r="Q292" i="69" s="1"/>
  <c r="R292" i="69" s="1"/>
  <c r="T292" i="69" s="1"/>
  <c r="U292" i="69" s="1"/>
  <c r="V292" i="69"/>
  <c r="W292" i="69" s="1"/>
  <c r="P246" i="69"/>
  <c r="S246" i="69" s="1"/>
  <c r="AP246" i="69" s="1"/>
  <c r="V246" i="69"/>
  <c r="W246" i="69" s="1"/>
  <c r="P156" i="69"/>
  <c r="Q156" i="69" s="1"/>
  <c r="R156" i="69" s="1"/>
  <c r="T156" i="69" s="1"/>
  <c r="U156" i="69" s="1"/>
  <c r="V156" i="69"/>
  <c r="W156" i="69" s="1"/>
  <c r="P233" i="69"/>
  <c r="P307" i="69"/>
  <c r="S307" i="69" s="1"/>
  <c r="AP307" i="69" s="1"/>
  <c r="P131" i="69"/>
  <c r="S131" i="69" s="1"/>
  <c r="AP131" i="69" s="1"/>
  <c r="V131" i="69"/>
  <c r="W131" i="69" s="1"/>
  <c r="P151" i="69"/>
  <c r="Q151" i="69" s="1"/>
  <c r="R151" i="69" s="1"/>
  <c r="P250" i="69"/>
  <c r="S250" i="69" s="1"/>
  <c r="AP250" i="69" s="1"/>
  <c r="P173" i="69"/>
  <c r="Q173" i="69" s="1"/>
  <c r="R173" i="69" s="1"/>
  <c r="P324" i="69"/>
  <c r="Q324" i="69" s="1"/>
  <c r="R324" i="69" s="1"/>
  <c r="T324" i="69" s="1"/>
  <c r="U324" i="69" s="1"/>
  <c r="P298" i="69"/>
  <c r="S298" i="69" s="1"/>
  <c r="AP298" i="69" s="1"/>
  <c r="V298" i="69"/>
  <c r="W298" i="69" s="1"/>
  <c r="P199" i="69"/>
  <c r="Q199" i="69" s="1"/>
  <c r="R199" i="69" s="1"/>
  <c r="P260" i="69"/>
  <c r="Q260" i="69" s="1"/>
  <c r="R260" i="69" s="1"/>
  <c r="T260" i="69" s="1"/>
  <c r="U260" i="69" s="1"/>
  <c r="V260" i="69"/>
  <c r="W260" i="69" s="1"/>
  <c r="P207" i="69"/>
  <c r="Q207" i="69" s="1"/>
  <c r="R207" i="69" s="1"/>
  <c r="T207" i="69" s="1"/>
  <c r="U207" i="69" s="1"/>
  <c r="P110" i="69"/>
  <c r="Q110" i="69" s="1"/>
  <c r="R110" i="69" s="1"/>
  <c r="T110" i="69" s="1"/>
  <c r="U110" i="69" s="1"/>
  <c r="V110" i="69"/>
  <c r="W110" i="69" s="1"/>
  <c r="P239" i="69"/>
  <c r="Q239" i="69" s="1"/>
  <c r="R239" i="69" s="1"/>
  <c r="P191" i="69"/>
  <c r="S191" i="69" s="1"/>
  <c r="AP191" i="69" s="1"/>
  <c r="P269" i="69"/>
  <c r="S269" i="69" s="1"/>
  <c r="AP269" i="69" s="1"/>
  <c r="V269" i="69"/>
  <c r="W269" i="69" s="1"/>
  <c r="P98" i="69"/>
  <c r="Q98" i="69" s="1"/>
  <c r="R98" i="69" s="1"/>
  <c r="T98" i="69" s="1"/>
  <c r="U98" i="69" s="1"/>
  <c r="V98" i="69"/>
  <c r="W98" i="69" s="1"/>
  <c r="P47" i="69"/>
  <c r="V47" i="69"/>
  <c r="W47" i="69" s="1"/>
  <c r="P217" i="69"/>
  <c r="V217" i="69"/>
  <c r="P145" i="69"/>
  <c r="Q145" i="69" s="1"/>
  <c r="R145" i="69" s="1"/>
  <c r="T145" i="69" s="1"/>
  <c r="U145" i="69" s="1"/>
  <c r="V145" i="69"/>
  <c r="W145" i="69" s="1"/>
  <c r="P220" i="69"/>
  <c r="S220" i="69" s="1"/>
  <c r="AP220" i="69" s="1"/>
  <c r="P120" i="69"/>
  <c r="Q120" i="69" s="1"/>
  <c r="R120" i="69" s="1"/>
  <c r="P129" i="69"/>
  <c r="Q129" i="69" s="1"/>
  <c r="R129" i="69" s="1"/>
  <c r="T129" i="69" s="1"/>
  <c r="U129" i="69" s="1"/>
  <c r="V129" i="69"/>
  <c r="W129" i="69" s="1"/>
  <c r="P243" i="69"/>
  <c r="Q243" i="69" s="1"/>
  <c r="R243" i="69" s="1"/>
  <c r="P162" i="69"/>
  <c r="Q162" i="69" s="1"/>
  <c r="R162" i="69" s="1"/>
  <c r="T162" i="69" s="1"/>
  <c r="U162" i="69" s="1"/>
  <c r="V162" i="69"/>
  <c r="W162" i="69" s="1"/>
  <c r="P176" i="69"/>
  <c r="Q176" i="69" s="1"/>
  <c r="R176" i="69" s="1"/>
  <c r="T176" i="69" s="1"/>
  <c r="U176" i="69" s="1"/>
  <c r="P128" i="69"/>
  <c r="S128" i="69" s="1"/>
  <c r="AP128" i="69" s="1"/>
  <c r="V128" i="69"/>
  <c r="W128" i="69" s="1"/>
  <c r="P177" i="69"/>
  <c r="Q177" i="69" s="1"/>
  <c r="R177" i="69" s="1"/>
  <c r="T177" i="69" s="1"/>
  <c r="U177" i="69" s="1"/>
  <c r="P164" i="69"/>
  <c r="Q164" i="69" s="1"/>
  <c r="R164" i="69" s="1"/>
  <c r="T164" i="69" s="1"/>
  <c r="U164" i="69" s="1"/>
  <c r="V164" i="69"/>
  <c r="W164" i="69" s="1"/>
  <c r="P69" i="69"/>
  <c r="V69" i="69"/>
  <c r="W69" i="69" s="1"/>
  <c r="P311" i="69"/>
  <c r="Q311" i="69" s="1"/>
  <c r="R311" i="69" s="1"/>
  <c r="T311" i="69" s="1"/>
  <c r="U311" i="69" s="1"/>
  <c r="P152" i="69"/>
  <c r="Q152" i="69" s="1"/>
  <c r="R152" i="69" s="1"/>
  <c r="T152" i="69" s="1"/>
  <c r="U152" i="69" s="1"/>
  <c r="P227" i="69"/>
  <c r="V227" i="69"/>
  <c r="W227" i="69" s="1"/>
  <c r="P65" i="69"/>
  <c r="S65" i="69" s="1"/>
  <c r="AP65" i="69" s="1"/>
  <c r="P183" i="69"/>
  <c r="Q183" i="69" s="1"/>
  <c r="R183" i="69" s="1"/>
  <c r="P117" i="69"/>
  <c r="S117" i="69" s="1"/>
  <c r="AP117" i="69" s="1"/>
  <c r="V117" i="69"/>
  <c r="W117" i="69" s="1"/>
  <c r="P135" i="69"/>
  <c r="Q135" i="69" s="1"/>
  <c r="R135" i="69" s="1"/>
  <c r="T135" i="69" s="1"/>
  <c r="U135" i="69" s="1"/>
  <c r="V135" i="69"/>
  <c r="W135" i="69" s="1"/>
  <c r="P26" i="69"/>
  <c r="Q26" i="69" s="1"/>
  <c r="R26" i="69" s="1"/>
  <c r="P94" i="69"/>
  <c r="Q94" i="69" s="1"/>
  <c r="R94" i="69" s="1"/>
  <c r="T94" i="69" s="1"/>
  <c r="U94" i="69" s="1"/>
  <c r="V94" i="69"/>
  <c r="W94" i="69" s="1"/>
  <c r="P124" i="69"/>
  <c r="V124" i="69"/>
  <c r="W124" i="69" s="1"/>
  <c r="P23" i="69"/>
  <c r="Q23" i="69" s="1"/>
  <c r="R23" i="69" s="1"/>
  <c r="T23" i="69" s="1"/>
  <c r="U23" i="69" s="1"/>
  <c r="P274" i="69"/>
  <c r="Q274" i="69" s="1"/>
  <c r="R274" i="69" s="1"/>
  <c r="T274" i="69" s="1"/>
  <c r="U274" i="69" s="1"/>
  <c r="V274" i="69"/>
  <c r="W274" i="69" s="1"/>
  <c r="P106" i="69"/>
  <c r="Q106" i="69" s="1"/>
  <c r="R106" i="69" s="1"/>
  <c r="T106" i="69" s="1"/>
  <c r="U106" i="69" s="1"/>
  <c r="P157" i="69"/>
  <c r="V157" i="69"/>
  <c r="W157" i="69" s="1"/>
  <c r="P189" i="69"/>
  <c r="P28" i="69"/>
  <c r="V28" i="69"/>
  <c r="W28" i="69" s="1"/>
  <c r="P86" i="69"/>
  <c r="Q86" i="69" s="1"/>
  <c r="R86" i="69" s="1"/>
  <c r="P150" i="69"/>
  <c r="Q150" i="69" s="1"/>
  <c r="R150" i="69" s="1"/>
  <c r="V150" i="69" s="1"/>
  <c r="P315" i="69"/>
  <c r="Q315" i="69" s="1"/>
  <c r="R315" i="69" s="1"/>
  <c r="T315" i="69" s="1"/>
  <c r="U315" i="69" s="1"/>
  <c r="V315" i="69"/>
  <c r="W315" i="69" s="1"/>
  <c r="P89" i="69"/>
  <c r="Q89" i="69" s="1"/>
  <c r="R89" i="69" s="1"/>
  <c r="T89" i="69" s="1"/>
  <c r="U89" i="69" s="1"/>
  <c r="V89" i="69"/>
  <c r="W89" i="69" s="1"/>
  <c r="P312" i="69"/>
  <c r="Q312" i="69" s="1"/>
  <c r="R312" i="69" s="1"/>
  <c r="T312" i="69" s="1"/>
  <c r="U312" i="69" s="1"/>
  <c r="V312" i="69"/>
  <c r="W312" i="69" s="1"/>
  <c r="P43" i="69"/>
  <c r="S43" i="69" s="1"/>
  <c r="AP43" i="69" s="1"/>
  <c r="V43" i="69"/>
  <c r="W43" i="69" s="1"/>
  <c r="P291" i="69"/>
  <c r="S291" i="69" s="1"/>
  <c r="AP291" i="69" s="1"/>
  <c r="V291" i="69"/>
  <c r="W291" i="69" s="1"/>
  <c r="P209" i="69"/>
  <c r="Q209" i="69" s="1"/>
  <c r="R209" i="69" s="1"/>
  <c r="V209" i="69" s="1"/>
  <c r="P77" i="69"/>
  <c r="V77" i="69"/>
  <c r="W77" i="69" s="1"/>
  <c r="P236" i="69"/>
  <c r="S236" i="69" s="1"/>
  <c r="AP236" i="69" s="1"/>
  <c r="P64" i="69"/>
  <c r="Q64" i="69" s="1"/>
  <c r="R64" i="69" s="1"/>
  <c r="T64" i="69" s="1"/>
  <c r="U64" i="69" s="1"/>
  <c r="V64" i="69"/>
  <c r="W64" i="69" s="1"/>
  <c r="P142" i="69"/>
  <c r="V142" i="69"/>
  <c r="W142" i="69" s="1"/>
  <c r="P53" i="69"/>
  <c r="S53" i="69" s="1"/>
  <c r="AP53" i="69" s="1"/>
  <c r="P113" i="69"/>
  <c r="Q113" i="69" s="1"/>
  <c r="R113" i="69" s="1"/>
  <c r="T113" i="69" s="1"/>
  <c r="U113" i="69" s="1"/>
  <c r="V113" i="69"/>
  <c r="W113" i="69" s="1"/>
  <c r="P319" i="69"/>
  <c r="S319" i="69" s="1"/>
  <c r="AP319" i="69" s="1"/>
  <c r="P287" i="69"/>
  <c r="Q287" i="69" s="1"/>
  <c r="R287" i="69" s="1"/>
  <c r="T287" i="69" s="1"/>
  <c r="U287" i="69" s="1"/>
  <c r="V287" i="69"/>
  <c r="W287" i="69" s="1"/>
  <c r="P61" i="69"/>
  <c r="Q61" i="69" s="1"/>
  <c r="R61" i="69" s="1"/>
  <c r="P284" i="69"/>
  <c r="S284" i="69" s="1"/>
  <c r="AP284" i="69" s="1"/>
  <c r="V284" i="69"/>
  <c r="W284" i="69" s="1"/>
  <c r="P208" i="69"/>
  <c r="Q208" i="69" s="1"/>
  <c r="R208" i="69" s="1"/>
  <c r="T208" i="69" s="1"/>
  <c r="U208" i="69" s="1"/>
  <c r="P169" i="69"/>
  <c r="Q169" i="69" s="1"/>
  <c r="R169" i="69" s="1"/>
  <c r="T169" i="69" s="1"/>
  <c r="U169" i="69" s="1"/>
  <c r="V169" i="69"/>
  <c r="W169" i="69" s="1"/>
  <c r="P31" i="69"/>
  <c r="Q31" i="69" s="1"/>
  <c r="R31" i="69" s="1"/>
  <c r="P193" i="69"/>
  <c r="S193" i="69" s="1"/>
  <c r="AP193" i="69" s="1"/>
  <c r="V193" i="69"/>
  <c r="W193" i="69" s="1"/>
  <c r="P10" i="69"/>
  <c r="S10" i="69" s="1"/>
  <c r="AP10" i="69" s="1"/>
  <c r="V10" i="69"/>
  <c r="W10" i="69" s="1"/>
  <c r="P103" i="69"/>
  <c r="P304" i="69"/>
  <c r="S304" i="69" s="1"/>
  <c r="AP304" i="69" s="1"/>
  <c r="P19" i="69"/>
  <c r="Q19" i="69" s="1"/>
  <c r="R19" i="69" s="1"/>
  <c r="P80" i="69"/>
  <c r="Q80" i="69" s="1"/>
  <c r="R80" i="69" s="1"/>
  <c r="V80" i="69" s="1"/>
  <c r="P282" i="69"/>
  <c r="S282" i="69" s="1"/>
  <c r="AP282" i="69" s="1"/>
  <c r="V282" i="69"/>
  <c r="W282" i="69" s="1"/>
  <c r="P259" i="69"/>
  <c r="S259" i="69" s="1"/>
  <c r="AP259" i="69" s="1"/>
  <c r="V259" i="69"/>
  <c r="W259" i="69" s="1"/>
  <c r="P33" i="69"/>
  <c r="S33" i="69" s="1"/>
  <c r="AP33" i="69" s="1"/>
  <c r="P256" i="69"/>
  <c r="Q256" i="69" s="1"/>
  <c r="R256" i="69" s="1"/>
  <c r="T256" i="69" s="1"/>
  <c r="U256" i="69" s="1"/>
  <c r="V256" i="69"/>
  <c r="W256" i="69" s="1"/>
  <c r="P126" i="69"/>
  <c r="Q126" i="69" s="1"/>
  <c r="R126" i="69" s="1"/>
  <c r="T126" i="69" s="1"/>
  <c r="U126" i="69" s="1"/>
  <c r="V126" i="69"/>
  <c r="W126" i="69" s="1"/>
  <c r="P154" i="69"/>
  <c r="S154" i="69" s="1"/>
  <c r="AP154" i="69" s="1"/>
  <c r="P58" i="69"/>
  <c r="P24" i="69"/>
  <c r="V24" i="69"/>
  <c r="W24" i="69" s="1"/>
  <c r="P305" i="69"/>
  <c r="S305" i="69" s="1"/>
  <c r="AP305" i="69" s="1"/>
  <c r="V305" i="69"/>
  <c r="P265" i="69"/>
  <c r="Q265" i="69" s="1"/>
  <c r="R265" i="69" s="1"/>
  <c r="T265" i="69" s="1"/>
  <c r="U265" i="69" s="1"/>
  <c r="V265" i="69"/>
  <c r="W265" i="69" s="1"/>
  <c r="P46" i="69"/>
  <c r="Q46" i="69" s="1"/>
  <c r="R46" i="69" s="1"/>
  <c r="V46" i="69" s="1"/>
  <c r="P249" i="69"/>
  <c r="S249" i="69" s="1"/>
  <c r="AP249" i="69" s="1"/>
  <c r="V249" i="69"/>
  <c r="W249" i="69" s="1"/>
  <c r="P231" i="69"/>
  <c r="S231" i="69" s="1"/>
  <c r="AP231" i="69" s="1"/>
  <c r="V231" i="69"/>
  <c r="W231" i="69" s="1"/>
  <c r="P5" i="69"/>
  <c r="Q5" i="69" s="1"/>
  <c r="R5" i="69" s="1"/>
  <c r="T5" i="69" s="1"/>
  <c r="U5" i="69" s="1"/>
  <c r="V5" i="69"/>
  <c r="W5" i="69" s="1"/>
  <c r="P228" i="69"/>
  <c r="V228" i="69"/>
  <c r="W228" i="69" s="1"/>
  <c r="P4" i="69"/>
  <c r="V4" i="69"/>
  <c r="W4" i="69" s="1"/>
  <c r="P323" i="69"/>
  <c r="Q323" i="69" s="1"/>
  <c r="R323" i="69" s="1"/>
  <c r="P36" i="69"/>
  <c r="Q36" i="69" s="1"/>
  <c r="R36" i="69" s="1"/>
  <c r="P40" i="69"/>
  <c r="P261" i="69"/>
  <c r="S261" i="69" s="1"/>
  <c r="AP261" i="69" s="1"/>
  <c r="P252" i="69"/>
  <c r="Q252" i="69" s="1"/>
  <c r="R252" i="69" s="1"/>
  <c r="T252" i="69" s="1"/>
  <c r="U252" i="69" s="1"/>
  <c r="V252" i="69"/>
  <c r="W252" i="69" s="1"/>
  <c r="P108" i="69"/>
  <c r="S108" i="69" s="1"/>
  <c r="AP108" i="69" s="1"/>
  <c r="P8" i="69"/>
  <c r="Q8" i="69" s="1"/>
  <c r="R8" i="69" s="1"/>
  <c r="T8" i="69" s="1"/>
  <c r="U8" i="69" s="1"/>
  <c r="P266" i="69"/>
  <c r="Q266" i="69" s="1"/>
  <c r="R266" i="69" s="1"/>
  <c r="T266" i="69" s="1"/>
  <c r="U266" i="69" s="1"/>
  <c r="V266" i="69"/>
  <c r="W266" i="69" s="1"/>
  <c r="P224" i="69"/>
  <c r="Q224" i="69" s="1"/>
  <c r="V224" i="69"/>
  <c r="W224" i="69" s="1"/>
  <c r="P13" i="69"/>
  <c r="Q13" i="69" s="1"/>
  <c r="R13" i="69" s="1"/>
  <c r="T13" i="69" s="1"/>
  <c r="U13" i="69" s="1"/>
  <c r="P215" i="69"/>
  <c r="Q215" i="69" s="1"/>
  <c r="R215" i="69" s="1"/>
  <c r="T215" i="69" s="1"/>
  <c r="U215" i="69" s="1"/>
  <c r="V215" i="69"/>
  <c r="W215" i="69" s="1"/>
  <c r="P318" i="69"/>
  <c r="P203" i="69"/>
  <c r="V203" i="69"/>
  <c r="W203" i="69" s="1"/>
  <c r="P200" i="69"/>
  <c r="S200" i="69" s="1"/>
  <c r="AP200" i="69" s="1"/>
  <c r="V200" i="69"/>
  <c r="W200" i="69" s="1"/>
  <c r="P241" i="69"/>
  <c r="S241" i="69" s="1"/>
  <c r="AP241" i="69" s="1"/>
  <c r="P84" i="69"/>
  <c r="S84" i="69" s="1"/>
  <c r="AP84" i="69" s="1"/>
  <c r="P67" i="69"/>
  <c r="Q67" i="69" s="1"/>
  <c r="R67" i="69" s="1"/>
  <c r="T67" i="69" s="1"/>
  <c r="U67" i="69" s="1"/>
  <c r="P306" i="69"/>
  <c r="Q306" i="69" s="1"/>
  <c r="R306" i="69" s="1"/>
  <c r="P225" i="69"/>
  <c r="S225" i="69" s="1"/>
  <c r="AP225" i="69" s="1"/>
  <c r="P185" i="69"/>
  <c r="Q185" i="69" s="1"/>
  <c r="R185" i="69" s="1"/>
  <c r="P182" i="69"/>
  <c r="Q182" i="69" s="1"/>
  <c r="R182" i="69" s="1"/>
  <c r="T182" i="69" s="1"/>
  <c r="U182" i="69" s="1"/>
  <c r="V182" i="69"/>
  <c r="W182" i="69" s="1"/>
  <c r="P281" i="69"/>
  <c r="V281" i="69"/>
  <c r="W281" i="69" s="1"/>
  <c r="P175" i="69"/>
  <c r="S175" i="69" s="1"/>
  <c r="AP175" i="69" s="1"/>
  <c r="P172" i="69"/>
  <c r="Q172" i="69" s="1"/>
  <c r="R172" i="69" s="1"/>
  <c r="V172" i="69" s="1"/>
  <c r="R224" i="69" l="1"/>
  <c r="T224" i="69" s="1"/>
  <c r="U224" i="69" s="1"/>
  <c r="R221" i="69"/>
  <c r="T221" i="69" s="1"/>
  <c r="U221" i="69" s="1"/>
  <c r="R309" i="69"/>
  <c r="V309" i="69" s="1"/>
  <c r="W309" i="69" s="1"/>
  <c r="R229" i="69"/>
  <c r="T229" i="69" s="1"/>
  <c r="U229" i="69" s="1"/>
  <c r="Q72" i="69"/>
  <c r="R72" i="69" s="1"/>
  <c r="T72" i="69" s="1"/>
  <c r="U72" i="69" s="1"/>
  <c r="Q45" i="69"/>
  <c r="R45" i="69" s="1"/>
  <c r="T45" i="69" s="1"/>
  <c r="U45" i="69" s="1"/>
  <c r="Q230" i="69"/>
  <c r="S112" i="69"/>
  <c r="AP112" i="69" s="1"/>
  <c r="S300" i="69"/>
  <c r="AP300" i="69" s="1"/>
  <c r="V158" i="69"/>
  <c r="W158" i="69" s="1"/>
  <c r="Q253" i="69"/>
  <c r="R253" i="69" s="1"/>
  <c r="V253" i="69" s="1"/>
  <c r="W253" i="69" s="1"/>
  <c r="Q10" i="69"/>
  <c r="R10" i="69" s="1"/>
  <c r="T10" i="69" s="1"/>
  <c r="U10" i="69" s="1"/>
  <c r="Q104" i="69"/>
  <c r="R104" i="69" s="1"/>
  <c r="T104" i="69" s="1"/>
  <c r="U104" i="69" s="1"/>
  <c r="V63" i="69"/>
  <c r="W63" i="69" s="1"/>
  <c r="S100" i="69"/>
  <c r="AP100" i="69" s="1"/>
  <c r="S260" i="69"/>
  <c r="AP260" i="69" s="1"/>
  <c r="S159" i="69"/>
  <c r="AP159" i="69" s="1"/>
  <c r="Q200" i="69"/>
  <c r="R200" i="69" s="1"/>
  <c r="T200" i="69" s="1"/>
  <c r="U200" i="69" s="1"/>
  <c r="S145" i="69"/>
  <c r="AP145" i="69" s="1"/>
  <c r="S35" i="69"/>
  <c r="AP35" i="69" s="1"/>
  <c r="Q282" i="69"/>
  <c r="R282" i="69" s="1"/>
  <c r="T282" i="69" s="1"/>
  <c r="U282" i="69" s="1"/>
  <c r="Q90" i="69"/>
  <c r="R90" i="69" s="1"/>
  <c r="T90" i="69" s="1"/>
  <c r="U90" i="69" s="1"/>
  <c r="S170" i="69"/>
  <c r="AP170" i="69" s="1"/>
  <c r="S114" i="69"/>
  <c r="AP114" i="69" s="1"/>
  <c r="S46" i="69"/>
  <c r="AP46" i="69" s="1"/>
  <c r="Q193" i="69"/>
  <c r="R193" i="69" s="1"/>
  <c r="T193" i="69" s="1"/>
  <c r="U193" i="69" s="1"/>
  <c r="S31" i="69"/>
  <c r="AP31" i="69" s="1"/>
  <c r="S34" i="69"/>
  <c r="AP34" i="69" s="1"/>
  <c r="Q214" i="69"/>
  <c r="R214" i="69" s="1"/>
  <c r="V214" i="69" s="1"/>
  <c r="W214" i="69" s="1"/>
  <c r="Q188" i="69"/>
  <c r="R188" i="69" s="1"/>
  <c r="T188" i="69" s="1"/>
  <c r="U188" i="69" s="1"/>
  <c r="Q198" i="69"/>
  <c r="R198" i="69" s="1"/>
  <c r="T198" i="69" s="1"/>
  <c r="U198" i="69" s="1"/>
  <c r="Q222" i="69"/>
  <c r="S73" i="69"/>
  <c r="AP73" i="69" s="1"/>
  <c r="S276" i="69"/>
  <c r="AP276" i="69" s="1"/>
  <c r="Q235" i="69"/>
  <c r="R235" i="69" s="1"/>
  <c r="V235" i="69" s="1"/>
  <c r="W235" i="69" s="1"/>
  <c r="S255" i="69"/>
  <c r="AP255" i="69" s="1"/>
  <c r="V8" i="69"/>
  <c r="W8" i="69" s="1"/>
  <c r="Q108" i="69"/>
  <c r="R108" i="69" s="1"/>
  <c r="T108" i="69" s="1"/>
  <c r="U108" i="69" s="1"/>
  <c r="S224" i="69"/>
  <c r="AP224" i="69" s="1"/>
  <c r="S177" i="69"/>
  <c r="AP177" i="69" s="1"/>
  <c r="S147" i="69"/>
  <c r="AP147" i="69" s="1"/>
  <c r="S242" i="69"/>
  <c r="AP242" i="69" s="1"/>
  <c r="S292" i="69"/>
  <c r="AP292" i="69" s="1"/>
  <c r="S265" i="69"/>
  <c r="AP265" i="69" s="1"/>
  <c r="S13" i="69"/>
  <c r="AP13" i="69" s="1"/>
  <c r="S215" i="69"/>
  <c r="AP215" i="69" s="1"/>
  <c r="S130" i="69"/>
  <c r="AP130" i="69" s="1"/>
  <c r="Q197" i="69"/>
  <c r="R197" i="69" s="1"/>
  <c r="V197" i="69" s="1"/>
  <c r="W197" i="69" s="1"/>
  <c r="S205" i="69"/>
  <c r="AP205" i="69" s="1"/>
  <c r="Q7" i="69"/>
  <c r="R7" i="69" s="1"/>
  <c r="T7" i="69" s="1"/>
  <c r="U7" i="69" s="1"/>
  <c r="Q294" i="69"/>
  <c r="R294" i="69" s="1"/>
  <c r="T294" i="69" s="1"/>
  <c r="U294" i="69" s="1"/>
  <c r="Q218" i="69"/>
  <c r="R218" i="69" s="1"/>
  <c r="T218" i="69" s="1"/>
  <c r="U218" i="69" s="1"/>
  <c r="S164" i="69"/>
  <c r="AP164" i="69" s="1"/>
  <c r="Q285" i="69"/>
  <c r="R285" i="69" s="1"/>
  <c r="T285" i="69" s="1"/>
  <c r="U285" i="69" s="1"/>
  <c r="S150" i="69"/>
  <c r="AP150" i="69" s="1"/>
  <c r="Q167" i="69"/>
  <c r="R167" i="69" s="1"/>
  <c r="T167" i="69" s="1"/>
  <c r="U167" i="69" s="1"/>
  <c r="S92" i="69"/>
  <c r="AP92" i="69" s="1"/>
  <c r="Q310" i="69"/>
  <c r="R310" i="69" s="1"/>
  <c r="T310" i="69" s="1"/>
  <c r="U310" i="69" s="1"/>
  <c r="S83" i="69"/>
  <c r="AP83" i="69" s="1"/>
  <c r="S113" i="69"/>
  <c r="AP113" i="69" s="1"/>
  <c r="Q134" i="69"/>
  <c r="R134" i="69" s="1"/>
  <c r="T134" i="69" s="1"/>
  <c r="U134" i="69" s="1"/>
  <c r="Q271" i="69"/>
  <c r="R271" i="69" s="1"/>
  <c r="T271" i="69" s="1"/>
  <c r="U271" i="69" s="1"/>
  <c r="S61" i="69"/>
  <c r="AP61" i="69" s="1"/>
  <c r="S274" i="69"/>
  <c r="AP274" i="69" s="1"/>
  <c r="Q304" i="69"/>
  <c r="R304" i="69" s="1"/>
  <c r="T304" i="69" s="1"/>
  <c r="U304" i="69" s="1"/>
  <c r="Q161" i="69"/>
  <c r="R161" i="69" s="1"/>
  <c r="T161" i="69" s="1"/>
  <c r="U161" i="69" s="1"/>
  <c r="Q270" i="69"/>
  <c r="R270" i="69" s="1"/>
  <c r="T270" i="69" s="1"/>
  <c r="U270" i="69" s="1"/>
  <c r="Q231" i="69"/>
  <c r="S243" i="69"/>
  <c r="AP243" i="69" s="1"/>
  <c r="S23" i="69"/>
  <c r="AP23" i="69" s="1"/>
  <c r="S94" i="69"/>
  <c r="AP94" i="69" s="1"/>
  <c r="Q175" i="69"/>
  <c r="R175" i="69" s="1"/>
  <c r="T175" i="69" s="1"/>
  <c r="U175" i="69" s="1"/>
  <c r="S209" i="69"/>
  <c r="AP209" i="69" s="1"/>
  <c r="S137" i="69"/>
  <c r="AP137" i="69" s="1"/>
  <c r="Q121" i="69"/>
  <c r="R121" i="69" s="1"/>
  <c r="T121" i="69" s="1"/>
  <c r="U121" i="69" s="1"/>
  <c r="Q186" i="69"/>
  <c r="R186" i="69" s="1"/>
  <c r="T186" i="69" s="1"/>
  <c r="U186" i="69" s="1"/>
  <c r="Q66" i="69"/>
  <c r="R66" i="69" s="1"/>
  <c r="T66" i="69" s="1"/>
  <c r="U66" i="69" s="1"/>
  <c r="Q136" i="69"/>
  <c r="R136" i="69" s="1"/>
  <c r="V136" i="69" s="1"/>
  <c r="W136" i="69" s="1"/>
  <c r="S89" i="69"/>
  <c r="AP89" i="69" s="1"/>
  <c r="S20" i="69"/>
  <c r="AP20" i="69" s="1"/>
  <c r="S312" i="69"/>
  <c r="AP312" i="69" s="1"/>
  <c r="S311" i="69"/>
  <c r="AP311" i="69" s="1"/>
  <c r="Q149" i="69"/>
  <c r="R149" i="69" s="1"/>
  <c r="V149" i="69" s="1"/>
  <c r="W149" i="69" s="1"/>
  <c r="Q117" i="69"/>
  <c r="R117" i="69" s="1"/>
  <c r="T117" i="69" s="1"/>
  <c r="U117" i="69" s="1"/>
  <c r="V132" i="69"/>
  <c r="W132" i="69" s="1"/>
  <c r="Q18" i="69"/>
  <c r="R18" i="69" s="1"/>
  <c r="T18" i="69" s="1"/>
  <c r="U18" i="69" s="1"/>
  <c r="S97" i="69"/>
  <c r="AP97" i="69" s="1"/>
  <c r="S325" i="69"/>
  <c r="AP325" i="69" s="1"/>
  <c r="Q11" i="69"/>
  <c r="R11" i="69" s="1"/>
  <c r="T11" i="69" s="1"/>
  <c r="U11" i="69" s="1"/>
  <c r="S317" i="69"/>
  <c r="AP317" i="69" s="1"/>
  <c r="Q250" i="69"/>
  <c r="R250" i="69" s="1"/>
  <c r="V250" i="69" s="1"/>
  <c r="W250" i="69" s="1"/>
  <c r="S26" i="69"/>
  <c r="AP26" i="69" s="1"/>
  <c r="S289" i="69"/>
  <c r="AP289" i="69" s="1"/>
  <c r="Q12" i="69"/>
  <c r="R12" i="69" s="1"/>
  <c r="T12" i="69" s="1"/>
  <c r="U12" i="69" s="1"/>
  <c r="Q268" i="69"/>
  <c r="R268" i="69" s="1"/>
  <c r="T268" i="69" s="1"/>
  <c r="U268" i="69" s="1"/>
  <c r="S176" i="69"/>
  <c r="AP176" i="69" s="1"/>
  <c r="S56" i="69"/>
  <c r="AP56" i="69" s="1"/>
  <c r="Q65" i="69"/>
  <c r="R65" i="69" s="1"/>
  <c r="T65" i="69" s="1"/>
  <c r="U65" i="69" s="1"/>
  <c r="Q204" i="69"/>
  <c r="R204" i="69" s="1"/>
  <c r="T204" i="69" s="1"/>
  <c r="U204" i="69" s="1"/>
  <c r="Q220" i="69"/>
  <c r="S64" i="69"/>
  <c r="AP64" i="69" s="1"/>
  <c r="S221" i="69"/>
  <c r="AP221" i="69" s="1"/>
  <c r="S184" i="69"/>
  <c r="AP184" i="69" s="1"/>
  <c r="Q216" i="69"/>
  <c r="R216" i="69" s="1"/>
  <c r="T216" i="69" s="1"/>
  <c r="U216" i="69" s="1"/>
  <c r="S5" i="69"/>
  <c r="AP5" i="69" s="1"/>
  <c r="S80" i="69"/>
  <c r="AP80" i="69" s="1"/>
  <c r="S138" i="69"/>
  <c r="AP138" i="69" s="1"/>
  <c r="Q101" i="69"/>
  <c r="R101" i="69" s="1"/>
  <c r="T101" i="69" s="1"/>
  <c r="U101" i="69" s="1"/>
  <c r="S201" i="69"/>
  <c r="AP201" i="69" s="1"/>
  <c r="S87" i="69"/>
  <c r="AP87" i="69" s="1"/>
  <c r="S67" i="69"/>
  <c r="AP67" i="69" s="1"/>
  <c r="Q236" i="69"/>
  <c r="R236" i="69" s="1"/>
  <c r="T236" i="69" s="1"/>
  <c r="U236" i="69" s="1"/>
  <c r="S144" i="69"/>
  <c r="AP144" i="69" s="1"/>
  <c r="S324" i="69"/>
  <c r="AP324" i="69" s="1"/>
  <c r="S309" i="69"/>
  <c r="AP309" i="69" s="1"/>
  <c r="Q128" i="69"/>
  <c r="R128" i="69" s="1"/>
  <c r="T128" i="69" s="1"/>
  <c r="U128" i="69" s="1"/>
  <c r="Q30" i="69"/>
  <c r="R30" i="69" s="1"/>
  <c r="T30" i="69" s="1"/>
  <c r="U30" i="69" s="1"/>
  <c r="Q212" i="69"/>
  <c r="R212" i="69" s="1"/>
  <c r="T212" i="69" s="1"/>
  <c r="U212" i="69" s="1"/>
  <c r="S85" i="69"/>
  <c r="AP85" i="69" s="1"/>
  <c r="Q279" i="69"/>
  <c r="R279" i="69" s="1"/>
  <c r="T279" i="69" s="1"/>
  <c r="U279" i="69" s="1"/>
  <c r="Q234" i="69"/>
  <c r="R234" i="69" s="1"/>
  <c r="T234" i="69" s="1"/>
  <c r="U234" i="69" s="1"/>
  <c r="S247" i="69"/>
  <c r="AP247" i="69" s="1"/>
  <c r="Q259" i="69"/>
  <c r="R259" i="69" s="1"/>
  <c r="T259" i="69" s="1"/>
  <c r="U259" i="69" s="1"/>
  <c r="S182" i="69"/>
  <c r="AP182" i="69" s="1"/>
  <c r="Q32" i="69"/>
  <c r="R32" i="69" s="1"/>
  <c r="T32" i="69" s="1"/>
  <c r="U32" i="69" s="1"/>
  <c r="S156" i="69"/>
  <c r="AP156" i="69" s="1"/>
  <c r="Q246" i="69"/>
  <c r="R246" i="69" s="1"/>
  <c r="T246" i="69" s="1"/>
  <c r="U246" i="69" s="1"/>
  <c r="S162" i="69"/>
  <c r="AP162" i="69" s="1"/>
  <c r="Q262" i="69"/>
  <c r="R262" i="69" s="1"/>
  <c r="T262" i="69" s="1"/>
  <c r="U262" i="69" s="1"/>
  <c r="S296" i="69"/>
  <c r="AP296" i="69" s="1"/>
  <c r="S306" i="69"/>
  <c r="AP306" i="69" s="1"/>
  <c r="Q179" i="69"/>
  <c r="R179" i="69" s="1"/>
  <c r="T179" i="69" s="1"/>
  <c r="U179" i="69" s="1"/>
  <c r="S240" i="69"/>
  <c r="AP240" i="69" s="1"/>
  <c r="S129" i="69"/>
  <c r="AP129" i="69" s="1"/>
  <c r="Q39" i="69"/>
  <c r="R39" i="69" s="1"/>
  <c r="T39" i="69" s="1"/>
  <c r="U39" i="69" s="1"/>
  <c r="S19" i="69"/>
  <c r="AP19" i="69" s="1"/>
  <c r="Q277" i="69"/>
  <c r="R277" i="69" s="1"/>
  <c r="T277" i="69" s="1"/>
  <c r="U277" i="69" s="1"/>
  <c r="Q194" i="69"/>
  <c r="R194" i="69" s="1"/>
  <c r="T194" i="69" s="1"/>
  <c r="U194" i="69" s="1"/>
  <c r="Q307" i="69"/>
  <c r="R307" i="69" s="1"/>
  <c r="T307" i="69" s="1"/>
  <c r="U307" i="69" s="1"/>
  <c r="S50" i="69"/>
  <c r="AP50" i="69" s="1"/>
  <c r="Q301" i="69"/>
  <c r="R301" i="69" s="1"/>
  <c r="T301" i="69" s="1"/>
  <c r="U301" i="69" s="1"/>
  <c r="S199" i="69"/>
  <c r="AP199" i="69" s="1"/>
  <c r="Q131" i="69"/>
  <c r="R131" i="69" s="1"/>
  <c r="T131" i="69" s="1"/>
  <c r="U131" i="69" s="1"/>
  <c r="S135" i="69"/>
  <c r="AP135" i="69" s="1"/>
  <c r="S133" i="69"/>
  <c r="AP133" i="69" s="1"/>
  <c r="S22" i="69"/>
  <c r="AP22" i="69" s="1"/>
  <c r="Q119" i="69"/>
  <c r="R119" i="69" s="1"/>
  <c r="V119" i="69" s="1"/>
  <c r="W119" i="69" s="1"/>
  <c r="Q269" i="69"/>
  <c r="R269" i="69" s="1"/>
  <c r="T269" i="69" s="1"/>
  <c r="U269" i="69" s="1"/>
  <c r="Q60" i="69"/>
  <c r="R60" i="69" s="1"/>
  <c r="T60" i="69" s="1"/>
  <c r="U60" i="69" s="1"/>
  <c r="Q293" i="69"/>
  <c r="R293" i="69" s="1"/>
  <c r="T293" i="69" s="1"/>
  <c r="U293" i="69" s="1"/>
  <c r="S321" i="69"/>
  <c r="AP321" i="69" s="1"/>
  <c r="S299" i="69"/>
  <c r="AP299" i="69" s="1"/>
  <c r="S207" i="69"/>
  <c r="AP207" i="69" s="1"/>
  <c r="S160" i="69"/>
  <c r="AP160" i="69" s="1"/>
  <c r="S120" i="69"/>
  <c r="AP120" i="69" s="1"/>
  <c r="Q263" i="69"/>
  <c r="R263" i="69" s="1"/>
  <c r="T263" i="69" s="1"/>
  <c r="U263" i="69" s="1"/>
  <c r="Q191" i="69"/>
  <c r="R191" i="69" s="1"/>
  <c r="T191" i="69" s="1"/>
  <c r="U191" i="69" s="1"/>
  <c r="Q174" i="69"/>
  <c r="R174" i="69" s="1"/>
  <c r="T174" i="69" s="1"/>
  <c r="U174" i="69" s="1"/>
  <c r="Q84" i="69"/>
  <c r="R84" i="69" s="1"/>
  <c r="T84" i="69" s="1"/>
  <c r="U84" i="69" s="1"/>
  <c r="S9" i="69"/>
  <c r="AP9" i="69" s="1"/>
  <c r="Q305" i="69"/>
  <c r="R305" i="69" s="1"/>
  <c r="T305" i="69" s="1"/>
  <c r="U305" i="69" s="1"/>
  <c r="S181" i="69"/>
  <c r="AP181" i="69" s="1"/>
  <c r="S169" i="69"/>
  <c r="AP169" i="69" s="1"/>
  <c r="S109" i="69"/>
  <c r="AP109" i="69" s="1"/>
  <c r="Q42" i="69"/>
  <c r="R42" i="69" s="1"/>
  <c r="T42" i="69" s="1"/>
  <c r="U42" i="69" s="1"/>
  <c r="S16" i="69"/>
  <c r="AP16" i="69" s="1"/>
  <c r="Q51" i="69"/>
  <c r="R51" i="69" s="1"/>
  <c r="T51" i="69" s="1"/>
  <c r="U51" i="69" s="1"/>
  <c r="Q116" i="69"/>
  <c r="R116" i="69" s="1"/>
  <c r="T116" i="69" s="1"/>
  <c r="U116" i="69" s="1"/>
  <c r="S202" i="69"/>
  <c r="AP202" i="69" s="1"/>
  <c r="S286" i="69"/>
  <c r="AP286" i="69" s="1"/>
  <c r="Q241" i="69"/>
  <c r="R241" i="69" s="1"/>
  <c r="V241" i="69" s="1"/>
  <c r="W241" i="69" s="1"/>
  <c r="S313" i="69"/>
  <c r="AP313" i="69" s="1"/>
  <c r="S208" i="69"/>
  <c r="AP208" i="69" s="1"/>
  <c r="S211" i="69"/>
  <c r="AP211" i="69" s="1"/>
  <c r="Q245" i="69"/>
  <c r="R245" i="69" s="1"/>
  <c r="T245" i="69" s="1"/>
  <c r="U245" i="69" s="1"/>
  <c r="S244" i="69"/>
  <c r="AP244" i="69" s="1"/>
  <c r="S49" i="69"/>
  <c r="AP49" i="69" s="1"/>
  <c r="S165" i="69"/>
  <c r="AP165" i="69" s="1"/>
  <c r="Q27" i="69"/>
  <c r="R27" i="69" s="1"/>
  <c r="T27" i="69" s="1"/>
  <c r="U27" i="69" s="1"/>
  <c r="S25" i="69"/>
  <c r="AP25" i="69" s="1"/>
  <c r="S152" i="69"/>
  <c r="AP152" i="69" s="1"/>
  <c r="Q206" i="69"/>
  <c r="R206" i="69" s="1"/>
  <c r="T206" i="69" s="1"/>
  <c r="U206" i="69" s="1"/>
  <c r="S70" i="69"/>
  <c r="AP70" i="69" s="1"/>
  <c r="Q154" i="69"/>
  <c r="R154" i="69" s="1"/>
  <c r="T154" i="69" s="1"/>
  <c r="U154" i="69" s="1"/>
  <c r="S287" i="69"/>
  <c r="AP287" i="69" s="1"/>
  <c r="S98" i="69"/>
  <c r="AP98" i="69" s="1"/>
  <c r="S257" i="69"/>
  <c r="AP257" i="69" s="1"/>
  <c r="Q237" i="69"/>
  <c r="R237" i="69" s="1"/>
  <c r="T237" i="69" s="1"/>
  <c r="U237" i="69" s="1"/>
  <c r="S37" i="69"/>
  <c r="AP37" i="69" s="1"/>
  <c r="Q53" i="69"/>
  <c r="R53" i="69" s="1"/>
  <c r="S239" i="69"/>
  <c r="AP239" i="69" s="1"/>
  <c r="V240" i="69"/>
  <c r="W240" i="69" s="1"/>
  <c r="S185" i="69"/>
  <c r="AP185" i="69" s="1"/>
  <c r="V112" i="69"/>
  <c r="W112" i="69" s="1"/>
  <c r="S86" i="69"/>
  <c r="AP86" i="69" s="1"/>
  <c r="S183" i="69"/>
  <c r="AP183" i="69" s="1"/>
  <c r="Q284" i="69"/>
  <c r="R284" i="69" s="1"/>
  <c r="T284" i="69" s="1"/>
  <c r="U284" i="69" s="1"/>
  <c r="V106" i="69"/>
  <c r="W106" i="69" s="1"/>
  <c r="S63" i="69"/>
  <c r="AP63" i="69" s="1"/>
  <c r="Q163" i="69"/>
  <c r="R163" i="69" s="1"/>
  <c r="T163" i="69" s="1"/>
  <c r="U163" i="69" s="1"/>
  <c r="Q96" i="69"/>
  <c r="R96" i="69" s="1"/>
  <c r="T96" i="69" s="1"/>
  <c r="U96" i="69" s="1"/>
  <c r="Q52" i="69"/>
  <c r="R52" i="69" s="1"/>
  <c r="T52" i="69" s="1"/>
  <c r="U52" i="69" s="1"/>
  <c r="Q225" i="69"/>
  <c r="Q192" i="69"/>
  <c r="R192" i="69" s="1"/>
  <c r="T192" i="69" s="1"/>
  <c r="U192" i="69" s="1"/>
  <c r="Q79" i="69"/>
  <c r="R79" i="69" s="1"/>
  <c r="T79" i="69" s="1"/>
  <c r="U79" i="69" s="1"/>
  <c r="S229" i="69"/>
  <c r="AP229" i="69" s="1"/>
  <c r="Q71" i="69"/>
  <c r="R71" i="69" s="1"/>
  <c r="T71" i="69" s="1"/>
  <c r="U71" i="69" s="1"/>
  <c r="V92" i="69"/>
  <c r="W92" i="69" s="1"/>
  <c r="S195" i="69"/>
  <c r="AP195" i="69" s="1"/>
  <c r="S252" i="69"/>
  <c r="AP252" i="69" s="1"/>
  <c r="Q29" i="69"/>
  <c r="R29" i="69" s="1"/>
  <c r="T29" i="69" s="1"/>
  <c r="U29" i="69" s="1"/>
  <c r="S110" i="69"/>
  <c r="AP110" i="69" s="1"/>
  <c r="T36" i="69"/>
  <c r="U36" i="69" s="1"/>
  <c r="V36" i="69"/>
  <c r="W36" i="69" s="1"/>
  <c r="T49" i="69"/>
  <c r="U49" i="69" s="1"/>
  <c r="V49" i="69"/>
  <c r="W49" i="69" s="1"/>
  <c r="T178" i="69"/>
  <c r="U178" i="69" s="1"/>
  <c r="V178" i="69"/>
  <c r="W178" i="69" s="1"/>
  <c r="T323" i="69"/>
  <c r="U323" i="69" s="1"/>
  <c r="V323" i="69"/>
  <c r="W323" i="69" s="1"/>
  <c r="T153" i="69"/>
  <c r="U153" i="69" s="1"/>
  <c r="V153" i="69"/>
  <c r="W153" i="69" s="1"/>
  <c r="T321" i="69"/>
  <c r="U321" i="69" s="1"/>
  <c r="V321" i="69"/>
  <c r="W321" i="69" s="1"/>
  <c r="T151" i="69"/>
  <c r="U151" i="69" s="1"/>
  <c r="V151" i="69"/>
  <c r="W151" i="69" s="1"/>
  <c r="T316" i="69"/>
  <c r="U316" i="69" s="1"/>
  <c r="V316" i="69"/>
  <c r="W316" i="69" s="1"/>
  <c r="T31" i="69"/>
  <c r="U31" i="69" s="1"/>
  <c r="V31" i="69"/>
  <c r="W31" i="69" s="1"/>
  <c r="T173" i="69"/>
  <c r="U173" i="69" s="1"/>
  <c r="V173" i="69"/>
  <c r="W173" i="69" s="1"/>
  <c r="T213" i="69"/>
  <c r="U213" i="69" s="1"/>
  <c r="V213" i="69"/>
  <c r="W213" i="69" s="1"/>
  <c r="T317" i="69"/>
  <c r="U317" i="69" s="1"/>
  <c r="V317" i="69"/>
  <c r="W317" i="69" s="1"/>
  <c r="S210" i="69"/>
  <c r="AP210" i="69" s="1"/>
  <c r="Q82" i="69"/>
  <c r="R82" i="69" s="1"/>
  <c r="S318" i="69"/>
  <c r="AP318" i="69" s="1"/>
  <c r="Q318" i="69"/>
  <c r="R318" i="69" s="1"/>
  <c r="V318" i="69" s="1"/>
  <c r="W318" i="69" s="1"/>
  <c r="T26" i="69"/>
  <c r="U26" i="69" s="1"/>
  <c r="V26" i="69"/>
  <c r="W26" i="69" s="1"/>
  <c r="S228" i="69"/>
  <c r="AP228" i="69" s="1"/>
  <c r="Q228" i="69"/>
  <c r="S6" i="69"/>
  <c r="AP6" i="69" s="1"/>
  <c r="T199" i="69"/>
  <c r="U199" i="69" s="1"/>
  <c r="V199" i="69"/>
  <c r="W199" i="69" s="1"/>
  <c r="Q280" i="69"/>
  <c r="R280" i="69" s="1"/>
  <c r="T280" i="69" s="1"/>
  <c r="U280" i="69" s="1"/>
  <c r="S280" i="69"/>
  <c r="AP280" i="69" s="1"/>
  <c r="Q143" i="69"/>
  <c r="R143" i="69" s="1"/>
  <c r="V143" i="69" s="1"/>
  <c r="W143" i="69" s="1"/>
  <c r="S143" i="69"/>
  <c r="AP143" i="69" s="1"/>
  <c r="S55" i="69"/>
  <c r="AP55" i="69" s="1"/>
  <c r="S106" i="69"/>
  <c r="AP106" i="69" s="1"/>
  <c r="S172" i="69"/>
  <c r="AP172" i="69" s="1"/>
  <c r="Q254" i="69"/>
  <c r="R254" i="69" s="1"/>
  <c r="Q142" i="69"/>
  <c r="R142" i="69" s="1"/>
  <c r="T142" i="69" s="1"/>
  <c r="U142" i="69" s="1"/>
  <c r="S142" i="69"/>
  <c r="AP142" i="69" s="1"/>
  <c r="Q189" i="69"/>
  <c r="R189" i="69" s="1"/>
  <c r="V189" i="69" s="1"/>
  <c r="W189" i="69" s="1"/>
  <c r="S189" i="69"/>
  <c r="AP189" i="69" s="1"/>
  <c r="S151" i="69"/>
  <c r="AP151" i="69" s="1"/>
  <c r="S323" i="69"/>
  <c r="AP323" i="69" s="1"/>
  <c r="Q291" i="69"/>
  <c r="R291" i="69" s="1"/>
  <c r="T291" i="69" s="1"/>
  <c r="U291" i="69" s="1"/>
  <c r="Q69" i="69"/>
  <c r="R69" i="69" s="1"/>
  <c r="T69" i="69" s="1"/>
  <c r="U69" i="69" s="1"/>
  <c r="S69" i="69"/>
  <c r="AP69" i="69" s="1"/>
  <c r="Q233" i="69"/>
  <c r="R233" i="69" s="1"/>
  <c r="S233" i="69"/>
  <c r="AP233" i="69" s="1"/>
  <c r="S238" i="69"/>
  <c r="AP238" i="69" s="1"/>
  <c r="Q238" i="69"/>
  <c r="R238" i="69" s="1"/>
  <c r="V322" i="69"/>
  <c r="W322" i="69" s="1"/>
  <c r="V22" i="69"/>
  <c r="W22" i="69" s="1"/>
  <c r="T25" i="69"/>
  <c r="U25" i="69" s="1"/>
  <c r="V25" i="69"/>
  <c r="W25" i="69" s="1"/>
  <c r="T137" i="69"/>
  <c r="U137" i="69" s="1"/>
  <c r="V137" i="69"/>
  <c r="W137" i="69" s="1"/>
  <c r="Q217" i="69"/>
  <c r="S217" i="69"/>
  <c r="AP217" i="69" s="1"/>
  <c r="S157" i="69"/>
  <c r="AP157" i="69" s="1"/>
  <c r="Q157" i="69"/>
  <c r="R157" i="69" s="1"/>
  <c r="T157" i="69" s="1"/>
  <c r="U157" i="69" s="1"/>
  <c r="S105" i="69"/>
  <c r="AP105" i="69" s="1"/>
  <c r="Q105" i="69"/>
  <c r="R105" i="69" s="1"/>
  <c r="T183" i="69"/>
  <c r="U183" i="69" s="1"/>
  <c r="V183" i="69"/>
  <c r="W183" i="69" s="1"/>
  <c r="T325" i="69"/>
  <c r="U325" i="69" s="1"/>
  <c r="V325" i="69"/>
  <c r="W325" i="69" s="1"/>
  <c r="Q62" i="69"/>
  <c r="R62" i="69" s="1"/>
  <c r="T62" i="69" s="1"/>
  <c r="U62" i="69" s="1"/>
  <c r="S62" i="69"/>
  <c r="AP62" i="69" s="1"/>
  <c r="T61" i="69"/>
  <c r="U61" i="69" s="1"/>
  <c r="V61" i="69"/>
  <c r="W61" i="69" s="1"/>
  <c r="T85" i="69"/>
  <c r="U85" i="69" s="1"/>
  <c r="V85" i="69"/>
  <c r="W85" i="69" s="1"/>
  <c r="T306" i="69"/>
  <c r="U306" i="69" s="1"/>
  <c r="V306" i="69"/>
  <c r="W306" i="69" s="1"/>
  <c r="Q127" i="69"/>
  <c r="R127" i="69" s="1"/>
  <c r="T160" i="69"/>
  <c r="U160" i="69" s="1"/>
  <c r="V160" i="69"/>
  <c r="W160" i="69" s="1"/>
  <c r="S232" i="69"/>
  <c r="AP232" i="69" s="1"/>
  <c r="S178" i="69"/>
  <c r="AP178" i="69" s="1"/>
  <c r="Q267" i="69"/>
  <c r="R267" i="69" s="1"/>
  <c r="S316" i="69"/>
  <c r="AP316" i="69" s="1"/>
  <c r="Q219" i="69"/>
  <c r="S219" i="69"/>
  <c r="AP219" i="69" s="1"/>
  <c r="Q74" i="69"/>
  <c r="R74" i="69" s="1"/>
  <c r="S74" i="69"/>
  <c r="AP74" i="69" s="1"/>
  <c r="T120" i="69"/>
  <c r="U120" i="69" s="1"/>
  <c r="V120" i="69"/>
  <c r="W120" i="69" s="1"/>
  <c r="Q103" i="69"/>
  <c r="R103" i="69" s="1"/>
  <c r="S103" i="69"/>
  <c r="AP103" i="69" s="1"/>
  <c r="Q43" i="69"/>
  <c r="R43" i="69" s="1"/>
  <c r="T43" i="69" s="1"/>
  <c r="U43" i="69" s="1"/>
  <c r="S278" i="69"/>
  <c r="AP278" i="69" s="1"/>
  <c r="S36" i="69"/>
  <c r="AP36" i="69" s="1"/>
  <c r="S139" i="69"/>
  <c r="AP139" i="69" s="1"/>
  <c r="T185" i="69"/>
  <c r="U185" i="69" s="1"/>
  <c r="V185" i="69"/>
  <c r="W185" i="69" s="1"/>
  <c r="Q155" i="69"/>
  <c r="R155" i="69" s="1"/>
  <c r="T155" i="69" s="1"/>
  <c r="U155" i="69" s="1"/>
  <c r="S155" i="69"/>
  <c r="AP155" i="69" s="1"/>
  <c r="Q288" i="69"/>
  <c r="R288" i="69" s="1"/>
  <c r="T288" i="69" s="1"/>
  <c r="U288" i="69" s="1"/>
  <c r="Q78" i="69"/>
  <c r="R78" i="69" s="1"/>
  <c r="T78" i="69" s="1"/>
  <c r="U78" i="69" s="1"/>
  <c r="V23" i="69"/>
  <c r="W23" i="69" s="1"/>
  <c r="V205" i="69"/>
  <c r="W205" i="69" s="1"/>
  <c r="S173" i="69"/>
  <c r="AP173" i="69" s="1"/>
  <c r="T239" i="69"/>
  <c r="U239" i="69" s="1"/>
  <c r="V239" i="69"/>
  <c r="W239" i="69" s="1"/>
  <c r="S322" i="69"/>
  <c r="AP322" i="69" s="1"/>
  <c r="Q281" i="69"/>
  <c r="R281" i="69" s="1"/>
  <c r="T281" i="69" s="1"/>
  <c r="U281" i="69" s="1"/>
  <c r="S281" i="69"/>
  <c r="AP281" i="69" s="1"/>
  <c r="Q57" i="69"/>
  <c r="R57" i="69" s="1"/>
  <c r="T57" i="69" s="1"/>
  <c r="U57" i="69" s="1"/>
  <c r="S57" i="69"/>
  <c r="AP57" i="69" s="1"/>
  <c r="S213" i="69"/>
  <c r="AP213" i="69" s="1"/>
  <c r="S54" i="69"/>
  <c r="AP54" i="69" s="1"/>
  <c r="V177" i="69"/>
  <c r="W177" i="69" s="1"/>
  <c r="Q273" i="69"/>
  <c r="R273" i="69" s="1"/>
  <c r="T273" i="69" s="1"/>
  <c r="U273" i="69" s="1"/>
  <c r="S273" i="69"/>
  <c r="AP273" i="69" s="1"/>
  <c r="S153" i="69"/>
  <c r="AP153" i="69" s="1"/>
  <c r="S166" i="69"/>
  <c r="AP166" i="69" s="1"/>
  <c r="V207" i="69"/>
  <c r="W207" i="69" s="1"/>
  <c r="Q59" i="69"/>
  <c r="R59" i="69" s="1"/>
  <c r="V59" i="69" s="1"/>
  <c r="W59" i="69" s="1"/>
  <c r="S59" i="69"/>
  <c r="AP59" i="69" s="1"/>
  <c r="Q125" i="69"/>
  <c r="R125" i="69" s="1"/>
  <c r="T125" i="69" s="1"/>
  <c r="U125" i="69" s="1"/>
  <c r="Q77" i="69"/>
  <c r="R77" i="69" s="1"/>
  <c r="T77" i="69" s="1"/>
  <c r="U77" i="69" s="1"/>
  <c r="S77" i="69"/>
  <c r="AP77" i="69" s="1"/>
  <c r="S297" i="69"/>
  <c r="AP297" i="69" s="1"/>
  <c r="S256" i="69"/>
  <c r="AP256" i="69" s="1"/>
  <c r="Q290" i="69"/>
  <c r="R290" i="69" s="1"/>
  <c r="T290" i="69" s="1"/>
  <c r="U290" i="69" s="1"/>
  <c r="S290" i="69"/>
  <c r="AP290" i="69" s="1"/>
  <c r="S123" i="69"/>
  <c r="AP123" i="69" s="1"/>
  <c r="Q123" i="69"/>
  <c r="R123" i="69" s="1"/>
  <c r="S158" i="69"/>
  <c r="AP158" i="69" s="1"/>
  <c r="V67" i="69"/>
  <c r="W67" i="69" s="1"/>
  <c r="V109" i="69"/>
  <c r="W109" i="69" s="1"/>
  <c r="S24" i="69"/>
  <c r="AP24" i="69" s="1"/>
  <c r="Q24" i="69"/>
  <c r="R24" i="69" s="1"/>
  <c r="T24" i="69" s="1"/>
  <c r="U24" i="69" s="1"/>
  <c r="S124" i="69"/>
  <c r="AP124" i="69" s="1"/>
  <c r="Q124" i="69"/>
  <c r="R124" i="69" s="1"/>
  <c r="T124" i="69" s="1"/>
  <c r="U124" i="69" s="1"/>
  <c r="Q48" i="69"/>
  <c r="R48" i="69" s="1"/>
  <c r="T48" i="69" s="1"/>
  <c r="U48" i="69" s="1"/>
  <c r="S48" i="69"/>
  <c r="AP48" i="69" s="1"/>
  <c r="Q88" i="69"/>
  <c r="R88" i="69" s="1"/>
  <c r="T88" i="69" s="1"/>
  <c r="U88" i="69" s="1"/>
  <c r="S88" i="69"/>
  <c r="AP88" i="69" s="1"/>
  <c r="Q111" i="69"/>
  <c r="R111" i="69" s="1"/>
  <c r="V111" i="69" s="1"/>
  <c r="W111" i="69" s="1"/>
  <c r="S111" i="69"/>
  <c r="AP111" i="69" s="1"/>
  <c r="Q148" i="69"/>
  <c r="R148" i="69" s="1"/>
  <c r="S148" i="69"/>
  <c r="AP148" i="69" s="1"/>
  <c r="V91" i="69"/>
  <c r="W91" i="69" s="1"/>
  <c r="T243" i="69"/>
  <c r="U243" i="69" s="1"/>
  <c r="V243" i="69"/>
  <c r="W243" i="69" s="1"/>
  <c r="Q40" i="69"/>
  <c r="R40" i="69" s="1"/>
  <c r="S40" i="69"/>
  <c r="AP40" i="69" s="1"/>
  <c r="S58" i="69"/>
  <c r="AP58" i="69" s="1"/>
  <c r="Q58" i="69"/>
  <c r="R58" i="69" s="1"/>
  <c r="V58" i="69" s="1"/>
  <c r="W58" i="69" s="1"/>
  <c r="Q226" i="69"/>
  <c r="S226" i="69"/>
  <c r="AP226" i="69" s="1"/>
  <c r="Q68" i="69"/>
  <c r="R68" i="69" s="1"/>
  <c r="S68" i="69"/>
  <c r="AP68" i="69" s="1"/>
  <c r="S75" i="69"/>
  <c r="AP75" i="69" s="1"/>
  <c r="Q75" i="69"/>
  <c r="R75" i="69" s="1"/>
  <c r="S168" i="69"/>
  <c r="AP168" i="69" s="1"/>
  <c r="Q168" i="69"/>
  <c r="R168" i="69" s="1"/>
  <c r="T100" i="69"/>
  <c r="U100" i="69" s="1"/>
  <c r="V100" i="69"/>
  <c r="W100" i="69" s="1"/>
  <c r="V324" i="69"/>
  <c r="W324" i="69" s="1"/>
  <c r="T300" i="69"/>
  <c r="U300" i="69" s="1"/>
  <c r="V300" i="69"/>
  <c r="W300" i="69" s="1"/>
  <c r="V208" i="69"/>
  <c r="W208" i="69" s="1"/>
  <c r="S171" i="69"/>
  <c r="AP171" i="69" s="1"/>
  <c r="Q171" i="69"/>
  <c r="R171" i="69" s="1"/>
  <c r="Q21" i="69"/>
  <c r="R21" i="69" s="1"/>
  <c r="T21" i="69" s="1"/>
  <c r="U21" i="69" s="1"/>
  <c r="S21" i="69"/>
  <c r="AP21" i="69" s="1"/>
  <c r="Q93" i="69"/>
  <c r="R93" i="69" s="1"/>
  <c r="T93" i="69" s="1"/>
  <c r="U93" i="69" s="1"/>
  <c r="S93" i="69"/>
  <c r="AP93" i="69" s="1"/>
  <c r="T244" i="69"/>
  <c r="U244" i="69" s="1"/>
  <c r="V244" i="69"/>
  <c r="W244" i="69" s="1"/>
  <c r="Q272" i="69"/>
  <c r="R272" i="69" s="1"/>
  <c r="T272" i="69" s="1"/>
  <c r="U272" i="69" s="1"/>
  <c r="S272" i="69"/>
  <c r="AP272" i="69" s="1"/>
  <c r="V303" i="69"/>
  <c r="W303" i="69" s="1"/>
  <c r="Q17" i="69"/>
  <c r="R17" i="69" s="1"/>
  <c r="V17" i="69" s="1"/>
  <c r="W17" i="69" s="1"/>
  <c r="S17" i="69"/>
  <c r="AP17" i="69" s="1"/>
  <c r="Q44" i="69"/>
  <c r="R44" i="69" s="1"/>
  <c r="T44" i="69" s="1"/>
  <c r="U44" i="69" s="1"/>
  <c r="S44" i="69"/>
  <c r="AP44" i="69" s="1"/>
  <c r="S4" i="69"/>
  <c r="AP4" i="69" s="1"/>
  <c r="Q4" i="69"/>
  <c r="R4" i="69" s="1"/>
  <c r="T4" i="69" s="1"/>
  <c r="U4" i="69" s="1"/>
  <c r="S295" i="69"/>
  <c r="AP295" i="69" s="1"/>
  <c r="Q295" i="69"/>
  <c r="R295" i="69" s="1"/>
  <c r="T295" i="69" s="1"/>
  <c r="U295" i="69" s="1"/>
  <c r="Q320" i="69"/>
  <c r="R320" i="69" s="1"/>
  <c r="S320" i="69"/>
  <c r="AP320" i="69" s="1"/>
  <c r="Q107" i="69"/>
  <c r="R107" i="69" s="1"/>
  <c r="S107" i="69"/>
  <c r="AP107" i="69" s="1"/>
  <c r="Q251" i="69"/>
  <c r="R251" i="69" s="1"/>
  <c r="T251" i="69" s="1"/>
  <c r="U251" i="69" s="1"/>
  <c r="S251" i="69"/>
  <c r="AP251" i="69" s="1"/>
  <c r="Q196" i="69"/>
  <c r="R196" i="69" s="1"/>
  <c r="S196" i="69"/>
  <c r="AP196" i="69" s="1"/>
  <c r="Q81" i="69"/>
  <c r="R81" i="69" s="1"/>
  <c r="T81" i="69" s="1"/>
  <c r="U81" i="69" s="1"/>
  <c r="S81" i="69"/>
  <c r="AP81" i="69" s="1"/>
  <c r="T255" i="69"/>
  <c r="U255" i="69" s="1"/>
  <c r="V255" i="69"/>
  <c r="W255" i="69" s="1"/>
  <c r="S140" i="69"/>
  <c r="AP140" i="69" s="1"/>
  <c r="Q140" i="69"/>
  <c r="R140" i="69" s="1"/>
  <c r="Q298" i="69"/>
  <c r="R298" i="69" s="1"/>
  <c r="T298" i="69" s="1"/>
  <c r="U298" i="69" s="1"/>
  <c r="S38" i="69"/>
  <c r="AP38" i="69" s="1"/>
  <c r="T86" i="69"/>
  <c r="U86" i="69" s="1"/>
  <c r="V86" i="69"/>
  <c r="W86" i="69" s="1"/>
  <c r="S47" i="69"/>
  <c r="AP47" i="69" s="1"/>
  <c r="Q47" i="69"/>
  <c r="R47" i="69" s="1"/>
  <c r="T47" i="69" s="1"/>
  <c r="U47" i="69" s="1"/>
  <c r="Q190" i="69"/>
  <c r="R190" i="69" s="1"/>
  <c r="S190" i="69"/>
  <c r="AP190" i="69" s="1"/>
  <c r="Q261" i="69"/>
  <c r="R261" i="69" s="1"/>
  <c r="Q319" i="69"/>
  <c r="R319" i="69" s="1"/>
  <c r="S315" i="69"/>
  <c r="AP315" i="69" s="1"/>
  <c r="Q99" i="69"/>
  <c r="R99" i="69" s="1"/>
  <c r="T99" i="69" s="1"/>
  <c r="U99" i="69" s="1"/>
  <c r="Q122" i="69"/>
  <c r="R122" i="69" s="1"/>
  <c r="T56" i="69"/>
  <c r="U56" i="69" s="1"/>
  <c r="V56" i="69"/>
  <c r="W56" i="69" s="1"/>
  <c r="S126" i="69"/>
  <c r="AP126" i="69" s="1"/>
  <c r="V13" i="69"/>
  <c r="W13" i="69" s="1"/>
  <c r="V311" i="69"/>
  <c r="W311" i="69" s="1"/>
  <c r="Q141" i="69"/>
  <c r="R141" i="69" s="1"/>
  <c r="S141" i="69"/>
  <c r="AP141" i="69" s="1"/>
  <c r="S266" i="69"/>
  <c r="AP266" i="69" s="1"/>
  <c r="T181" i="69"/>
  <c r="U181" i="69" s="1"/>
  <c r="V181" i="69"/>
  <c r="W181" i="69" s="1"/>
  <c r="Q249" i="69"/>
  <c r="R249" i="69" s="1"/>
  <c r="T249" i="69" s="1"/>
  <c r="U249" i="69" s="1"/>
  <c r="T19" i="69"/>
  <c r="U19" i="69" s="1"/>
  <c r="V19" i="69"/>
  <c r="W19" i="69" s="1"/>
  <c r="Q76" i="69"/>
  <c r="R76" i="69" s="1"/>
  <c r="T76" i="69" s="1"/>
  <c r="U76" i="69" s="1"/>
  <c r="S76" i="69"/>
  <c r="AP76" i="69" s="1"/>
  <c r="V170" i="69"/>
  <c r="W170" i="69" s="1"/>
  <c r="T184" i="69"/>
  <c r="U184" i="69" s="1"/>
  <c r="V184" i="69"/>
  <c r="W184" i="69" s="1"/>
  <c r="S203" i="69"/>
  <c r="AP203" i="69" s="1"/>
  <c r="Q203" i="69"/>
  <c r="R203" i="69" s="1"/>
  <c r="T203" i="69" s="1"/>
  <c r="U203" i="69" s="1"/>
  <c r="S227" i="69"/>
  <c r="AP227" i="69" s="1"/>
  <c r="Q227" i="69"/>
  <c r="Q118" i="69"/>
  <c r="R118" i="69" s="1"/>
  <c r="S118" i="69"/>
  <c r="AP118" i="69" s="1"/>
  <c r="V152" i="69"/>
  <c r="W152" i="69" s="1"/>
  <c r="Q95" i="69"/>
  <c r="R95" i="69" s="1"/>
  <c r="T95" i="69" s="1"/>
  <c r="U95" i="69" s="1"/>
  <c r="S95" i="69"/>
  <c r="AP95" i="69" s="1"/>
  <c r="Q187" i="69"/>
  <c r="R187" i="69" s="1"/>
  <c r="T187" i="69" s="1"/>
  <c r="U187" i="69" s="1"/>
  <c r="S187" i="69"/>
  <c r="AP187" i="69" s="1"/>
  <c r="S91" i="69"/>
  <c r="AP91" i="69" s="1"/>
  <c r="Q28" i="69"/>
  <c r="R28" i="69" s="1"/>
  <c r="T28" i="69" s="1"/>
  <c r="U28" i="69" s="1"/>
  <c r="S28" i="69"/>
  <c r="AP28" i="69" s="1"/>
  <c r="V247" i="69"/>
  <c r="W247" i="69" s="1"/>
  <c r="S102" i="69"/>
  <c r="AP102" i="69" s="1"/>
  <c r="Q302" i="69"/>
  <c r="R302" i="69" s="1"/>
  <c r="T302" i="69" s="1"/>
  <c r="U302" i="69" s="1"/>
  <c r="S302" i="69"/>
  <c r="AP302" i="69" s="1"/>
  <c r="V176" i="69"/>
  <c r="W176" i="69" s="1"/>
  <c r="Q308" i="69"/>
  <c r="R308" i="69" s="1"/>
  <c r="T308" i="69" s="1"/>
  <c r="U308" i="69" s="1"/>
  <c r="Q248" i="69"/>
  <c r="R248" i="69" s="1"/>
  <c r="S275" i="69"/>
  <c r="AP275" i="69" s="1"/>
  <c r="Q41" i="69"/>
  <c r="R41" i="69" s="1"/>
  <c r="S146" i="69"/>
  <c r="AP146" i="69" s="1"/>
  <c r="S303" i="69"/>
  <c r="AP303" i="69" s="1"/>
  <c r="S15" i="69"/>
  <c r="AP15" i="69" s="1"/>
  <c r="V144" i="69"/>
  <c r="W144" i="69" s="1"/>
  <c r="Q264" i="69"/>
  <c r="R264" i="69" s="1"/>
  <c r="T264" i="69" s="1"/>
  <c r="U264" i="69" s="1"/>
  <c r="Q33" i="69"/>
  <c r="R33" i="69" s="1"/>
  <c r="S115" i="69"/>
  <c r="AP115" i="69" s="1"/>
  <c r="Q180" i="69"/>
  <c r="R180" i="69" s="1"/>
  <c r="S223" i="69"/>
  <c r="AP223" i="69" s="1"/>
  <c r="S258" i="69"/>
  <c r="AP258" i="69" s="1"/>
  <c r="V313" i="69"/>
  <c r="W313" i="69" s="1"/>
  <c r="S132" i="69"/>
  <c r="AP132" i="69" s="1"/>
  <c r="Q283" i="69"/>
  <c r="R283" i="69" s="1"/>
  <c r="T283" i="69" s="1"/>
  <c r="U283" i="69" s="1"/>
  <c r="Q14" i="69"/>
  <c r="R14" i="69" s="1"/>
  <c r="T14" i="69" s="1"/>
  <c r="U14" i="69" s="1"/>
  <c r="S8" i="69"/>
  <c r="AP8" i="69" s="1"/>
  <c r="V114" i="69"/>
  <c r="W114" i="69" s="1"/>
  <c r="S314" i="69"/>
  <c r="AP314" i="69" s="1"/>
  <c r="W217" i="69"/>
  <c r="W130" i="69"/>
  <c r="W167" i="69"/>
  <c r="W219" i="69"/>
  <c r="W310" i="69"/>
  <c r="W245" i="69"/>
  <c r="W21" i="69"/>
  <c r="W305" i="69"/>
  <c r="W87" i="69"/>
  <c r="T46" i="69"/>
  <c r="U46" i="69" s="1"/>
  <c r="W46" i="69"/>
  <c r="W209" i="69"/>
  <c r="T209" i="69"/>
  <c r="U209" i="69" s="1"/>
  <c r="W172" i="69"/>
  <c r="T172" i="69"/>
  <c r="U172" i="69" s="1"/>
  <c r="T80" i="69"/>
  <c r="U80" i="69" s="1"/>
  <c r="W80" i="69"/>
  <c r="W201" i="69"/>
  <c r="T201" i="69"/>
  <c r="U201" i="69" s="1"/>
  <c r="W97" i="69"/>
  <c r="T97" i="69"/>
  <c r="U97" i="69" s="1"/>
  <c r="W150" i="69"/>
  <c r="T150" i="69"/>
  <c r="U150" i="69" s="1"/>
  <c r="T253" i="69" l="1"/>
  <c r="U253" i="69" s="1"/>
  <c r="T309" i="69"/>
  <c r="U309" i="69" s="1"/>
  <c r="R217" i="69"/>
  <c r="T217" i="69" s="1"/>
  <c r="U217" i="69" s="1"/>
  <c r="R226" i="69"/>
  <c r="T226" i="69" s="1"/>
  <c r="U226" i="69" s="1"/>
  <c r="R219" i="69"/>
  <c r="T219" i="69" s="1"/>
  <c r="U219" i="69" s="1"/>
  <c r="R228" i="69"/>
  <c r="T228" i="69" s="1"/>
  <c r="U228" i="69" s="1"/>
  <c r="R227" i="69"/>
  <c r="T227" i="69" s="1"/>
  <c r="U227" i="69" s="1"/>
  <c r="R222" i="69"/>
  <c r="T222" i="69" s="1"/>
  <c r="U222" i="69" s="1"/>
  <c r="R220" i="69"/>
  <c r="V220" i="69" s="1"/>
  <c r="W220" i="69" s="1"/>
  <c r="R231" i="69"/>
  <c r="T231" i="69" s="1"/>
  <c r="U231" i="69" s="1"/>
  <c r="R230" i="69"/>
  <c r="T230" i="69" s="1"/>
  <c r="U230" i="69" s="1"/>
  <c r="R225" i="69"/>
  <c r="T225" i="69" s="1"/>
  <c r="U225" i="69" s="1"/>
  <c r="V45" i="69"/>
  <c r="W45" i="69" s="1"/>
  <c r="T214" i="69"/>
  <c r="U214" i="69" s="1"/>
  <c r="V90" i="69"/>
  <c r="W90" i="69" s="1"/>
  <c r="V32" i="69"/>
  <c r="W32" i="69" s="1"/>
  <c r="V216" i="69"/>
  <c r="W216" i="69" s="1"/>
  <c r="V108" i="69"/>
  <c r="W108" i="69" s="1"/>
  <c r="V234" i="69"/>
  <c r="W234" i="69" s="1"/>
  <c r="V236" i="69"/>
  <c r="W236" i="69" s="1"/>
  <c r="T235" i="69"/>
  <c r="U235" i="69" s="1"/>
  <c r="T197" i="69"/>
  <c r="U197" i="69" s="1"/>
  <c r="T136" i="69"/>
  <c r="U136" i="69" s="1"/>
  <c r="T149" i="69"/>
  <c r="U149" i="69" s="1"/>
  <c r="V7" i="69"/>
  <c r="W7" i="69" s="1"/>
  <c r="T119" i="69"/>
  <c r="U119" i="69" s="1"/>
  <c r="T189" i="69"/>
  <c r="U189" i="69" s="1"/>
  <c r="V186" i="69"/>
  <c r="W186" i="69" s="1"/>
  <c r="V65" i="69"/>
  <c r="W65" i="69" s="1"/>
  <c r="V12" i="69"/>
  <c r="W12" i="69" s="1"/>
  <c r="T318" i="69"/>
  <c r="U318" i="69" s="1"/>
  <c r="V60" i="69"/>
  <c r="W60" i="69" s="1"/>
  <c r="V175" i="69"/>
  <c r="W175" i="69" s="1"/>
  <c r="V96" i="69"/>
  <c r="W96" i="69" s="1"/>
  <c r="V304" i="69"/>
  <c r="W304" i="69" s="1"/>
  <c r="V194" i="69"/>
  <c r="W194" i="69" s="1"/>
  <c r="V307" i="69"/>
  <c r="W307" i="69" s="1"/>
  <c r="V204" i="69"/>
  <c r="W204" i="69" s="1"/>
  <c r="V301" i="69"/>
  <c r="W301" i="69" s="1"/>
  <c r="V212" i="69"/>
  <c r="W212" i="69" s="1"/>
  <c r="T250" i="69"/>
  <c r="U250" i="69" s="1"/>
  <c r="V51" i="69"/>
  <c r="W51" i="69" s="1"/>
  <c r="T241" i="69"/>
  <c r="U241" i="69" s="1"/>
  <c r="V263" i="69"/>
  <c r="W263" i="69" s="1"/>
  <c r="V206" i="69"/>
  <c r="W206" i="69" s="1"/>
  <c r="V174" i="69"/>
  <c r="W174" i="69" s="1"/>
  <c r="V237" i="69"/>
  <c r="W237" i="69" s="1"/>
  <c r="V27" i="69"/>
  <c r="W27" i="69" s="1"/>
  <c r="V192" i="69"/>
  <c r="W192" i="69" s="1"/>
  <c r="T53" i="69"/>
  <c r="U53" i="69" s="1"/>
  <c r="V53" i="69"/>
  <c r="W53" i="69" s="1"/>
  <c r="V191" i="69"/>
  <c r="W191" i="69" s="1"/>
  <c r="V84" i="69"/>
  <c r="W84" i="69" s="1"/>
  <c r="V79" i="69"/>
  <c r="W79" i="69" s="1"/>
  <c r="V154" i="69"/>
  <c r="W154" i="69" s="1"/>
  <c r="T140" i="69"/>
  <c r="U140" i="69" s="1"/>
  <c r="V140" i="69"/>
  <c r="W140" i="69" s="1"/>
  <c r="T33" i="69"/>
  <c r="U33" i="69" s="1"/>
  <c r="V33" i="69"/>
  <c r="W33" i="69" s="1"/>
  <c r="T40" i="69"/>
  <c r="U40" i="69" s="1"/>
  <c r="V40" i="69"/>
  <c r="W40" i="69" s="1"/>
  <c r="T261" i="69"/>
  <c r="U261" i="69" s="1"/>
  <c r="V261" i="69"/>
  <c r="W261" i="69" s="1"/>
  <c r="T59" i="69"/>
  <c r="U59" i="69" s="1"/>
  <c r="T148" i="69"/>
  <c r="U148" i="69" s="1"/>
  <c r="V148" i="69"/>
  <c r="W148" i="69" s="1"/>
  <c r="T75" i="69"/>
  <c r="U75" i="69" s="1"/>
  <c r="V75" i="69"/>
  <c r="W75" i="69" s="1"/>
  <c r="T74" i="69"/>
  <c r="U74" i="69" s="1"/>
  <c r="V74" i="69"/>
  <c r="W74" i="69" s="1"/>
  <c r="T68" i="69"/>
  <c r="U68" i="69" s="1"/>
  <c r="V68" i="69"/>
  <c r="W68" i="69" s="1"/>
  <c r="T123" i="69"/>
  <c r="U123" i="69" s="1"/>
  <c r="V123" i="69"/>
  <c r="W123" i="69" s="1"/>
  <c r="T320" i="69"/>
  <c r="U320" i="69" s="1"/>
  <c r="V320" i="69"/>
  <c r="W320" i="69" s="1"/>
  <c r="T267" i="69"/>
  <c r="U267" i="69" s="1"/>
  <c r="V267" i="69"/>
  <c r="W267" i="69" s="1"/>
  <c r="T127" i="69"/>
  <c r="U127" i="69" s="1"/>
  <c r="V127" i="69"/>
  <c r="W127" i="69" s="1"/>
  <c r="T122" i="69"/>
  <c r="U122" i="69" s="1"/>
  <c r="V122" i="69"/>
  <c r="W122" i="69" s="1"/>
  <c r="T82" i="69"/>
  <c r="U82" i="69" s="1"/>
  <c r="V82" i="69"/>
  <c r="W82" i="69" s="1"/>
  <c r="T111" i="69"/>
  <c r="U111" i="69" s="1"/>
  <c r="T107" i="69"/>
  <c r="U107" i="69" s="1"/>
  <c r="V107" i="69"/>
  <c r="W107" i="69" s="1"/>
  <c r="T58" i="69"/>
  <c r="U58" i="69" s="1"/>
  <c r="T103" i="69"/>
  <c r="U103" i="69" s="1"/>
  <c r="V103" i="69"/>
  <c r="W103" i="69" s="1"/>
  <c r="T168" i="69"/>
  <c r="U168" i="69" s="1"/>
  <c r="V168" i="69"/>
  <c r="W168" i="69" s="1"/>
  <c r="T180" i="69"/>
  <c r="U180" i="69" s="1"/>
  <c r="V180" i="69"/>
  <c r="W180" i="69" s="1"/>
  <c r="T190" i="69"/>
  <c r="U190" i="69" s="1"/>
  <c r="V190" i="69"/>
  <c r="W190" i="69" s="1"/>
  <c r="T41" i="69"/>
  <c r="U41" i="69" s="1"/>
  <c r="V41" i="69"/>
  <c r="W41" i="69" s="1"/>
  <c r="T248" i="69"/>
  <c r="U248" i="69" s="1"/>
  <c r="V248" i="69"/>
  <c r="W248" i="69" s="1"/>
  <c r="T17" i="69"/>
  <c r="U17" i="69" s="1"/>
  <c r="T143" i="69"/>
  <c r="U143" i="69" s="1"/>
  <c r="T254" i="69"/>
  <c r="U254" i="69" s="1"/>
  <c r="V254" i="69"/>
  <c r="W254" i="69" s="1"/>
  <c r="T141" i="69"/>
  <c r="U141" i="69" s="1"/>
  <c r="V141" i="69"/>
  <c r="W141" i="69" s="1"/>
  <c r="T105" i="69"/>
  <c r="U105" i="69" s="1"/>
  <c r="V105" i="69"/>
  <c r="W105" i="69" s="1"/>
  <c r="T238" i="69"/>
  <c r="U238" i="69" s="1"/>
  <c r="V238" i="69"/>
  <c r="W238" i="69" s="1"/>
  <c r="T171" i="69"/>
  <c r="U171" i="69" s="1"/>
  <c r="V171" i="69"/>
  <c r="W171" i="69" s="1"/>
  <c r="T118" i="69"/>
  <c r="U118" i="69" s="1"/>
  <c r="V118" i="69"/>
  <c r="W118" i="69" s="1"/>
  <c r="T233" i="69"/>
  <c r="U233" i="69" s="1"/>
  <c r="V233" i="69"/>
  <c r="W233" i="69" s="1"/>
  <c r="T319" i="69"/>
  <c r="U319" i="69" s="1"/>
  <c r="V319" i="69"/>
  <c r="W319" i="69" s="1"/>
  <c r="T196" i="69"/>
  <c r="U196" i="69" s="1"/>
  <c r="V196" i="69"/>
  <c r="W196" i="69" s="1"/>
  <c r="V225" i="69" l="1"/>
  <c r="W225" i="69" s="1"/>
  <c r="T220" i="69"/>
  <c r="U220" i="69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<sst xmlns="http://schemas.openxmlformats.org/spreadsheetml/2006/main" count="2741" uniqueCount="517">
  <si>
    <t>少休：</t>
  </si>
  <si>
    <t>缺卡</t>
  </si>
  <si>
    <t>迟到</t>
  </si>
  <si>
    <t>保底</t>
  </si>
  <si>
    <t>请假</t>
  </si>
  <si>
    <t>岗位分类</t>
  </si>
  <si>
    <t>培训费</t>
  </si>
  <si>
    <t>所属门店</t>
  </si>
  <si>
    <t>店名</t>
  </si>
  <si>
    <t>事业部</t>
  </si>
  <si>
    <t>类型</t>
  </si>
  <si>
    <t>核算归属门店</t>
  </si>
  <si>
    <t>核算类型</t>
  </si>
  <si>
    <t>核算工资</t>
  </si>
  <si>
    <t>新员工</t>
  </si>
  <si>
    <t>没有少休</t>
  </si>
  <si>
    <t>&lt;</t>
  </si>
  <si>
    <t>&gt;=</t>
  </si>
  <si>
    <t>总部</t>
  </si>
  <si>
    <t>拓展部</t>
  </si>
  <si>
    <t>入职时间含上月20及以后</t>
  </si>
  <si>
    <t>A</t>
  </si>
  <si>
    <t>华润</t>
  </si>
  <si>
    <t>事业四部</t>
  </si>
  <si>
    <t>科技一部</t>
  </si>
  <si>
    <t>培训</t>
  </si>
  <si>
    <t>新人归属门店</t>
  </si>
  <si>
    <t>培训-60</t>
  </si>
  <si>
    <t>保底期</t>
  </si>
  <si>
    <t>门店</t>
  </si>
  <si>
    <t>B</t>
  </si>
  <si>
    <t>紫荆</t>
  </si>
  <si>
    <t>事业三部</t>
  </si>
  <si>
    <t>科技二部</t>
  </si>
  <si>
    <t>在其他门店是否需要拆分？</t>
  </si>
  <si>
    <t>健康师</t>
  </si>
  <si>
    <t>离职</t>
  </si>
  <si>
    <t>特殊1</t>
  </si>
  <si>
    <t>龙湖</t>
  </si>
  <si>
    <t>事业一部</t>
  </si>
  <si>
    <t>拓客</t>
  </si>
  <si>
    <t>培训-80</t>
  </si>
  <si>
    <t>总经理</t>
  </si>
  <si>
    <t>沙河</t>
  </si>
  <si>
    <t>事业二部</t>
  </si>
  <si>
    <t>科技部</t>
  </si>
  <si>
    <t>主任</t>
  </si>
  <si>
    <t>经理</t>
  </si>
  <si>
    <t>静居寺</t>
  </si>
  <si>
    <t>事业五部</t>
  </si>
  <si>
    <t>培训+手工</t>
  </si>
  <si>
    <t>事业六部</t>
  </si>
  <si>
    <t>主任保底</t>
  </si>
  <si>
    <t>光华</t>
  </si>
  <si>
    <t>健康师保底</t>
  </si>
  <si>
    <t>融创</t>
  </si>
  <si>
    <t>岗位核算</t>
  </si>
  <si>
    <t>川师</t>
  </si>
  <si>
    <t>不算工资</t>
  </si>
  <si>
    <t>鹭岛</t>
  </si>
  <si>
    <t>特殊核算-100</t>
  </si>
  <si>
    <t>荣华北路</t>
  </si>
  <si>
    <t>科技部保底</t>
  </si>
  <si>
    <t>荣华南路</t>
  </si>
  <si>
    <t>培训-60已发</t>
  </si>
  <si>
    <t>大丰</t>
  </si>
  <si>
    <t>门店-60已发</t>
  </si>
  <si>
    <t>双流</t>
  </si>
  <si>
    <t>骑士郡</t>
  </si>
  <si>
    <t>明信</t>
  </si>
  <si>
    <t>犀浦</t>
  </si>
  <si>
    <t>千禧</t>
  </si>
  <si>
    <t>亚洲湾</t>
  </si>
  <si>
    <t>中和</t>
  </si>
  <si>
    <t>凤凰山</t>
  </si>
  <si>
    <t>南湖</t>
  </si>
  <si>
    <t>涌泉</t>
  </si>
  <si>
    <t>优品道</t>
  </si>
  <si>
    <t>大源</t>
  </si>
  <si>
    <t>红光</t>
  </si>
  <si>
    <t>保利</t>
  </si>
  <si>
    <t>龙城国际</t>
  </si>
  <si>
    <t>川音</t>
  </si>
  <si>
    <t>序号</t>
  </si>
  <si>
    <t>职位</t>
  </si>
  <si>
    <t>姓名</t>
  </si>
  <si>
    <t>在职情况</t>
  </si>
  <si>
    <t>岗位分类②</t>
  </si>
  <si>
    <t>入职时间</t>
  </si>
  <si>
    <t>离职时间</t>
  </si>
  <si>
    <t>7月标准休息天数</t>
  </si>
  <si>
    <t>7月保底</t>
  </si>
  <si>
    <t>是否发</t>
  </si>
  <si>
    <t>备注</t>
  </si>
  <si>
    <t>店长</t>
  </si>
  <si>
    <t>易春梅</t>
  </si>
  <si>
    <t>在职</t>
  </si>
  <si>
    <t>店助</t>
  </si>
  <si>
    <t>江玲</t>
  </si>
  <si>
    <t>王瑞琳</t>
  </si>
  <si>
    <t>黄小燕</t>
  </si>
  <si>
    <t>雷彬燕</t>
  </si>
  <si>
    <t>赵玉晓</t>
  </si>
  <si>
    <t>张江秀</t>
  </si>
  <si>
    <t>雷朝霞</t>
  </si>
  <si>
    <t>陈雪莲</t>
  </si>
  <si>
    <t>饶秋华</t>
  </si>
  <si>
    <t>莫志英</t>
  </si>
  <si>
    <t>刘巧艳</t>
  </si>
  <si>
    <t>康红梅</t>
  </si>
  <si>
    <t>唐银春</t>
  </si>
  <si>
    <t>刘晓丽</t>
  </si>
  <si>
    <t>熊艳</t>
  </si>
  <si>
    <t>任静</t>
  </si>
  <si>
    <t>吴琴</t>
  </si>
  <si>
    <t>陈红霞</t>
  </si>
  <si>
    <t>孙丽娟</t>
  </si>
  <si>
    <t>廖增珍</t>
  </si>
  <si>
    <t>李春华</t>
  </si>
  <si>
    <t>张候敏</t>
  </si>
  <si>
    <t>赵小红</t>
  </si>
  <si>
    <t>彭龙惠</t>
  </si>
  <si>
    <t>邓雪梅</t>
  </si>
  <si>
    <t>高雪</t>
  </si>
  <si>
    <t>何婷</t>
  </si>
  <si>
    <t>刘慧</t>
  </si>
  <si>
    <t>王红红</t>
  </si>
  <si>
    <t>秦亚平</t>
  </si>
  <si>
    <t>谭莹</t>
  </si>
  <si>
    <t>张芮</t>
  </si>
  <si>
    <t>张元琼</t>
  </si>
  <si>
    <t>王依蕊</t>
  </si>
  <si>
    <t>向郑瑶</t>
  </si>
  <si>
    <t>唐容</t>
  </si>
  <si>
    <t>叶文娟</t>
  </si>
  <si>
    <t>渗登措</t>
  </si>
  <si>
    <t>邹福贞</t>
  </si>
  <si>
    <t>陈怡名</t>
  </si>
  <si>
    <t>张丽</t>
  </si>
  <si>
    <t>杨金花</t>
  </si>
  <si>
    <t>店助主任</t>
  </si>
  <si>
    <t>樊琳</t>
  </si>
  <si>
    <t>董顺秀</t>
  </si>
  <si>
    <t>陈建蓉</t>
  </si>
  <si>
    <t>王娇</t>
  </si>
  <si>
    <t>黎茂婷</t>
  </si>
  <si>
    <t>张艳秋</t>
  </si>
  <si>
    <t>陈小琴</t>
  </si>
  <si>
    <t>刘恬恬</t>
  </si>
  <si>
    <t>苟小春</t>
  </si>
  <si>
    <t>李燕</t>
  </si>
  <si>
    <t>张小华</t>
  </si>
  <si>
    <t>王任燕</t>
  </si>
  <si>
    <t>罗萍</t>
  </si>
  <si>
    <t>陈萍</t>
  </si>
  <si>
    <t>吴敏</t>
  </si>
  <si>
    <t>完成目标业绩提升20%保底是8000</t>
  </si>
  <si>
    <t>陈佳丽</t>
  </si>
  <si>
    <t>康钦</t>
  </si>
  <si>
    <t>聂娟</t>
  </si>
  <si>
    <t>马菁</t>
  </si>
  <si>
    <t>徐睦垚</t>
  </si>
  <si>
    <t>达哇卓玛</t>
  </si>
  <si>
    <t>曾雨晴</t>
  </si>
  <si>
    <t>但红玉</t>
  </si>
  <si>
    <t>梁缘缘</t>
  </si>
  <si>
    <t>李萱君</t>
  </si>
  <si>
    <t>李思忆</t>
  </si>
  <si>
    <t>赵情情</t>
  </si>
  <si>
    <t>曹悦</t>
  </si>
  <si>
    <t>吴飞雁</t>
  </si>
  <si>
    <t>尹桂香</t>
  </si>
  <si>
    <t>张小娟</t>
  </si>
  <si>
    <t>刘安琼</t>
  </si>
  <si>
    <t>刘晓林</t>
  </si>
  <si>
    <t>李巧娇</t>
  </si>
  <si>
    <t>林萍</t>
  </si>
  <si>
    <t>罗雪</t>
  </si>
  <si>
    <t>唐宇欣</t>
  </si>
  <si>
    <t>李萌</t>
  </si>
  <si>
    <t>王如意</t>
  </si>
  <si>
    <t>柳全菊</t>
  </si>
  <si>
    <t>何琼华</t>
  </si>
  <si>
    <t>蒋圆圆</t>
  </si>
  <si>
    <t>顾红艳</t>
  </si>
  <si>
    <t>郭小丽</t>
  </si>
  <si>
    <t>梁婷</t>
  </si>
  <si>
    <t>雷娜婷</t>
  </si>
  <si>
    <t>刘心怡</t>
  </si>
  <si>
    <t>叶美霞</t>
  </si>
  <si>
    <t>秦娜</t>
  </si>
  <si>
    <t>牟光燕</t>
  </si>
  <si>
    <t>王萍</t>
  </si>
  <si>
    <t>胡红琳</t>
  </si>
  <si>
    <t>谢娟</t>
  </si>
  <si>
    <t>陈美合</t>
  </si>
  <si>
    <t>郝莉娜</t>
  </si>
  <si>
    <t>邓丽莉</t>
  </si>
  <si>
    <t>张明艳</t>
  </si>
  <si>
    <t>马宏梅</t>
  </si>
  <si>
    <t>陈洁</t>
  </si>
  <si>
    <t>郑加焕</t>
  </si>
  <si>
    <t>侯英</t>
  </si>
  <si>
    <t>谢德芳</t>
  </si>
  <si>
    <t>蒲草</t>
  </si>
  <si>
    <t>郑华跃</t>
  </si>
  <si>
    <t>李茂</t>
  </si>
  <si>
    <t>孙红梅</t>
  </si>
  <si>
    <t>黎红花</t>
  </si>
  <si>
    <t>蒲艳婷</t>
  </si>
  <si>
    <t>刘帆</t>
  </si>
  <si>
    <t>杨艳</t>
  </si>
  <si>
    <t>肖静梅</t>
  </si>
  <si>
    <t>王晓琳</t>
  </si>
  <si>
    <t>彭措志玛</t>
  </si>
  <si>
    <t>郝中南</t>
  </si>
  <si>
    <t>冉芳霞</t>
  </si>
  <si>
    <t>谭萍</t>
  </si>
  <si>
    <t>陈琳</t>
  </si>
  <si>
    <t>罗湘湘</t>
  </si>
  <si>
    <t>唐玉芳</t>
  </si>
  <si>
    <t>王新华</t>
  </si>
  <si>
    <t>雷怡</t>
  </si>
  <si>
    <t>龙巧云</t>
  </si>
  <si>
    <t>张勤</t>
  </si>
  <si>
    <t>刘裕琼</t>
  </si>
  <si>
    <t>唐施语</t>
  </si>
  <si>
    <t>谭福英</t>
  </si>
  <si>
    <t>李凤</t>
  </si>
  <si>
    <t>陈嘉仪</t>
  </si>
  <si>
    <t>王红</t>
  </si>
  <si>
    <t>冷忠翠</t>
  </si>
  <si>
    <t>糜清云</t>
  </si>
  <si>
    <t>向陈洁</t>
  </si>
  <si>
    <t>贺金云</t>
  </si>
  <si>
    <t>周静芸</t>
  </si>
  <si>
    <t>舒许芳</t>
  </si>
  <si>
    <t>包竹梅</t>
  </si>
  <si>
    <t>欧迎春</t>
  </si>
  <si>
    <t>谭芙蓉</t>
  </si>
  <si>
    <t>曾玉莲</t>
  </si>
  <si>
    <t>彭兰钦</t>
  </si>
  <si>
    <t>刘婵琴</t>
  </si>
  <si>
    <t>泽仁拉姆</t>
  </si>
  <si>
    <t>舒阳</t>
  </si>
  <si>
    <t>白丽</t>
  </si>
  <si>
    <t>郑巧玲</t>
  </si>
  <si>
    <t>张廷妍</t>
  </si>
  <si>
    <t>杜兰兰</t>
  </si>
  <si>
    <t>王显珍</t>
  </si>
  <si>
    <t>吴雨欣</t>
  </si>
  <si>
    <t>马冬梅</t>
  </si>
  <si>
    <t>彭莉群</t>
  </si>
  <si>
    <t>刘金凤</t>
  </si>
  <si>
    <t>谢珂欣</t>
  </si>
  <si>
    <t>刘霞</t>
  </si>
  <si>
    <t>尧丹丹</t>
  </si>
  <si>
    <t>李科</t>
  </si>
  <si>
    <t>石海力</t>
  </si>
  <si>
    <t>不发</t>
  </si>
  <si>
    <t>付薪燕</t>
  </si>
  <si>
    <t>陈定坤</t>
  </si>
  <si>
    <t>王桂明</t>
  </si>
  <si>
    <t>关晓燕</t>
  </si>
  <si>
    <t>唐尹</t>
  </si>
  <si>
    <t>贺慧</t>
  </si>
  <si>
    <t>李红梅</t>
  </si>
  <si>
    <t>龚艳</t>
  </si>
  <si>
    <t>余姣姣</t>
  </si>
  <si>
    <t>竹艳梅</t>
  </si>
  <si>
    <t>叶朝春</t>
  </si>
  <si>
    <t>喻容</t>
  </si>
  <si>
    <t>魏柯</t>
  </si>
  <si>
    <t>徐文平</t>
  </si>
  <si>
    <t>张欣</t>
  </si>
  <si>
    <t>叶璐璐</t>
  </si>
  <si>
    <t>周文慧</t>
  </si>
  <si>
    <t>张白金</t>
  </si>
  <si>
    <t>郑美函</t>
  </si>
  <si>
    <t>龚茜</t>
  </si>
  <si>
    <t>廖妍</t>
  </si>
  <si>
    <t>李彩华</t>
  </si>
  <si>
    <t>刘九招</t>
  </si>
  <si>
    <t>朱羽</t>
  </si>
  <si>
    <t>施凤皎</t>
  </si>
  <si>
    <t>高琴</t>
  </si>
  <si>
    <t>达卓措</t>
  </si>
  <si>
    <t>袁玉</t>
  </si>
  <si>
    <t>赵静</t>
  </si>
  <si>
    <t>赵晴亮</t>
  </si>
  <si>
    <t>赵忠芬</t>
  </si>
  <si>
    <t>郑丹</t>
  </si>
  <si>
    <t>林锶莹</t>
  </si>
  <si>
    <t>胡钦秀</t>
  </si>
  <si>
    <t>高红艳</t>
  </si>
  <si>
    <t>曾怡</t>
  </si>
  <si>
    <t>张清华</t>
  </si>
  <si>
    <t>彭鑫</t>
  </si>
  <si>
    <t>李维</t>
  </si>
  <si>
    <t>贾琳</t>
  </si>
  <si>
    <t>王智慧</t>
  </si>
  <si>
    <t>邓笑</t>
  </si>
  <si>
    <t>刘香</t>
  </si>
  <si>
    <t>刘丽华</t>
  </si>
  <si>
    <t>周林</t>
  </si>
  <si>
    <t>钟秦</t>
  </si>
  <si>
    <t>张红霞</t>
  </si>
  <si>
    <t>李燕1</t>
  </si>
  <si>
    <t>陈世琳</t>
  </si>
  <si>
    <t>张林英</t>
  </si>
  <si>
    <t>陈燕辉</t>
  </si>
  <si>
    <t>宋林琳</t>
  </si>
  <si>
    <t>马丽亚</t>
  </si>
  <si>
    <t>阿衣尔扎</t>
  </si>
  <si>
    <t>张霞</t>
  </si>
  <si>
    <t>谢双叶</t>
  </si>
  <si>
    <t>蒙亦锌</t>
  </si>
  <si>
    <t>刘梦蓝</t>
  </si>
  <si>
    <t>罗林芳</t>
  </si>
  <si>
    <t>汪丽娟</t>
  </si>
  <si>
    <t>谭言希</t>
  </si>
  <si>
    <t>黄江</t>
  </si>
  <si>
    <t>陈琼</t>
  </si>
  <si>
    <t>米琪</t>
  </si>
  <si>
    <t>尚杨</t>
  </si>
  <si>
    <t>培训不发，6月的培训费用不发</t>
  </si>
  <si>
    <t>钟心悦</t>
  </si>
  <si>
    <t>胡祝曲</t>
  </si>
  <si>
    <t>谢金梅</t>
  </si>
  <si>
    <t>李洪芳</t>
  </si>
  <si>
    <t>王维</t>
  </si>
  <si>
    <t>罗文文</t>
  </si>
  <si>
    <t>任艺</t>
  </si>
  <si>
    <t>贺丽</t>
  </si>
  <si>
    <t>殷小燕</t>
  </si>
  <si>
    <t>李海瑛</t>
  </si>
  <si>
    <t>邹孟君</t>
  </si>
  <si>
    <t>彭羽佳</t>
  </si>
  <si>
    <t>朱成芳</t>
  </si>
  <si>
    <t>翁玲</t>
  </si>
  <si>
    <t>王能琴</t>
  </si>
  <si>
    <t>涂莹丹</t>
  </si>
  <si>
    <t>人事主管</t>
  </si>
  <si>
    <t>葛敏</t>
  </si>
  <si>
    <t>人事专员</t>
  </si>
  <si>
    <t>袁小兵</t>
  </si>
  <si>
    <t>徐登毅</t>
  </si>
  <si>
    <t>范时依</t>
  </si>
  <si>
    <t>企划部</t>
  </si>
  <si>
    <t>吴小强</t>
  </si>
  <si>
    <t>宁燕</t>
  </si>
  <si>
    <t>杨苹</t>
  </si>
  <si>
    <t>赵倩</t>
  </si>
  <si>
    <t>财务老师</t>
  </si>
  <si>
    <t>梁诗雨</t>
  </si>
  <si>
    <t>财务主管</t>
  </si>
  <si>
    <t>郭思瑞</t>
  </si>
  <si>
    <t>文倩</t>
  </si>
  <si>
    <t>财务总监</t>
  </si>
  <si>
    <t>刘佳</t>
  </si>
  <si>
    <t>企划</t>
  </si>
  <si>
    <t>杨磊</t>
  </si>
  <si>
    <t>企划总监</t>
  </si>
  <si>
    <t>钱园</t>
  </si>
  <si>
    <t>选址</t>
  </si>
  <si>
    <t>李吉原</t>
  </si>
  <si>
    <t>大项目主管</t>
  </si>
  <si>
    <t>黄桂琴</t>
  </si>
  <si>
    <t>詹芳英</t>
  </si>
  <si>
    <t>大项目老师</t>
  </si>
  <si>
    <t>陈思思</t>
  </si>
  <si>
    <t>李洁</t>
  </si>
  <si>
    <t>教育部总经理</t>
  </si>
  <si>
    <t>马小英</t>
  </si>
  <si>
    <t>欧阳敏</t>
  </si>
  <si>
    <t>教育部老师</t>
  </si>
  <si>
    <t>程燕</t>
  </si>
  <si>
    <t>肖倩</t>
  </si>
  <si>
    <t>王丽娟</t>
  </si>
  <si>
    <t>蓝海英</t>
  </si>
  <si>
    <t>夏萍</t>
  </si>
  <si>
    <t>组长</t>
  </si>
  <si>
    <t>王方贤</t>
  </si>
  <si>
    <t>科技老师</t>
  </si>
  <si>
    <t>杨琴</t>
  </si>
  <si>
    <t>赵美艳</t>
  </si>
  <si>
    <t>邹盼</t>
  </si>
  <si>
    <t>郭兰</t>
  </si>
  <si>
    <t>戴林</t>
  </si>
  <si>
    <t>蒲俊峰</t>
  </si>
  <si>
    <t>张雪颖</t>
  </si>
  <si>
    <t>张雨露</t>
  </si>
  <si>
    <t>刘祖红</t>
  </si>
  <si>
    <t>谢宗富</t>
  </si>
  <si>
    <t>余文</t>
  </si>
  <si>
    <t>王洪武</t>
  </si>
  <si>
    <t>保洁</t>
  </si>
  <si>
    <t>王国英</t>
  </si>
  <si>
    <t>周莉</t>
  </si>
  <si>
    <t>吴斌</t>
  </si>
  <si>
    <t>杨汉玉</t>
  </si>
  <si>
    <t>杨润琼</t>
  </si>
  <si>
    <t>刘期秀</t>
  </si>
  <si>
    <t>林玉琼</t>
  </si>
  <si>
    <t>王秀华</t>
  </si>
  <si>
    <t>刘陈秀</t>
  </si>
  <si>
    <t>钟术群</t>
  </si>
  <si>
    <t>郑竹兰</t>
  </si>
  <si>
    <t>陈春蓉</t>
  </si>
  <si>
    <t>陈明秀</t>
  </si>
  <si>
    <t>许开会</t>
  </si>
  <si>
    <t>蒋治琼</t>
  </si>
  <si>
    <t>曾志芬</t>
  </si>
  <si>
    <t>罗广秀</t>
  </si>
  <si>
    <t>何先会</t>
  </si>
  <si>
    <t>陈德芳</t>
  </si>
  <si>
    <t>邓成分</t>
  </si>
  <si>
    <t>刘胜琼</t>
  </si>
  <si>
    <t>陈文先</t>
  </si>
  <si>
    <t>杨则琼</t>
  </si>
  <si>
    <t>李培英</t>
  </si>
  <si>
    <t>陈永秀</t>
  </si>
  <si>
    <t>李大英</t>
  </si>
  <si>
    <t>范世琼</t>
  </si>
  <si>
    <t>倪巧琼</t>
  </si>
  <si>
    <t>颜香兰</t>
  </si>
  <si>
    <t>刘治菊</t>
  </si>
  <si>
    <t>陈珊珊</t>
  </si>
  <si>
    <t>安家晴</t>
  </si>
  <si>
    <t>刘雨佳</t>
  </si>
  <si>
    <t>谢翠华</t>
  </si>
  <si>
    <t>袁晓梅</t>
  </si>
  <si>
    <t>孙鲜</t>
  </si>
  <si>
    <t>陈春秀</t>
  </si>
  <si>
    <t>郑晓芳</t>
  </si>
  <si>
    <t>曾小凤</t>
  </si>
  <si>
    <t>邹奇圻</t>
  </si>
  <si>
    <t>路平</t>
  </si>
  <si>
    <t>康丹</t>
  </si>
  <si>
    <t>尹佩佩</t>
  </si>
  <si>
    <t>周柏燚</t>
  </si>
  <si>
    <t>李文龙</t>
  </si>
  <si>
    <t>张文卓</t>
  </si>
  <si>
    <t>曹煦菡</t>
  </si>
  <si>
    <t>蹇雨珊</t>
  </si>
  <si>
    <t>赵圆缘</t>
  </si>
  <si>
    <t>李从丽</t>
  </si>
  <si>
    <t>杨慧琳</t>
  </si>
  <si>
    <t>袁琳育</t>
  </si>
  <si>
    <t>蒲敏</t>
  </si>
  <si>
    <t>黄芬</t>
  </si>
  <si>
    <t>杨娇</t>
  </si>
  <si>
    <t>郭芬</t>
  </si>
  <si>
    <t>陈丽</t>
  </si>
  <si>
    <t>开始时间</t>
  </si>
  <si>
    <t>结束时间</t>
  </si>
  <si>
    <t>归属门店</t>
  </si>
  <si>
    <t>生成天数</t>
  </si>
  <si>
    <t>交通费用</t>
  </si>
  <si>
    <t>运营部分的天数合计</t>
  </si>
  <si>
    <t>是否完整</t>
  </si>
  <si>
    <t>核算月份</t>
  </si>
  <si>
    <t>判断①</t>
  </si>
  <si>
    <t>必须是要等于本月的"存活"天数</t>
  </si>
  <si>
    <t>可以检查</t>
  </si>
  <si>
    <t>7月</t>
  </si>
  <si>
    <t>暂不用</t>
  </si>
  <si>
    <t>股份</t>
  </si>
  <si>
    <t>金三角</t>
  </si>
  <si>
    <t>扣钱</t>
  </si>
  <si>
    <t>补钱</t>
  </si>
  <si>
    <t>8月调整后同Q</t>
  </si>
  <si>
    <t>②</t>
  </si>
  <si>
    <t>①</t>
  </si>
  <si>
    <t>坐起</t>
  </si>
  <si>
    <t>③</t>
  </si>
  <si>
    <t>6月</t>
  </si>
  <si>
    <t>8月</t>
  </si>
  <si>
    <t>发放月份</t>
  </si>
  <si>
    <t>在岗天数</t>
  </si>
  <si>
    <t>当月标准休息天数</t>
  </si>
  <si>
    <t>实际休</t>
  </si>
  <si>
    <t>休息</t>
  </si>
  <si>
    <t>福利假</t>
  </si>
  <si>
    <t>丧假</t>
  </si>
  <si>
    <t>年假</t>
  </si>
  <si>
    <t>出勤</t>
  </si>
  <si>
    <t>出勤+休息</t>
  </si>
  <si>
    <t>应休</t>
  </si>
  <si>
    <t>不扣钱的天数</t>
  </si>
  <si>
    <t>调减休息</t>
  </si>
  <si>
    <t>实际请假</t>
  </si>
  <si>
    <t>少休天数</t>
  </si>
  <si>
    <t>少休补贴</t>
  </si>
  <si>
    <t>全勤</t>
  </si>
  <si>
    <t>交通补助</t>
  </si>
  <si>
    <t>学习期扣款</t>
  </si>
  <si>
    <t>住宿</t>
  </si>
  <si>
    <t>工作服</t>
  </si>
  <si>
    <t>手机押金</t>
  </si>
  <si>
    <t>宿舍押金</t>
  </si>
  <si>
    <t>其他奖励</t>
  </si>
  <si>
    <t>保底-已核算金额</t>
  </si>
  <si>
    <t>当月培训</t>
  </si>
  <si>
    <t>当月交通补贴</t>
  </si>
  <si>
    <t>应发上月</t>
  </si>
  <si>
    <t>应发次月</t>
  </si>
  <si>
    <t>在店天数</t>
  </si>
  <si>
    <t>跨月天数</t>
  </si>
  <si>
    <t>6月工资-有</t>
  </si>
  <si>
    <t>当月在店天数+正常休</t>
  </si>
  <si>
    <t>应发合计</t>
  </si>
  <si>
    <t>扣除</t>
  </si>
  <si>
    <t>学习期</t>
  </si>
  <si>
    <t>当月是否核算</t>
    <phoneticPr fontId="4" type="noConversion"/>
  </si>
  <si>
    <t>人事部已发</t>
    <phoneticPr fontId="4" type="noConversion"/>
  </si>
  <si>
    <t>7月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</si>
</sst>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_);[Red]\(0\)"/>
  </numFmts>
  <fonts count="20" x14ac:knownFonts="1">
    <font>
      <sz val="12"/>
      <name val="宋体"/>
      <charset val="134"/>
    </font>
    <font>
      <sz val="11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rgb="FFFF0000"/>
      <name val="宋体"/>
      <family val="3"/>
      <charset val="134"/>
    </font>
    <font>
      <sz val="9"/>
      <name val="宋体"/>
      <family val="3"/>
      <charset val="134"/>
    </font>
    <font>
      <sz val="9"/>
      <name val="微软雅黑"/>
      <family val="2"/>
      <charset val="134"/>
    </font>
    <font>
      <sz val="9"/>
      <color theme="1"/>
      <name val="微软雅黑"/>
      <family val="2"/>
      <charset val="134"/>
    </font>
    <font>
      <sz val="8"/>
      <name val="微软雅黑"/>
      <family val="2"/>
      <charset val="134"/>
    </font>
    <font>
      <sz val="8"/>
      <name val="Microsoft YaHei Light"/>
      <family val="2"/>
      <charset val="134"/>
    </font>
    <font>
      <sz val="8"/>
      <name val="宋体"/>
      <family val="3"/>
      <charset val="134"/>
    </font>
    <font>
      <sz val="8"/>
      <color rgb="FF000000"/>
      <name val="微软雅黑"/>
      <family val="2"/>
      <charset val="134"/>
    </font>
    <font>
      <sz val="8"/>
      <color rgb="FFFF0000"/>
      <name val="微软雅黑"/>
      <family val="2"/>
      <charset val="134"/>
    </font>
    <font>
      <sz val="8"/>
      <color rgb="FFFF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微软雅黑"/>
      <family val="2"/>
      <charset val="134"/>
    </font>
    <font>
      <sz val="9"/>
      <color rgb="FFFF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1"/>
      <color rgb="FF000000"/>
      <name val="微软雅黑"/>
      <family val="2"/>
      <charset val="134"/>
    </font>
    <font>
      <sz val="12"/>
      <color rgb="FF000000"/>
      <name val="微软雅黑"/>
      <family val="2"/>
      <charset val="134"/>
    </font>
    <font>
      <sz val="12"/>
      <name val="宋体"/>
      <family val="3"/>
      <charset val="134"/>
    </font>
  </fonts>
  <fills count="1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39979247413556324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798577837458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7" tint="0.39988402966399123"/>
        <bgColor indexed="64"/>
      </patternFill>
    </fill>
    <fill>
      <patternFill patternType="solid">
        <fgColor theme="7" tint="0.7997985778374584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>
      <alignment vertical="center"/>
    </xf>
    <xf numFmtId="0" fontId="19" fillId="0" borderId="0">
      <alignment vertical="center"/>
    </xf>
  </cellStyleXfs>
  <cellXfs count="8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176" fontId="7" fillId="3" borderId="0" xfId="0" applyNumberFormat="1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176" fontId="10" fillId="3" borderId="2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2" fillId="7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5" fillId="8" borderId="0" xfId="0" applyFont="1" applyFill="1">
      <alignment vertical="center"/>
    </xf>
    <xf numFmtId="0" fontId="5" fillId="0" borderId="0" xfId="0" applyFont="1">
      <alignment vertical="center"/>
    </xf>
    <xf numFmtId="0" fontId="6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176" fontId="5" fillId="10" borderId="0" xfId="0" applyNumberFormat="1" applyFont="1" applyFill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14" fontId="5" fillId="11" borderId="2" xfId="0" applyNumberFormat="1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0" borderId="2" xfId="0" applyFont="1" applyBorder="1">
      <alignment vertical="center"/>
    </xf>
    <xf numFmtId="14" fontId="13" fillId="0" borderId="2" xfId="0" applyNumberFormat="1" applyFont="1" applyBorder="1" applyAlignment="1">
      <alignment horizontal="center" vertical="center"/>
    </xf>
    <xf numFmtId="0" fontId="5" fillId="6" borderId="0" xfId="0" applyFont="1" applyFill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2" borderId="2" xfId="0" applyFont="1" applyFill="1" applyBorder="1">
      <alignment vertical="center"/>
    </xf>
    <xf numFmtId="177" fontId="4" fillId="0" borderId="2" xfId="0" applyNumberFormat="1" applyFont="1" applyBorder="1">
      <alignment vertical="center"/>
    </xf>
    <xf numFmtId="14" fontId="4" fillId="0" borderId="2" xfId="0" applyNumberFormat="1" applyFont="1" applyBorder="1">
      <alignment vertical="center"/>
    </xf>
    <xf numFmtId="0" fontId="14" fillId="12" borderId="2" xfId="0" applyFont="1" applyFill="1" applyBorder="1" applyAlignment="1">
      <alignment horizontal="center" vertical="center"/>
    </xf>
    <xf numFmtId="58" fontId="14" fillId="12" borderId="2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4" fontId="5" fillId="13" borderId="2" xfId="0" applyNumberFormat="1" applyFont="1" applyFill="1" applyBorder="1" applyAlignment="1">
      <alignment horizontal="center" vertical="center"/>
    </xf>
    <xf numFmtId="58" fontId="14" fillId="2" borderId="2" xfId="0" applyNumberFormat="1" applyFont="1" applyFill="1" applyBorder="1" applyAlignment="1">
      <alignment horizontal="center" vertical="center"/>
    </xf>
    <xf numFmtId="58" fontId="5" fillId="0" borderId="2" xfId="0" applyNumberFormat="1" applyFont="1" applyBorder="1" applyAlignment="1">
      <alignment horizontal="center" vertical="center"/>
    </xf>
    <xf numFmtId="177" fontId="14" fillId="12" borderId="2" xfId="0" applyNumberFormat="1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14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0" xfId="0" applyFill="1">
      <alignment vertical="center"/>
    </xf>
  </cellXfs>
  <cellStyles count="2">
    <cellStyle name="常规" xfId="0" builtinId="0"/>
    <cellStyle name="常规 2" xfId="1" xr:uid="{00000000-0005-0000-0000-000031000000}"/>
  </cellStyles>
  <dxfs count="4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istrator\Desktop\&#24037;&#36164;&#26680;&#31639;%20-7&#26376;%20-%20&#21103;&#26412;\&#24037;&#36164;(&#20840;&#23383;&#27573;).xlsx" TargetMode="External"/><Relationship Id="rId1" Type="http://schemas.openxmlformats.org/officeDocument/2006/relationships/externalLinkPath" Target="&#24037;&#36164;&#26680;&#31639;%20-7&#26376;%20-%20&#21103;&#26412;/&#24037;&#36164;(&#20840;&#23383;&#27573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工资核对的全字段"/>
      <sheetName val="呈现的样式"/>
      <sheetName val="呈现字段"/>
      <sheetName val="Sheet1"/>
    </sheetNames>
    <sheetDataSet>
      <sheetData sheetId="0">
        <row r="2">
          <cell r="C2" t="str">
            <v>花名册</v>
          </cell>
        </row>
        <row r="3">
          <cell r="C3" t="str">
            <v>A-a-②</v>
          </cell>
        </row>
        <row r="6">
          <cell r="CT6">
            <v>14957.520159677422</v>
          </cell>
        </row>
        <row r="7">
          <cell r="C7" t="str">
            <v>姓名</v>
          </cell>
          <cell r="CT7" t="str">
            <v>待支付金额</v>
          </cell>
        </row>
        <row r="8">
          <cell r="C8" t="str">
            <v>易春梅</v>
          </cell>
          <cell r="CT8">
            <v>0</v>
          </cell>
        </row>
        <row r="9">
          <cell r="C9" t="str">
            <v>江玲</v>
          </cell>
          <cell r="CT9">
            <v>0</v>
          </cell>
        </row>
        <row r="10">
          <cell r="C10" t="str">
            <v>王瑞琳</v>
          </cell>
          <cell r="CT10">
            <v>0</v>
          </cell>
        </row>
        <row r="11">
          <cell r="C11" t="str">
            <v>黄小燕</v>
          </cell>
          <cell r="CT11">
            <v>0</v>
          </cell>
        </row>
        <row r="12">
          <cell r="C12" t="str">
            <v>赵玉晓</v>
          </cell>
          <cell r="CT12">
            <v>0</v>
          </cell>
        </row>
        <row r="13">
          <cell r="C13" t="str">
            <v>雷朝霞</v>
          </cell>
          <cell r="CT13">
            <v>0</v>
          </cell>
        </row>
        <row r="14">
          <cell r="C14" t="str">
            <v>陈雪莲</v>
          </cell>
          <cell r="CT14">
            <v>0</v>
          </cell>
        </row>
        <row r="15">
          <cell r="C15" t="str">
            <v>饶秋华</v>
          </cell>
          <cell r="CT15">
            <v>0</v>
          </cell>
        </row>
        <row r="16">
          <cell r="C16" t="str">
            <v>莫志英</v>
          </cell>
          <cell r="CT16">
            <v>0</v>
          </cell>
        </row>
        <row r="17">
          <cell r="C17" t="str">
            <v>刘巧艳</v>
          </cell>
          <cell r="CT17">
            <v>0</v>
          </cell>
        </row>
        <row r="18">
          <cell r="C18" t="str">
            <v>康红梅</v>
          </cell>
          <cell r="CT18">
            <v>0</v>
          </cell>
        </row>
        <row r="19">
          <cell r="C19" t="str">
            <v>唐银春</v>
          </cell>
          <cell r="CT19">
            <v>0</v>
          </cell>
        </row>
        <row r="20">
          <cell r="C20" t="str">
            <v>刘晓丽</v>
          </cell>
          <cell r="CT20">
            <v>0</v>
          </cell>
        </row>
        <row r="21">
          <cell r="C21" t="str">
            <v>熊艳</v>
          </cell>
          <cell r="CT21">
            <v>0</v>
          </cell>
        </row>
        <row r="22">
          <cell r="C22" t="str">
            <v>任静</v>
          </cell>
          <cell r="CT22">
            <v>0</v>
          </cell>
        </row>
        <row r="23">
          <cell r="C23" t="str">
            <v>吴琴</v>
          </cell>
          <cell r="CT23">
            <v>0</v>
          </cell>
        </row>
        <row r="24">
          <cell r="C24" t="str">
            <v>陈红霞</v>
          </cell>
          <cell r="CT24">
            <v>0</v>
          </cell>
        </row>
        <row r="25">
          <cell r="C25" t="str">
            <v>廖增珍</v>
          </cell>
          <cell r="CT25">
            <v>0</v>
          </cell>
        </row>
        <row r="26">
          <cell r="C26" t="str">
            <v>李春华</v>
          </cell>
          <cell r="CT26">
            <v>0</v>
          </cell>
        </row>
        <row r="27">
          <cell r="C27" t="str">
            <v>张候敏</v>
          </cell>
          <cell r="CT27">
            <v>0</v>
          </cell>
        </row>
        <row r="28">
          <cell r="C28" t="str">
            <v>赵小红</v>
          </cell>
          <cell r="CT28">
            <v>0</v>
          </cell>
        </row>
        <row r="29">
          <cell r="C29" t="str">
            <v>彭龙惠</v>
          </cell>
          <cell r="CT29">
            <v>0</v>
          </cell>
        </row>
        <row r="30">
          <cell r="C30" t="str">
            <v>邓雪梅</v>
          </cell>
          <cell r="CT30">
            <v>0</v>
          </cell>
        </row>
        <row r="31">
          <cell r="C31" t="str">
            <v>高雪</v>
          </cell>
          <cell r="CT31">
            <v>0</v>
          </cell>
        </row>
        <row r="32">
          <cell r="C32" t="str">
            <v>何婷</v>
          </cell>
          <cell r="CT32">
            <v>0</v>
          </cell>
        </row>
        <row r="33">
          <cell r="C33" t="str">
            <v>刘慧</v>
          </cell>
          <cell r="CT33">
            <v>0</v>
          </cell>
        </row>
        <row r="34">
          <cell r="C34" t="str">
            <v>秦亚平</v>
          </cell>
          <cell r="CT34">
            <v>0</v>
          </cell>
        </row>
        <row r="35">
          <cell r="C35" t="str">
            <v>谭莹</v>
          </cell>
          <cell r="CT35">
            <v>0</v>
          </cell>
        </row>
        <row r="36">
          <cell r="C36" t="str">
            <v>张芮</v>
          </cell>
          <cell r="CT36">
            <v>0</v>
          </cell>
        </row>
        <row r="37">
          <cell r="C37" t="str">
            <v>张元琼</v>
          </cell>
          <cell r="CT37">
            <v>0</v>
          </cell>
        </row>
        <row r="38">
          <cell r="C38" t="str">
            <v>王依蕊</v>
          </cell>
          <cell r="CT38">
            <v>0</v>
          </cell>
        </row>
        <row r="39">
          <cell r="C39" t="str">
            <v>向郑瑶</v>
          </cell>
          <cell r="CT39">
            <v>0</v>
          </cell>
        </row>
        <row r="40">
          <cell r="C40" t="str">
            <v>唐容</v>
          </cell>
          <cell r="CT40">
            <v>0</v>
          </cell>
        </row>
        <row r="41">
          <cell r="C41" t="str">
            <v>叶文娟</v>
          </cell>
          <cell r="CT41">
            <v>0</v>
          </cell>
        </row>
        <row r="42">
          <cell r="C42" t="str">
            <v>邹福贞</v>
          </cell>
          <cell r="CT42">
            <v>0</v>
          </cell>
        </row>
        <row r="43">
          <cell r="C43" t="str">
            <v>陈怡名</v>
          </cell>
          <cell r="CT43">
            <v>0</v>
          </cell>
        </row>
        <row r="44">
          <cell r="C44" t="str">
            <v>张丽</v>
          </cell>
          <cell r="CT44">
            <v>0</v>
          </cell>
        </row>
        <row r="45">
          <cell r="C45" t="str">
            <v>杨金花</v>
          </cell>
          <cell r="CT45">
            <v>0</v>
          </cell>
        </row>
        <row r="46">
          <cell r="C46" t="str">
            <v>樊琳</v>
          </cell>
          <cell r="CT46">
            <v>0</v>
          </cell>
        </row>
        <row r="47">
          <cell r="C47" t="str">
            <v>董顺秀</v>
          </cell>
          <cell r="CT47">
            <v>0</v>
          </cell>
        </row>
        <row r="48">
          <cell r="C48" t="str">
            <v>陈建蓉</v>
          </cell>
          <cell r="CT48">
            <v>0</v>
          </cell>
        </row>
        <row r="49">
          <cell r="C49" t="str">
            <v>王娇</v>
          </cell>
          <cell r="CT49">
            <v>0</v>
          </cell>
        </row>
        <row r="50">
          <cell r="C50" t="str">
            <v>黎茂婷</v>
          </cell>
          <cell r="CT50">
            <v>0</v>
          </cell>
        </row>
        <row r="51">
          <cell r="C51" t="str">
            <v>张艳秋</v>
          </cell>
          <cell r="CT51">
            <v>0</v>
          </cell>
        </row>
        <row r="52">
          <cell r="C52" t="str">
            <v>陈小琴</v>
          </cell>
          <cell r="CT52">
            <v>0</v>
          </cell>
        </row>
        <row r="53">
          <cell r="C53" t="str">
            <v>刘恬恬</v>
          </cell>
          <cell r="CT53">
            <v>0</v>
          </cell>
        </row>
        <row r="54">
          <cell r="C54" t="str">
            <v>苟小春</v>
          </cell>
          <cell r="CT54">
            <v>0</v>
          </cell>
        </row>
        <row r="55">
          <cell r="C55" t="str">
            <v>李燕</v>
          </cell>
          <cell r="CT55">
            <v>0</v>
          </cell>
        </row>
        <row r="56">
          <cell r="C56" t="str">
            <v>张小华</v>
          </cell>
          <cell r="CT56">
            <v>0</v>
          </cell>
        </row>
        <row r="57">
          <cell r="C57" t="str">
            <v>王任燕</v>
          </cell>
          <cell r="CT57">
            <v>0</v>
          </cell>
        </row>
        <row r="58">
          <cell r="C58" t="str">
            <v>陈萍</v>
          </cell>
          <cell r="CT58">
            <v>0</v>
          </cell>
        </row>
        <row r="59">
          <cell r="C59" t="str">
            <v>吴敏</v>
          </cell>
          <cell r="CT59">
            <v>0</v>
          </cell>
        </row>
        <row r="60">
          <cell r="C60" t="str">
            <v>陈佳丽</v>
          </cell>
          <cell r="CT60">
            <v>0</v>
          </cell>
        </row>
        <row r="61">
          <cell r="C61" t="str">
            <v>康钦</v>
          </cell>
          <cell r="CT61">
            <v>0</v>
          </cell>
        </row>
        <row r="62">
          <cell r="C62" t="str">
            <v>聂娟</v>
          </cell>
          <cell r="CT62">
            <v>0</v>
          </cell>
        </row>
        <row r="63">
          <cell r="C63" t="str">
            <v>马菁</v>
          </cell>
          <cell r="CT63">
            <v>0</v>
          </cell>
        </row>
        <row r="64">
          <cell r="C64" t="str">
            <v>徐睦垚</v>
          </cell>
          <cell r="CT64">
            <v>0</v>
          </cell>
        </row>
        <row r="65">
          <cell r="C65" t="str">
            <v>达哇卓玛</v>
          </cell>
          <cell r="CT65">
            <v>0</v>
          </cell>
        </row>
        <row r="66">
          <cell r="C66" t="str">
            <v>曾雨晴</v>
          </cell>
          <cell r="CT66">
            <v>0</v>
          </cell>
        </row>
        <row r="67">
          <cell r="C67" t="str">
            <v>但红玉</v>
          </cell>
          <cell r="CT67">
            <v>0</v>
          </cell>
        </row>
        <row r="68">
          <cell r="C68" t="str">
            <v>梁缘缘</v>
          </cell>
          <cell r="CT68">
            <v>0</v>
          </cell>
        </row>
        <row r="69">
          <cell r="C69" t="str">
            <v>李萱君</v>
          </cell>
          <cell r="CT69">
            <v>0</v>
          </cell>
        </row>
        <row r="70">
          <cell r="C70" t="str">
            <v>李思忆</v>
          </cell>
          <cell r="CT70">
            <v>0</v>
          </cell>
        </row>
        <row r="71">
          <cell r="C71" t="str">
            <v>赵情情</v>
          </cell>
          <cell r="CT71">
            <v>0</v>
          </cell>
        </row>
        <row r="72">
          <cell r="C72" t="str">
            <v>曹悦</v>
          </cell>
          <cell r="CT72">
            <v>0</v>
          </cell>
        </row>
        <row r="73">
          <cell r="C73" t="str">
            <v>吴飞雁</v>
          </cell>
          <cell r="CT73">
            <v>0</v>
          </cell>
        </row>
        <row r="74">
          <cell r="C74" t="str">
            <v>尹桂香</v>
          </cell>
          <cell r="CT74">
            <v>0</v>
          </cell>
        </row>
        <row r="75">
          <cell r="C75" t="str">
            <v>张小娟</v>
          </cell>
          <cell r="CT75">
            <v>0</v>
          </cell>
        </row>
        <row r="76">
          <cell r="C76" t="str">
            <v>刘安琼</v>
          </cell>
          <cell r="CT76">
            <v>0</v>
          </cell>
        </row>
        <row r="77">
          <cell r="C77" t="str">
            <v>刘晓林</v>
          </cell>
          <cell r="CT77">
            <v>0</v>
          </cell>
        </row>
        <row r="78">
          <cell r="C78" t="str">
            <v>李巧娇</v>
          </cell>
          <cell r="CT78">
            <v>0</v>
          </cell>
        </row>
        <row r="79">
          <cell r="C79" t="str">
            <v>林萍</v>
          </cell>
          <cell r="CT79">
            <v>0</v>
          </cell>
        </row>
        <row r="80">
          <cell r="C80" t="str">
            <v>罗雪</v>
          </cell>
          <cell r="CT80">
            <v>0</v>
          </cell>
        </row>
        <row r="81">
          <cell r="C81" t="str">
            <v>唐宇欣</v>
          </cell>
          <cell r="CT81">
            <v>0</v>
          </cell>
        </row>
        <row r="82">
          <cell r="C82" t="str">
            <v>李萌</v>
          </cell>
          <cell r="CT82">
            <v>0</v>
          </cell>
        </row>
        <row r="83">
          <cell r="C83" t="str">
            <v>王如意</v>
          </cell>
          <cell r="CT83">
            <v>0</v>
          </cell>
        </row>
        <row r="84">
          <cell r="C84" t="str">
            <v>柳全菊</v>
          </cell>
          <cell r="CT84">
            <v>0</v>
          </cell>
        </row>
        <row r="85">
          <cell r="C85" t="str">
            <v>何琼华</v>
          </cell>
          <cell r="CT85">
            <v>0</v>
          </cell>
        </row>
        <row r="86">
          <cell r="C86" t="str">
            <v>蒋圆圆</v>
          </cell>
          <cell r="CT86">
            <v>0</v>
          </cell>
        </row>
        <row r="87">
          <cell r="C87" t="str">
            <v>顾红艳</v>
          </cell>
          <cell r="CT87">
            <v>0</v>
          </cell>
        </row>
        <row r="88">
          <cell r="C88" t="str">
            <v>郭小丽</v>
          </cell>
          <cell r="CT88">
            <v>0</v>
          </cell>
        </row>
        <row r="89">
          <cell r="C89" t="str">
            <v>梁婷</v>
          </cell>
          <cell r="CT89">
            <v>0</v>
          </cell>
        </row>
        <row r="90">
          <cell r="C90" t="str">
            <v>雷娜婷</v>
          </cell>
          <cell r="CT90">
            <v>0</v>
          </cell>
        </row>
        <row r="91">
          <cell r="C91" t="str">
            <v>叶美霞</v>
          </cell>
          <cell r="CT91">
            <v>0</v>
          </cell>
        </row>
        <row r="92">
          <cell r="C92" t="str">
            <v>秦娜</v>
          </cell>
          <cell r="CT92">
            <v>0</v>
          </cell>
        </row>
        <row r="93">
          <cell r="C93" t="str">
            <v>牟光燕</v>
          </cell>
          <cell r="CT93">
            <v>0</v>
          </cell>
        </row>
        <row r="94">
          <cell r="C94" t="str">
            <v>王萍</v>
          </cell>
          <cell r="CT94">
            <v>0</v>
          </cell>
        </row>
        <row r="95">
          <cell r="C95" t="str">
            <v>胡红琳</v>
          </cell>
          <cell r="CT95">
            <v>0</v>
          </cell>
        </row>
        <row r="96">
          <cell r="C96" t="str">
            <v>谢娟</v>
          </cell>
          <cell r="CT96">
            <v>0</v>
          </cell>
        </row>
        <row r="97">
          <cell r="C97" t="str">
            <v>陈美合</v>
          </cell>
          <cell r="CT97">
            <v>0</v>
          </cell>
        </row>
        <row r="98">
          <cell r="C98" t="str">
            <v>郝莉娜</v>
          </cell>
          <cell r="CT98">
            <v>0</v>
          </cell>
        </row>
        <row r="99">
          <cell r="C99" t="str">
            <v>邓丽莉</v>
          </cell>
          <cell r="CT99">
            <v>0</v>
          </cell>
        </row>
        <row r="100">
          <cell r="C100" t="str">
            <v>张明艳</v>
          </cell>
          <cell r="CT100">
            <v>0</v>
          </cell>
        </row>
        <row r="101">
          <cell r="C101" t="str">
            <v>马宏梅</v>
          </cell>
          <cell r="CT101">
            <v>0</v>
          </cell>
        </row>
        <row r="102">
          <cell r="C102" t="str">
            <v>陈洁</v>
          </cell>
          <cell r="CT102">
            <v>0</v>
          </cell>
        </row>
        <row r="103">
          <cell r="C103" t="str">
            <v>郑加焕</v>
          </cell>
          <cell r="CT103">
            <v>0</v>
          </cell>
        </row>
        <row r="104">
          <cell r="C104" t="str">
            <v>侯英</v>
          </cell>
          <cell r="CT104">
            <v>0</v>
          </cell>
        </row>
        <row r="105">
          <cell r="C105" t="str">
            <v>谢德芳</v>
          </cell>
          <cell r="CT105">
            <v>0</v>
          </cell>
        </row>
        <row r="106">
          <cell r="C106" t="str">
            <v>蒲草</v>
          </cell>
          <cell r="CT106">
            <v>0</v>
          </cell>
        </row>
        <row r="107">
          <cell r="C107" t="str">
            <v>郑华跃</v>
          </cell>
          <cell r="CT107">
            <v>0</v>
          </cell>
        </row>
        <row r="108">
          <cell r="C108" t="str">
            <v>李茂</v>
          </cell>
          <cell r="CT108">
            <v>0</v>
          </cell>
        </row>
        <row r="109">
          <cell r="C109" t="str">
            <v>孙红梅</v>
          </cell>
          <cell r="CT109">
            <v>0</v>
          </cell>
        </row>
        <row r="110">
          <cell r="C110" t="str">
            <v>黎红花</v>
          </cell>
          <cell r="CT110">
            <v>0</v>
          </cell>
        </row>
        <row r="111">
          <cell r="C111" t="str">
            <v>蒲艳婷</v>
          </cell>
          <cell r="CT111">
            <v>0</v>
          </cell>
        </row>
        <row r="112">
          <cell r="C112" t="str">
            <v>刘帆</v>
          </cell>
          <cell r="CT112">
            <v>0</v>
          </cell>
        </row>
        <row r="113">
          <cell r="C113" t="str">
            <v>杨艳</v>
          </cell>
          <cell r="CT113">
            <v>0</v>
          </cell>
        </row>
        <row r="114">
          <cell r="C114" t="str">
            <v>肖静梅</v>
          </cell>
          <cell r="CT114">
            <v>0</v>
          </cell>
        </row>
        <row r="115">
          <cell r="C115" t="str">
            <v>王晓琳</v>
          </cell>
          <cell r="CT115">
            <v>0</v>
          </cell>
        </row>
        <row r="116">
          <cell r="C116" t="str">
            <v>彭措志玛</v>
          </cell>
          <cell r="CT116">
            <v>0</v>
          </cell>
        </row>
        <row r="117">
          <cell r="C117" t="str">
            <v>郝中南</v>
          </cell>
          <cell r="CT117">
            <v>0</v>
          </cell>
        </row>
        <row r="118">
          <cell r="C118" t="str">
            <v>冉芳霞</v>
          </cell>
          <cell r="CT118">
            <v>0</v>
          </cell>
        </row>
        <row r="119">
          <cell r="C119" t="str">
            <v>谭萍</v>
          </cell>
          <cell r="CT119">
            <v>0</v>
          </cell>
        </row>
        <row r="120">
          <cell r="C120" t="str">
            <v>陈琳</v>
          </cell>
          <cell r="CT120">
            <v>0</v>
          </cell>
        </row>
        <row r="121">
          <cell r="C121" t="str">
            <v>罗湘湘</v>
          </cell>
          <cell r="CT121">
            <v>0</v>
          </cell>
        </row>
        <row r="122">
          <cell r="C122" t="str">
            <v>唐玉芳</v>
          </cell>
          <cell r="CT122">
            <v>0</v>
          </cell>
        </row>
        <row r="123">
          <cell r="C123" t="str">
            <v>雷怡</v>
          </cell>
          <cell r="CT123">
            <v>0</v>
          </cell>
        </row>
        <row r="124">
          <cell r="C124" t="str">
            <v>龙巧云</v>
          </cell>
          <cell r="CT124">
            <v>0</v>
          </cell>
        </row>
        <row r="125">
          <cell r="C125" t="str">
            <v>张勤</v>
          </cell>
          <cell r="CT125">
            <v>0</v>
          </cell>
        </row>
        <row r="126">
          <cell r="C126" t="str">
            <v>刘裕琼</v>
          </cell>
          <cell r="CT126">
            <v>0</v>
          </cell>
        </row>
        <row r="127">
          <cell r="C127" t="str">
            <v>唐施语</v>
          </cell>
          <cell r="CT127">
            <v>0</v>
          </cell>
        </row>
        <row r="128">
          <cell r="C128" t="str">
            <v>谭福英</v>
          </cell>
          <cell r="CT128">
            <v>0</v>
          </cell>
        </row>
        <row r="129">
          <cell r="C129" t="str">
            <v>李凤</v>
          </cell>
          <cell r="CT129">
            <v>0</v>
          </cell>
        </row>
        <row r="130">
          <cell r="C130" t="str">
            <v>陈嘉仪</v>
          </cell>
          <cell r="CT130">
            <v>0</v>
          </cell>
        </row>
        <row r="131">
          <cell r="C131" t="str">
            <v>王红</v>
          </cell>
          <cell r="CT131">
            <v>0</v>
          </cell>
        </row>
        <row r="132">
          <cell r="C132" t="str">
            <v>冷忠翠</v>
          </cell>
          <cell r="CT132">
            <v>0</v>
          </cell>
        </row>
        <row r="133">
          <cell r="C133" t="str">
            <v>糜清云</v>
          </cell>
          <cell r="CT133">
            <v>0</v>
          </cell>
        </row>
        <row r="134">
          <cell r="C134" t="str">
            <v>贺金云</v>
          </cell>
          <cell r="CT134">
            <v>0</v>
          </cell>
        </row>
        <row r="135">
          <cell r="C135" t="str">
            <v>舒许芳</v>
          </cell>
          <cell r="CT135">
            <v>0</v>
          </cell>
        </row>
        <row r="136">
          <cell r="C136" t="str">
            <v>包竹梅</v>
          </cell>
          <cell r="CT136">
            <v>0</v>
          </cell>
        </row>
        <row r="137">
          <cell r="C137" t="str">
            <v>欧迎春</v>
          </cell>
          <cell r="CT137">
            <v>0</v>
          </cell>
        </row>
        <row r="138">
          <cell r="C138" t="str">
            <v>谭芙蓉</v>
          </cell>
          <cell r="CT138">
            <v>0</v>
          </cell>
        </row>
        <row r="139">
          <cell r="C139" t="str">
            <v>曾玉莲</v>
          </cell>
          <cell r="CT139">
            <v>0</v>
          </cell>
        </row>
        <row r="140">
          <cell r="C140" t="str">
            <v>彭兰钦</v>
          </cell>
          <cell r="CT140">
            <v>0</v>
          </cell>
        </row>
        <row r="141">
          <cell r="C141" t="str">
            <v>刘婵琴</v>
          </cell>
          <cell r="CT141">
            <v>0</v>
          </cell>
        </row>
        <row r="142">
          <cell r="C142" t="str">
            <v>泽仁拉姆</v>
          </cell>
          <cell r="CT142">
            <v>0</v>
          </cell>
        </row>
        <row r="143">
          <cell r="C143" t="str">
            <v>舒阳</v>
          </cell>
          <cell r="CT143">
            <v>0</v>
          </cell>
        </row>
        <row r="144">
          <cell r="C144" t="str">
            <v>白丽</v>
          </cell>
          <cell r="CT144">
            <v>0</v>
          </cell>
        </row>
        <row r="145">
          <cell r="C145" t="str">
            <v>郑巧玲</v>
          </cell>
          <cell r="CT145">
            <v>0</v>
          </cell>
        </row>
        <row r="146">
          <cell r="C146" t="str">
            <v>张廷妍</v>
          </cell>
          <cell r="CT146">
            <v>0</v>
          </cell>
        </row>
        <row r="147">
          <cell r="C147" t="str">
            <v>杜兰兰</v>
          </cell>
          <cell r="CT147">
            <v>0</v>
          </cell>
        </row>
        <row r="148">
          <cell r="C148" t="str">
            <v>王显珍</v>
          </cell>
          <cell r="CT148">
            <v>0</v>
          </cell>
        </row>
        <row r="149">
          <cell r="C149" t="str">
            <v>马冬梅</v>
          </cell>
          <cell r="CT149">
            <v>0</v>
          </cell>
        </row>
        <row r="150">
          <cell r="C150" t="str">
            <v>彭莉群</v>
          </cell>
          <cell r="CT150">
            <v>0</v>
          </cell>
        </row>
        <row r="151">
          <cell r="C151" t="str">
            <v>刘金凤</v>
          </cell>
          <cell r="CT151">
            <v>0</v>
          </cell>
        </row>
        <row r="152">
          <cell r="C152" t="str">
            <v>谢珂欣</v>
          </cell>
          <cell r="CT152">
            <v>0</v>
          </cell>
        </row>
        <row r="153">
          <cell r="C153" t="str">
            <v>刘霞</v>
          </cell>
          <cell r="CT153">
            <v>0</v>
          </cell>
        </row>
        <row r="154">
          <cell r="C154" t="str">
            <v>尧丹丹</v>
          </cell>
          <cell r="CT154">
            <v>0</v>
          </cell>
        </row>
        <row r="155">
          <cell r="C155" t="str">
            <v>李科</v>
          </cell>
          <cell r="CT155">
            <v>0</v>
          </cell>
        </row>
        <row r="156">
          <cell r="C156" t="str">
            <v>石海力</v>
          </cell>
          <cell r="CT156">
            <v>3519.76145</v>
          </cell>
        </row>
        <row r="157">
          <cell r="C157" t="str">
            <v>付薪燕</v>
          </cell>
          <cell r="CT157">
            <v>0</v>
          </cell>
        </row>
        <row r="158">
          <cell r="C158" t="str">
            <v>陈定坤</v>
          </cell>
          <cell r="CT158">
            <v>0</v>
          </cell>
        </row>
        <row r="159">
          <cell r="C159" t="str">
            <v>王桂明</v>
          </cell>
          <cell r="CT159">
            <v>0</v>
          </cell>
        </row>
        <row r="160">
          <cell r="C160" t="str">
            <v>关晓燕</v>
          </cell>
          <cell r="CT160">
            <v>0</v>
          </cell>
        </row>
        <row r="161">
          <cell r="C161" t="str">
            <v>唐尹</v>
          </cell>
          <cell r="CT161">
            <v>0</v>
          </cell>
        </row>
        <row r="162">
          <cell r="C162" t="str">
            <v>贺慧</v>
          </cell>
          <cell r="CT162">
            <v>0</v>
          </cell>
        </row>
        <row r="163">
          <cell r="C163" t="str">
            <v>李红梅</v>
          </cell>
          <cell r="CT163">
            <v>0</v>
          </cell>
        </row>
        <row r="164">
          <cell r="C164" t="str">
            <v>龚艳</v>
          </cell>
          <cell r="CT164">
            <v>0</v>
          </cell>
        </row>
        <row r="165">
          <cell r="C165" t="str">
            <v>余姣姣</v>
          </cell>
          <cell r="CT165">
            <v>0</v>
          </cell>
        </row>
        <row r="166">
          <cell r="C166" t="str">
            <v>竹艳梅</v>
          </cell>
          <cell r="CT166">
            <v>0</v>
          </cell>
        </row>
        <row r="167">
          <cell r="C167" t="str">
            <v>叶朝春</v>
          </cell>
          <cell r="CT167">
            <v>0</v>
          </cell>
        </row>
        <row r="168">
          <cell r="C168" t="str">
            <v>喻容</v>
          </cell>
          <cell r="CT168">
            <v>0</v>
          </cell>
        </row>
        <row r="169">
          <cell r="C169" t="str">
            <v>魏柯</v>
          </cell>
          <cell r="CT169">
            <v>0</v>
          </cell>
        </row>
        <row r="170">
          <cell r="C170" t="str">
            <v>徐文平</v>
          </cell>
          <cell r="CT170">
            <v>0</v>
          </cell>
        </row>
        <row r="171">
          <cell r="C171" t="str">
            <v>张欣</v>
          </cell>
          <cell r="CT171">
            <v>0</v>
          </cell>
        </row>
        <row r="172">
          <cell r="C172" t="str">
            <v>叶璐璐</v>
          </cell>
          <cell r="CT172">
            <v>0</v>
          </cell>
        </row>
        <row r="173">
          <cell r="C173" t="str">
            <v>周文慧</v>
          </cell>
          <cell r="CT173">
            <v>0</v>
          </cell>
        </row>
        <row r="174">
          <cell r="C174" t="str">
            <v>张白金</v>
          </cell>
          <cell r="CT174">
            <v>0</v>
          </cell>
        </row>
        <row r="175">
          <cell r="C175" t="str">
            <v>郑美函</v>
          </cell>
          <cell r="CT175">
            <v>0</v>
          </cell>
        </row>
        <row r="176">
          <cell r="C176" t="str">
            <v>龚茜</v>
          </cell>
          <cell r="CT176">
            <v>0</v>
          </cell>
        </row>
        <row r="177">
          <cell r="C177" t="str">
            <v>廖妍</v>
          </cell>
          <cell r="CT177">
            <v>0</v>
          </cell>
        </row>
        <row r="178">
          <cell r="C178" t="str">
            <v>李彩华</v>
          </cell>
          <cell r="CT178">
            <v>0</v>
          </cell>
        </row>
        <row r="179">
          <cell r="C179" t="str">
            <v>刘九招</v>
          </cell>
          <cell r="CT179">
            <v>0</v>
          </cell>
        </row>
        <row r="180">
          <cell r="C180" t="str">
            <v>朱羽</v>
          </cell>
          <cell r="CT180">
            <v>0</v>
          </cell>
        </row>
        <row r="181">
          <cell r="C181" t="str">
            <v>施凤皎</v>
          </cell>
          <cell r="CT181">
            <v>0</v>
          </cell>
        </row>
        <row r="182">
          <cell r="C182" t="str">
            <v>高琴</v>
          </cell>
          <cell r="CT182">
            <v>0</v>
          </cell>
        </row>
        <row r="183">
          <cell r="C183" t="str">
            <v>达卓措</v>
          </cell>
          <cell r="CT183">
            <v>0</v>
          </cell>
        </row>
        <row r="184">
          <cell r="C184" t="str">
            <v>袁玉</v>
          </cell>
          <cell r="CT184">
            <v>0</v>
          </cell>
        </row>
        <row r="185">
          <cell r="C185" t="str">
            <v>赵晴亮</v>
          </cell>
          <cell r="CT185">
            <v>0</v>
          </cell>
        </row>
        <row r="186">
          <cell r="C186" t="str">
            <v>赵忠芬</v>
          </cell>
          <cell r="CT186">
            <v>0</v>
          </cell>
        </row>
        <row r="187">
          <cell r="C187" t="str">
            <v>郑丹</v>
          </cell>
          <cell r="CT187">
            <v>0</v>
          </cell>
        </row>
        <row r="188">
          <cell r="C188" t="str">
            <v>林锶莹</v>
          </cell>
          <cell r="CT188">
            <v>0</v>
          </cell>
        </row>
        <row r="189">
          <cell r="C189" t="str">
            <v>胡钦秀</v>
          </cell>
          <cell r="CT189">
            <v>0</v>
          </cell>
        </row>
        <row r="190">
          <cell r="C190" t="str">
            <v>高红艳</v>
          </cell>
          <cell r="CT190">
            <v>0</v>
          </cell>
        </row>
        <row r="191">
          <cell r="C191" t="str">
            <v>曾怡</v>
          </cell>
          <cell r="CT191">
            <v>0</v>
          </cell>
        </row>
        <row r="192">
          <cell r="C192" t="str">
            <v>张清华</v>
          </cell>
          <cell r="CT192">
            <v>0</v>
          </cell>
        </row>
        <row r="193">
          <cell r="C193" t="str">
            <v>彭鑫</v>
          </cell>
          <cell r="CT193">
            <v>0</v>
          </cell>
        </row>
        <row r="194">
          <cell r="C194" t="str">
            <v>李维</v>
          </cell>
          <cell r="CT194">
            <v>0</v>
          </cell>
        </row>
        <row r="195">
          <cell r="C195" t="str">
            <v>贾琳</v>
          </cell>
          <cell r="CT195">
            <v>0</v>
          </cell>
        </row>
        <row r="196">
          <cell r="C196" t="str">
            <v>王智慧</v>
          </cell>
          <cell r="CT196">
            <v>0</v>
          </cell>
        </row>
        <row r="197">
          <cell r="C197" t="str">
            <v>邓笑</v>
          </cell>
          <cell r="CT197">
            <v>0</v>
          </cell>
        </row>
        <row r="198">
          <cell r="C198" t="str">
            <v>刘香</v>
          </cell>
          <cell r="CT198">
            <v>0</v>
          </cell>
        </row>
        <row r="199">
          <cell r="C199" t="str">
            <v>刘丽华</v>
          </cell>
          <cell r="CT199">
            <v>0</v>
          </cell>
        </row>
        <row r="200">
          <cell r="C200" t="str">
            <v>周林</v>
          </cell>
          <cell r="CT200">
            <v>0</v>
          </cell>
        </row>
        <row r="201">
          <cell r="C201" t="str">
            <v>钟秦</v>
          </cell>
          <cell r="CT201">
            <v>0</v>
          </cell>
        </row>
        <row r="202">
          <cell r="C202" t="str">
            <v>张红霞</v>
          </cell>
          <cell r="CT202">
            <v>0</v>
          </cell>
        </row>
        <row r="203">
          <cell r="C203" t="str">
            <v>李燕1</v>
          </cell>
          <cell r="CT203">
            <v>0</v>
          </cell>
        </row>
        <row r="204">
          <cell r="C204" t="str">
            <v>陈世琳</v>
          </cell>
          <cell r="CT204">
            <v>0</v>
          </cell>
        </row>
        <row r="205">
          <cell r="C205" t="str">
            <v>张林英</v>
          </cell>
          <cell r="CT205">
            <v>0</v>
          </cell>
        </row>
        <row r="206">
          <cell r="C206" t="str">
            <v>陈燕辉</v>
          </cell>
          <cell r="CT206">
            <v>0</v>
          </cell>
        </row>
        <row r="207">
          <cell r="C207" t="str">
            <v>宋林琳</v>
          </cell>
          <cell r="CT207">
            <v>0</v>
          </cell>
        </row>
        <row r="208">
          <cell r="C208" t="str">
            <v>马丽亚</v>
          </cell>
          <cell r="CT208">
            <v>0</v>
          </cell>
        </row>
        <row r="209">
          <cell r="C209" t="str">
            <v>阿衣尔扎</v>
          </cell>
          <cell r="CT209">
            <v>0</v>
          </cell>
        </row>
        <row r="210">
          <cell r="C210" t="str">
            <v>张霞</v>
          </cell>
          <cell r="CT210">
            <v>0</v>
          </cell>
        </row>
        <row r="211">
          <cell r="C211" t="str">
            <v>谢双叶</v>
          </cell>
          <cell r="CT211">
            <v>0</v>
          </cell>
        </row>
        <row r="212">
          <cell r="C212" t="str">
            <v>蒙亦锌</v>
          </cell>
          <cell r="CT212">
            <v>0</v>
          </cell>
        </row>
        <row r="213">
          <cell r="C213" t="str">
            <v>刘梦蓝</v>
          </cell>
          <cell r="CT213">
            <v>0</v>
          </cell>
        </row>
        <row r="214">
          <cell r="C214" t="str">
            <v>罗林芳</v>
          </cell>
          <cell r="CT214">
            <v>0</v>
          </cell>
        </row>
        <row r="215">
          <cell r="C215" t="str">
            <v>汪丽娟</v>
          </cell>
          <cell r="CT215">
            <v>0</v>
          </cell>
        </row>
        <row r="216">
          <cell r="C216" t="str">
            <v>谭言希</v>
          </cell>
          <cell r="CT216">
            <v>0</v>
          </cell>
        </row>
        <row r="217">
          <cell r="C217" t="str">
            <v>黄江</v>
          </cell>
          <cell r="CT217">
            <v>0</v>
          </cell>
        </row>
        <row r="218">
          <cell r="C218" t="str">
            <v>陈琼</v>
          </cell>
          <cell r="CT218">
            <v>0</v>
          </cell>
        </row>
        <row r="219">
          <cell r="C219" t="str">
            <v>米琪</v>
          </cell>
          <cell r="CT219">
            <v>0</v>
          </cell>
        </row>
        <row r="220">
          <cell r="C220" t="str">
            <v>尚杨</v>
          </cell>
          <cell r="CT220">
            <v>0</v>
          </cell>
        </row>
        <row r="221">
          <cell r="C221" t="str">
            <v>钟心悦</v>
          </cell>
          <cell r="CT221">
            <v>0</v>
          </cell>
        </row>
        <row r="222">
          <cell r="C222" t="str">
            <v>胡祝曲</v>
          </cell>
          <cell r="CT222">
            <v>0</v>
          </cell>
        </row>
        <row r="223">
          <cell r="C223" t="str">
            <v>谢金梅</v>
          </cell>
          <cell r="CT223">
            <v>0</v>
          </cell>
        </row>
        <row r="224">
          <cell r="C224" t="str">
            <v>李洪芳</v>
          </cell>
          <cell r="CT224">
            <v>0</v>
          </cell>
        </row>
        <row r="225">
          <cell r="C225" t="str">
            <v>王维</v>
          </cell>
          <cell r="CT225">
            <v>0</v>
          </cell>
        </row>
        <row r="226">
          <cell r="C226" t="str">
            <v>罗文文</v>
          </cell>
          <cell r="CT226">
            <v>0</v>
          </cell>
        </row>
        <row r="227">
          <cell r="C227" t="str">
            <v>任艺</v>
          </cell>
          <cell r="CT227">
            <v>0</v>
          </cell>
        </row>
        <row r="228">
          <cell r="C228" t="str">
            <v>贺丽</v>
          </cell>
          <cell r="CT228">
            <v>0</v>
          </cell>
        </row>
        <row r="229">
          <cell r="C229" t="str">
            <v>殷小燕</v>
          </cell>
          <cell r="CT229">
            <v>0</v>
          </cell>
        </row>
        <row r="230">
          <cell r="C230" t="str">
            <v>李海瑛</v>
          </cell>
          <cell r="CT230">
            <v>0</v>
          </cell>
        </row>
        <row r="231">
          <cell r="C231" t="str">
            <v>邹孟君</v>
          </cell>
          <cell r="CT231">
            <v>0</v>
          </cell>
        </row>
        <row r="232">
          <cell r="C232" t="str">
            <v>彭羽佳</v>
          </cell>
          <cell r="CT232">
            <v>0</v>
          </cell>
        </row>
        <row r="233">
          <cell r="C233" t="str">
            <v>朱成芳</v>
          </cell>
          <cell r="CT233">
            <v>0</v>
          </cell>
        </row>
        <row r="234">
          <cell r="C234" t="str">
            <v>翁玲</v>
          </cell>
          <cell r="CT234">
            <v>0</v>
          </cell>
        </row>
        <row r="235">
          <cell r="C235" t="str">
            <v>王能琴</v>
          </cell>
          <cell r="CT235">
            <v>0</v>
          </cell>
        </row>
        <row r="236">
          <cell r="C236" t="str">
            <v>涂莹丹</v>
          </cell>
          <cell r="CT236">
            <v>0</v>
          </cell>
        </row>
        <row r="237">
          <cell r="C237" t="str">
            <v>葛敏</v>
          </cell>
          <cell r="CT237">
            <v>0</v>
          </cell>
        </row>
        <row r="238">
          <cell r="C238" t="str">
            <v>袁小兵</v>
          </cell>
          <cell r="CT238">
            <v>0</v>
          </cell>
        </row>
        <row r="239">
          <cell r="C239" t="str">
            <v>徐登毅</v>
          </cell>
          <cell r="CT239">
            <v>0</v>
          </cell>
        </row>
        <row r="240">
          <cell r="C240" t="str">
            <v>范时依</v>
          </cell>
          <cell r="CT240">
            <v>0</v>
          </cell>
        </row>
        <row r="241">
          <cell r="C241" t="str">
            <v>吴小强</v>
          </cell>
          <cell r="CT241">
            <v>0</v>
          </cell>
        </row>
        <row r="242">
          <cell r="C242" t="str">
            <v>宁燕</v>
          </cell>
          <cell r="CT242">
            <v>0</v>
          </cell>
        </row>
        <row r="243">
          <cell r="C243" t="str">
            <v>杨苹</v>
          </cell>
          <cell r="CT243">
            <v>0</v>
          </cell>
        </row>
        <row r="244">
          <cell r="C244" t="str">
            <v>赵倩</v>
          </cell>
          <cell r="CT244">
            <v>0</v>
          </cell>
        </row>
        <row r="245">
          <cell r="C245" t="str">
            <v>梁诗雨</v>
          </cell>
          <cell r="CT245">
            <v>0</v>
          </cell>
        </row>
        <row r="246">
          <cell r="C246" t="str">
            <v>郭思瑞</v>
          </cell>
          <cell r="CT246">
            <v>0</v>
          </cell>
        </row>
        <row r="247">
          <cell r="C247" t="str">
            <v>文倩</v>
          </cell>
          <cell r="CT247">
            <v>0</v>
          </cell>
        </row>
        <row r="248">
          <cell r="C248" t="str">
            <v>刘佳</v>
          </cell>
          <cell r="CT248">
            <v>0</v>
          </cell>
        </row>
        <row r="249">
          <cell r="C249" t="str">
            <v>杨磊</v>
          </cell>
          <cell r="CT249">
            <v>0</v>
          </cell>
        </row>
        <row r="250">
          <cell r="C250" t="str">
            <v>李吉原</v>
          </cell>
          <cell r="CT250">
            <v>0</v>
          </cell>
        </row>
        <row r="251">
          <cell r="C251" t="str">
            <v>黄桂琴</v>
          </cell>
          <cell r="CT251">
            <v>0</v>
          </cell>
        </row>
        <row r="252">
          <cell r="C252" t="str">
            <v>詹芳英</v>
          </cell>
          <cell r="CT252">
            <v>0</v>
          </cell>
        </row>
        <row r="253">
          <cell r="C253" t="str">
            <v>陈思思</v>
          </cell>
          <cell r="CT253">
            <v>0</v>
          </cell>
        </row>
        <row r="254">
          <cell r="C254" t="str">
            <v>李洁</v>
          </cell>
          <cell r="CT254">
            <v>0</v>
          </cell>
        </row>
        <row r="255">
          <cell r="C255" t="str">
            <v>马小英</v>
          </cell>
          <cell r="CT255">
            <v>0</v>
          </cell>
        </row>
        <row r="256">
          <cell r="C256" t="str">
            <v>欧阳敏</v>
          </cell>
          <cell r="CT256">
            <v>0</v>
          </cell>
        </row>
        <row r="257">
          <cell r="C257" t="str">
            <v>程燕</v>
          </cell>
          <cell r="CT257">
            <v>0</v>
          </cell>
        </row>
        <row r="258">
          <cell r="C258" t="str">
            <v>肖倩</v>
          </cell>
          <cell r="CT258">
            <v>0</v>
          </cell>
        </row>
        <row r="259">
          <cell r="C259" t="str">
            <v>王丽娟</v>
          </cell>
          <cell r="CT259">
            <v>0</v>
          </cell>
        </row>
        <row r="260">
          <cell r="C260" t="str">
            <v>蓝海英</v>
          </cell>
          <cell r="CT260">
            <v>0</v>
          </cell>
        </row>
        <row r="261">
          <cell r="C261" t="str">
            <v>夏萍</v>
          </cell>
          <cell r="CT261">
            <v>0</v>
          </cell>
        </row>
        <row r="262">
          <cell r="C262" t="str">
            <v>王方贤</v>
          </cell>
          <cell r="CT262">
            <v>0</v>
          </cell>
        </row>
        <row r="263">
          <cell r="C263" t="str">
            <v>杨琴</v>
          </cell>
          <cell r="CT263">
            <v>0</v>
          </cell>
        </row>
        <row r="264">
          <cell r="C264" t="str">
            <v>赵美艳</v>
          </cell>
          <cell r="CT264">
            <v>0</v>
          </cell>
        </row>
        <row r="265">
          <cell r="C265" t="str">
            <v>郭兰</v>
          </cell>
          <cell r="CT265">
            <v>0</v>
          </cell>
        </row>
        <row r="266">
          <cell r="C266" t="str">
            <v>戴林</v>
          </cell>
          <cell r="CT266">
            <v>0</v>
          </cell>
        </row>
        <row r="267">
          <cell r="C267" t="str">
            <v>蒲俊峰</v>
          </cell>
          <cell r="CT267">
            <v>0</v>
          </cell>
        </row>
        <row r="268">
          <cell r="C268" t="str">
            <v>张雪颖</v>
          </cell>
          <cell r="CT268">
            <v>0</v>
          </cell>
        </row>
        <row r="269">
          <cell r="C269" t="str">
            <v>张雨露</v>
          </cell>
          <cell r="CT269">
            <v>0</v>
          </cell>
        </row>
        <row r="270">
          <cell r="C270" t="str">
            <v>刘祖红</v>
          </cell>
          <cell r="CT270">
            <v>0</v>
          </cell>
        </row>
        <row r="271">
          <cell r="C271" t="str">
            <v>谢宗富</v>
          </cell>
          <cell r="CT271">
            <v>0</v>
          </cell>
        </row>
        <row r="272">
          <cell r="C272" t="str">
            <v>余文</v>
          </cell>
          <cell r="CT272">
            <v>0</v>
          </cell>
        </row>
        <row r="273">
          <cell r="C273" t="str">
            <v>王洪武</v>
          </cell>
          <cell r="CT273">
            <v>0</v>
          </cell>
        </row>
        <row r="274">
          <cell r="C274" t="str">
            <v>王国英</v>
          </cell>
          <cell r="CT274">
            <v>0</v>
          </cell>
        </row>
        <row r="275">
          <cell r="C275" t="str">
            <v>周莉</v>
          </cell>
          <cell r="CT275">
            <v>0</v>
          </cell>
        </row>
        <row r="276">
          <cell r="C276" t="str">
            <v>吴斌1</v>
          </cell>
          <cell r="CT276">
            <v>0</v>
          </cell>
        </row>
        <row r="277">
          <cell r="C277" t="str">
            <v>吴斌2</v>
          </cell>
          <cell r="CT277">
            <v>0</v>
          </cell>
        </row>
        <row r="278">
          <cell r="C278" t="str">
            <v>杨汉玉</v>
          </cell>
          <cell r="CT278">
            <v>0</v>
          </cell>
        </row>
        <row r="279">
          <cell r="C279" t="str">
            <v>杨润琼</v>
          </cell>
          <cell r="CT279">
            <v>0</v>
          </cell>
        </row>
        <row r="280">
          <cell r="C280" t="str">
            <v>林玉琼</v>
          </cell>
          <cell r="CT280">
            <v>0</v>
          </cell>
        </row>
        <row r="281">
          <cell r="C281" t="str">
            <v>王秀华</v>
          </cell>
          <cell r="CT281">
            <v>0</v>
          </cell>
        </row>
        <row r="282">
          <cell r="C282" t="str">
            <v>刘陈秀</v>
          </cell>
          <cell r="CT282">
            <v>0</v>
          </cell>
        </row>
        <row r="283">
          <cell r="C283" t="str">
            <v>钟术群</v>
          </cell>
          <cell r="CT283">
            <v>0</v>
          </cell>
        </row>
        <row r="284">
          <cell r="C284" t="str">
            <v>郑竹兰</v>
          </cell>
          <cell r="CT284">
            <v>0</v>
          </cell>
        </row>
        <row r="285">
          <cell r="C285" t="str">
            <v>陈春蓉</v>
          </cell>
          <cell r="CT285">
            <v>0</v>
          </cell>
        </row>
        <row r="286">
          <cell r="C286" t="str">
            <v>陈明秀</v>
          </cell>
          <cell r="CT286">
            <v>0</v>
          </cell>
        </row>
        <row r="287">
          <cell r="C287" t="str">
            <v>许开会</v>
          </cell>
          <cell r="CT287">
            <v>0</v>
          </cell>
        </row>
        <row r="288">
          <cell r="C288" t="str">
            <v>蒋治琼</v>
          </cell>
          <cell r="CT288">
            <v>0</v>
          </cell>
        </row>
        <row r="289">
          <cell r="C289" t="str">
            <v>曾志芬</v>
          </cell>
          <cell r="CT289">
            <v>0</v>
          </cell>
        </row>
        <row r="290">
          <cell r="C290" t="str">
            <v>罗广秀</v>
          </cell>
          <cell r="CT290">
            <v>0</v>
          </cell>
        </row>
        <row r="291">
          <cell r="C291" t="str">
            <v>何先会</v>
          </cell>
          <cell r="CT291">
            <v>0</v>
          </cell>
        </row>
        <row r="292">
          <cell r="C292" t="str">
            <v>陈德芳</v>
          </cell>
          <cell r="CT292">
            <v>0</v>
          </cell>
        </row>
        <row r="293">
          <cell r="C293" t="str">
            <v>邓成分</v>
          </cell>
          <cell r="CT293">
            <v>0</v>
          </cell>
        </row>
        <row r="294">
          <cell r="C294" t="str">
            <v>刘胜琼</v>
          </cell>
          <cell r="CT294">
            <v>0</v>
          </cell>
        </row>
        <row r="295">
          <cell r="C295" t="str">
            <v>陈文先</v>
          </cell>
          <cell r="CT295">
            <v>0</v>
          </cell>
        </row>
        <row r="296">
          <cell r="C296" t="str">
            <v>杨则琼</v>
          </cell>
          <cell r="CT296">
            <v>0</v>
          </cell>
        </row>
        <row r="297">
          <cell r="C297" t="str">
            <v>李培英</v>
          </cell>
          <cell r="CT297">
            <v>0</v>
          </cell>
        </row>
        <row r="298">
          <cell r="C298" t="str">
            <v>陈永秀</v>
          </cell>
          <cell r="CT298">
            <v>0</v>
          </cell>
        </row>
        <row r="299">
          <cell r="C299" t="str">
            <v>李大英</v>
          </cell>
          <cell r="CT299">
            <v>0</v>
          </cell>
        </row>
        <row r="300">
          <cell r="C300" t="str">
            <v>范世琼</v>
          </cell>
          <cell r="CT300">
            <v>0</v>
          </cell>
        </row>
        <row r="301">
          <cell r="C301" t="str">
            <v>倪巧琼</v>
          </cell>
          <cell r="CT301">
            <v>0</v>
          </cell>
        </row>
        <row r="302">
          <cell r="C302" t="str">
            <v>颜香兰</v>
          </cell>
          <cell r="CT302">
            <v>0</v>
          </cell>
        </row>
        <row r="303">
          <cell r="C303" t="str">
            <v>刘治菊</v>
          </cell>
          <cell r="CT303">
            <v>0</v>
          </cell>
        </row>
        <row r="304">
          <cell r="C304" t="str">
            <v>陈珊珊</v>
          </cell>
          <cell r="CT304">
            <v>0</v>
          </cell>
        </row>
        <row r="305">
          <cell r="C305" t="str">
            <v>安家晴</v>
          </cell>
          <cell r="CT305">
            <v>0</v>
          </cell>
        </row>
        <row r="306">
          <cell r="C306" t="str">
            <v>刘雨佳</v>
          </cell>
          <cell r="CT306">
            <v>0</v>
          </cell>
        </row>
        <row r="307">
          <cell r="C307" t="str">
            <v>谢翠华</v>
          </cell>
          <cell r="CT307">
            <v>0</v>
          </cell>
        </row>
        <row r="308">
          <cell r="C308" t="str">
            <v>袁晓梅</v>
          </cell>
          <cell r="CT308">
            <v>0</v>
          </cell>
        </row>
        <row r="309">
          <cell r="C309" t="str">
            <v>孙鲜</v>
          </cell>
          <cell r="CT309">
            <v>0</v>
          </cell>
        </row>
        <row r="310">
          <cell r="C310" t="str">
            <v>陈春秀</v>
          </cell>
          <cell r="CT310">
            <v>0</v>
          </cell>
        </row>
        <row r="311">
          <cell r="C311" t="str">
            <v>郑晓芳</v>
          </cell>
          <cell r="CT311">
            <v>0</v>
          </cell>
        </row>
        <row r="312">
          <cell r="C312" t="str">
            <v>曾小凤</v>
          </cell>
          <cell r="CT312">
            <v>0</v>
          </cell>
        </row>
        <row r="313">
          <cell r="C313" t="str">
            <v>邹奇圻</v>
          </cell>
          <cell r="CT313">
            <v>0</v>
          </cell>
        </row>
        <row r="314">
          <cell r="C314" t="str">
            <v>路平</v>
          </cell>
          <cell r="CT314">
            <v>0</v>
          </cell>
        </row>
        <row r="315">
          <cell r="C315" t="str">
            <v>康丹</v>
          </cell>
          <cell r="CT315">
            <v>0</v>
          </cell>
        </row>
        <row r="316">
          <cell r="C316" t="str">
            <v>尹佩佩</v>
          </cell>
          <cell r="CT316">
            <v>0</v>
          </cell>
        </row>
        <row r="317">
          <cell r="C317" t="str">
            <v>周柏燚</v>
          </cell>
          <cell r="CT317">
            <v>0</v>
          </cell>
        </row>
        <row r="318">
          <cell r="C318" t="str">
            <v>李文龙</v>
          </cell>
          <cell r="CT318">
            <v>1689.03225806452</v>
          </cell>
        </row>
        <row r="319">
          <cell r="C319" t="str">
            <v>张文卓</v>
          </cell>
          <cell r="CT319">
            <v>0</v>
          </cell>
        </row>
        <row r="320">
          <cell r="C320" t="str">
            <v>曹煦菡</v>
          </cell>
          <cell r="CT320">
            <v>0</v>
          </cell>
        </row>
        <row r="321">
          <cell r="C321" t="str">
            <v>蹇雨珊</v>
          </cell>
          <cell r="CT321">
            <v>1436.7741935483871</v>
          </cell>
        </row>
        <row r="322">
          <cell r="C322" t="str">
            <v>赵圆缘</v>
          </cell>
          <cell r="CT322">
            <v>1436.7741935483871</v>
          </cell>
        </row>
        <row r="323">
          <cell r="C323" t="str">
            <v>李从丽</v>
          </cell>
          <cell r="CT323">
            <v>1082.5806451612902</v>
          </cell>
        </row>
        <row r="324">
          <cell r="C324" t="str">
            <v>杨慧琳</v>
          </cell>
          <cell r="CT324">
            <v>1140.6500000000001</v>
          </cell>
        </row>
        <row r="325">
          <cell r="C325" t="str">
            <v>袁琳育</v>
          </cell>
          <cell r="CT325">
            <v>1082.5806451612902</v>
          </cell>
        </row>
        <row r="326">
          <cell r="C326" t="str">
            <v>蒲敏</v>
          </cell>
          <cell r="CT326">
            <v>964.51612903225805</v>
          </cell>
        </row>
        <row r="327">
          <cell r="C327" t="str">
            <v>黄芬</v>
          </cell>
          <cell r="CT327">
            <v>472.25806451612902</v>
          </cell>
        </row>
        <row r="328">
          <cell r="C328" t="str">
            <v>杨娇</v>
          </cell>
          <cell r="CT328">
            <v>891.62</v>
          </cell>
        </row>
        <row r="329">
          <cell r="C329" t="str">
            <v>郭芬</v>
          </cell>
          <cell r="CT329">
            <v>590.32258064516122</v>
          </cell>
        </row>
        <row r="330">
          <cell r="C330" t="str">
            <v>陈丽</v>
          </cell>
          <cell r="CT330">
            <v>650.65</v>
          </cell>
        </row>
        <row r="331">
          <cell r="C331" t="str">
            <v>沙河+门店T区</v>
          </cell>
          <cell r="CT331">
            <v>0</v>
          </cell>
        </row>
        <row r="332">
          <cell r="C332" t="str">
            <v>涌泉+门店T区</v>
          </cell>
          <cell r="CT332">
            <v>0</v>
          </cell>
        </row>
        <row r="333">
          <cell r="C333" t="str">
            <v>中和+门店T区</v>
          </cell>
          <cell r="CT333">
            <v>0</v>
          </cell>
        </row>
        <row r="334">
          <cell r="C334" t="str">
            <v>川音+门店T区</v>
          </cell>
          <cell r="CT334">
            <v>0</v>
          </cell>
        </row>
        <row r="335">
          <cell r="C335" t="str">
            <v>光华+门店T区</v>
          </cell>
          <cell r="CT335">
            <v>0</v>
          </cell>
        </row>
        <row r="336">
          <cell r="C336" t="str">
            <v>龙湖+门店T区</v>
          </cell>
          <cell r="CT336">
            <v>0</v>
          </cell>
        </row>
        <row r="337">
          <cell r="C337" t="str">
            <v>鹭岛+门店T区</v>
          </cell>
          <cell r="CT337">
            <v>0</v>
          </cell>
        </row>
        <row r="338">
          <cell r="C338" t="str">
            <v>南湖+门店T区</v>
          </cell>
          <cell r="CT338">
            <v>0</v>
          </cell>
        </row>
        <row r="339">
          <cell r="C339" t="str">
            <v>荣华北路+门店T区</v>
          </cell>
          <cell r="CT339">
            <v>0</v>
          </cell>
        </row>
        <row r="340">
          <cell r="C340" t="str">
            <v>紫荆+门店T区</v>
          </cell>
          <cell r="CT340">
            <v>0</v>
          </cell>
        </row>
        <row r="341">
          <cell r="C341" t="str">
            <v>双流+门店T区</v>
          </cell>
          <cell r="CT341">
            <v>0</v>
          </cell>
        </row>
        <row r="342">
          <cell r="C342" t="str">
            <v>亚洲湾+门店T区</v>
          </cell>
          <cell r="CT342">
            <v>0</v>
          </cell>
        </row>
        <row r="343">
          <cell r="C343" t="str">
            <v>川师+门店T区</v>
          </cell>
          <cell r="CT343">
            <v>0</v>
          </cell>
        </row>
        <row r="344">
          <cell r="C344" t="str">
            <v>明信+门店T区</v>
          </cell>
          <cell r="CT344">
            <v>0</v>
          </cell>
        </row>
        <row r="345">
          <cell r="C345" t="str">
            <v>千禧+门店T区</v>
          </cell>
          <cell r="CT345">
            <v>0</v>
          </cell>
        </row>
        <row r="346">
          <cell r="C346" t="str">
            <v>大丰+门店T区</v>
          </cell>
          <cell r="CT346">
            <v>0</v>
          </cell>
        </row>
        <row r="347">
          <cell r="C347" t="str">
            <v>凤凰山+门店T区</v>
          </cell>
          <cell r="CT347">
            <v>0</v>
          </cell>
        </row>
        <row r="348">
          <cell r="C348" t="str">
            <v>科技一部+门店T区</v>
          </cell>
          <cell r="CT348">
            <v>0</v>
          </cell>
        </row>
        <row r="349">
          <cell r="C349" t="str">
            <v>科技二部+门店T区</v>
          </cell>
          <cell r="CT349">
            <v>0</v>
          </cell>
        </row>
        <row r="350">
          <cell r="C350" t="str">
            <v>468+门店T区</v>
          </cell>
          <cell r="CT350">
            <v>0</v>
          </cell>
        </row>
        <row r="351">
          <cell r="C351" t="str">
            <v>华润+门店T区</v>
          </cell>
          <cell r="CT351">
            <v>0</v>
          </cell>
        </row>
        <row r="352">
          <cell r="C352" t="str">
            <v>静居寺+门店T区</v>
          </cell>
          <cell r="CT352">
            <v>0</v>
          </cell>
        </row>
        <row r="353">
          <cell r="C353" t="str">
            <v>红光+门店T区</v>
          </cell>
          <cell r="CT353">
            <v>0</v>
          </cell>
        </row>
        <row r="354">
          <cell r="C354" t="str">
            <v>犀浦+门店T区</v>
          </cell>
          <cell r="CT354">
            <v>0</v>
          </cell>
        </row>
        <row r="355">
          <cell r="C355" t="str">
            <v>龙城国际+门店T区</v>
          </cell>
          <cell r="CT355">
            <v>0</v>
          </cell>
        </row>
        <row r="356">
          <cell r="C356" t="str">
            <v>优品道+门店T区</v>
          </cell>
          <cell r="CT356">
            <v>0</v>
          </cell>
        </row>
        <row r="357">
          <cell r="C357" t="str">
            <v>大源+门店T区</v>
          </cell>
          <cell r="CT357">
            <v>0</v>
          </cell>
        </row>
        <row r="358">
          <cell r="C358" t="str">
            <v>保利+门店T区</v>
          </cell>
          <cell r="CT358">
            <v>0</v>
          </cell>
        </row>
        <row r="359">
          <cell r="C359" t="str">
            <v>骑士郡+门店T区</v>
          </cell>
          <cell r="CT359">
            <v>0</v>
          </cell>
        </row>
        <row r="360">
          <cell r="C360" t="str">
            <v>荣华南路+门店T区</v>
          </cell>
          <cell r="CT360">
            <v>0</v>
          </cell>
        </row>
        <row r="361">
          <cell r="C361" t="str">
            <v>融创+门店T区</v>
          </cell>
          <cell r="CT361">
            <v>0</v>
          </cell>
        </row>
      </sheetData>
      <sheetData sheetId="1"/>
      <sheetData sheetId="2"/>
      <sheetData sheetId="3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"/>
  <sheetViews>
    <sheetView workbookViewId="0">
      <selection activeCell="G28" sqref="G28"/>
    </sheetView>
  </sheetViews>
  <sheetFormatPr defaultColWidth="9" defaultRowHeight="14.25" x14ac:dyDescent="0.15"/>
  <sheetData>
    <row r="1" spans="1:5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3"/>
  <sheetViews>
    <sheetView topLeftCell="E1" workbookViewId="0">
      <selection activeCell="K20" sqref="K20"/>
    </sheetView>
  </sheetViews>
  <sheetFormatPr defaultColWidth="9" defaultRowHeight="20.25" customHeight="1" x14ac:dyDescent="0.15"/>
  <cols>
    <col min="1" max="1" width="9.875" customWidth="1"/>
    <col min="2" max="2" width="7.5" customWidth="1"/>
    <col min="3" max="3" width="5" customWidth="1"/>
    <col min="4" max="4" width="9" customWidth="1"/>
    <col min="5" max="5" width="12.375" customWidth="1"/>
    <col min="8" max="8" width="5" customWidth="1"/>
    <col min="9" max="9" width="11.75" style="75" customWidth="1"/>
    <col min="10" max="10" width="29" customWidth="1"/>
    <col min="11" max="11" width="14.5" style="76" customWidth="1"/>
    <col min="12" max="12" width="9.5" customWidth="1"/>
    <col min="13" max="14" width="5" customWidth="1"/>
    <col min="17" max="17" width="9.875" customWidth="1"/>
    <col min="29" max="29" width="25" customWidth="1"/>
  </cols>
  <sheetData>
    <row r="1" spans="1:29" ht="20.25" customHeight="1" x14ac:dyDescent="0.15">
      <c r="A1" t="s">
        <v>5</v>
      </c>
      <c r="B1" t="s">
        <v>6</v>
      </c>
      <c r="D1" t="s">
        <v>7</v>
      </c>
      <c r="E1" t="s">
        <v>8</v>
      </c>
      <c r="F1" t="s">
        <v>9</v>
      </c>
      <c r="I1" s="77" t="s">
        <v>10</v>
      </c>
      <c r="J1" s="78" t="s">
        <v>11</v>
      </c>
      <c r="K1" s="79" t="s">
        <v>12</v>
      </c>
      <c r="L1" t="s">
        <v>13</v>
      </c>
      <c r="P1" t="s">
        <v>14</v>
      </c>
      <c r="Q1" t="s">
        <v>15</v>
      </c>
      <c r="S1" t="s">
        <v>16</v>
      </c>
      <c r="T1" s="80" t="s">
        <v>17</v>
      </c>
      <c r="U1" s="80" t="s">
        <v>9</v>
      </c>
      <c r="V1" s="80" t="s">
        <v>18</v>
      </c>
      <c r="W1" s="80" t="s">
        <v>19</v>
      </c>
      <c r="AC1" t="s">
        <v>20</v>
      </c>
    </row>
    <row r="2" spans="1:29" ht="20.25" customHeight="1" x14ac:dyDescent="0.15">
      <c r="A2" t="s">
        <v>21</v>
      </c>
      <c r="B2">
        <v>60</v>
      </c>
      <c r="E2" t="s">
        <v>22</v>
      </c>
      <c r="F2" t="s">
        <v>23</v>
      </c>
      <c r="G2" t="s">
        <v>24</v>
      </c>
      <c r="I2" s="75" t="s">
        <v>25</v>
      </c>
      <c r="J2" t="s">
        <v>26</v>
      </c>
      <c r="K2" s="76" t="s">
        <v>27</v>
      </c>
      <c r="L2">
        <v>60</v>
      </c>
      <c r="P2" t="s">
        <v>28</v>
      </c>
      <c r="T2" s="81">
        <v>0</v>
      </c>
      <c r="U2" s="81">
        <v>0</v>
      </c>
      <c r="V2" s="80">
        <v>0</v>
      </c>
      <c r="W2" s="80">
        <v>0</v>
      </c>
      <c r="Y2" t="s">
        <v>29</v>
      </c>
      <c r="Z2" t="s">
        <v>18</v>
      </c>
      <c r="AA2">
        <v>5</v>
      </c>
    </row>
    <row r="3" spans="1:29" ht="20.25" customHeight="1" x14ac:dyDescent="0.15">
      <c r="A3" t="s">
        <v>30</v>
      </c>
      <c r="B3">
        <v>80</v>
      </c>
      <c r="E3" t="s">
        <v>31</v>
      </c>
      <c r="F3" t="s">
        <v>32</v>
      </c>
      <c r="G3" t="s">
        <v>33</v>
      </c>
      <c r="I3" s="75" t="s">
        <v>29</v>
      </c>
      <c r="J3" t="s">
        <v>34</v>
      </c>
      <c r="K3" s="76" t="s">
        <v>35</v>
      </c>
      <c r="P3" t="s">
        <v>36</v>
      </c>
      <c r="T3" s="81">
        <v>7</v>
      </c>
      <c r="U3" s="81">
        <v>1</v>
      </c>
      <c r="V3" s="80">
        <v>1</v>
      </c>
      <c r="W3" s="80">
        <v>1</v>
      </c>
      <c r="Z3" s="82" t="s">
        <v>37</v>
      </c>
      <c r="AA3">
        <v>4</v>
      </c>
    </row>
    <row r="4" spans="1:29" ht="20.25" customHeight="1" x14ac:dyDescent="0.15">
      <c r="E4" t="s">
        <v>38</v>
      </c>
      <c r="F4" t="s">
        <v>39</v>
      </c>
      <c r="I4" s="75" t="s">
        <v>40</v>
      </c>
      <c r="J4" t="s">
        <v>26</v>
      </c>
      <c r="K4" s="76" t="s">
        <v>41</v>
      </c>
      <c r="L4">
        <v>80</v>
      </c>
      <c r="P4" t="s">
        <v>42</v>
      </c>
      <c r="T4" s="81">
        <v>15</v>
      </c>
      <c r="U4" s="81">
        <v>2</v>
      </c>
      <c r="V4" s="80">
        <v>2</v>
      </c>
      <c r="W4" s="80">
        <v>2</v>
      </c>
      <c r="Z4" s="82">
        <v>6</v>
      </c>
      <c r="AA4">
        <v>3</v>
      </c>
    </row>
    <row r="5" spans="1:29" ht="20.25" customHeight="1" x14ac:dyDescent="0.15">
      <c r="E5" t="s">
        <v>43</v>
      </c>
      <c r="F5" t="s">
        <v>44</v>
      </c>
      <c r="I5" s="75" t="s">
        <v>45</v>
      </c>
      <c r="K5" s="76" t="s">
        <v>46</v>
      </c>
      <c r="P5" t="s">
        <v>47</v>
      </c>
      <c r="T5" s="81">
        <v>21</v>
      </c>
      <c r="U5" s="81">
        <v>3</v>
      </c>
      <c r="V5" s="80">
        <v>3</v>
      </c>
      <c r="W5" s="80">
        <v>3</v>
      </c>
      <c r="Z5" s="82">
        <v>5678</v>
      </c>
      <c r="AA5">
        <v>2</v>
      </c>
    </row>
    <row r="6" spans="1:29" ht="20.25" customHeight="1" x14ac:dyDescent="0.15">
      <c r="E6" t="s">
        <v>48</v>
      </c>
      <c r="F6" t="s">
        <v>49</v>
      </c>
      <c r="K6" s="76" t="s">
        <v>50</v>
      </c>
      <c r="L6">
        <v>60</v>
      </c>
      <c r="T6" s="81">
        <v>28</v>
      </c>
      <c r="U6" s="81">
        <v>4</v>
      </c>
      <c r="V6" s="81">
        <v>5</v>
      </c>
      <c r="W6" s="81">
        <v>6</v>
      </c>
      <c r="AA6">
        <v>1</v>
      </c>
    </row>
    <row r="7" spans="1:29" ht="20.25" customHeight="1" x14ac:dyDescent="0.15">
      <c r="E7">
        <v>468</v>
      </c>
      <c r="F7" t="s">
        <v>51</v>
      </c>
      <c r="K7" s="76" t="s">
        <v>52</v>
      </c>
      <c r="L7" t="s">
        <v>3</v>
      </c>
      <c r="V7" s="80" t="s">
        <v>18</v>
      </c>
      <c r="W7" s="80" t="s">
        <v>19</v>
      </c>
    </row>
    <row r="8" spans="1:29" ht="20.25" customHeight="1" x14ac:dyDescent="0.15">
      <c r="E8" t="s">
        <v>53</v>
      </c>
      <c r="K8" s="76" t="s">
        <v>54</v>
      </c>
      <c r="L8" t="s">
        <v>3</v>
      </c>
      <c r="T8">
        <v>0</v>
      </c>
      <c r="V8">
        <v>0</v>
      </c>
      <c r="W8">
        <v>0</v>
      </c>
    </row>
    <row r="9" spans="1:29" ht="20.25" customHeight="1" x14ac:dyDescent="0.15">
      <c r="E9" t="s">
        <v>55</v>
      </c>
      <c r="K9" s="76" t="s">
        <v>56</v>
      </c>
      <c r="T9">
        <v>6</v>
      </c>
      <c r="V9">
        <v>1</v>
      </c>
      <c r="W9">
        <v>1</v>
      </c>
    </row>
    <row r="10" spans="1:29" ht="20.25" customHeight="1" x14ac:dyDescent="0.15">
      <c r="E10" t="s">
        <v>57</v>
      </c>
      <c r="K10" s="76" t="s">
        <v>58</v>
      </c>
      <c r="T10">
        <v>12</v>
      </c>
      <c r="V10">
        <v>2</v>
      </c>
      <c r="W10">
        <v>2</v>
      </c>
    </row>
    <row r="11" spans="1:29" ht="20.25" customHeight="1" x14ac:dyDescent="0.15">
      <c r="E11" t="s">
        <v>59</v>
      </c>
      <c r="K11" s="76" t="s">
        <v>60</v>
      </c>
      <c r="L11">
        <v>100</v>
      </c>
      <c r="T11">
        <v>18</v>
      </c>
      <c r="V11">
        <v>3</v>
      </c>
      <c r="W11">
        <v>3</v>
      </c>
    </row>
    <row r="12" spans="1:29" ht="20.25" customHeight="1" x14ac:dyDescent="0.15">
      <c r="E12" t="s">
        <v>61</v>
      </c>
      <c r="K12" s="76" t="s">
        <v>62</v>
      </c>
      <c r="T12">
        <v>24</v>
      </c>
      <c r="V12">
        <v>4</v>
      </c>
      <c r="W12">
        <v>4</v>
      </c>
    </row>
    <row r="13" spans="1:29" ht="20.25" customHeight="1" x14ac:dyDescent="0.15">
      <c r="E13" t="s">
        <v>63</v>
      </c>
      <c r="K13" s="76" t="s">
        <v>64</v>
      </c>
      <c r="T13">
        <v>30</v>
      </c>
      <c r="V13">
        <v>5</v>
      </c>
      <c r="W13">
        <v>6</v>
      </c>
    </row>
    <row r="14" spans="1:29" ht="20.25" customHeight="1" x14ac:dyDescent="0.15">
      <c r="E14" t="s">
        <v>65</v>
      </c>
      <c r="K14" s="76" t="s">
        <v>66</v>
      </c>
    </row>
    <row r="15" spans="1:29" ht="20.25" customHeight="1" x14ac:dyDescent="0.15">
      <c r="E15" t="s">
        <v>67</v>
      </c>
    </row>
    <row r="16" spans="1:29" ht="20.25" customHeight="1" x14ac:dyDescent="0.15">
      <c r="E16" t="s">
        <v>68</v>
      </c>
    </row>
    <row r="17" spans="5:5" ht="20.25" customHeight="1" x14ac:dyDescent="0.15">
      <c r="E17" t="s">
        <v>69</v>
      </c>
    </row>
    <row r="18" spans="5:5" ht="20.25" customHeight="1" x14ac:dyDescent="0.15">
      <c r="E18" t="s">
        <v>70</v>
      </c>
    </row>
    <row r="19" spans="5:5" ht="20.25" customHeight="1" x14ac:dyDescent="0.15">
      <c r="E19" t="s">
        <v>71</v>
      </c>
    </row>
    <row r="20" spans="5:5" ht="20.25" customHeight="1" x14ac:dyDescent="0.15">
      <c r="E20" t="s">
        <v>72</v>
      </c>
    </row>
    <row r="21" spans="5:5" ht="20.25" customHeight="1" x14ac:dyDescent="0.15">
      <c r="E21" t="s">
        <v>73</v>
      </c>
    </row>
    <row r="22" spans="5:5" ht="20.25" customHeight="1" x14ac:dyDescent="0.15">
      <c r="E22" t="s">
        <v>74</v>
      </c>
    </row>
    <row r="23" spans="5:5" ht="20.25" customHeight="1" x14ac:dyDescent="0.15">
      <c r="E23" t="s">
        <v>75</v>
      </c>
    </row>
    <row r="24" spans="5:5" ht="20.25" customHeight="1" x14ac:dyDescent="0.15">
      <c r="E24" t="s">
        <v>76</v>
      </c>
    </row>
    <row r="25" spans="5:5" ht="20.25" customHeight="1" x14ac:dyDescent="0.15">
      <c r="E25" t="s">
        <v>77</v>
      </c>
    </row>
    <row r="26" spans="5:5" ht="20.25" customHeight="1" x14ac:dyDescent="0.15">
      <c r="E26" t="s">
        <v>78</v>
      </c>
    </row>
    <row r="27" spans="5:5" ht="20.25" customHeight="1" x14ac:dyDescent="0.15">
      <c r="E27" t="s">
        <v>79</v>
      </c>
    </row>
    <row r="28" spans="5:5" ht="20.25" customHeight="1" x14ac:dyDescent="0.15">
      <c r="E28" t="s">
        <v>80</v>
      </c>
    </row>
    <row r="29" spans="5:5" ht="20.25" customHeight="1" x14ac:dyDescent="0.15">
      <c r="E29" t="s">
        <v>81</v>
      </c>
    </row>
    <row r="30" spans="5:5" ht="20.25" customHeight="1" x14ac:dyDescent="0.15">
      <c r="E30" t="s">
        <v>82</v>
      </c>
    </row>
    <row r="31" spans="5:5" ht="20.25" customHeight="1" x14ac:dyDescent="0.15">
      <c r="E31" t="s">
        <v>18</v>
      </c>
    </row>
    <row r="32" spans="5:5" ht="20.25" customHeight="1" x14ac:dyDescent="0.15">
      <c r="E32" t="s">
        <v>24</v>
      </c>
    </row>
    <row r="33" spans="5:5" ht="20.25" customHeight="1" x14ac:dyDescent="0.15">
      <c r="E33" t="s">
        <v>33</v>
      </c>
    </row>
  </sheetData>
  <sheetProtection formatCells="0" formatColumns="0" formatRows="0" insertColumns="0" insertRows="0" insertHyperlinks="0" deleteColumns="0" deleteRows="0" sort="0" autoFilter="0" pivotTables="0"/>
  <phoneticPr fontId="4" type="noConversion"/>
  <conditionalFormatting sqref="E1:E1048576 F1">
    <cfRule type="duplicateValues" dxfId="3" priority="1"/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345"/>
  <sheetViews>
    <sheetView workbookViewId="0">
      <pane ySplit="1" topLeftCell="A139" activePane="bottomLeft" state="frozen"/>
      <selection pane="bottomLeft" activeCell="O155" sqref="O155"/>
    </sheetView>
  </sheetViews>
  <sheetFormatPr defaultColWidth="9" defaultRowHeight="14.25" x14ac:dyDescent="0.15"/>
  <cols>
    <col min="1" max="1" width="4.5" style="7" customWidth="1"/>
    <col min="2" max="3" width="14.875" style="7" customWidth="1"/>
    <col min="4" max="4" width="14.75" style="7" customWidth="1"/>
    <col min="5" max="6" width="14.875" style="7" customWidth="1"/>
    <col min="7" max="7" width="10.875" style="50" customWidth="1"/>
    <col min="8" max="8" width="13.625" style="7" customWidth="1"/>
    <col min="9" max="9" width="14.5" style="7" customWidth="1"/>
    <col min="10" max="12" width="10.25" style="51" customWidth="1"/>
    <col min="13" max="13" width="9" style="52"/>
    <col min="14" max="18" width="9" style="51"/>
    <col min="19" max="19" width="17.125" style="53" customWidth="1"/>
    <col min="20" max="20" width="10.875" style="53" customWidth="1"/>
    <col min="21" max="21" width="10.375" style="54" customWidth="1"/>
    <col min="22" max="22" width="24.625" style="54" customWidth="1"/>
    <col min="23" max="16384" width="9" style="51"/>
  </cols>
  <sheetData>
    <row r="1" spans="1:24" x14ac:dyDescent="0.15">
      <c r="A1" s="55" t="s">
        <v>83</v>
      </c>
      <c r="B1" s="55" t="s">
        <v>8</v>
      </c>
      <c r="C1" s="55" t="s">
        <v>84</v>
      </c>
      <c r="D1" s="55" t="s">
        <v>5</v>
      </c>
      <c r="E1" s="55" t="s">
        <v>85</v>
      </c>
      <c r="F1" s="55" t="s">
        <v>86</v>
      </c>
      <c r="G1" s="56" t="s">
        <v>87</v>
      </c>
      <c r="H1" s="55" t="s">
        <v>88</v>
      </c>
      <c r="I1" s="55" t="s">
        <v>89</v>
      </c>
      <c r="J1" s="56">
        <v>45748</v>
      </c>
      <c r="K1" s="56">
        <v>45778</v>
      </c>
      <c r="L1" s="56">
        <v>45809</v>
      </c>
      <c r="M1" s="59">
        <v>45839</v>
      </c>
      <c r="N1" s="56">
        <v>45870</v>
      </c>
      <c r="O1" s="56">
        <v>45901</v>
      </c>
      <c r="P1" s="56">
        <v>45931</v>
      </c>
      <c r="Q1" s="56">
        <v>45962</v>
      </c>
      <c r="R1" s="56">
        <v>45992</v>
      </c>
      <c r="S1" s="61" t="s">
        <v>90</v>
      </c>
      <c r="T1" s="61" t="s">
        <v>91</v>
      </c>
      <c r="U1" s="61" t="s">
        <v>92</v>
      </c>
      <c r="V1" s="61" t="s">
        <v>93</v>
      </c>
      <c r="W1" s="51">
        <v>2025</v>
      </c>
      <c r="X1" s="51">
        <v>6</v>
      </c>
    </row>
    <row r="2" spans="1:24" x14ac:dyDescent="0.15">
      <c r="A2" s="57">
        <v>1</v>
      </c>
      <c r="B2" s="7" t="s">
        <v>22</v>
      </c>
      <c r="C2" s="7" t="s">
        <v>94</v>
      </c>
      <c r="D2" s="7" t="s">
        <v>30</v>
      </c>
      <c r="E2" s="7" t="s">
        <v>95</v>
      </c>
      <c r="F2" s="7" t="s">
        <v>96</v>
      </c>
      <c r="G2" s="50" t="s">
        <v>9</v>
      </c>
      <c r="H2" s="8">
        <v>43222</v>
      </c>
      <c r="I2" s="60"/>
      <c r="J2" s="51">
        <f>MAX(0,MIN(IF($I$2="",EOMONTH(DATE(YEAR(J1),MONTH(J1),1),0),$I$2),EOMONTH(DATE(YEAR(J1),MONTH(J1),1),0))-MAX($H$2,DATE(YEAR(J1),MONTH(J1),1))+1)</f>
        <v>30</v>
      </c>
      <c r="K2" s="51">
        <f>MAX(0,MIN(IF(I2="",EOMONTH(DATE(YEAR($K$1),MONTH($K$1),1),0),I2),EOMONTH(DATE(YEAR($K$1),MONTH($K$1),1),0))-MAX(H2,DATE(YEAR($K$1),MONTH($K$1),1))+1)</f>
        <v>31</v>
      </c>
      <c r="L2" s="51">
        <f>MAX(0,MIN(IF(I2="",EOMONTH(DATE(YEAR($L$1),MONTH($L$1),1),0),I2),EOMONTH(DATE(YEAR($L$1),MONTH($L$1),1),0))-MAX(H2,DATE(YEAR($L$1),MONTH($L$1),1))+1)</f>
        <v>30</v>
      </c>
      <c r="M2" s="52">
        <f>MAX(0,MIN(IF(I2="",EOMONTH(DATE(YEAR($M$1),MONTH($M$1),1),0),I2),EOMONTH(DATE(YEAR($M$1),MONTH($M$1),1),0))-MAX(H2,DATE(YEAR($M$1),MONTH($M$1),1))+1)</f>
        <v>31</v>
      </c>
      <c r="N2" s="51">
        <f>MAX(0,MIN(IF(I2="",EOMONTH(DATE(YEAR($N$1),MONTH($N$1),1),0),I2),EOMONTH(DATE(YEAR($N$1),MONTH($N$1),1),0))-MAX(H2,DATE(YEAR($N$1),MONTH($N$1),1))+1)</f>
        <v>31</v>
      </c>
      <c r="O2" s="51">
        <f>MAX(0,MIN(IF(I2="",EOMONTH(DATE(YEAR($O$1),MONTH($O$1),1),0),I2),EOMONTH(DATE(YEAR($O$1),MONTH($O$1),1),0))-MAX(H2,DATE(YEAR($O$1),MONTH($O$1),1))+1)</f>
        <v>30</v>
      </c>
      <c r="P2" s="51">
        <f>MAX(0,MIN(IF(I2="",EOMONTH(DATE(YEAR($P$1),MONTH($P$1),1),0),I2),EOMONTH(DATE(YEAR($P$1),MONTH($P$1),1),0))-MAX(H2,DATE(YEAR($P$1),MONTH($P$1),1))+1)</f>
        <v>31</v>
      </c>
      <c r="Q2" s="51">
        <f>MAX(0,MIN(IF(I2="",EOMONTH(DATE(YEAR($Q$1),MONTH($Q$1),1),0),I2),EOMONTH(DATE(YEAR($Q$1),MONTH($Q$1),1),0))-MAX(H2,DATE(YEAR($Q$1),MONTH($Q$1),1))+1)</f>
        <v>30</v>
      </c>
      <c r="R2" s="51">
        <f>MAX(0,MIN(IF(I2="",EOMONTH(DATE(YEAR($R$1),MONTH($R$1),1),0),I2),EOMONTH(DATE(YEAR($R$1),MONTH($R$1),1),0))-MAX(H2,DATE(YEAR($R$1),MONTH($R$1),1))+1)</f>
        <v>31</v>
      </c>
      <c r="S2" s="53">
        <f>IF(G2="事业部",LOOKUP(M2,基础设置!$T$2:$T$6,基础设置!$U$2:$U$6),IF(G2="总部",LOOKUP(M2,基础设置!$T$8:$T$13,基础设置!$V$8:$V$13),IF(G2="拓展部",LOOKUP(M2,基础设置!$T$8:$T$13,基础设置!$W$8:$W$13),5000)))</f>
        <v>4</v>
      </c>
    </row>
    <row r="3" spans="1:24" x14ac:dyDescent="0.15">
      <c r="A3" s="57">
        <v>2</v>
      </c>
      <c r="B3" s="7" t="s">
        <v>22</v>
      </c>
      <c r="C3" s="7" t="s">
        <v>97</v>
      </c>
      <c r="D3" s="7" t="s">
        <v>21</v>
      </c>
      <c r="E3" s="7" t="s">
        <v>98</v>
      </c>
      <c r="F3" s="7" t="s">
        <v>96</v>
      </c>
      <c r="G3" s="50" t="s">
        <v>9</v>
      </c>
      <c r="H3" s="8">
        <v>44200</v>
      </c>
      <c r="I3" s="60"/>
      <c r="J3" s="51">
        <f t="shared" ref="J3:J66" si="0">MAX(0,MIN(IF(I3="",EOMONTH(DATE(YEAR($J$1),MONTH($J$1),1),0),I3),EOMONTH(DATE(YEAR($J$1),MONTH($J$1),1),0))-MAX(H3,DATE(YEAR($J$1),MONTH($J$1),1))+1)</f>
        <v>30</v>
      </c>
      <c r="K3" s="51">
        <f t="shared" ref="K3:K66" si="1">MAX(0,MIN(IF(I3="",EOMONTH(DATE(YEAR($K$1),MONTH($K$1),1),0),I3),EOMONTH(DATE(YEAR($K$1),MONTH($K$1),1),0))-MAX(H3,DATE(YEAR($K$1),MONTH($K$1),1))+1)</f>
        <v>31</v>
      </c>
      <c r="L3" s="51">
        <f t="shared" ref="L3:L66" si="2">MAX(0,MIN(IF(I3="",EOMONTH(DATE(YEAR($L$1),MONTH($L$1),1),0),I3),EOMONTH(DATE(YEAR($L$1),MONTH($L$1),1),0))-MAX(H3,DATE(YEAR($L$1),MONTH($L$1),1))+1)</f>
        <v>30</v>
      </c>
      <c r="M3" s="52">
        <f t="shared" ref="M3:M66" si="3">MAX(0,MIN(IF(I3="",EOMONTH(DATE(YEAR($M$1),MONTH($M$1),1),0),I3),EOMONTH(DATE(YEAR($M$1),MONTH($M$1),1),0))-MAX(H3,DATE(YEAR($M$1),MONTH($M$1),1))+1)</f>
        <v>31</v>
      </c>
      <c r="N3" s="51">
        <f t="shared" ref="N3:N66" si="4">MAX(0,MIN(IF(I3="",EOMONTH(DATE(YEAR($N$1),MONTH($N$1),1),0),I3),EOMONTH(DATE(YEAR($N$1),MONTH($N$1),1),0))-MAX(H3,DATE(YEAR($N$1),MONTH($N$1),1))+1)</f>
        <v>31</v>
      </c>
      <c r="O3" s="51">
        <f t="shared" ref="O3:O66" si="5">MAX(0,MIN(IF(I3="",EOMONTH(DATE(YEAR($O$1),MONTH($O$1),1),0),I3),EOMONTH(DATE(YEAR($O$1),MONTH($O$1),1),0))-MAX(H3,DATE(YEAR($O$1),MONTH($O$1),1))+1)</f>
        <v>30</v>
      </c>
      <c r="P3" s="51">
        <f t="shared" ref="P3:P66" si="6">MAX(0,MIN(IF(I3="",EOMONTH(DATE(YEAR($P$1),MONTH($P$1),1),0),I3),EOMONTH(DATE(YEAR($P$1),MONTH($P$1),1),0))-MAX(H3,DATE(YEAR($P$1),MONTH($P$1),1))+1)</f>
        <v>31</v>
      </c>
      <c r="Q3" s="51">
        <f t="shared" ref="Q3:Q66" si="7">MAX(0,MIN(IF(I3="",EOMONTH(DATE(YEAR($Q$1),MONTH($Q$1),1),0),I3),EOMONTH(DATE(YEAR($Q$1),MONTH($Q$1),1),0))-MAX(H3,DATE(YEAR($Q$1),MONTH($Q$1),1))+1)</f>
        <v>30</v>
      </c>
      <c r="R3" s="51">
        <f t="shared" ref="R3:R66" si="8">MAX(0,MIN(IF(I3="",EOMONTH(DATE(YEAR($R$1),MONTH($R$1),1),0),I3),EOMONTH(DATE(YEAR($R$1),MONTH($R$1),1),0))-MAX(H3,DATE(YEAR($R$1),MONTH($R$1),1))+1)</f>
        <v>31</v>
      </c>
      <c r="S3" s="53">
        <f>IF(G3="事业部",LOOKUP(M3,基础设置!$T$2:$T$6,基础设置!$U$2:$U$6),IF(G3="总部",LOOKUP(M3,基础设置!$T$8:$T$13,基础设置!$V$8:$V$13),IF(G3="拓展部",LOOKUP(M3,基础设置!$T$8:$T$13,基础设置!$W$8:$W$13),5000)))</f>
        <v>4</v>
      </c>
    </row>
    <row r="4" spans="1:24" x14ac:dyDescent="0.15">
      <c r="A4" s="57">
        <v>3</v>
      </c>
      <c r="B4" s="7" t="s">
        <v>22</v>
      </c>
      <c r="C4" s="7" t="s">
        <v>35</v>
      </c>
      <c r="D4" s="7" t="s">
        <v>21</v>
      </c>
      <c r="E4" s="7" t="s">
        <v>99</v>
      </c>
      <c r="F4" s="7" t="s">
        <v>96</v>
      </c>
      <c r="G4" s="50" t="s">
        <v>9</v>
      </c>
      <c r="H4" s="8">
        <v>43291</v>
      </c>
      <c r="I4" s="60"/>
      <c r="J4" s="51">
        <f t="shared" si="0"/>
        <v>30</v>
      </c>
      <c r="K4" s="51">
        <f t="shared" si="1"/>
        <v>31</v>
      </c>
      <c r="L4" s="51">
        <f t="shared" si="2"/>
        <v>30</v>
      </c>
      <c r="M4" s="52">
        <f t="shared" si="3"/>
        <v>31</v>
      </c>
      <c r="N4" s="51">
        <f t="shared" si="4"/>
        <v>31</v>
      </c>
      <c r="O4" s="51">
        <f t="shared" si="5"/>
        <v>30</v>
      </c>
      <c r="P4" s="51">
        <f t="shared" si="6"/>
        <v>31</v>
      </c>
      <c r="Q4" s="51">
        <f t="shared" si="7"/>
        <v>30</v>
      </c>
      <c r="R4" s="51">
        <f t="shared" si="8"/>
        <v>31</v>
      </c>
      <c r="S4" s="53">
        <f>IF(G4="事业部",LOOKUP(M4,基础设置!$T$2:$T$6,基础设置!$U$2:$U$6),IF(G4="总部",LOOKUP(M4,基础设置!$T$8:$T$13,基础设置!$V$8:$V$13),IF(G4="拓展部",LOOKUP(M4,基础设置!$T$8:$T$13,基础设置!$W$8:$W$13),5000)))</f>
        <v>4</v>
      </c>
    </row>
    <row r="5" spans="1:24" x14ac:dyDescent="0.15">
      <c r="A5" s="57">
        <v>4</v>
      </c>
      <c r="B5" s="7" t="s">
        <v>22</v>
      </c>
      <c r="C5" s="7" t="s">
        <v>35</v>
      </c>
      <c r="D5" s="7" t="s">
        <v>21</v>
      </c>
      <c r="E5" s="7" t="s">
        <v>100</v>
      </c>
      <c r="F5" s="7" t="s">
        <v>96</v>
      </c>
      <c r="G5" s="50" t="s">
        <v>9</v>
      </c>
      <c r="H5" s="8">
        <v>44783</v>
      </c>
      <c r="I5" s="60"/>
      <c r="J5" s="51">
        <f t="shared" si="0"/>
        <v>30</v>
      </c>
      <c r="K5" s="51">
        <f t="shared" si="1"/>
        <v>31</v>
      </c>
      <c r="L5" s="51">
        <f t="shared" si="2"/>
        <v>30</v>
      </c>
      <c r="M5" s="52">
        <f t="shared" si="3"/>
        <v>31</v>
      </c>
      <c r="N5" s="51">
        <f t="shared" si="4"/>
        <v>31</v>
      </c>
      <c r="O5" s="51">
        <f t="shared" si="5"/>
        <v>30</v>
      </c>
      <c r="P5" s="51">
        <f t="shared" si="6"/>
        <v>31</v>
      </c>
      <c r="Q5" s="51">
        <f t="shared" si="7"/>
        <v>30</v>
      </c>
      <c r="R5" s="51">
        <f t="shared" si="8"/>
        <v>31</v>
      </c>
      <c r="S5" s="53">
        <f>IF(G5="事业部",LOOKUP(M5,基础设置!$T$2:$T$6,基础设置!$U$2:$U$6),IF(G5="总部",LOOKUP(M5,基础设置!$T$8:$T$13,基础设置!$V$8:$V$13),IF(G5="拓展部",LOOKUP(M5,基础设置!$T$8:$T$13,基础设置!$W$8:$W$13),5000)))</f>
        <v>4</v>
      </c>
    </row>
    <row r="6" spans="1:24" x14ac:dyDescent="0.15">
      <c r="A6" s="57">
        <v>5</v>
      </c>
      <c r="B6" s="7" t="s">
        <v>22</v>
      </c>
      <c r="C6" s="7" t="s">
        <v>35</v>
      </c>
      <c r="D6" s="7" t="s">
        <v>21</v>
      </c>
      <c r="E6" s="7" t="s">
        <v>101</v>
      </c>
      <c r="F6" s="7" t="s">
        <v>36</v>
      </c>
      <c r="G6" s="50" t="s">
        <v>9</v>
      </c>
      <c r="H6" s="8">
        <v>45097</v>
      </c>
      <c r="I6" s="8">
        <v>45826</v>
      </c>
      <c r="J6" s="51">
        <f t="shared" si="0"/>
        <v>30</v>
      </c>
      <c r="K6" s="51">
        <f t="shared" si="1"/>
        <v>31</v>
      </c>
      <c r="L6" s="51">
        <f t="shared" si="2"/>
        <v>18</v>
      </c>
      <c r="M6" s="52">
        <f t="shared" si="3"/>
        <v>0</v>
      </c>
      <c r="N6" s="51">
        <f t="shared" si="4"/>
        <v>0</v>
      </c>
      <c r="O6" s="51">
        <f t="shared" si="5"/>
        <v>0</v>
      </c>
      <c r="P6" s="51">
        <f t="shared" si="6"/>
        <v>0</v>
      </c>
      <c r="Q6" s="51">
        <f t="shared" si="7"/>
        <v>0</v>
      </c>
      <c r="R6" s="51">
        <f t="shared" si="8"/>
        <v>0</v>
      </c>
      <c r="S6" s="53">
        <f>IF(G6="事业部",LOOKUP(M6,基础设置!$T$2:$T$6,基础设置!$U$2:$U$6),IF(G6="总部",LOOKUP(M6,基础设置!$T$8:$T$13,基础设置!$V$8:$V$13),IF(G6="拓展部",LOOKUP(M6,基础设置!$T$8:$T$13,基础设置!$W$8:$W$13),5000)))</f>
        <v>0</v>
      </c>
    </row>
    <row r="7" spans="1:24" x14ac:dyDescent="0.15">
      <c r="A7" s="57">
        <v>6</v>
      </c>
      <c r="B7" s="7" t="s">
        <v>22</v>
      </c>
      <c r="C7" s="7" t="s">
        <v>35</v>
      </c>
      <c r="D7" s="7" t="s">
        <v>21</v>
      </c>
      <c r="E7" s="7" t="s">
        <v>102</v>
      </c>
      <c r="F7" s="7" t="s">
        <v>96</v>
      </c>
      <c r="G7" s="50" t="s">
        <v>9</v>
      </c>
      <c r="H7" s="8">
        <v>45272</v>
      </c>
      <c r="I7" s="60"/>
      <c r="J7" s="51">
        <f t="shared" si="0"/>
        <v>30</v>
      </c>
      <c r="K7" s="51">
        <f t="shared" si="1"/>
        <v>31</v>
      </c>
      <c r="L7" s="51">
        <f t="shared" si="2"/>
        <v>30</v>
      </c>
      <c r="M7" s="52">
        <f t="shared" si="3"/>
        <v>31</v>
      </c>
      <c r="N7" s="51">
        <f t="shared" si="4"/>
        <v>31</v>
      </c>
      <c r="O7" s="51">
        <f t="shared" si="5"/>
        <v>30</v>
      </c>
      <c r="P7" s="51">
        <f t="shared" si="6"/>
        <v>31</v>
      </c>
      <c r="Q7" s="51">
        <f t="shared" si="7"/>
        <v>30</v>
      </c>
      <c r="R7" s="51">
        <f t="shared" si="8"/>
        <v>31</v>
      </c>
      <c r="S7" s="53">
        <f>IF(G7="事业部",LOOKUP(M7,基础设置!$T$2:$T$6,基础设置!$U$2:$U$6),IF(G7="总部",LOOKUP(M7,基础设置!$T$8:$T$13,基础设置!$V$8:$V$13),IF(G7="拓展部",LOOKUP(M7,基础设置!$T$8:$T$13,基础设置!$W$8:$W$13),5000)))</f>
        <v>4</v>
      </c>
    </row>
    <row r="8" spans="1:24" x14ac:dyDescent="0.15">
      <c r="A8" s="57">
        <v>7</v>
      </c>
      <c r="B8" s="7" t="s">
        <v>22</v>
      </c>
      <c r="C8" s="7" t="s">
        <v>35</v>
      </c>
      <c r="D8" s="7" t="s">
        <v>21</v>
      </c>
      <c r="E8" s="7" t="s">
        <v>103</v>
      </c>
      <c r="F8" s="7" t="s">
        <v>36</v>
      </c>
      <c r="G8" s="50" t="s">
        <v>9</v>
      </c>
      <c r="H8" s="8">
        <v>45491</v>
      </c>
      <c r="I8" s="8">
        <v>45828</v>
      </c>
      <c r="J8" s="51">
        <f t="shared" si="0"/>
        <v>30</v>
      </c>
      <c r="K8" s="51">
        <f t="shared" si="1"/>
        <v>31</v>
      </c>
      <c r="L8" s="51">
        <f t="shared" si="2"/>
        <v>20</v>
      </c>
      <c r="M8" s="52">
        <f t="shared" si="3"/>
        <v>0</v>
      </c>
      <c r="N8" s="51">
        <f t="shared" si="4"/>
        <v>0</v>
      </c>
      <c r="O8" s="51">
        <f t="shared" si="5"/>
        <v>0</v>
      </c>
      <c r="P8" s="51">
        <f t="shared" si="6"/>
        <v>0</v>
      </c>
      <c r="Q8" s="51">
        <f t="shared" si="7"/>
        <v>0</v>
      </c>
      <c r="R8" s="51">
        <f t="shared" si="8"/>
        <v>0</v>
      </c>
      <c r="S8" s="53">
        <f>IF(G8="事业部",LOOKUP(M8,基础设置!$T$2:$T$6,基础设置!$U$2:$U$6),IF(G8="总部",LOOKUP(M8,基础设置!$T$8:$T$13,基础设置!$V$8:$V$13),IF(G8="拓展部",LOOKUP(M8,基础设置!$T$8:$T$13,基础设置!$W$8:$W$13),5000)))</f>
        <v>0</v>
      </c>
    </row>
    <row r="9" spans="1:24" x14ac:dyDescent="0.15">
      <c r="A9" s="57">
        <v>8</v>
      </c>
      <c r="B9" s="7" t="s">
        <v>22</v>
      </c>
      <c r="C9" s="7" t="s">
        <v>35</v>
      </c>
      <c r="D9" s="7" t="s">
        <v>21</v>
      </c>
      <c r="E9" s="7" t="s">
        <v>104</v>
      </c>
      <c r="F9" s="7" t="s">
        <v>96</v>
      </c>
      <c r="G9" s="50" t="s">
        <v>9</v>
      </c>
      <c r="H9" s="8">
        <v>45787</v>
      </c>
      <c r="I9" s="60"/>
      <c r="J9" s="51">
        <f t="shared" si="0"/>
        <v>0</v>
      </c>
      <c r="K9" s="51">
        <f t="shared" si="1"/>
        <v>22</v>
      </c>
      <c r="L9" s="51">
        <f t="shared" si="2"/>
        <v>30</v>
      </c>
      <c r="M9" s="52">
        <f t="shared" si="3"/>
        <v>31</v>
      </c>
      <c r="N9" s="51">
        <f t="shared" si="4"/>
        <v>31</v>
      </c>
      <c r="O9" s="51">
        <f t="shared" si="5"/>
        <v>30</v>
      </c>
      <c r="P9" s="51">
        <f t="shared" si="6"/>
        <v>31</v>
      </c>
      <c r="Q9" s="51">
        <f t="shared" si="7"/>
        <v>30</v>
      </c>
      <c r="R9" s="51">
        <f t="shared" si="8"/>
        <v>31</v>
      </c>
      <c r="S9" s="53">
        <f>IF(G9="事业部",LOOKUP(M9,基础设置!$T$2:$T$6,基础设置!$U$2:$U$6),IF(G9="总部",LOOKUP(M9,基础设置!$T$8:$T$13,基础设置!$V$8:$V$13),IF(G9="拓展部",LOOKUP(M9,基础设置!$T$8:$T$13,基础设置!$W$8:$W$13),5000)))</f>
        <v>4</v>
      </c>
      <c r="T9" s="53">
        <v>4000</v>
      </c>
    </row>
    <row r="10" spans="1:24" x14ac:dyDescent="0.15">
      <c r="A10" s="57">
        <v>9</v>
      </c>
      <c r="B10" s="7" t="s">
        <v>22</v>
      </c>
      <c r="C10" s="7" t="s">
        <v>35</v>
      </c>
      <c r="D10" s="7" t="s">
        <v>21</v>
      </c>
      <c r="E10" s="7" t="s">
        <v>105</v>
      </c>
      <c r="F10" s="7" t="s">
        <v>96</v>
      </c>
      <c r="G10" s="50" t="s">
        <v>9</v>
      </c>
      <c r="H10" s="8">
        <v>45829</v>
      </c>
      <c r="I10" s="60"/>
      <c r="J10" s="51">
        <f t="shared" si="0"/>
        <v>0</v>
      </c>
      <c r="K10" s="51">
        <f t="shared" si="1"/>
        <v>0</v>
      </c>
      <c r="L10" s="51">
        <f t="shared" si="2"/>
        <v>10</v>
      </c>
      <c r="M10" s="52">
        <f t="shared" si="3"/>
        <v>31</v>
      </c>
      <c r="N10" s="51">
        <f t="shared" si="4"/>
        <v>31</v>
      </c>
      <c r="O10" s="51">
        <f t="shared" si="5"/>
        <v>30</v>
      </c>
      <c r="P10" s="51">
        <f t="shared" si="6"/>
        <v>31</v>
      </c>
      <c r="Q10" s="51">
        <f t="shared" si="7"/>
        <v>30</v>
      </c>
      <c r="R10" s="51">
        <f t="shared" si="8"/>
        <v>31</v>
      </c>
      <c r="S10" s="53">
        <f>IF(G10="事业部",LOOKUP(M10,基础设置!$T$2:$T$6,基础设置!$U$2:$U$6),IF(G10="总部",LOOKUP(M10,基础设置!$T$8:$T$13,基础设置!$V$8:$V$13),IF(G10="拓展部",LOOKUP(M10,基础设置!$T$8:$T$13,基础设置!$W$8:$W$13),5000)))</f>
        <v>4</v>
      </c>
      <c r="T10" s="53">
        <v>5000</v>
      </c>
    </row>
    <row r="11" spans="1:24" x14ac:dyDescent="0.15">
      <c r="A11" s="57">
        <v>10</v>
      </c>
      <c r="B11" s="7" t="s">
        <v>23</v>
      </c>
      <c r="C11" s="7" t="s">
        <v>42</v>
      </c>
      <c r="D11" s="7" t="s">
        <v>30</v>
      </c>
      <c r="E11" s="7" t="s">
        <v>106</v>
      </c>
      <c r="F11" s="7" t="s">
        <v>96</v>
      </c>
      <c r="G11" s="50" t="s">
        <v>9</v>
      </c>
      <c r="H11" s="8">
        <v>42452</v>
      </c>
      <c r="I11" s="60"/>
      <c r="J11" s="51">
        <f t="shared" si="0"/>
        <v>30</v>
      </c>
      <c r="K11" s="51">
        <f t="shared" si="1"/>
        <v>31</v>
      </c>
      <c r="L11" s="51">
        <f t="shared" si="2"/>
        <v>30</v>
      </c>
      <c r="M11" s="52">
        <f t="shared" si="3"/>
        <v>31</v>
      </c>
      <c r="N11" s="51">
        <f t="shared" si="4"/>
        <v>31</v>
      </c>
      <c r="O11" s="51">
        <f t="shared" si="5"/>
        <v>30</v>
      </c>
      <c r="P11" s="51">
        <f t="shared" si="6"/>
        <v>31</v>
      </c>
      <c r="Q11" s="51">
        <f t="shared" si="7"/>
        <v>30</v>
      </c>
      <c r="R11" s="51">
        <f t="shared" si="8"/>
        <v>31</v>
      </c>
      <c r="S11" s="53">
        <f>IF(G11="事业部",LOOKUP(M11,基础设置!$T$2:$T$6,基础设置!$U$2:$U$6),IF(G11="总部",LOOKUP(M11,基础设置!$T$8:$T$13,基础设置!$V$8:$V$13),IF(G11="拓展部",LOOKUP(M11,基础设置!$T$8:$T$13,基础设置!$W$8:$W$13),5000)))</f>
        <v>4</v>
      </c>
    </row>
    <row r="12" spans="1:24" x14ac:dyDescent="0.15">
      <c r="A12" s="57">
        <v>11</v>
      </c>
      <c r="B12" s="7" t="s">
        <v>31</v>
      </c>
      <c r="C12" s="7" t="s">
        <v>94</v>
      </c>
      <c r="D12" s="7" t="s">
        <v>30</v>
      </c>
      <c r="E12" s="7" t="s">
        <v>107</v>
      </c>
      <c r="F12" s="7" t="s">
        <v>96</v>
      </c>
      <c r="G12" s="50" t="s">
        <v>9</v>
      </c>
      <c r="H12" s="8">
        <v>43991</v>
      </c>
      <c r="I12" s="60"/>
      <c r="J12" s="51">
        <f t="shared" si="0"/>
        <v>30</v>
      </c>
      <c r="K12" s="51">
        <f t="shared" si="1"/>
        <v>31</v>
      </c>
      <c r="L12" s="51">
        <f t="shared" si="2"/>
        <v>30</v>
      </c>
      <c r="M12" s="52">
        <f t="shared" si="3"/>
        <v>31</v>
      </c>
      <c r="N12" s="51">
        <f t="shared" si="4"/>
        <v>31</v>
      </c>
      <c r="O12" s="51">
        <f t="shared" si="5"/>
        <v>30</v>
      </c>
      <c r="P12" s="51">
        <f t="shared" si="6"/>
        <v>31</v>
      </c>
      <c r="Q12" s="51">
        <f t="shared" si="7"/>
        <v>30</v>
      </c>
      <c r="R12" s="51">
        <f t="shared" si="8"/>
        <v>31</v>
      </c>
      <c r="S12" s="53">
        <f>IF(G12="事业部",LOOKUP(M12,基础设置!$T$2:$T$6,基础设置!$U$2:$U$6),IF(G12="总部",LOOKUP(M12,基础设置!$T$8:$T$13,基础设置!$V$8:$V$13),IF(G12="拓展部",LOOKUP(M12,基础设置!$T$8:$T$13,基础设置!$W$8:$W$13),5000)))</f>
        <v>4</v>
      </c>
    </row>
    <row r="13" spans="1:24" x14ac:dyDescent="0.15">
      <c r="A13" s="57">
        <v>12</v>
      </c>
      <c r="B13" s="7" t="s">
        <v>31</v>
      </c>
      <c r="C13" s="7" t="s">
        <v>35</v>
      </c>
      <c r="D13" s="7" t="s">
        <v>21</v>
      </c>
      <c r="E13" s="7" t="s">
        <v>108</v>
      </c>
      <c r="F13" s="7" t="s">
        <v>96</v>
      </c>
      <c r="G13" s="50" t="s">
        <v>9</v>
      </c>
      <c r="H13" s="8">
        <v>43896</v>
      </c>
      <c r="I13" s="60"/>
      <c r="J13" s="51">
        <f t="shared" si="0"/>
        <v>30</v>
      </c>
      <c r="K13" s="51">
        <f t="shared" si="1"/>
        <v>31</v>
      </c>
      <c r="L13" s="51">
        <f t="shared" si="2"/>
        <v>30</v>
      </c>
      <c r="M13" s="52">
        <f t="shared" si="3"/>
        <v>31</v>
      </c>
      <c r="N13" s="51">
        <f t="shared" si="4"/>
        <v>31</v>
      </c>
      <c r="O13" s="51">
        <f t="shared" si="5"/>
        <v>30</v>
      </c>
      <c r="P13" s="51">
        <f t="shared" si="6"/>
        <v>31</v>
      </c>
      <c r="Q13" s="51">
        <f t="shared" si="7"/>
        <v>30</v>
      </c>
      <c r="R13" s="51">
        <f t="shared" si="8"/>
        <v>31</v>
      </c>
      <c r="S13" s="53">
        <f>IF(G13="事业部",LOOKUP(M13,基础设置!$T$2:$T$6,基础设置!$U$2:$U$6),IF(G13="总部",LOOKUP(M13,基础设置!$T$8:$T$13,基础设置!$V$8:$V$13),IF(G13="拓展部",LOOKUP(M13,基础设置!$T$8:$T$13,基础设置!$W$8:$W$13),5000)))</f>
        <v>4</v>
      </c>
    </row>
    <row r="14" spans="1:24" x14ac:dyDescent="0.15">
      <c r="A14" s="57">
        <v>13</v>
      </c>
      <c r="B14" s="7" t="s">
        <v>31</v>
      </c>
      <c r="C14" s="7" t="s">
        <v>35</v>
      </c>
      <c r="D14" s="7" t="s">
        <v>21</v>
      </c>
      <c r="E14" s="7" t="s">
        <v>109</v>
      </c>
      <c r="F14" s="7" t="s">
        <v>96</v>
      </c>
      <c r="G14" s="50" t="s">
        <v>9</v>
      </c>
      <c r="H14" s="8">
        <v>44257</v>
      </c>
      <c r="I14" s="60"/>
      <c r="J14" s="51">
        <f t="shared" si="0"/>
        <v>30</v>
      </c>
      <c r="K14" s="51">
        <f t="shared" si="1"/>
        <v>31</v>
      </c>
      <c r="L14" s="51">
        <f t="shared" si="2"/>
        <v>30</v>
      </c>
      <c r="M14" s="52">
        <f t="shared" si="3"/>
        <v>31</v>
      </c>
      <c r="N14" s="51">
        <f t="shared" si="4"/>
        <v>31</v>
      </c>
      <c r="O14" s="51">
        <f t="shared" si="5"/>
        <v>30</v>
      </c>
      <c r="P14" s="51">
        <f t="shared" si="6"/>
        <v>31</v>
      </c>
      <c r="Q14" s="51">
        <f t="shared" si="7"/>
        <v>30</v>
      </c>
      <c r="R14" s="51">
        <f t="shared" si="8"/>
        <v>31</v>
      </c>
      <c r="S14" s="53">
        <f>IF(G14="事业部",LOOKUP(M14,基础设置!$T$2:$T$6,基础设置!$U$2:$U$6),IF(G14="总部",LOOKUP(M14,基础设置!$T$8:$T$13,基础设置!$V$8:$V$13),IF(G14="拓展部",LOOKUP(M14,基础设置!$T$8:$T$13,基础设置!$W$8:$W$13),5000)))</f>
        <v>4</v>
      </c>
    </row>
    <row r="15" spans="1:24" x14ac:dyDescent="0.15">
      <c r="A15" s="57">
        <v>14</v>
      </c>
      <c r="B15" s="7" t="s">
        <v>31</v>
      </c>
      <c r="C15" s="7" t="s">
        <v>35</v>
      </c>
      <c r="D15" s="7" t="s">
        <v>21</v>
      </c>
      <c r="E15" s="7" t="s">
        <v>110</v>
      </c>
      <c r="F15" s="7" t="s">
        <v>96</v>
      </c>
      <c r="G15" s="50" t="s">
        <v>9</v>
      </c>
      <c r="H15" s="8">
        <v>45078</v>
      </c>
      <c r="I15" s="60"/>
      <c r="J15" s="51">
        <f t="shared" si="0"/>
        <v>30</v>
      </c>
      <c r="K15" s="51">
        <f t="shared" si="1"/>
        <v>31</v>
      </c>
      <c r="L15" s="51">
        <f t="shared" si="2"/>
        <v>30</v>
      </c>
      <c r="M15" s="52">
        <f t="shared" si="3"/>
        <v>31</v>
      </c>
      <c r="N15" s="51">
        <f t="shared" si="4"/>
        <v>31</v>
      </c>
      <c r="O15" s="51">
        <f t="shared" si="5"/>
        <v>30</v>
      </c>
      <c r="P15" s="51">
        <f t="shared" si="6"/>
        <v>31</v>
      </c>
      <c r="Q15" s="51">
        <f t="shared" si="7"/>
        <v>30</v>
      </c>
      <c r="R15" s="51">
        <f t="shared" si="8"/>
        <v>31</v>
      </c>
      <c r="S15" s="53">
        <f>IF(G15="事业部",LOOKUP(M15,基础设置!$T$2:$T$6,基础设置!$U$2:$U$6),IF(G15="总部",LOOKUP(M15,基础设置!$T$8:$T$13,基础设置!$V$8:$V$13),IF(G15="拓展部",LOOKUP(M15,基础设置!$T$8:$T$13,基础设置!$W$8:$W$13),5000)))</f>
        <v>4</v>
      </c>
    </row>
    <row r="16" spans="1:24" x14ac:dyDescent="0.15">
      <c r="A16" s="57">
        <v>15</v>
      </c>
      <c r="B16" s="7" t="s">
        <v>31</v>
      </c>
      <c r="C16" s="7" t="s">
        <v>35</v>
      </c>
      <c r="D16" s="7" t="s">
        <v>21</v>
      </c>
      <c r="E16" s="7" t="s">
        <v>111</v>
      </c>
      <c r="F16" s="7" t="s">
        <v>96</v>
      </c>
      <c r="G16" s="50" t="s">
        <v>9</v>
      </c>
      <c r="H16" s="8">
        <v>44907</v>
      </c>
      <c r="I16" s="60"/>
      <c r="J16" s="51">
        <f t="shared" si="0"/>
        <v>30</v>
      </c>
      <c r="K16" s="51">
        <f t="shared" si="1"/>
        <v>31</v>
      </c>
      <c r="L16" s="51">
        <f t="shared" si="2"/>
        <v>30</v>
      </c>
      <c r="M16" s="52">
        <f t="shared" si="3"/>
        <v>31</v>
      </c>
      <c r="N16" s="51">
        <f t="shared" si="4"/>
        <v>31</v>
      </c>
      <c r="O16" s="51">
        <f t="shared" si="5"/>
        <v>30</v>
      </c>
      <c r="P16" s="51">
        <f t="shared" si="6"/>
        <v>31</v>
      </c>
      <c r="Q16" s="51">
        <f t="shared" si="7"/>
        <v>30</v>
      </c>
      <c r="R16" s="51">
        <f t="shared" si="8"/>
        <v>31</v>
      </c>
      <c r="S16" s="53">
        <f>IF(G16="事业部",LOOKUP(M16,基础设置!$T$2:$T$6,基础设置!$U$2:$U$6),IF(G16="总部",LOOKUP(M16,基础设置!$T$8:$T$13,基础设置!$V$8:$V$13),IF(G16="拓展部",LOOKUP(M16,基础设置!$T$8:$T$13,基础设置!$W$8:$W$13),5000)))</f>
        <v>4</v>
      </c>
    </row>
    <row r="17" spans="1:19" x14ac:dyDescent="0.15">
      <c r="A17" s="57">
        <v>16</v>
      </c>
      <c r="B17" s="7" t="s">
        <v>31</v>
      </c>
      <c r="C17" s="7" t="s">
        <v>35</v>
      </c>
      <c r="D17" s="7" t="s">
        <v>21</v>
      </c>
      <c r="E17" s="7" t="s">
        <v>112</v>
      </c>
      <c r="F17" s="7" t="s">
        <v>96</v>
      </c>
      <c r="G17" s="50" t="s">
        <v>9</v>
      </c>
      <c r="H17" s="8">
        <v>45172</v>
      </c>
      <c r="I17" s="60"/>
      <c r="J17" s="51">
        <f t="shared" si="0"/>
        <v>30</v>
      </c>
      <c r="K17" s="51">
        <f t="shared" si="1"/>
        <v>31</v>
      </c>
      <c r="L17" s="51">
        <f t="shared" si="2"/>
        <v>30</v>
      </c>
      <c r="M17" s="52">
        <f t="shared" si="3"/>
        <v>31</v>
      </c>
      <c r="N17" s="51">
        <f t="shared" si="4"/>
        <v>31</v>
      </c>
      <c r="O17" s="51">
        <f t="shared" si="5"/>
        <v>30</v>
      </c>
      <c r="P17" s="51">
        <f t="shared" si="6"/>
        <v>31</v>
      </c>
      <c r="Q17" s="51">
        <f t="shared" si="7"/>
        <v>30</v>
      </c>
      <c r="R17" s="51">
        <f t="shared" si="8"/>
        <v>31</v>
      </c>
      <c r="S17" s="53">
        <f>IF(G17="事业部",LOOKUP(M17,基础设置!$T$2:$T$6,基础设置!$U$2:$U$6),IF(G17="总部",LOOKUP(M17,基础设置!$T$8:$T$13,基础设置!$V$8:$V$13),IF(G17="拓展部",LOOKUP(M17,基础设置!$T$8:$T$13,基础设置!$W$8:$W$13),5000)))</f>
        <v>4</v>
      </c>
    </row>
    <row r="18" spans="1:19" x14ac:dyDescent="0.15">
      <c r="A18" s="57">
        <v>17</v>
      </c>
      <c r="B18" s="7" t="s">
        <v>31</v>
      </c>
      <c r="C18" s="7" t="s">
        <v>35</v>
      </c>
      <c r="D18" s="7" t="s">
        <v>21</v>
      </c>
      <c r="E18" s="7" t="s">
        <v>113</v>
      </c>
      <c r="F18" s="7" t="s">
        <v>96</v>
      </c>
      <c r="G18" s="50" t="s">
        <v>9</v>
      </c>
      <c r="H18" s="8">
        <v>44970</v>
      </c>
      <c r="I18" s="60"/>
      <c r="J18" s="51">
        <f t="shared" si="0"/>
        <v>30</v>
      </c>
      <c r="K18" s="51">
        <f t="shared" si="1"/>
        <v>31</v>
      </c>
      <c r="L18" s="51">
        <f t="shared" si="2"/>
        <v>30</v>
      </c>
      <c r="M18" s="52">
        <f t="shared" si="3"/>
        <v>31</v>
      </c>
      <c r="N18" s="51">
        <f t="shared" si="4"/>
        <v>31</v>
      </c>
      <c r="O18" s="51">
        <f t="shared" si="5"/>
        <v>30</v>
      </c>
      <c r="P18" s="51">
        <f t="shared" si="6"/>
        <v>31</v>
      </c>
      <c r="Q18" s="51">
        <f t="shared" si="7"/>
        <v>30</v>
      </c>
      <c r="R18" s="51">
        <f t="shared" si="8"/>
        <v>31</v>
      </c>
      <c r="S18" s="53">
        <f>IF(G18="事业部",LOOKUP(M18,基础设置!$T$2:$T$6,基础设置!$U$2:$U$6),IF(G18="总部",LOOKUP(M18,基础设置!$T$8:$T$13,基础设置!$V$8:$V$13),IF(G18="拓展部",LOOKUP(M18,基础设置!$T$8:$T$13,基础设置!$W$8:$W$13),5000)))</f>
        <v>4</v>
      </c>
    </row>
    <row r="19" spans="1:19" x14ac:dyDescent="0.15">
      <c r="A19" s="57">
        <v>18</v>
      </c>
      <c r="B19" s="7" t="s">
        <v>31</v>
      </c>
      <c r="C19" s="7" t="s">
        <v>97</v>
      </c>
      <c r="D19" s="7" t="s">
        <v>21</v>
      </c>
      <c r="E19" s="7" t="s">
        <v>114</v>
      </c>
      <c r="F19" s="7" t="s">
        <v>96</v>
      </c>
      <c r="G19" s="50" t="s">
        <v>9</v>
      </c>
      <c r="H19" s="8">
        <v>45605</v>
      </c>
      <c r="I19" s="60"/>
      <c r="J19" s="51">
        <f t="shared" si="0"/>
        <v>30</v>
      </c>
      <c r="K19" s="51">
        <f t="shared" si="1"/>
        <v>31</v>
      </c>
      <c r="L19" s="51">
        <f t="shared" si="2"/>
        <v>30</v>
      </c>
      <c r="M19" s="52">
        <f t="shared" si="3"/>
        <v>31</v>
      </c>
      <c r="N19" s="51">
        <f t="shared" si="4"/>
        <v>31</v>
      </c>
      <c r="O19" s="51">
        <f t="shared" si="5"/>
        <v>30</v>
      </c>
      <c r="P19" s="51">
        <f t="shared" si="6"/>
        <v>31</v>
      </c>
      <c r="Q19" s="51">
        <f t="shared" si="7"/>
        <v>30</v>
      </c>
      <c r="R19" s="51">
        <f t="shared" si="8"/>
        <v>31</v>
      </c>
      <c r="S19" s="53">
        <f>IF(G19="事业部",LOOKUP(M19,基础设置!$T$2:$T$6,基础设置!$U$2:$U$6),IF(G19="总部",LOOKUP(M19,基础设置!$T$8:$T$13,基础设置!$V$8:$V$13),IF(G19="拓展部",LOOKUP(M19,基础设置!$T$8:$T$13,基础设置!$W$8:$W$13),5000)))</f>
        <v>4</v>
      </c>
    </row>
    <row r="20" spans="1:19" x14ac:dyDescent="0.15">
      <c r="A20" s="57">
        <v>19</v>
      </c>
      <c r="B20" s="7" t="s">
        <v>31</v>
      </c>
      <c r="C20" s="7" t="s">
        <v>35</v>
      </c>
      <c r="D20" s="7" t="s">
        <v>21</v>
      </c>
      <c r="E20" s="7" t="s">
        <v>115</v>
      </c>
      <c r="F20" s="7" t="s">
        <v>96</v>
      </c>
      <c r="G20" s="50" t="s">
        <v>9</v>
      </c>
      <c r="H20" s="8">
        <v>45700</v>
      </c>
      <c r="I20" s="60"/>
      <c r="J20" s="51">
        <f t="shared" si="0"/>
        <v>30</v>
      </c>
      <c r="K20" s="51">
        <f t="shared" si="1"/>
        <v>31</v>
      </c>
      <c r="L20" s="51">
        <f t="shared" si="2"/>
        <v>30</v>
      </c>
      <c r="M20" s="52">
        <f t="shared" si="3"/>
        <v>31</v>
      </c>
      <c r="N20" s="51">
        <f t="shared" si="4"/>
        <v>31</v>
      </c>
      <c r="O20" s="51">
        <f t="shared" si="5"/>
        <v>30</v>
      </c>
      <c r="P20" s="51">
        <f t="shared" si="6"/>
        <v>31</v>
      </c>
      <c r="Q20" s="51">
        <f t="shared" si="7"/>
        <v>30</v>
      </c>
      <c r="R20" s="51">
        <f t="shared" si="8"/>
        <v>31</v>
      </c>
      <c r="S20" s="53">
        <f>IF(G20="事业部",LOOKUP(M20,基础设置!$T$2:$T$6,基础设置!$U$2:$U$6),IF(G20="总部",LOOKUP(M20,基础设置!$T$8:$T$13,基础设置!$V$8:$V$13),IF(G20="拓展部",LOOKUP(M20,基础设置!$T$8:$T$13,基础设置!$W$8:$W$13),5000)))</f>
        <v>4</v>
      </c>
    </row>
    <row r="21" spans="1:19" x14ac:dyDescent="0.15">
      <c r="A21" s="57">
        <v>20</v>
      </c>
      <c r="B21" s="7" t="s">
        <v>31</v>
      </c>
      <c r="C21" s="7" t="s">
        <v>35</v>
      </c>
      <c r="D21" s="7" t="s">
        <v>21</v>
      </c>
      <c r="E21" s="7" t="s">
        <v>116</v>
      </c>
      <c r="F21" s="7" t="s">
        <v>36</v>
      </c>
      <c r="G21" s="50" t="s">
        <v>9</v>
      </c>
      <c r="H21" s="8">
        <v>45717</v>
      </c>
      <c r="I21" s="8">
        <v>45829</v>
      </c>
      <c r="J21" s="51">
        <f t="shared" si="0"/>
        <v>30</v>
      </c>
      <c r="K21" s="51">
        <f t="shared" si="1"/>
        <v>31</v>
      </c>
      <c r="L21" s="51">
        <f t="shared" si="2"/>
        <v>21</v>
      </c>
      <c r="M21" s="52">
        <f t="shared" si="3"/>
        <v>0</v>
      </c>
      <c r="N21" s="51">
        <f t="shared" si="4"/>
        <v>0</v>
      </c>
      <c r="O21" s="51">
        <f t="shared" si="5"/>
        <v>0</v>
      </c>
      <c r="P21" s="51">
        <f t="shared" si="6"/>
        <v>0</v>
      </c>
      <c r="Q21" s="51">
        <f t="shared" si="7"/>
        <v>0</v>
      </c>
      <c r="R21" s="51">
        <f t="shared" si="8"/>
        <v>0</v>
      </c>
      <c r="S21" s="53">
        <f>IF(G21="事业部",LOOKUP(M21,基础设置!$T$2:$T$6,基础设置!$U$2:$U$6),IF(G21="总部",LOOKUP(M21,基础设置!$T$8:$T$13,基础设置!$V$8:$V$13),IF(G21="拓展部",LOOKUP(M21,基础设置!$T$8:$T$13,基础设置!$W$8:$W$13),5000)))</f>
        <v>0</v>
      </c>
    </row>
    <row r="22" spans="1:19" x14ac:dyDescent="0.15">
      <c r="A22" s="57">
        <v>21</v>
      </c>
      <c r="B22" s="7" t="s">
        <v>31</v>
      </c>
      <c r="C22" s="7" t="s">
        <v>35</v>
      </c>
      <c r="D22" s="7" t="s">
        <v>21</v>
      </c>
      <c r="E22" s="7" t="s">
        <v>117</v>
      </c>
      <c r="F22" s="7" t="s">
        <v>36</v>
      </c>
      <c r="G22" s="50" t="s">
        <v>9</v>
      </c>
      <c r="H22" s="8">
        <v>45754</v>
      </c>
      <c r="I22" s="60">
        <v>45864</v>
      </c>
      <c r="J22" s="51">
        <f t="shared" si="0"/>
        <v>24</v>
      </c>
      <c r="K22" s="51">
        <f t="shared" si="1"/>
        <v>31</v>
      </c>
      <c r="L22" s="51">
        <f t="shared" si="2"/>
        <v>30</v>
      </c>
      <c r="M22" s="52">
        <f t="shared" si="3"/>
        <v>26</v>
      </c>
      <c r="N22" s="51">
        <f t="shared" si="4"/>
        <v>0</v>
      </c>
      <c r="O22" s="51">
        <f t="shared" si="5"/>
        <v>0</v>
      </c>
      <c r="P22" s="51">
        <f t="shared" si="6"/>
        <v>0</v>
      </c>
      <c r="Q22" s="51">
        <f t="shared" si="7"/>
        <v>0</v>
      </c>
      <c r="R22" s="51">
        <f t="shared" si="8"/>
        <v>0</v>
      </c>
      <c r="S22" s="53">
        <f>IF(G22="事业部",LOOKUP(M22,基础设置!$T$2:$T$6,基础设置!$U$2:$U$6),IF(G22="总部",LOOKUP(M22,基础设置!$T$8:$T$13,基础设置!$V$8:$V$13),IF(G22="拓展部",LOOKUP(M22,基础设置!$T$8:$T$13,基础设置!$W$8:$W$13),5000)))</f>
        <v>3</v>
      </c>
    </row>
    <row r="23" spans="1:19" x14ac:dyDescent="0.15">
      <c r="A23" s="57">
        <v>22</v>
      </c>
      <c r="B23" s="7" t="s">
        <v>31</v>
      </c>
      <c r="C23" s="7" t="s">
        <v>46</v>
      </c>
      <c r="D23" s="7" t="s">
        <v>30</v>
      </c>
      <c r="E23" s="7" t="s">
        <v>118</v>
      </c>
      <c r="F23" s="7" t="s">
        <v>96</v>
      </c>
      <c r="G23" s="50" t="s">
        <v>9</v>
      </c>
      <c r="H23" s="8">
        <v>45754</v>
      </c>
      <c r="I23" s="60"/>
      <c r="J23" s="51">
        <f t="shared" si="0"/>
        <v>24</v>
      </c>
      <c r="K23" s="51">
        <f t="shared" si="1"/>
        <v>31</v>
      </c>
      <c r="L23" s="51">
        <f t="shared" si="2"/>
        <v>30</v>
      </c>
      <c r="M23" s="52">
        <f t="shared" si="3"/>
        <v>31</v>
      </c>
      <c r="N23" s="51">
        <f t="shared" si="4"/>
        <v>31</v>
      </c>
      <c r="O23" s="51">
        <f t="shared" si="5"/>
        <v>30</v>
      </c>
      <c r="P23" s="51">
        <f t="shared" si="6"/>
        <v>31</v>
      </c>
      <c r="Q23" s="51">
        <f t="shared" si="7"/>
        <v>30</v>
      </c>
      <c r="R23" s="51">
        <f t="shared" si="8"/>
        <v>31</v>
      </c>
      <c r="S23" s="53">
        <f>IF(G23="事业部",LOOKUP(M23,基础设置!$T$2:$T$6,基础设置!$U$2:$U$6),IF(G23="总部",LOOKUP(M23,基础设置!$T$8:$T$13,基础设置!$V$8:$V$13),IF(G23="拓展部",LOOKUP(M23,基础设置!$T$8:$T$13,基础设置!$W$8:$W$13),5000)))</f>
        <v>4</v>
      </c>
    </row>
    <row r="24" spans="1:19" x14ac:dyDescent="0.15">
      <c r="A24" s="57">
        <v>23</v>
      </c>
      <c r="B24" s="7" t="s">
        <v>38</v>
      </c>
      <c r="C24" s="7" t="s">
        <v>35</v>
      </c>
      <c r="D24" s="7" t="s">
        <v>21</v>
      </c>
      <c r="E24" s="7" t="s">
        <v>119</v>
      </c>
      <c r="F24" s="7" t="s">
        <v>96</v>
      </c>
      <c r="G24" s="50" t="s">
        <v>9</v>
      </c>
      <c r="H24" s="8">
        <v>45343</v>
      </c>
      <c r="I24" s="60"/>
      <c r="J24" s="51">
        <f t="shared" si="0"/>
        <v>30</v>
      </c>
      <c r="K24" s="51">
        <f t="shared" si="1"/>
        <v>31</v>
      </c>
      <c r="L24" s="51">
        <f t="shared" si="2"/>
        <v>30</v>
      </c>
      <c r="M24" s="52">
        <f t="shared" si="3"/>
        <v>31</v>
      </c>
      <c r="N24" s="51">
        <f t="shared" si="4"/>
        <v>31</v>
      </c>
      <c r="O24" s="51">
        <f t="shared" si="5"/>
        <v>30</v>
      </c>
      <c r="P24" s="51">
        <f t="shared" si="6"/>
        <v>31</v>
      </c>
      <c r="Q24" s="51">
        <f t="shared" si="7"/>
        <v>30</v>
      </c>
      <c r="R24" s="51">
        <f t="shared" si="8"/>
        <v>31</v>
      </c>
      <c r="S24" s="53">
        <f>IF(G24="事业部",LOOKUP(M24,基础设置!$T$2:$T$6,基础设置!$U$2:$U$6),IF(G24="总部",LOOKUP(M24,基础设置!$T$8:$T$13,基础设置!$V$8:$V$13),IF(G24="拓展部",LOOKUP(M24,基础设置!$T$8:$T$13,基础设置!$W$8:$W$13),5000)))</f>
        <v>4</v>
      </c>
    </row>
    <row r="25" spans="1:19" x14ac:dyDescent="0.15">
      <c r="A25" s="57">
        <v>24</v>
      </c>
      <c r="B25" s="7" t="s">
        <v>38</v>
      </c>
      <c r="C25" s="7" t="s">
        <v>97</v>
      </c>
      <c r="D25" s="7" t="s">
        <v>21</v>
      </c>
      <c r="E25" s="7" t="s">
        <v>120</v>
      </c>
      <c r="F25" s="7" t="s">
        <v>96</v>
      </c>
      <c r="G25" s="50" t="s">
        <v>9</v>
      </c>
      <c r="H25" s="8">
        <v>45024</v>
      </c>
      <c r="I25" s="60"/>
      <c r="J25" s="51">
        <f t="shared" si="0"/>
        <v>30</v>
      </c>
      <c r="K25" s="51">
        <f t="shared" si="1"/>
        <v>31</v>
      </c>
      <c r="L25" s="51">
        <f t="shared" si="2"/>
        <v>30</v>
      </c>
      <c r="M25" s="52">
        <f t="shared" si="3"/>
        <v>31</v>
      </c>
      <c r="N25" s="51">
        <f t="shared" si="4"/>
        <v>31</v>
      </c>
      <c r="O25" s="51">
        <f t="shared" si="5"/>
        <v>30</v>
      </c>
      <c r="P25" s="51">
        <f t="shared" si="6"/>
        <v>31</v>
      </c>
      <c r="Q25" s="51">
        <f t="shared" si="7"/>
        <v>30</v>
      </c>
      <c r="R25" s="51">
        <f t="shared" si="8"/>
        <v>31</v>
      </c>
      <c r="S25" s="53">
        <f>IF(G25="事业部",LOOKUP(M25,基础设置!$T$2:$T$6,基础设置!$U$2:$U$6),IF(G25="总部",LOOKUP(M25,基础设置!$T$8:$T$13,基础设置!$V$8:$V$13),IF(G25="拓展部",LOOKUP(M25,基础设置!$T$8:$T$13,基础设置!$W$8:$W$13),5000)))</f>
        <v>4</v>
      </c>
    </row>
    <row r="26" spans="1:19" x14ac:dyDescent="0.15">
      <c r="A26" s="57">
        <v>25</v>
      </c>
      <c r="B26" s="7" t="s">
        <v>38</v>
      </c>
      <c r="C26" s="7" t="s">
        <v>94</v>
      </c>
      <c r="D26" s="7" t="s">
        <v>30</v>
      </c>
      <c r="E26" s="7" t="s">
        <v>121</v>
      </c>
      <c r="F26" s="7" t="s">
        <v>96</v>
      </c>
      <c r="G26" s="50" t="s">
        <v>9</v>
      </c>
      <c r="H26" s="8">
        <v>45700</v>
      </c>
      <c r="I26" s="60"/>
      <c r="J26" s="51">
        <f t="shared" si="0"/>
        <v>30</v>
      </c>
      <c r="K26" s="51">
        <f t="shared" si="1"/>
        <v>31</v>
      </c>
      <c r="L26" s="51">
        <f t="shared" si="2"/>
        <v>30</v>
      </c>
      <c r="M26" s="52">
        <f t="shared" si="3"/>
        <v>31</v>
      </c>
      <c r="N26" s="51">
        <f t="shared" si="4"/>
        <v>31</v>
      </c>
      <c r="O26" s="51">
        <f t="shared" si="5"/>
        <v>30</v>
      </c>
      <c r="P26" s="51">
        <f t="shared" si="6"/>
        <v>31</v>
      </c>
      <c r="Q26" s="51">
        <f t="shared" si="7"/>
        <v>30</v>
      </c>
      <c r="R26" s="51">
        <f t="shared" si="8"/>
        <v>31</v>
      </c>
      <c r="S26" s="53">
        <f>IF(G26="事业部",LOOKUP(M26,基础设置!$T$2:$T$6,基础设置!$U$2:$U$6),IF(G26="总部",LOOKUP(M26,基础设置!$T$8:$T$13,基础设置!$V$8:$V$13),IF(G26="拓展部",LOOKUP(M26,基础设置!$T$8:$T$13,基础设置!$W$8:$W$13),5000)))</f>
        <v>4</v>
      </c>
    </row>
    <row r="27" spans="1:19" x14ac:dyDescent="0.15">
      <c r="A27" s="57">
        <v>26</v>
      </c>
      <c r="B27" s="7" t="s">
        <v>38</v>
      </c>
      <c r="C27" s="7" t="s">
        <v>35</v>
      </c>
      <c r="D27" s="7" t="s">
        <v>21</v>
      </c>
      <c r="E27" s="7" t="s">
        <v>122</v>
      </c>
      <c r="F27" s="7" t="s">
        <v>96</v>
      </c>
      <c r="G27" s="50" t="s">
        <v>9</v>
      </c>
      <c r="H27" s="8">
        <v>45775</v>
      </c>
      <c r="I27" s="60"/>
      <c r="J27" s="51">
        <f t="shared" si="0"/>
        <v>3</v>
      </c>
      <c r="K27" s="51">
        <f t="shared" si="1"/>
        <v>31</v>
      </c>
      <c r="L27" s="51">
        <f t="shared" si="2"/>
        <v>30</v>
      </c>
      <c r="M27" s="52">
        <f t="shared" si="3"/>
        <v>31</v>
      </c>
      <c r="N27" s="51">
        <f t="shared" si="4"/>
        <v>31</v>
      </c>
      <c r="O27" s="51">
        <f t="shared" si="5"/>
        <v>30</v>
      </c>
      <c r="P27" s="51">
        <f t="shared" si="6"/>
        <v>31</v>
      </c>
      <c r="Q27" s="51">
        <f t="shared" si="7"/>
        <v>30</v>
      </c>
      <c r="R27" s="51">
        <f t="shared" si="8"/>
        <v>31</v>
      </c>
      <c r="S27" s="53">
        <f>IF(G27="事业部",LOOKUP(M27,基础设置!$T$2:$T$6,基础设置!$U$2:$U$6),IF(G27="总部",LOOKUP(M27,基础设置!$T$8:$T$13,基础设置!$V$8:$V$13),IF(G27="拓展部",LOOKUP(M27,基础设置!$T$8:$T$13,基础设置!$W$8:$W$13),5000)))</f>
        <v>4</v>
      </c>
    </row>
    <row r="28" spans="1:19" x14ac:dyDescent="0.15">
      <c r="A28" s="57">
        <v>27</v>
      </c>
      <c r="B28" s="7" t="s">
        <v>38</v>
      </c>
      <c r="C28" s="7" t="s">
        <v>35</v>
      </c>
      <c r="D28" s="7" t="s">
        <v>21</v>
      </c>
      <c r="E28" s="7" t="s">
        <v>123</v>
      </c>
      <c r="F28" s="7" t="s">
        <v>96</v>
      </c>
      <c r="G28" s="50" t="s">
        <v>9</v>
      </c>
      <c r="H28" s="8">
        <v>45517</v>
      </c>
      <c r="I28" s="60"/>
      <c r="J28" s="51">
        <f t="shared" si="0"/>
        <v>30</v>
      </c>
      <c r="K28" s="51">
        <f t="shared" si="1"/>
        <v>31</v>
      </c>
      <c r="L28" s="51">
        <f t="shared" si="2"/>
        <v>30</v>
      </c>
      <c r="M28" s="52">
        <f t="shared" si="3"/>
        <v>31</v>
      </c>
      <c r="N28" s="51">
        <f t="shared" si="4"/>
        <v>31</v>
      </c>
      <c r="O28" s="51">
        <f t="shared" si="5"/>
        <v>30</v>
      </c>
      <c r="P28" s="51">
        <f t="shared" si="6"/>
        <v>31</v>
      </c>
      <c r="Q28" s="51">
        <f t="shared" si="7"/>
        <v>30</v>
      </c>
      <c r="R28" s="51">
        <f t="shared" si="8"/>
        <v>31</v>
      </c>
      <c r="S28" s="53">
        <f>IF(G28="事业部",LOOKUP(M28,基础设置!$T$2:$T$6,基础设置!$U$2:$U$6),IF(G28="总部",LOOKUP(M28,基础设置!$T$8:$T$13,基础设置!$V$8:$V$13),IF(G28="拓展部",LOOKUP(M28,基础设置!$T$8:$T$13,基础设置!$W$8:$W$13),5000)))</f>
        <v>4</v>
      </c>
    </row>
    <row r="29" spans="1:19" x14ac:dyDescent="0.15">
      <c r="A29" s="57">
        <v>28</v>
      </c>
      <c r="B29" s="7" t="s">
        <v>38</v>
      </c>
      <c r="C29" s="7" t="s">
        <v>35</v>
      </c>
      <c r="D29" s="7" t="s">
        <v>21</v>
      </c>
      <c r="E29" s="7" t="s">
        <v>124</v>
      </c>
      <c r="F29" s="7" t="s">
        <v>96</v>
      </c>
      <c r="G29" s="50" t="s">
        <v>9</v>
      </c>
      <c r="H29" s="8">
        <v>45722</v>
      </c>
      <c r="I29" s="60"/>
      <c r="J29" s="51">
        <f t="shared" si="0"/>
        <v>30</v>
      </c>
      <c r="K29" s="51">
        <f t="shared" si="1"/>
        <v>31</v>
      </c>
      <c r="L29" s="51">
        <f t="shared" si="2"/>
        <v>30</v>
      </c>
      <c r="M29" s="52">
        <f t="shared" si="3"/>
        <v>31</v>
      </c>
      <c r="N29" s="51">
        <f t="shared" si="4"/>
        <v>31</v>
      </c>
      <c r="O29" s="51">
        <f t="shared" si="5"/>
        <v>30</v>
      </c>
      <c r="P29" s="51">
        <f t="shared" si="6"/>
        <v>31</v>
      </c>
      <c r="Q29" s="51">
        <f t="shared" si="7"/>
        <v>30</v>
      </c>
      <c r="R29" s="51">
        <f t="shared" si="8"/>
        <v>31</v>
      </c>
      <c r="S29" s="53">
        <f>IF(G29="事业部",LOOKUP(M29,基础设置!$T$2:$T$6,基础设置!$U$2:$U$6),IF(G29="总部",LOOKUP(M29,基础设置!$T$8:$T$13,基础设置!$V$8:$V$13),IF(G29="拓展部",LOOKUP(M29,基础设置!$T$8:$T$13,基础设置!$W$8:$W$13),5000)))</f>
        <v>4</v>
      </c>
    </row>
    <row r="30" spans="1:19" x14ac:dyDescent="0.15">
      <c r="A30" s="57">
        <v>29</v>
      </c>
      <c r="B30" s="7" t="s">
        <v>38</v>
      </c>
      <c r="C30" s="7" t="s">
        <v>35</v>
      </c>
      <c r="D30" s="7" t="s">
        <v>21</v>
      </c>
      <c r="E30" s="7" t="s">
        <v>125</v>
      </c>
      <c r="F30" s="7" t="s">
        <v>96</v>
      </c>
      <c r="G30" s="50" t="s">
        <v>9</v>
      </c>
      <c r="H30" s="8">
        <v>45797</v>
      </c>
      <c r="I30" s="60"/>
      <c r="J30" s="51">
        <f t="shared" si="0"/>
        <v>0</v>
      </c>
      <c r="K30" s="51">
        <f t="shared" si="1"/>
        <v>12</v>
      </c>
      <c r="L30" s="51">
        <f t="shared" si="2"/>
        <v>30</v>
      </c>
      <c r="M30" s="52">
        <f t="shared" si="3"/>
        <v>31</v>
      </c>
      <c r="N30" s="51">
        <f t="shared" si="4"/>
        <v>31</v>
      </c>
      <c r="O30" s="51">
        <f t="shared" si="5"/>
        <v>30</v>
      </c>
      <c r="P30" s="51">
        <f t="shared" si="6"/>
        <v>31</v>
      </c>
      <c r="Q30" s="51">
        <f t="shared" si="7"/>
        <v>30</v>
      </c>
      <c r="R30" s="51">
        <f t="shared" si="8"/>
        <v>31</v>
      </c>
      <c r="S30" s="53">
        <f>IF(G30="事业部",LOOKUP(M30,基础设置!$T$2:$T$6,基础设置!$U$2:$U$6),IF(G30="总部",LOOKUP(M30,基础设置!$T$8:$T$13,基础设置!$V$8:$V$13),IF(G30="拓展部",LOOKUP(M30,基础设置!$T$8:$T$13,基础设置!$W$8:$W$13),5000)))</f>
        <v>4</v>
      </c>
    </row>
    <row r="31" spans="1:19" x14ac:dyDescent="0.15">
      <c r="A31" s="57">
        <v>30</v>
      </c>
      <c r="B31" s="7" t="s">
        <v>38</v>
      </c>
      <c r="C31" s="7" t="s">
        <v>35</v>
      </c>
      <c r="D31" s="7" t="s">
        <v>21</v>
      </c>
      <c r="E31" s="7" t="s">
        <v>126</v>
      </c>
      <c r="F31" s="7" t="s">
        <v>36</v>
      </c>
      <c r="G31" s="50" t="s">
        <v>9</v>
      </c>
      <c r="H31" s="8">
        <v>45797</v>
      </c>
      <c r="I31" s="8">
        <v>45829</v>
      </c>
      <c r="J31" s="51">
        <f t="shared" si="0"/>
        <v>0</v>
      </c>
      <c r="K31" s="51">
        <f t="shared" si="1"/>
        <v>12</v>
      </c>
      <c r="L31" s="51">
        <f t="shared" si="2"/>
        <v>21</v>
      </c>
      <c r="M31" s="52">
        <f t="shared" si="3"/>
        <v>0</v>
      </c>
      <c r="N31" s="51">
        <f t="shared" si="4"/>
        <v>0</v>
      </c>
      <c r="O31" s="51">
        <f t="shared" si="5"/>
        <v>0</v>
      </c>
      <c r="P31" s="51">
        <f t="shared" si="6"/>
        <v>0</v>
      </c>
      <c r="Q31" s="51">
        <f t="shared" si="7"/>
        <v>0</v>
      </c>
      <c r="R31" s="51">
        <f t="shared" si="8"/>
        <v>0</v>
      </c>
      <c r="S31" s="53">
        <f>IF(G31="事业部",LOOKUP(M31,基础设置!$T$2:$T$6,基础设置!$U$2:$U$6),IF(G31="总部",LOOKUP(M31,基础设置!$T$8:$T$13,基础设置!$V$8:$V$13),IF(G31="拓展部",LOOKUP(M31,基础设置!$T$8:$T$13,基础设置!$W$8:$W$13),5000)))</f>
        <v>0</v>
      </c>
    </row>
    <row r="32" spans="1:19" x14ac:dyDescent="0.15">
      <c r="A32" s="57">
        <v>31</v>
      </c>
      <c r="B32" s="7" t="s">
        <v>32</v>
      </c>
      <c r="C32" s="7" t="s">
        <v>42</v>
      </c>
      <c r="D32" s="7" t="s">
        <v>30</v>
      </c>
      <c r="E32" s="7" t="s">
        <v>127</v>
      </c>
      <c r="F32" s="7" t="s">
        <v>96</v>
      </c>
      <c r="G32" s="50" t="s">
        <v>9</v>
      </c>
      <c r="H32" s="8">
        <v>43918</v>
      </c>
      <c r="I32" s="60"/>
      <c r="J32" s="51">
        <f t="shared" si="0"/>
        <v>30</v>
      </c>
      <c r="K32" s="51">
        <f t="shared" si="1"/>
        <v>31</v>
      </c>
      <c r="L32" s="51">
        <f t="shared" si="2"/>
        <v>30</v>
      </c>
      <c r="M32" s="52">
        <f t="shared" si="3"/>
        <v>31</v>
      </c>
      <c r="N32" s="51">
        <f t="shared" si="4"/>
        <v>31</v>
      </c>
      <c r="O32" s="51">
        <f t="shared" si="5"/>
        <v>30</v>
      </c>
      <c r="P32" s="51">
        <f t="shared" si="6"/>
        <v>31</v>
      </c>
      <c r="Q32" s="51">
        <f t="shared" si="7"/>
        <v>30</v>
      </c>
      <c r="R32" s="51">
        <f t="shared" si="8"/>
        <v>31</v>
      </c>
      <c r="S32" s="53">
        <f>IF(G32="事业部",LOOKUP(M32,基础设置!$T$2:$T$6,基础设置!$U$2:$U$6),IF(G32="总部",LOOKUP(M32,基础设置!$T$8:$T$13,基础设置!$V$8:$V$13),IF(G32="拓展部",LOOKUP(M32,基础设置!$T$8:$T$13,基础设置!$W$8:$W$13),5000)))</f>
        <v>4</v>
      </c>
    </row>
    <row r="33" spans="1:19" x14ac:dyDescent="0.15">
      <c r="A33" s="57">
        <v>32</v>
      </c>
      <c r="B33" s="7" t="s">
        <v>43</v>
      </c>
      <c r="C33" s="7" t="s">
        <v>97</v>
      </c>
      <c r="D33" s="7" t="s">
        <v>21</v>
      </c>
      <c r="E33" s="7" t="s">
        <v>128</v>
      </c>
      <c r="F33" s="7" t="s">
        <v>96</v>
      </c>
      <c r="G33" s="50" t="s">
        <v>9</v>
      </c>
      <c r="H33" s="8">
        <v>45269</v>
      </c>
      <c r="I33" s="60"/>
      <c r="J33" s="51">
        <f t="shared" si="0"/>
        <v>30</v>
      </c>
      <c r="K33" s="51">
        <f t="shared" si="1"/>
        <v>31</v>
      </c>
      <c r="L33" s="51">
        <f t="shared" si="2"/>
        <v>30</v>
      </c>
      <c r="M33" s="52">
        <f t="shared" si="3"/>
        <v>31</v>
      </c>
      <c r="N33" s="51">
        <f t="shared" si="4"/>
        <v>31</v>
      </c>
      <c r="O33" s="51">
        <f t="shared" si="5"/>
        <v>30</v>
      </c>
      <c r="P33" s="51">
        <f t="shared" si="6"/>
        <v>31</v>
      </c>
      <c r="Q33" s="51">
        <f t="shared" si="7"/>
        <v>30</v>
      </c>
      <c r="R33" s="51">
        <f t="shared" si="8"/>
        <v>31</v>
      </c>
      <c r="S33" s="53">
        <f>IF(G33="事业部",LOOKUP(M33,基础设置!$T$2:$T$6,基础设置!$U$2:$U$6),IF(G33="总部",LOOKUP(M33,基础设置!$T$8:$T$13,基础设置!$V$8:$V$13),IF(G33="拓展部",LOOKUP(M33,基础设置!$T$8:$T$13,基础设置!$W$8:$W$13),5000)))</f>
        <v>4</v>
      </c>
    </row>
    <row r="34" spans="1:19" x14ac:dyDescent="0.15">
      <c r="A34" s="57">
        <v>33</v>
      </c>
      <c r="B34" s="7" t="s">
        <v>43</v>
      </c>
      <c r="C34" s="7" t="s">
        <v>35</v>
      </c>
      <c r="D34" s="7" t="s">
        <v>21</v>
      </c>
      <c r="E34" s="7" t="s">
        <v>129</v>
      </c>
      <c r="F34" s="7" t="s">
        <v>96</v>
      </c>
      <c r="G34" s="50" t="s">
        <v>9</v>
      </c>
      <c r="H34" s="8">
        <v>44726</v>
      </c>
      <c r="I34" s="60"/>
      <c r="J34" s="51">
        <f t="shared" si="0"/>
        <v>30</v>
      </c>
      <c r="K34" s="51">
        <f t="shared" si="1"/>
        <v>31</v>
      </c>
      <c r="L34" s="51">
        <f t="shared" si="2"/>
        <v>30</v>
      </c>
      <c r="M34" s="52">
        <f t="shared" si="3"/>
        <v>31</v>
      </c>
      <c r="N34" s="51">
        <f t="shared" si="4"/>
        <v>31</v>
      </c>
      <c r="O34" s="51">
        <f t="shared" si="5"/>
        <v>30</v>
      </c>
      <c r="P34" s="51">
        <f t="shared" si="6"/>
        <v>31</v>
      </c>
      <c r="Q34" s="51">
        <f t="shared" si="7"/>
        <v>30</v>
      </c>
      <c r="R34" s="51">
        <f t="shared" si="8"/>
        <v>31</v>
      </c>
      <c r="S34" s="53">
        <f>IF(G34="事业部",LOOKUP(M34,基础设置!$T$2:$T$6,基础设置!$U$2:$U$6),IF(G34="总部",LOOKUP(M34,基础设置!$T$8:$T$13,基础设置!$V$8:$V$13),IF(G34="拓展部",LOOKUP(M34,基础设置!$T$8:$T$13,基础设置!$W$8:$W$13),5000)))</f>
        <v>4</v>
      </c>
    </row>
    <row r="35" spans="1:19" x14ac:dyDescent="0.15">
      <c r="A35" s="57">
        <v>34</v>
      </c>
      <c r="B35" s="7" t="s">
        <v>43</v>
      </c>
      <c r="C35" s="7" t="s">
        <v>35</v>
      </c>
      <c r="D35" s="7" t="s">
        <v>21</v>
      </c>
      <c r="E35" s="7" t="s">
        <v>130</v>
      </c>
      <c r="F35" s="7" t="s">
        <v>96</v>
      </c>
      <c r="G35" s="50" t="s">
        <v>9</v>
      </c>
      <c r="H35" s="8">
        <v>45210</v>
      </c>
      <c r="I35" s="60"/>
      <c r="J35" s="51">
        <f t="shared" si="0"/>
        <v>30</v>
      </c>
      <c r="K35" s="51">
        <f t="shared" si="1"/>
        <v>31</v>
      </c>
      <c r="L35" s="51">
        <f t="shared" si="2"/>
        <v>30</v>
      </c>
      <c r="M35" s="52">
        <f t="shared" si="3"/>
        <v>31</v>
      </c>
      <c r="N35" s="51">
        <f t="shared" si="4"/>
        <v>31</v>
      </c>
      <c r="O35" s="51">
        <f t="shared" si="5"/>
        <v>30</v>
      </c>
      <c r="P35" s="51">
        <f t="shared" si="6"/>
        <v>31</v>
      </c>
      <c r="Q35" s="51">
        <f t="shared" si="7"/>
        <v>30</v>
      </c>
      <c r="R35" s="51">
        <f t="shared" si="8"/>
        <v>31</v>
      </c>
      <c r="S35" s="53">
        <f>IF(G35="事业部",LOOKUP(M35,基础设置!$T$2:$T$6,基础设置!$U$2:$U$6),IF(G35="总部",LOOKUP(M35,基础设置!$T$8:$T$13,基础设置!$V$8:$V$13),IF(G35="拓展部",LOOKUP(M35,基础设置!$T$8:$T$13,基础设置!$W$8:$W$13),5000)))</f>
        <v>4</v>
      </c>
    </row>
    <row r="36" spans="1:19" x14ac:dyDescent="0.15">
      <c r="A36" s="57">
        <v>35</v>
      </c>
      <c r="B36" s="7" t="s">
        <v>43</v>
      </c>
      <c r="C36" s="7" t="s">
        <v>35</v>
      </c>
      <c r="D36" s="7" t="s">
        <v>21</v>
      </c>
      <c r="E36" s="7" t="s">
        <v>131</v>
      </c>
      <c r="F36" s="7" t="s">
        <v>36</v>
      </c>
      <c r="G36" s="50" t="s">
        <v>9</v>
      </c>
      <c r="H36" s="8">
        <v>45262</v>
      </c>
      <c r="I36" s="60">
        <v>45863</v>
      </c>
      <c r="J36" s="51">
        <f t="shared" si="0"/>
        <v>30</v>
      </c>
      <c r="K36" s="51">
        <f t="shared" si="1"/>
        <v>31</v>
      </c>
      <c r="L36" s="51">
        <f t="shared" si="2"/>
        <v>30</v>
      </c>
      <c r="M36" s="52">
        <f t="shared" si="3"/>
        <v>25</v>
      </c>
      <c r="N36" s="51">
        <f t="shared" si="4"/>
        <v>0</v>
      </c>
      <c r="O36" s="51">
        <f t="shared" si="5"/>
        <v>0</v>
      </c>
      <c r="P36" s="51">
        <f t="shared" si="6"/>
        <v>0</v>
      </c>
      <c r="Q36" s="51">
        <f t="shared" si="7"/>
        <v>0</v>
      </c>
      <c r="R36" s="51">
        <f t="shared" si="8"/>
        <v>0</v>
      </c>
      <c r="S36" s="53">
        <f>IF(G36="事业部",LOOKUP(M36,基础设置!$T$2:$T$6,基础设置!$U$2:$U$6),IF(G36="总部",LOOKUP(M36,基础设置!$T$8:$T$13,基础设置!$V$8:$V$13),IF(G36="拓展部",LOOKUP(M36,基础设置!$T$8:$T$13,基础设置!$W$8:$W$13),5000)))</f>
        <v>3</v>
      </c>
    </row>
    <row r="37" spans="1:19" x14ac:dyDescent="0.15">
      <c r="A37" s="57">
        <v>36</v>
      </c>
      <c r="B37" s="7" t="s">
        <v>43</v>
      </c>
      <c r="C37" s="7" t="s">
        <v>94</v>
      </c>
      <c r="D37" s="7" t="s">
        <v>30</v>
      </c>
      <c r="E37" s="7" t="s">
        <v>132</v>
      </c>
      <c r="F37" s="7" t="s">
        <v>96</v>
      </c>
      <c r="G37" s="50" t="s">
        <v>9</v>
      </c>
      <c r="H37" s="8">
        <v>44495</v>
      </c>
      <c r="I37" s="60"/>
      <c r="J37" s="51">
        <f t="shared" si="0"/>
        <v>30</v>
      </c>
      <c r="K37" s="51">
        <f t="shared" si="1"/>
        <v>31</v>
      </c>
      <c r="L37" s="51">
        <f t="shared" si="2"/>
        <v>30</v>
      </c>
      <c r="M37" s="52">
        <f t="shared" si="3"/>
        <v>31</v>
      </c>
      <c r="N37" s="51">
        <f t="shared" si="4"/>
        <v>31</v>
      </c>
      <c r="O37" s="51">
        <f t="shared" si="5"/>
        <v>30</v>
      </c>
      <c r="P37" s="51">
        <f t="shared" si="6"/>
        <v>31</v>
      </c>
      <c r="Q37" s="51">
        <f t="shared" si="7"/>
        <v>30</v>
      </c>
      <c r="R37" s="51">
        <f t="shared" si="8"/>
        <v>31</v>
      </c>
      <c r="S37" s="53">
        <f>IF(G37="事业部",LOOKUP(M37,基础设置!$T$2:$T$6,基础设置!$U$2:$U$6),IF(G37="总部",LOOKUP(M37,基础设置!$T$8:$T$13,基础设置!$V$8:$V$13),IF(G37="拓展部",LOOKUP(M37,基础设置!$T$8:$T$13,基础设置!$W$8:$W$13),5000)))</f>
        <v>4</v>
      </c>
    </row>
    <row r="38" spans="1:19" x14ac:dyDescent="0.15">
      <c r="A38" s="57">
        <v>37</v>
      </c>
      <c r="B38" s="7" t="s">
        <v>43</v>
      </c>
      <c r="C38" s="7" t="s">
        <v>35</v>
      </c>
      <c r="D38" s="7" t="s">
        <v>21</v>
      </c>
      <c r="E38" s="7" t="s">
        <v>133</v>
      </c>
      <c r="F38" s="7" t="s">
        <v>96</v>
      </c>
      <c r="G38" s="50" t="s">
        <v>9</v>
      </c>
      <c r="H38" s="8">
        <v>45558</v>
      </c>
      <c r="I38" s="60"/>
      <c r="J38" s="51">
        <f t="shared" si="0"/>
        <v>30</v>
      </c>
      <c r="K38" s="51">
        <f t="shared" si="1"/>
        <v>31</v>
      </c>
      <c r="L38" s="51">
        <f t="shared" si="2"/>
        <v>30</v>
      </c>
      <c r="M38" s="52">
        <f t="shared" si="3"/>
        <v>31</v>
      </c>
      <c r="N38" s="51">
        <f t="shared" si="4"/>
        <v>31</v>
      </c>
      <c r="O38" s="51">
        <f t="shared" si="5"/>
        <v>30</v>
      </c>
      <c r="P38" s="51">
        <f t="shared" si="6"/>
        <v>31</v>
      </c>
      <c r="Q38" s="51">
        <f t="shared" si="7"/>
        <v>30</v>
      </c>
      <c r="R38" s="51">
        <f t="shared" si="8"/>
        <v>31</v>
      </c>
      <c r="S38" s="53">
        <f>IF(G38="事业部",LOOKUP(M38,基础设置!$T$2:$T$6,基础设置!$U$2:$U$6),IF(G38="总部",LOOKUP(M38,基础设置!$T$8:$T$13,基础设置!$V$8:$V$13),IF(G38="拓展部",LOOKUP(M38,基础设置!$T$8:$T$13,基础设置!$W$8:$W$13),5000)))</f>
        <v>4</v>
      </c>
    </row>
    <row r="39" spans="1:19" x14ac:dyDescent="0.15">
      <c r="A39" s="57">
        <v>38</v>
      </c>
      <c r="B39" s="7" t="s">
        <v>43</v>
      </c>
      <c r="C39" s="7" t="s">
        <v>35</v>
      </c>
      <c r="D39" s="7" t="s">
        <v>21</v>
      </c>
      <c r="E39" s="7" t="s">
        <v>134</v>
      </c>
      <c r="F39" s="7" t="s">
        <v>96</v>
      </c>
      <c r="G39" s="50" t="s">
        <v>9</v>
      </c>
      <c r="H39" s="8">
        <v>45706</v>
      </c>
      <c r="I39" s="60"/>
      <c r="J39" s="51">
        <f t="shared" si="0"/>
        <v>30</v>
      </c>
      <c r="K39" s="51">
        <f t="shared" si="1"/>
        <v>31</v>
      </c>
      <c r="L39" s="51">
        <f t="shared" si="2"/>
        <v>30</v>
      </c>
      <c r="M39" s="52">
        <f t="shared" si="3"/>
        <v>31</v>
      </c>
      <c r="N39" s="51">
        <f t="shared" si="4"/>
        <v>31</v>
      </c>
      <c r="O39" s="51">
        <f t="shared" si="5"/>
        <v>30</v>
      </c>
      <c r="P39" s="51">
        <f t="shared" si="6"/>
        <v>31</v>
      </c>
      <c r="Q39" s="51">
        <f t="shared" si="7"/>
        <v>30</v>
      </c>
      <c r="R39" s="51">
        <f t="shared" si="8"/>
        <v>31</v>
      </c>
      <c r="S39" s="53">
        <f>IF(G39="事业部",LOOKUP(M39,基础设置!$T$2:$T$6,基础设置!$U$2:$U$6),IF(G39="总部",LOOKUP(M39,基础设置!$T$8:$T$13,基础设置!$V$8:$V$13),IF(G39="拓展部",LOOKUP(M39,基础设置!$T$8:$T$13,基础设置!$W$8:$W$13),5000)))</f>
        <v>4</v>
      </c>
    </row>
    <row r="40" spans="1:19" x14ac:dyDescent="0.15">
      <c r="A40" s="57">
        <v>39</v>
      </c>
      <c r="B40" s="7" t="s">
        <v>43</v>
      </c>
      <c r="C40" s="7" t="s">
        <v>35</v>
      </c>
      <c r="D40" s="7" t="s">
        <v>21</v>
      </c>
      <c r="E40" s="7" t="s">
        <v>135</v>
      </c>
      <c r="F40" s="7" t="s">
        <v>36</v>
      </c>
      <c r="G40" s="50" t="s">
        <v>9</v>
      </c>
      <c r="H40" s="8">
        <v>45754</v>
      </c>
      <c r="I40" s="8">
        <v>45832</v>
      </c>
      <c r="J40" s="51">
        <f t="shared" si="0"/>
        <v>24</v>
      </c>
      <c r="K40" s="51">
        <f t="shared" si="1"/>
        <v>31</v>
      </c>
      <c r="L40" s="51">
        <f t="shared" si="2"/>
        <v>24</v>
      </c>
      <c r="M40" s="52">
        <f t="shared" si="3"/>
        <v>0</v>
      </c>
      <c r="N40" s="51">
        <f t="shared" si="4"/>
        <v>0</v>
      </c>
      <c r="O40" s="51">
        <f t="shared" si="5"/>
        <v>0</v>
      </c>
      <c r="P40" s="51">
        <f t="shared" si="6"/>
        <v>0</v>
      </c>
      <c r="Q40" s="51">
        <f t="shared" si="7"/>
        <v>0</v>
      </c>
      <c r="R40" s="51">
        <f t="shared" si="8"/>
        <v>0</v>
      </c>
      <c r="S40" s="53">
        <f>IF(G40="事业部",LOOKUP(M40,基础设置!$T$2:$T$6,基础设置!$U$2:$U$6),IF(G40="总部",LOOKUP(M40,基础设置!$T$8:$T$13,基础设置!$V$8:$V$13),IF(G40="拓展部",LOOKUP(M40,基础设置!$T$8:$T$13,基础设置!$W$8:$W$13),5000)))</f>
        <v>0</v>
      </c>
    </row>
    <row r="41" spans="1:19" x14ac:dyDescent="0.15">
      <c r="A41" s="57">
        <v>40</v>
      </c>
      <c r="B41" s="7" t="s">
        <v>39</v>
      </c>
      <c r="C41" s="7" t="s">
        <v>42</v>
      </c>
      <c r="D41" s="7" t="s">
        <v>30</v>
      </c>
      <c r="E41" s="7" t="s">
        <v>136</v>
      </c>
      <c r="F41" s="7" t="s">
        <v>96</v>
      </c>
      <c r="G41" s="50" t="s">
        <v>9</v>
      </c>
      <c r="H41" s="8">
        <v>45754</v>
      </c>
      <c r="I41" s="60"/>
      <c r="J41" s="51">
        <f t="shared" si="0"/>
        <v>24</v>
      </c>
      <c r="K41" s="51">
        <f t="shared" si="1"/>
        <v>31</v>
      </c>
      <c r="L41" s="51">
        <f t="shared" si="2"/>
        <v>30</v>
      </c>
      <c r="M41" s="52">
        <f t="shared" si="3"/>
        <v>31</v>
      </c>
      <c r="N41" s="51">
        <f t="shared" si="4"/>
        <v>31</v>
      </c>
      <c r="O41" s="51">
        <f t="shared" si="5"/>
        <v>30</v>
      </c>
      <c r="P41" s="51">
        <f t="shared" si="6"/>
        <v>31</v>
      </c>
      <c r="Q41" s="51">
        <f t="shared" si="7"/>
        <v>30</v>
      </c>
      <c r="R41" s="51">
        <f t="shared" si="8"/>
        <v>31</v>
      </c>
      <c r="S41" s="53">
        <f>IF(G41="事业部",LOOKUP(M41,基础设置!$T$2:$T$6,基础设置!$U$2:$U$6),IF(G41="总部",LOOKUP(M41,基础设置!$T$8:$T$13,基础设置!$V$8:$V$13),IF(G41="拓展部",LOOKUP(M41,基础设置!$T$8:$T$13,基础设置!$W$8:$W$13),5000)))</f>
        <v>4</v>
      </c>
    </row>
    <row r="42" spans="1:19" x14ac:dyDescent="0.15">
      <c r="A42" s="57">
        <v>41</v>
      </c>
      <c r="B42" s="7" t="s">
        <v>48</v>
      </c>
      <c r="C42" s="7" t="s">
        <v>94</v>
      </c>
      <c r="D42" s="7" t="s">
        <v>30</v>
      </c>
      <c r="E42" s="7" t="s">
        <v>137</v>
      </c>
      <c r="F42" s="7" t="s">
        <v>96</v>
      </c>
      <c r="G42" s="50" t="s">
        <v>9</v>
      </c>
      <c r="H42" s="8">
        <v>45343</v>
      </c>
      <c r="I42" s="60"/>
      <c r="J42" s="51">
        <f t="shared" si="0"/>
        <v>30</v>
      </c>
      <c r="K42" s="51">
        <f t="shared" si="1"/>
        <v>31</v>
      </c>
      <c r="L42" s="51">
        <f t="shared" si="2"/>
        <v>30</v>
      </c>
      <c r="M42" s="52">
        <f t="shared" si="3"/>
        <v>31</v>
      </c>
      <c r="N42" s="51">
        <f t="shared" si="4"/>
        <v>31</v>
      </c>
      <c r="O42" s="51">
        <f t="shared" si="5"/>
        <v>30</v>
      </c>
      <c r="P42" s="51">
        <f t="shared" si="6"/>
        <v>31</v>
      </c>
      <c r="Q42" s="51">
        <f t="shared" si="7"/>
        <v>30</v>
      </c>
      <c r="R42" s="51">
        <f t="shared" si="8"/>
        <v>31</v>
      </c>
      <c r="S42" s="53">
        <f>IF(G42="事业部",LOOKUP(M42,基础设置!$T$2:$T$6,基础设置!$U$2:$U$6),IF(G42="总部",LOOKUP(M42,基础设置!$T$8:$T$13,基础设置!$V$8:$V$13),IF(G42="拓展部",LOOKUP(M42,基础设置!$T$8:$T$13,基础设置!$W$8:$W$13),5000)))</f>
        <v>4</v>
      </c>
    </row>
    <row r="43" spans="1:19" x14ac:dyDescent="0.15">
      <c r="A43" s="57">
        <v>42</v>
      </c>
      <c r="B43" s="7" t="s">
        <v>48</v>
      </c>
      <c r="C43" s="7" t="s">
        <v>35</v>
      </c>
      <c r="D43" s="7" t="s">
        <v>21</v>
      </c>
      <c r="E43" s="7" t="s">
        <v>138</v>
      </c>
      <c r="F43" s="7" t="s">
        <v>96</v>
      </c>
      <c r="G43" s="50" t="s">
        <v>9</v>
      </c>
      <c r="H43" s="8">
        <v>45024</v>
      </c>
      <c r="I43" s="60"/>
      <c r="J43" s="51">
        <f t="shared" si="0"/>
        <v>30</v>
      </c>
      <c r="K43" s="51">
        <f t="shared" si="1"/>
        <v>31</v>
      </c>
      <c r="L43" s="51">
        <f t="shared" si="2"/>
        <v>30</v>
      </c>
      <c r="M43" s="52">
        <f t="shared" si="3"/>
        <v>31</v>
      </c>
      <c r="N43" s="51">
        <f t="shared" si="4"/>
        <v>31</v>
      </c>
      <c r="O43" s="51">
        <f t="shared" si="5"/>
        <v>30</v>
      </c>
      <c r="P43" s="51">
        <f t="shared" si="6"/>
        <v>31</v>
      </c>
      <c r="Q43" s="51">
        <f t="shared" si="7"/>
        <v>30</v>
      </c>
      <c r="R43" s="51">
        <f t="shared" si="8"/>
        <v>31</v>
      </c>
      <c r="S43" s="53">
        <f>IF(G43="事业部",LOOKUP(M43,基础设置!$T$2:$T$6,基础设置!$U$2:$U$6),IF(G43="总部",LOOKUP(M43,基础设置!$T$8:$T$13,基础设置!$V$8:$V$13),IF(G43="拓展部",LOOKUP(M43,基础设置!$T$8:$T$13,基础设置!$W$8:$W$13),5000)))</f>
        <v>4</v>
      </c>
    </row>
    <row r="44" spans="1:19" x14ac:dyDescent="0.15">
      <c r="A44" s="57">
        <v>43</v>
      </c>
      <c r="B44" s="7" t="s">
        <v>48</v>
      </c>
      <c r="C44" s="7" t="s">
        <v>35</v>
      </c>
      <c r="D44" s="7" t="s">
        <v>21</v>
      </c>
      <c r="E44" s="7" t="s">
        <v>139</v>
      </c>
      <c r="F44" s="7" t="s">
        <v>96</v>
      </c>
      <c r="G44" s="50" t="s">
        <v>9</v>
      </c>
      <c r="H44" s="8">
        <v>45700</v>
      </c>
      <c r="I44" s="60"/>
      <c r="J44" s="51">
        <f t="shared" si="0"/>
        <v>30</v>
      </c>
      <c r="K44" s="51">
        <f t="shared" si="1"/>
        <v>31</v>
      </c>
      <c r="L44" s="51">
        <f t="shared" si="2"/>
        <v>30</v>
      </c>
      <c r="M44" s="52">
        <f t="shared" si="3"/>
        <v>31</v>
      </c>
      <c r="N44" s="51">
        <f t="shared" si="4"/>
        <v>31</v>
      </c>
      <c r="O44" s="51">
        <f t="shared" si="5"/>
        <v>30</v>
      </c>
      <c r="P44" s="51">
        <f t="shared" si="6"/>
        <v>31</v>
      </c>
      <c r="Q44" s="51">
        <f t="shared" si="7"/>
        <v>30</v>
      </c>
      <c r="R44" s="51">
        <f t="shared" si="8"/>
        <v>31</v>
      </c>
      <c r="S44" s="53">
        <f>IF(G44="事业部",LOOKUP(M44,基础设置!$T$2:$T$6,基础设置!$U$2:$U$6),IF(G44="总部",LOOKUP(M44,基础设置!$T$8:$T$13,基础设置!$V$8:$V$13),IF(G44="拓展部",LOOKUP(M44,基础设置!$T$8:$T$13,基础设置!$W$8:$W$13),5000)))</f>
        <v>4</v>
      </c>
    </row>
    <row r="45" spans="1:19" x14ac:dyDescent="0.15">
      <c r="A45" s="57">
        <v>44</v>
      </c>
      <c r="B45" s="7" t="s">
        <v>48</v>
      </c>
      <c r="C45" s="7" t="s">
        <v>140</v>
      </c>
      <c r="D45" s="7" t="s">
        <v>30</v>
      </c>
      <c r="E45" s="7" t="s">
        <v>141</v>
      </c>
      <c r="F45" s="7" t="s">
        <v>96</v>
      </c>
      <c r="G45" s="50" t="s">
        <v>9</v>
      </c>
      <c r="H45" s="8">
        <v>44629</v>
      </c>
      <c r="I45" s="60"/>
      <c r="J45" s="51">
        <f t="shared" si="0"/>
        <v>30</v>
      </c>
      <c r="K45" s="51">
        <f t="shared" si="1"/>
        <v>31</v>
      </c>
      <c r="L45" s="51">
        <f t="shared" si="2"/>
        <v>30</v>
      </c>
      <c r="M45" s="52">
        <f t="shared" si="3"/>
        <v>31</v>
      </c>
      <c r="N45" s="51">
        <f t="shared" si="4"/>
        <v>31</v>
      </c>
      <c r="O45" s="51">
        <f t="shared" si="5"/>
        <v>30</v>
      </c>
      <c r="P45" s="51">
        <f t="shared" si="6"/>
        <v>31</v>
      </c>
      <c r="Q45" s="51">
        <f t="shared" si="7"/>
        <v>30</v>
      </c>
      <c r="R45" s="51">
        <f t="shared" si="8"/>
        <v>31</v>
      </c>
      <c r="S45" s="53">
        <f>IF(G45="事业部",LOOKUP(M45,基础设置!$T$2:$T$6,基础设置!$U$2:$U$6),IF(G45="总部",LOOKUP(M45,基础设置!$T$8:$T$13,基础设置!$V$8:$V$13),IF(G45="拓展部",LOOKUP(M45,基础设置!$T$8:$T$13,基础设置!$W$8:$W$13),5000)))</f>
        <v>4</v>
      </c>
    </row>
    <row r="46" spans="1:19" x14ac:dyDescent="0.15">
      <c r="A46" s="57">
        <v>45</v>
      </c>
      <c r="B46" s="7" t="s">
        <v>48</v>
      </c>
      <c r="C46" s="7" t="s">
        <v>35</v>
      </c>
      <c r="D46" s="7" t="s">
        <v>21</v>
      </c>
      <c r="E46" s="7" t="s">
        <v>142</v>
      </c>
      <c r="F46" s="7" t="s">
        <v>96</v>
      </c>
      <c r="G46" s="50" t="s">
        <v>9</v>
      </c>
      <c r="H46" s="8">
        <v>45517</v>
      </c>
      <c r="I46" s="60"/>
      <c r="J46" s="51">
        <f t="shared" si="0"/>
        <v>30</v>
      </c>
      <c r="K46" s="51">
        <f t="shared" si="1"/>
        <v>31</v>
      </c>
      <c r="L46" s="51">
        <f t="shared" si="2"/>
        <v>30</v>
      </c>
      <c r="M46" s="52">
        <f t="shared" si="3"/>
        <v>31</v>
      </c>
      <c r="N46" s="51">
        <f t="shared" si="4"/>
        <v>31</v>
      </c>
      <c r="O46" s="51">
        <f t="shared" si="5"/>
        <v>30</v>
      </c>
      <c r="P46" s="51">
        <f t="shared" si="6"/>
        <v>31</v>
      </c>
      <c r="Q46" s="51">
        <f t="shared" si="7"/>
        <v>30</v>
      </c>
      <c r="R46" s="51">
        <f t="shared" si="8"/>
        <v>31</v>
      </c>
      <c r="S46" s="53">
        <f>IF(G46="事业部",LOOKUP(M46,基础设置!$T$2:$T$6,基础设置!$U$2:$U$6),IF(G46="总部",LOOKUP(M46,基础设置!$T$8:$T$13,基础设置!$V$8:$V$13),IF(G46="拓展部",LOOKUP(M46,基础设置!$T$8:$T$13,基础设置!$W$8:$W$13),5000)))</f>
        <v>4</v>
      </c>
    </row>
    <row r="47" spans="1:19" x14ac:dyDescent="0.15">
      <c r="A47" s="57">
        <v>46</v>
      </c>
      <c r="B47" s="7" t="s">
        <v>48</v>
      </c>
      <c r="C47" s="7" t="s">
        <v>35</v>
      </c>
      <c r="D47" s="7" t="s">
        <v>21</v>
      </c>
      <c r="E47" s="7" t="s">
        <v>143</v>
      </c>
      <c r="F47" s="7" t="s">
        <v>96</v>
      </c>
      <c r="G47" s="50" t="s">
        <v>9</v>
      </c>
      <c r="H47" s="8">
        <v>45722</v>
      </c>
      <c r="I47" s="60"/>
      <c r="J47" s="51">
        <f t="shared" si="0"/>
        <v>30</v>
      </c>
      <c r="K47" s="51">
        <f t="shared" si="1"/>
        <v>31</v>
      </c>
      <c r="L47" s="51">
        <f t="shared" si="2"/>
        <v>30</v>
      </c>
      <c r="M47" s="52">
        <f t="shared" si="3"/>
        <v>31</v>
      </c>
      <c r="N47" s="51">
        <f t="shared" si="4"/>
        <v>31</v>
      </c>
      <c r="O47" s="51">
        <f t="shared" si="5"/>
        <v>30</v>
      </c>
      <c r="P47" s="51">
        <f t="shared" si="6"/>
        <v>31</v>
      </c>
      <c r="Q47" s="51">
        <f t="shared" si="7"/>
        <v>30</v>
      </c>
      <c r="R47" s="51">
        <f t="shared" si="8"/>
        <v>31</v>
      </c>
      <c r="S47" s="53">
        <f>IF(G47="事业部",LOOKUP(M47,基础设置!$T$2:$T$6,基础设置!$U$2:$U$6),IF(G47="总部",LOOKUP(M47,基础设置!$T$8:$T$13,基础设置!$V$8:$V$13),IF(G47="拓展部",LOOKUP(M47,基础设置!$T$8:$T$13,基础设置!$W$8:$W$13),5000)))</f>
        <v>4</v>
      </c>
    </row>
    <row r="48" spans="1:19" x14ac:dyDescent="0.15">
      <c r="A48" s="57">
        <v>47</v>
      </c>
      <c r="B48" s="7" t="s">
        <v>48</v>
      </c>
      <c r="C48" s="7" t="s">
        <v>35</v>
      </c>
      <c r="D48" s="7" t="s">
        <v>21</v>
      </c>
      <c r="E48" s="7" t="s">
        <v>144</v>
      </c>
      <c r="F48" s="7" t="s">
        <v>96</v>
      </c>
      <c r="G48" s="50" t="s">
        <v>9</v>
      </c>
      <c r="H48" s="8">
        <v>45797</v>
      </c>
      <c r="I48" s="60"/>
      <c r="J48" s="51">
        <f t="shared" si="0"/>
        <v>0</v>
      </c>
      <c r="K48" s="51">
        <f t="shared" si="1"/>
        <v>12</v>
      </c>
      <c r="L48" s="51">
        <f t="shared" si="2"/>
        <v>30</v>
      </c>
      <c r="M48" s="52">
        <f t="shared" si="3"/>
        <v>31</v>
      </c>
      <c r="N48" s="51">
        <f t="shared" si="4"/>
        <v>31</v>
      </c>
      <c r="O48" s="51">
        <f t="shared" si="5"/>
        <v>30</v>
      </c>
      <c r="P48" s="51">
        <f t="shared" si="6"/>
        <v>31</v>
      </c>
      <c r="Q48" s="51">
        <f t="shared" si="7"/>
        <v>30</v>
      </c>
      <c r="R48" s="51">
        <f t="shared" si="8"/>
        <v>31</v>
      </c>
      <c r="S48" s="53">
        <f>IF(G48="事业部",LOOKUP(M48,基础设置!$T$2:$T$6,基础设置!$U$2:$U$6),IF(G48="总部",LOOKUP(M48,基础设置!$T$8:$T$13,基础设置!$V$8:$V$13),IF(G48="拓展部",LOOKUP(M48,基础设置!$T$8:$T$13,基础设置!$W$8:$W$13),5000)))</f>
        <v>4</v>
      </c>
    </row>
    <row r="49" spans="1:22" x14ac:dyDescent="0.15">
      <c r="A49" s="57">
        <v>48</v>
      </c>
      <c r="B49" s="7" t="s">
        <v>48</v>
      </c>
      <c r="C49" s="7" t="s">
        <v>35</v>
      </c>
      <c r="D49" s="7" t="s">
        <v>21</v>
      </c>
      <c r="E49" s="7" t="s">
        <v>145</v>
      </c>
      <c r="F49" s="7" t="s">
        <v>96</v>
      </c>
      <c r="G49" s="50" t="s">
        <v>9</v>
      </c>
      <c r="H49" s="8">
        <v>45733</v>
      </c>
      <c r="I49" s="60"/>
      <c r="J49" s="51">
        <f t="shared" si="0"/>
        <v>30</v>
      </c>
      <c r="K49" s="51">
        <f t="shared" si="1"/>
        <v>31</v>
      </c>
      <c r="L49" s="51">
        <f t="shared" si="2"/>
        <v>30</v>
      </c>
      <c r="M49" s="52">
        <f t="shared" si="3"/>
        <v>31</v>
      </c>
      <c r="N49" s="51">
        <f t="shared" si="4"/>
        <v>31</v>
      </c>
      <c r="O49" s="51">
        <f t="shared" si="5"/>
        <v>30</v>
      </c>
      <c r="P49" s="51">
        <f t="shared" si="6"/>
        <v>31</v>
      </c>
      <c r="Q49" s="51">
        <f t="shared" si="7"/>
        <v>30</v>
      </c>
      <c r="R49" s="51">
        <f t="shared" si="8"/>
        <v>31</v>
      </c>
      <c r="S49" s="53">
        <f>IF(G49="事业部",LOOKUP(M49,基础设置!$T$2:$T$6,基础设置!$U$2:$U$6),IF(G49="总部",LOOKUP(M49,基础设置!$T$8:$T$13,基础设置!$V$8:$V$13),IF(G49="拓展部",LOOKUP(M49,基础设置!$T$8:$T$13,基础设置!$W$8:$W$13),5000)))</f>
        <v>4</v>
      </c>
    </row>
    <row r="50" spans="1:22" x14ac:dyDescent="0.15">
      <c r="A50" s="57">
        <v>49</v>
      </c>
      <c r="B50" s="7" t="s">
        <v>44</v>
      </c>
      <c r="C50" s="7" t="s">
        <v>42</v>
      </c>
      <c r="D50" s="7" t="s">
        <v>30</v>
      </c>
      <c r="E50" s="7" t="s">
        <v>146</v>
      </c>
      <c r="F50" s="7" t="s">
        <v>96</v>
      </c>
      <c r="G50" s="50" t="s">
        <v>9</v>
      </c>
      <c r="H50" s="8">
        <v>44961</v>
      </c>
      <c r="I50" s="60"/>
      <c r="J50" s="51">
        <f t="shared" si="0"/>
        <v>30</v>
      </c>
      <c r="K50" s="51">
        <f t="shared" si="1"/>
        <v>31</v>
      </c>
      <c r="L50" s="51">
        <f t="shared" si="2"/>
        <v>30</v>
      </c>
      <c r="M50" s="52">
        <f t="shared" si="3"/>
        <v>31</v>
      </c>
      <c r="N50" s="51">
        <f t="shared" si="4"/>
        <v>31</v>
      </c>
      <c r="O50" s="51">
        <f t="shared" si="5"/>
        <v>30</v>
      </c>
      <c r="P50" s="51">
        <f t="shared" si="6"/>
        <v>31</v>
      </c>
      <c r="Q50" s="51">
        <f t="shared" si="7"/>
        <v>30</v>
      </c>
      <c r="R50" s="51">
        <f t="shared" si="8"/>
        <v>31</v>
      </c>
      <c r="S50" s="53">
        <f>IF(G50="事业部",LOOKUP(M50,基础设置!$T$2:$T$6,基础设置!$U$2:$U$6),IF(G50="总部",LOOKUP(M50,基础设置!$T$8:$T$13,基础设置!$V$8:$V$13),IF(G50="拓展部",LOOKUP(M50,基础设置!$T$8:$T$13,基础设置!$W$8:$W$13),5000)))</f>
        <v>4</v>
      </c>
    </row>
    <row r="51" spans="1:22" x14ac:dyDescent="0.15">
      <c r="A51" s="57">
        <v>50</v>
      </c>
      <c r="B51" s="7">
        <v>468</v>
      </c>
      <c r="C51" s="7" t="s">
        <v>35</v>
      </c>
      <c r="D51" s="7" t="s">
        <v>21</v>
      </c>
      <c r="E51" s="7" t="s">
        <v>147</v>
      </c>
      <c r="F51" s="7" t="s">
        <v>96</v>
      </c>
      <c r="G51" s="50" t="s">
        <v>9</v>
      </c>
      <c r="H51" s="8">
        <v>44602</v>
      </c>
      <c r="I51" s="60"/>
      <c r="J51" s="51">
        <f t="shared" si="0"/>
        <v>30</v>
      </c>
      <c r="K51" s="51">
        <f t="shared" si="1"/>
        <v>31</v>
      </c>
      <c r="L51" s="51">
        <f t="shared" si="2"/>
        <v>30</v>
      </c>
      <c r="M51" s="52">
        <f t="shared" si="3"/>
        <v>31</v>
      </c>
      <c r="N51" s="51">
        <f t="shared" si="4"/>
        <v>31</v>
      </c>
      <c r="O51" s="51">
        <f t="shared" si="5"/>
        <v>30</v>
      </c>
      <c r="P51" s="51">
        <f t="shared" si="6"/>
        <v>31</v>
      </c>
      <c r="Q51" s="51">
        <f t="shared" si="7"/>
        <v>30</v>
      </c>
      <c r="R51" s="51">
        <f t="shared" si="8"/>
        <v>31</v>
      </c>
      <c r="S51" s="53">
        <f>IF(G51="事业部",LOOKUP(M51,基础设置!$T$2:$T$6,基础设置!$U$2:$U$6),IF(G51="总部",LOOKUP(M51,基础设置!$T$8:$T$13,基础设置!$V$8:$V$13),IF(G51="拓展部",LOOKUP(M51,基础设置!$T$8:$T$13,基础设置!$W$8:$W$13),5000)))</f>
        <v>4</v>
      </c>
    </row>
    <row r="52" spans="1:22" x14ac:dyDescent="0.15">
      <c r="A52" s="57">
        <v>51</v>
      </c>
      <c r="B52" s="7">
        <v>468</v>
      </c>
      <c r="C52" s="7" t="s">
        <v>35</v>
      </c>
      <c r="D52" s="7" t="s">
        <v>21</v>
      </c>
      <c r="E52" s="7" t="s">
        <v>148</v>
      </c>
      <c r="F52" s="7" t="s">
        <v>96</v>
      </c>
      <c r="G52" s="50" t="s">
        <v>9</v>
      </c>
      <c r="H52" s="8">
        <v>45064</v>
      </c>
      <c r="I52" s="60"/>
      <c r="J52" s="51">
        <f t="shared" si="0"/>
        <v>30</v>
      </c>
      <c r="K52" s="51">
        <f t="shared" si="1"/>
        <v>31</v>
      </c>
      <c r="L52" s="51">
        <f t="shared" si="2"/>
        <v>30</v>
      </c>
      <c r="M52" s="52">
        <f t="shared" si="3"/>
        <v>31</v>
      </c>
      <c r="N52" s="51">
        <f t="shared" si="4"/>
        <v>31</v>
      </c>
      <c r="O52" s="51">
        <f t="shared" si="5"/>
        <v>30</v>
      </c>
      <c r="P52" s="51">
        <f t="shared" si="6"/>
        <v>31</v>
      </c>
      <c r="Q52" s="51">
        <f t="shared" si="7"/>
        <v>30</v>
      </c>
      <c r="R52" s="51">
        <f t="shared" si="8"/>
        <v>31</v>
      </c>
      <c r="S52" s="53">
        <f>IF(G52="事业部",LOOKUP(M52,基础设置!$T$2:$T$6,基础设置!$U$2:$U$6),IF(G52="总部",LOOKUP(M52,基础设置!$T$8:$T$13,基础设置!$V$8:$V$13),IF(G52="拓展部",LOOKUP(M52,基础设置!$T$8:$T$13,基础设置!$W$8:$W$13),5000)))</f>
        <v>4</v>
      </c>
    </row>
    <row r="53" spans="1:22" x14ac:dyDescent="0.15">
      <c r="A53" s="57">
        <v>52</v>
      </c>
      <c r="B53" s="7">
        <v>468</v>
      </c>
      <c r="C53" s="7" t="s">
        <v>35</v>
      </c>
      <c r="D53" s="7" t="s">
        <v>21</v>
      </c>
      <c r="E53" s="7" t="s">
        <v>149</v>
      </c>
      <c r="F53" s="7" t="s">
        <v>96</v>
      </c>
      <c r="G53" s="50" t="s">
        <v>9</v>
      </c>
      <c r="H53" s="8">
        <v>45187</v>
      </c>
      <c r="I53" s="60"/>
      <c r="J53" s="51">
        <f t="shared" si="0"/>
        <v>30</v>
      </c>
      <c r="K53" s="51">
        <f t="shared" si="1"/>
        <v>31</v>
      </c>
      <c r="L53" s="51">
        <f t="shared" si="2"/>
        <v>30</v>
      </c>
      <c r="M53" s="52">
        <f t="shared" si="3"/>
        <v>31</v>
      </c>
      <c r="N53" s="51">
        <f t="shared" si="4"/>
        <v>31</v>
      </c>
      <c r="O53" s="51">
        <f t="shared" si="5"/>
        <v>30</v>
      </c>
      <c r="P53" s="51">
        <f t="shared" si="6"/>
        <v>31</v>
      </c>
      <c r="Q53" s="51">
        <f t="shared" si="7"/>
        <v>30</v>
      </c>
      <c r="R53" s="51">
        <f t="shared" si="8"/>
        <v>31</v>
      </c>
      <c r="S53" s="53">
        <f>IF(G53="事业部",LOOKUP(M53,基础设置!$T$2:$T$6,基础设置!$U$2:$U$6),IF(G53="总部",LOOKUP(M53,基础设置!$T$8:$T$13,基础设置!$V$8:$V$13),IF(G53="拓展部",LOOKUP(M53,基础设置!$T$8:$T$13,基础设置!$W$8:$W$13),5000)))</f>
        <v>4</v>
      </c>
    </row>
    <row r="54" spans="1:22" x14ac:dyDescent="0.15">
      <c r="A54" s="57">
        <v>53</v>
      </c>
      <c r="B54" s="7">
        <v>468</v>
      </c>
      <c r="C54" s="7" t="s">
        <v>35</v>
      </c>
      <c r="D54" s="7" t="s">
        <v>21</v>
      </c>
      <c r="E54" s="7" t="s">
        <v>150</v>
      </c>
      <c r="F54" s="7" t="s">
        <v>96</v>
      </c>
      <c r="G54" s="50" t="s">
        <v>9</v>
      </c>
      <c r="H54" s="8">
        <v>42444</v>
      </c>
      <c r="I54" s="60"/>
      <c r="J54" s="51">
        <f t="shared" si="0"/>
        <v>30</v>
      </c>
      <c r="K54" s="51">
        <f t="shared" si="1"/>
        <v>31</v>
      </c>
      <c r="L54" s="51">
        <f t="shared" si="2"/>
        <v>30</v>
      </c>
      <c r="M54" s="52">
        <f t="shared" si="3"/>
        <v>31</v>
      </c>
      <c r="N54" s="51">
        <f t="shared" si="4"/>
        <v>31</v>
      </c>
      <c r="O54" s="51">
        <f t="shared" si="5"/>
        <v>30</v>
      </c>
      <c r="P54" s="51">
        <f t="shared" si="6"/>
        <v>31</v>
      </c>
      <c r="Q54" s="51">
        <f t="shared" si="7"/>
        <v>30</v>
      </c>
      <c r="R54" s="51">
        <f t="shared" si="8"/>
        <v>31</v>
      </c>
      <c r="S54" s="53">
        <f>IF(G54="事业部",LOOKUP(M54,基础设置!$T$2:$T$6,基础设置!$U$2:$U$6),IF(G54="总部",LOOKUP(M54,基础设置!$T$8:$T$13,基础设置!$V$8:$V$13),IF(G54="拓展部",LOOKUP(M54,基础设置!$T$8:$T$13,基础设置!$W$8:$W$13),5000)))</f>
        <v>4</v>
      </c>
    </row>
    <row r="55" spans="1:22" x14ac:dyDescent="0.15">
      <c r="A55" s="57">
        <v>54</v>
      </c>
      <c r="B55" s="7">
        <v>468</v>
      </c>
      <c r="C55" s="7" t="s">
        <v>94</v>
      </c>
      <c r="D55" s="7" t="s">
        <v>30</v>
      </c>
      <c r="E55" s="7" t="s">
        <v>151</v>
      </c>
      <c r="F55" s="7" t="s">
        <v>96</v>
      </c>
      <c r="G55" s="50" t="s">
        <v>9</v>
      </c>
      <c r="H55" s="8">
        <v>45349</v>
      </c>
      <c r="I55" s="60"/>
      <c r="J55" s="51">
        <f t="shared" si="0"/>
        <v>30</v>
      </c>
      <c r="K55" s="51">
        <f t="shared" si="1"/>
        <v>31</v>
      </c>
      <c r="L55" s="51">
        <f t="shared" si="2"/>
        <v>30</v>
      </c>
      <c r="M55" s="52">
        <f t="shared" si="3"/>
        <v>31</v>
      </c>
      <c r="N55" s="51">
        <f t="shared" si="4"/>
        <v>31</v>
      </c>
      <c r="O55" s="51">
        <f t="shared" si="5"/>
        <v>30</v>
      </c>
      <c r="P55" s="51">
        <f t="shared" si="6"/>
        <v>31</v>
      </c>
      <c r="Q55" s="51">
        <f t="shared" si="7"/>
        <v>30</v>
      </c>
      <c r="R55" s="51">
        <f t="shared" si="8"/>
        <v>31</v>
      </c>
      <c r="S55" s="53">
        <f>IF(G55="事业部",LOOKUP(M55,基础设置!$T$2:$T$6,基础设置!$U$2:$U$6),IF(G55="总部",LOOKUP(M55,基础设置!$T$8:$T$13,基础设置!$V$8:$V$13),IF(G55="拓展部",LOOKUP(M55,基础设置!$T$8:$T$13,基础设置!$W$8:$W$13),5000)))</f>
        <v>4</v>
      </c>
    </row>
    <row r="56" spans="1:22" x14ac:dyDescent="0.15">
      <c r="A56" s="57">
        <v>55</v>
      </c>
      <c r="B56" s="7">
        <v>468</v>
      </c>
      <c r="C56" s="7" t="s">
        <v>97</v>
      </c>
      <c r="D56" s="7" t="s">
        <v>21</v>
      </c>
      <c r="E56" s="7" t="s">
        <v>152</v>
      </c>
      <c r="F56" s="7" t="s">
        <v>96</v>
      </c>
      <c r="G56" s="50" t="s">
        <v>9</v>
      </c>
      <c r="H56" s="8">
        <v>45756</v>
      </c>
      <c r="I56" s="60"/>
      <c r="J56" s="51">
        <f t="shared" si="0"/>
        <v>22</v>
      </c>
      <c r="K56" s="51">
        <f t="shared" si="1"/>
        <v>31</v>
      </c>
      <c r="L56" s="51">
        <f t="shared" si="2"/>
        <v>30</v>
      </c>
      <c r="M56" s="52">
        <f t="shared" si="3"/>
        <v>31</v>
      </c>
      <c r="N56" s="51">
        <f t="shared" si="4"/>
        <v>31</v>
      </c>
      <c r="O56" s="51">
        <f t="shared" si="5"/>
        <v>30</v>
      </c>
      <c r="P56" s="51">
        <f t="shared" si="6"/>
        <v>31</v>
      </c>
      <c r="Q56" s="51">
        <f t="shared" si="7"/>
        <v>30</v>
      </c>
      <c r="R56" s="51">
        <f t="shared" si="8"/>
        <v>31</v>
      </c>
      <c r="S56" s="53">
        <f>IF(G56="事业部",LOOKUP(M56,基础设置!$T$2:$T$6,基础设置!$U$2:$U$6),IF(G56="总部",LOOKUP(M56,基础设置!$T$8:$T$13,基础设置!$V$8:$V$13),IF(G56="拓展部",LOOKUP(M56,基础设置!$T$8:$T$13,基础设置!$W$8:$W$13),5000)))</f>
        <v>4</v>
      </c>
    </row>
    <row r="57" spans="1:22" x14ac:dyDescent="0.15">
      <c r="A57" s="57">
        <v>56</v>
      </c>
      <c r="B57" s="7">
        <v>468</v>
      </c>
      <c r="C57" s="7" t="s">
        <v>35</v>
      </c>
      <c r="D57" s="7" t="s">
        <v>21</v>
      </c>
      <c r="E57" s="7" t="s">
        <v>153</v>
      </c>
      <c r="F57" s="7" t="s">
        <v>36</v>
      </c>
      <c r="G57" s="50" t="s">
        <v>9</v>
      </c>
      <c r="H57" s="8">
        <v>45754</v>
      </c>
      <c r="I57" s="8">
        <v>45828</v>
      </c>
      <c r="J57" s="51">
        <f t="shared" si="0"/>
        <v>24</v>
      </c>
      <c r="K57" s="51">
        <f t="shared" si="1"/>
        <v>31</v>
      </c>
      <c r="L57" s="51">
        <f t="shared" si="2"/>
        <v>20</v>
      </c>
      <c r="M57" s="52">
        <f t="shared" si="3"/>
        <v>0</v>
      </c>
      <c r="N57" s="51">
        <f t="shared" si="4"/>
        <v>0</v>
      </c>
      <c r="O57" s="51">
        <f t="shared" si="5"/>
        <v>0</v>
      </c>
      <c r="P57" s="51">
        <f t="shared" si="6"/>
        <v>0</v>
      </c>
      <c r="Q57" s="51">
        <f t="shared" si="7"/>
        <v>0</v>
      </c>
      <c r="R57" s="51">
        <f t="shared" si="8"/>
        <v>0</v>
      </c>
      <c r="S57" s="53">
        <f>IF(G57="事业部",LOOKUP(M57,基础设置!$T$2:$T$6,基础设置!$U$2:$U$6),IF(G57="总部",LOOKUP(M57,基础设置!$T$8:$T$13,基础设置!$V$8:$V$13),IF(G57="拓展部",LOOKUP(M57,基础设置!$T$8:$T$13,基础设置!$W$8:$W$13),5000)))</f>
        <v>0</v>
      </c>
    </row>
    <row r="58" spans="1:22" x14ac:dyDescent="0.15">
      <c r="A58" s="57">
        <v>57</v>
      </c>
      <c r="B58" s="7">
        <v>468</v>
      </c>
      <c r="C58" s="7" t="s">
        <v>35</v>
      </c>
      <c r="D58" s="7" t="s">
        <v>21</v>
      </c>
      <c r="E58" s="7" t="s">
        <v>154</v>
      </c>
      <c r="F58" s="7" t="s">
        <v>96</v>
      </c>
      <c r="G58" s="50" t="s">
        <v>9</v>
      </c>
      <c r="H58" s="8">
        <v>45789</v>
      </c>
      <c r="I58" s="60"/>
      <c r="J58" s="51">
        <f t="shared" si="0"/>
        <v>0</v>
      </c>
      <c r="K58" s="51">
        <f t="shared" si="1"/>
        <v>20</v>
      </c>
      <c r="L58" s="51">
        <f t="shared" si="2"/>
        <v>30</v>
      </c>
      <c r="M58" s="52">
        <f t="shared" si="3"/>
        <v>31</v>
      </c>
      <c r="N58" s="51">
        <f t="shared" si="4"/>
        <v>31</v>
      </c>
      <c r="O58" s="51">
        <f t="shared" si="5"/>
        <v>30</v>
      </c>
      <c r="P58" s="51">
        <f t="shared" si="6"/>
        <v>31</v>
      </c>
      <c r="Q58" s="51">
        <f t="shared" si="7"/>
        <v>30</v>
      </c>
      <c r="R58" s="51">
        <f t="shared" si="8"/>
        <v>31</v>
      </c>
      <c r="S58" s="53">
        <f>IF(G58="事业部",LOOKUP(M58,基础设置!$T$2:$T$6,基础设置!$U$2:$U$6),IF(G58="总部",LOOKUP(M58,基础设置!$T$8:$T$13,基础设置!$V$8:$V$13),IF(G58="拓展部",LOOKUP(M58,基础设置!$T$8:$T$13,基础设置!$W$8:$W$13),5000)))</f>
        <v>4</v>
      </c>
      <c r="T58" s="53">
        <v>4000</v>
      </c>
    </row>
    <row r="59" spans="1:22" x14ac:dyDescent="0.15">
      <c r="A59" s="57">
        <v>58</v>
      </c>
      <c r="B59" s="7">
        <v>468</v>
      </c>
      <c r="C59" s="7" t="s">
        <v>46</v>
      </c>
      <c r="D59" s="7" t="s">
        <v>30</v>
      </c>
      <c r="E59" s="58" t="s">
        <v>155</v>
      </c>
      <c r="F59" s="7" t="s">
        <v>96</v>
      </c>
      <c r="G59" s="50" t="s">
        <v>9</v>
      </c>
      <c r="H59" s="8">
        <v>45824</v>
      </c>
      <c r="I59" s="60"/>
      <c r="J59" s="51">
        <f t="shared" si="0"/>
        <v>0</v>
      </c>
      <c r="K59" s="51">
        <f t="shared" si="1"/>
        <v>0</v>
      </c>
      <c r="L59" s="51">
        <f t="shared" si="2"/>
        <v>15</v>
      </c>
      <c r="M59" s="52">
        <f t="shared" si="3"/>
        <v>31</v>
      </c>
      <c r="N59" s="51">
        <f t="shared" si="4"/>
        <v>31</v>
      </c>
      <c r="O59" s="51">
        <f t="shared" si="5"/>
        <v>30</v>
      </c>
      <c r="P59" s="51">
        <f t="shared" si="6"/>
        <v>31</v>
      </c>
      <c r="Q59" s="51">
        <f t="shared" si="7"/>
        <v>30</v>
      </c>
      <c r="R59" s="51">
        <f t="shared" si="8"/>
        <v>31</v>
      </c>
      <c r="S59" s="53">
        <f>IF(G59="事业部",LOOKUP(M59,基础设置!$T$2:$T$6,基础设置!$U$2:$U$6),IF(G59="总部",LOOKUP(M59,基础设置!$T$8:$T$13,基础设置!$V$8:$V$13),IF(G59="拓展部",LOOKUP(M59,基础设置!$T$8:$T$13,基础设置!$W$8:$W$13),5000)))</f>
        <v>4</v>
      </c>
      <c r="T59" s="53">
        <v>7000</v>
      </c>
      <c r="V59" s="54" t="s">
        <v>156</v>
      </c>
    </row>
    <row r="60" spans="1:22" x14ac:dyDescent="0.15">
      <c r="A60" s="57">
        <v>59</v>
      </c>
      <c r="B60" s="7" t="s">
        <v>53</v>
      </c>
      <c r="C60" s="7" t="s">
        <v>97</v>
      </c>
      <c r="D60" s="7" t="s">
        <v>21</v>
      </c>
      <c r="E60" s="7" t="s">
        <v>157</v>
      </c>
      <c r="F60" s="7" t="s">
        <v>96</v>
      </c>
      <c r="G60" s="50" t="s">
        <v>9</v>
      </c>
      <c r="H60" s="8">
        <v>44490</v>
      </c>
      <c r="I60" s="60"/>
      <c r="J60" s="51">
        <f t="shared" si="0"/>
        <v>30</v>
      </c>
      <c r="K60" s="51">
        <f t="shared" si="1"/>
        <v>31</v>
      </c>
      <c r="L60" s="51">
        <f t="shared" si="2"/>
        <v>30</v>
      </c>
      <c r="M60" s="52">
        <f t="shared" si="3"/>
        <v>31</v>
      </c>
      <c r="N60" s="51">
        <f t="shared" si="4"/>
        <v>31</v>
      </c>
      <c r="O60" s="51">
        <f t="shared" si="5"/>
        <v>30</v>
      </c>
      <c r="P60" s="51">
        <f t="shared" si="6"/>
        <v>31</v>
      </c>
      <c r="Q60" s="51">
        <f t="shared" si="7"/>
        <v>30</v>
      </c>
      <c r="R60" s="51">
        <f t="shared" si="8"/>
        <v>31</v>
      </c>
      <c r="S60" s="53">
        <f>IF(G60="事业部",LOOKUP(M60,基础设置!$T$2:$T$6,基础设置!$U$2:$U$6),IF(G60="总部",LOOKUP(M60,基础设置!$T$8:$T$13,基础设置!$V$8:$V$13),IF(G60="拓展部",LOOKUP(M60,基础设置!$T$8:$T$13,基础设置!$W$8:$W$13),5000)))</f>
        <v>4</v>
      </c>
    </row>
    <row r="61" spans="1:22" x14ac:dyDescent="0.15">
      <c r="A61" s="57">
        <v>60</v>
      </c>
      <c r="B61" s="7" t="s">
        <v>53</v>
      </c>
      <c r="C61" s="7" t="s">
        <v>35</v>
      </c>
      <c r="D61" s="7" t="s">
        <v>21</v>
      </c>
      <c r="E61" s="7" t="s">
        <v>158</v>
      </c>
      <c r="F61" s="7" t="s">
        <v>96</v>
      </c>
      <c r="G61" s="50" t="s">
        <v>9</v>
      </c>
      <c r="H61" s="8">
        <v>45089</v>
      </c>
      <c r="I61" s="60"/>
      <c r="J61" s="51">
        <f t="shared" si="0"/>
        <v>30</v>
      </c>
      <c r="K61" s="51">
        <f t="shared" si="1"/>
        <v>31</v>
      </c>
      <c r="L61" s="51">
        <f t="shared" si="2"/>
        <v>30</v>
      </c>
      <c r="M61" s="52">
        <f t="shared" si="3"/>
        <v>31</v>
      </c>
      <c r="N61" s="51">
        <f t="shared" si="4"/>
        <v>31</v>
      </c>
      <c r="O61" s="51">
        <f t="shared" si="5"/>
        <v>30</v>
      </c>
      <c r="P61" s="51">
        <f t="shared" si="6"/>
        <v>31</v>
      </c>
      <c r="Q61" s="51">
        <f t="shared" si="7"/>
        <v>30</v>
      </c>
      <c r="R61" s="51">
        <f t="shared" si="8"/>
        <v>31</v>
      </c>
      <c r="S61" s="53">
        <f>IF(G61="事业部",LOOKUP(M61,基础设置!$T$2:$T$6,基础设置!$U$2:$U$6),IF(G61="总部",LOOKUP(M61,基础设置!$T$8:$T$13,基础设置!$V$8:$V$13),IF(G61="拓展部",LOOKUP(M61,基础设置!$T$8:$T$13,基础设置!$W$8:$W$13),5000)))</f>
        <v>4</v>
      </c>
    </row>
    <row r="62" spans="1:22" x14ac:dyDescent="0.15">
      <c r="A62" s="57">
        <v>61</v>
      </c>
      <c r="B62" s="7" t="s">
        <v>53</v>
      </c>
      <c r="C62" s="7" t="s">
        <v>35</v>
      </c>
      <c r="D62" s="7" t="s">
        <v>21</v>
      </c>
      <c r="E62" s="7" t="s">
        <v>159</v>
      </c>
      <c r="F62" s="7" t="s">
        <v>96</v>
      </c>
      <c r="G62" s="50" t="s">
        <v>9</v>
      </c>
      <c r="H62" s="8">
        <v>45190</v>
      </c>
      <c r="I62" s="60"/>
      <c r="J62" s="51">
        <f t="shared" si="0"/>
        <v>30</v>
      </c>
      <c r="K62" s="51">
        <f t="shared" si="1"/>
        <v>31</v>
      </c>
      <c r="L62" s="51">
        <f t="shared" si="2"/>
        <v>30</v>
      </c>
      <c r="M62" s="52">
        <f t="shared" si="3"/>
        <v>31</v>
      </c>
      <c r="N62" s="51">
        <f t="shared" si="4"/>
        <v>31</v>
      </c>
      <c r="O62" s="51">
        <f t="shared" si="5"/>
        <v>30</v>
      </c>
      <c r="P62" s="51">
        <f t="shared" si="6"/>
        <v>31</v>
      </c>
      <c r="Q62" s="51">
        <f t="shared" si="7"/>
        <v>30</v>
      </c>
      <c r="R62" s="51">
        <f t="shared" si="8"/>
        <v>31</v>
      </c>
      <c r="S62" s="53">
        <f>IF(G62="事业部",LOOKUP(M62,基础设置!$T$2:$T$6,基础设置!$U$2:$U$6),IF(G62="总部",LOOKUP(M62,基础设置!$T$8:$T$13,基础设置!$V$8:$V$13),IF(G62="拓展部",LOOKUP(M62,基础设置!$T$8:$T$13,基础设置!$W$8:$W$13),5000)))</f>
        <v>4</v>
      </c>
    </row>
    <row r="63" spans="1:22" x14ac:dyDescent="0.15">
      <c r="A63" s="57">
        <v>62</v>
      </c>
      <c r="B63" s="7" t="s">
        <v>53</v>
      </c>
      <c r="C63" s="7" t="s">
        <v>35</v>
      </c>
      <c r="D63" s="7" t="s">
        <v>21</v>
      </c>
      <c r="E63" s="7" t="s">
        <v>160</v>
      </c>
      <c r="F63" s="7" t="s">
        <v>96</v>
      </c>
      <c r="G63" s="50" t="s">
        <v>9</v>
      </c>
      <c r="H63" s="8">
        <v>45487</v>
      </c>
      <c r="I63" s="60"/>
      <c r="J63" s="51">
        <f t="shared" si="0"/>
        <v>30</v>
      </c>
      <c r="K63" s="51">
        <f t="shared" si="1"/>
        <v>31</v>
      </c>
      <c r="L63" s="51">
        <f t="shared" si="2"/>
        <v>30</v>
      </c>
      <c r="M63" s="52">
        <f t="shared" si="3"/>
        <v>31</v>
      </c>
      <c r="N63" s="51">
        <f t="shared" si="4"/>
        <v>31</v>
      </c>
      <c r="O63" s="51">
        <f t="shared" si="5"/>
        <v>30</v>
      </c>
      <c r="P63" s="51">
        <f t="shared" si="6"/>
        <v>31</v>
      </c>
      <c r="Q63" s="51">
        <f t="shared" si="7"/>
        <v>30</v>
      </c>
      <c r="R63" s="51">
        <f t="shared" si="8"/>
        <v>31</v>
      </c>
      <c r="S63" s="53">
        <f>IF(G63="事业部",LOOKUP(M63,基础设置!$T$2:$T$6,基础设置!$U$2:$U$6),IF(G63="总部",LOOKUP(M63,基础设置!$T$8:$T$13,基础设置!$V$8:$V$13),IF(G63="拓展部",LOOKUP(M63,基础设置!$T$8:$T$13,基础设置!$W$8:$W$13),5000)))</f>
        <v>4</v>
      </c>
    </row>
    <row r="64" spans="1:22" x14ac:dyDescent="0.15">
      <c r="A64" s="57">
        <v>63</v>
      </c>
      <c r="B64" s="7" t="s">
        <v>53</v>
      </c>
      <c r="C64" s="7" t="s">
        <v>94</v>
      </c>
      <c r="D64" s="7" t="s">
        <v>30</v>
      </c>
      <c r="E64" s="7" t="s">
        <v>161</v>
      </c>
      <c r="F64" s="7" t="s">
        <v>96</v>
      </c>
      <c r="G64" s="50" t="s">
        <v>9</v>
      </c>
      <c r="H64" s="8">
        <v>45597</v>
      </c>
      <c r="I64" s="60"/>
      <c r="J64" s="51">
        <f t="shared" si="0"/>
        <v>30</v>
      </c>
      <c r="K64" s="51">
        <f t="shared" si="1"/>
        <v>31</v>
      </c>
      <c r="L64" s="51">
        <f t="shared" si="2"/>
        <v>30</v>
      </c>
      <c r="M64" s="52">
        <f t="shared" si="3"/>
        <v>31</v>
      </c>
      <c r="N64" s="51">
        <f t="shared" si="4"/>
        <v>31</v>
      </c>
      <c r="O64" s="51">
        <f t="shared" si="5"/>
        <v>30</v>
      </c>
      <c r="P64" s="51">
        <f t="shared" si="6"/>
        <v>31</v>
      </c>
      <c r="Q64" s="51">
        <f t="shared" si="7"/>
        <v>30</v>
      </c>
      <c r="R64" s="51">
        <f t="shared" si="8"/>
        <v>31</v>
      </c>
      <c r="S64" s="53">
        <f>IF(G64="事业部",LOOKUP(M64,基础设置!$T$2:$T$6,基础设置!$U$2:$U$6),IF(G64="总部",LOOKUP(M64,基础设置!$T$8:$T$13,基础设置!$V$8:$V$13),IF(G64="拓展部",LOOKUP(M64,基础设置!$T$8:$T$13,基础设置!$W$8:$W$13),5000)))</f>
        <v>4</v>
      </c>
    </row>
    <row r="65" spans="1:20" x14ac:dyDescent="0.15">
      <c r="A65" s="57">
        <v>64</v>
      </c>
      <c r="B65" s="7" t="s">
        <v>53</v>
      </c>
      <c r="C65" s="7" t="s">
        <v>35</v>
      </c>
      <c r="D65" s="7" t="s">
        <v>21</v>
      </c>
      <c r="E65" s="7" t="s">
        <v>162</v>
      </c>
      <c r="F65" s="7" t="s">
        <v>96</v>
      </c>
      <c r="G65" s="50" t="s">
        <v>9</v>
      </c>
      <c r="H65" s="8">
        <v>45715</v>
      </c>
      <c r="I65" s="60"/>
      <c r="J65" s="51">
        <f t="shared" si="0"/>
        <v>30</v>
      </c>
      <c r="K65" s="51">
        <f t="shared" si="1"/>
        <v>31</v>
      </c>
      <c r="L65" s="51">
        <f t="shared" si="2"/>
        <v>30</v>
      </c>
      <c r="M65" s="52">
        <f t="shared" si="3"/>
        <v>31</v>
      </c>
      <c r="N65" s="51">
        <f t="shared" si="4"/>
        <v>31</v>
      </c>
      <c r="O65" s="51">
        <f t="shared" si="5"/>
        <v>30</v>
      </c>
      <c r="P65" s="51">
        <f t="shared" si="6"/>
        <v>31</v>
      </c>
      <c r="Q65" s="51">
        <f t="shared" si="7"/>
        <v>30</v>
      </c>
      <c r="R65" s="51">
        <f t="shared" si="8"/>
        <v>31</v>
      </c>
      <c r="S65" s="53">
        <f>IF(G65="事业部",LOOKUP(M65,基础设置!$T$2:$T$6,基础设置!$U$2:$U$6),IF(G65="总部",LOOKUP(M65,基础设置!$T$8:$T$13,基础设置!$V$8:$V$13),IF(G65="拓展部",LOOKUP(M65,基础设置!$T$8:$T$13,基础设置!$W$8:$W$13),5000)))</f>
        <v>4</v>
      </c>
    </row>
    <row r="66" spans="1:20" x14ac:dyDescent="0.15">
      <c r="A66" s="57">
        <v>65</v>
      </c>
      <c r="B66" s="7" t="s">
        <v>32</v>
      </c>
      <c r="C66" s="7" t="s">
        <v>47</v>
      </c>
      <c r="D66" s="7" t="s">
        <v>30</v>
      </c>
      <c r="E66" s="7" t="s">
        <v>163</v>
      </c>
      <c r="F66" s="7" t="s">
        <v>96</v>
      </c>
      <c r="G66" s="50" t="s">
        <v>9</v>
      </c>
      <c r="H66" s="8">
        <v>44125</v>
      </c>
      <c r="I66" s="60"/>
      <c r="J66" s="51">
        <f t="shared" si="0"/>
        <v>30</v>
      </c>
      <c r="K66" s="51">
        <f t="shared" si="1"/>
        <v>31</v>
      </c>
      <c r="L66" s="51">
        <f t="shared" si="2"/>
        <v>30</v>
      </c>
      <c r="M66" s="52">
        <f t="shared" si="3"/>
        <v>31</v>
      </c>
      <c r="N66" s="51">
        <f t="shared" si="4"/>
        <v>31</v>
      </c>
      <c r="O66" s="51">
        <f t="shared" si="5"/>
        <v>30</v>
      </c>
      <c r="P66" s="51">
        <f t="shared" si="6"/>
        <v>31</v>
      </c>
      <c r="Q66" s="51">
        <f t="shared" si="7"/>
        <v>30</v>
      </c>
      <c r="R66" s="51">
        <f t="shared" si="8"/>
        <v>31</v>
      </c>
      <c r="S66" s="53">
        <f>IF(G66="事业部",LOOKUP(M66,基础设置!$T$2:$T$6,基础设置!$U$2:$U$6),IF(G66="总部",LOOKUP(M66,基础设置!$T$8:$T$13,基础设置!$V$8:$V$13),IF(G66="拓展部",LOOKUP(M66,基础设置!$T$8:$T$13,基础设置!$W$8:$W$13),5000)))</f>
        <v>4</v>
      </c>
    </row>
    <row r="67" spans="1:20" x14ac:dyDescent="0.15">
      <c r="A67" s="57">
        <v>66</v>
      </c>
      <c r="B67" s="7" t="s">
        <v>55</v>
      </c>
      <c r="C67" s="7" t="s">
        <v>97</v>
      </c>
      <c r="D67" s="7" t="s">
        <v>21</v>
      </c>
      <c r="E67" s="7" t="s">
        <v>164</v>
      </c>
      <c r="F67" s="7" t="s">
        <v>96</v>
      </c>
      <c r="G67" s="50" t="s">
        <v>9</v>
      </c>
      <c r="H67" s="8">
        <v>44735</v>
      </c>
      <c r="I67" s="60"/>
      <c r="J67" s="51">
        <f t="shared" ref="J67:J130" si="9">MAX(0,MIN(IF(I67="",EOMONTH(DATE(YEAR($J$1),MONTH($J$1),1),0),I67),EOMONTH(DATE(YEAR($J$1),MONTH($J$1),1),0))-MAX(H67,DATE(YEAR($J$1),MONTH($J$1),1))+1)</f>
        <v>30</v>
      </c>
      <c r="K67" s="51">
        <f t="shared" ref="K67:K130" si="10">MAX(0,MIN(IF(I67="",EOMONTH(DATE(YEAR($K$1),MONTH($K$1),1),0),I67),EOMONTH(DATE(YEAR($K$1),MONTH($K$1),1),0))-MAX(H67,DATE(YEAR($K$1),MONTH($K$1),1))+1)</f>
        <v>31</v>
      </c>
      <c r="L67" s="51">
        <f t="shared" ref="L67:L130" si="11">MAX(0,MIN(IF(I67="",EOMONTH(DATE(YEAR($L$1),MONTH($L$1),1),0),I67),EOMONTH(DATE(YEAR($L$1),MONTH($L$1),1),0))-MAX(H67,DATE(YEAR($L$1),MONTH($L$1),1))+1)</f>
        <v>30</v>
      </c>
      <c r="M67" s="52">
        <f t="shared" ref="M67:M130" si="12">MAX(0,MIN(IF(I67="",EOMONTH(DATE(YEAR($M$1),MONTH($M$1),1),0),I67),EOMONTH(DATE(YEAR($M$1),MONTH($M$1),1),0))-MAX(H67,DATE(YEAR($M$1),MONTH($M$1),1))+1)</f>
        <v>31</v>
      </c>
      <c r="N67" s="51">
        <f t="shared" ref="N67:N130" si="13">MAX(0,MIN(IF(I67="",EOMONTH(DATE(YEAR($N$1),MONTH($N$1),1),0),I67),EOMONTH(DATE(YEAR($N$1),MONTH($N$1),1),0))-MAX(H67,DATE(YEAR($N$1),MONTH($N$1),1))+1)</f>
        <v>31</v>
      </c>
      <c r="O67" s="51">
        <f t="shared" ref="O67:O130" si="14">MAX(0,MIN(IF(I67="",EOMONTH(DATE(YEAR($O$1),MONTH($O$1),1),0),I67),EOMONTH(DATE(YEAR($O$1),MONTH($O$1),1),0))-MAX(H67,DATE(YEAR($O$1),MONTH($O$1),1))+1)</f>
        <v>30</v>
      </c>
      <c r="P67" s="51">
        <f t="shared" ref="P67:P130" si="15">MAX(0,MIN(IF(I67="",EOMONTH(DATE(YEAR($P$1),MONTH($P$1),1),0),I67),EOMONTH(DATE(YEAR($P$1),MONTH($P$1),1),0))-MAX(H67,DATE(YEAR($P$1),MONTH($P$1),1))+1)</f>
        <v>31</v>
      </c>
      <c r="Q67" s="51">
        <f t="shared" ref="Q67:Q130" si="16">MAX(0,MIN(IF(I67="",EOMONTH(DATE(YEAR($Q$1),MONTH($Q$1),1),0),I67),EOMONTH(DATE(YEAR($Q$1),MONTH($Q$1),1),0))-MAX(H67,DATE(YEAR($Q$1),MONTH($Q$1),1))+1)</f>
        <v>30</v>
      </c>
      <c r="R67" s="51">
        <f t="shared" ref="R67:R130" si="17">MAX(0,MIN(IF(I67="",EOMONTH(DATE(YEAR($R$1),MONTH($R$1),1),0),I67),EOMONTH(DATE(YEAR($R$1),MONTH($R$1),1),0))-MAX(H67,DATE(YEAR($R$1),MONTH($R$1),1))+1)</f>
        <v>31</v>
      </c>
      <c r="S67" s="53">
        <f>IF(G67="事业部",LOOKUP(M67,基础设置!$T$2:$T$6,基础设置!$U$2:$U$6),IF(G67="总部",LOOKUP(M67,基础设置!$T$8:$T$13,基础设置!$V$8:$V$13),IF(G67="拓展部",LOOKUP(M67,基础设置!$T$8:$T$13,基础设置!$W$8:$W$13),5000)))</f>
        <v>4</v>
      </c>
    </row>
    <row r="68" spans="1:20" x14ac:dyDescent="0.15">
      <c r="A68" s="57">
        <v>67</v>
      </c>
      <c r="B68" s="7" t="s">
        <v>55</v>
      </c>
      <c r="C68" s="7" t="s">
        <v>35</v>
      </c>
      <c r="D68" s="7" t="s">
        <v>21</v>
      </c>
      <c r="E68" s="7" t="s">
        <v>165</v>
      </c>
      <c r="F68" s="7" t="s">
        <v>96</v>
      </c>
      <c r="G68" s="50" t="s">
        <v>9</v>
      </c>
      <c r="H68" s="8">
        <v>44921</v>
      </c>
      <c r="I68" s="60"/>
      <c r="J68" s="51">
        <f t="shared" si="9"/>
        <v>30</v>
      </c>
      <c r="K68" s="51">
        <f t="shared" si="10"/>
        <v>31</v>
      </c>
      <c r="L68" s="51">
        <f t="shared" si="11"/>
        <v>30</v>
      </c>
      <c r="M68" s="52">
        <f t="shared" si="12"/>
        <v>31</v>
      </c>
      <c r="N68" s="51">
        <f t="shared" si="13"/>
        <v>31</v>
      </c>
      <c r="O68" s="51">
        <f t="shared" si="14"/>
        <v>30</v>
      </c>
      <c r="P68" s="51">
        <f t="shared" si="15"/>
        <v>31</v>
      </c>
      <c r="Q68" s="51">
        <f t="shared" si="16"/>
        <v>30</v>
      </c>
      <c r="R68" s="51">
        <f t="shared" si="17"/>
        <v>31</v>
      </c>
      <c r="S68" s="53">
        <f>IF(G68="事业部",LOOKUP(M68,基础设置!$T$2:$T$6,基础设置!$U$2:$U$6),IF(G68="总部",LOOKUP(M68,基础设置!$T$8:$T$13,基础设置!$V$8:$V$13),IF(G68="拓展部",LOOKUP(M68,基础设置!$T$8:$T$13,基础设置!$W$8:$W$13),5000)))</f>
        <v>4</v>
      </c>
    </row>
    <row r="69" spans="1:20" x14ac:dyDescent="0.15">
      <c r="A69" s="57">
        <v>68</v>
      </c>
      <c r="B69" s="7" t="s">
        <v>55</v>
      </c>
      <c r="C69" s="7" t="s">
        <v>46</v>
      </c>
      <c r="D69" s="7" t="s">
        <v>30</v>
      </c>
      <c r="E69" s="7" t="s">
        <v>166</v>
      </c>
      <c r="F69" s="7" t="s">
        <v>96</v>
      </c>
      <c r="G69" s="50" t="s">
        <v>9</v>
      </c>
      <c r="H69" s="8">
        <v>43921</v>
      </c>
      <c r="I69" s="60"/>
      <c r="J69" s="51">
        <f t="shared" si="9"/>
        <v>30</v>
      </c>
      <c r="K69" s="51">
        <f t="shared" si="10"/>
        <v>31</v>
      </c>
      <c r="L69" s="51">
        <f t="shared" si="11"/>
        <v>30</v>
      </c>
      <c r="M69" s="52">
        <f t="shared" si="12"/>
        <v>31</v>
      </c>
      <c r="N69" s="51">
        <f t="shared" si="13"/>
        <v>31</v>
      </c>
      <c r="O69" s="51">
        <f t="shared" si="14"/>
        <v>30</v>
      </c>
      <c r="P69" s="51">
        <f t="shared" si="15"/>
        <v>31</v>
      </c>
      <c r="Q69" s="51">
        <f t="shared" si="16"/>
        <v>30</v>
      </c>
      <c r="R69" s="51">
        <f t="shared" si="17"/>
        <v>31</v>
      </c>
      <c r="S69" s="53">
        <f>IF(G69="事业部",LOOKUP(M69,基础设置!$T$2:$T$6,基础设置!$U$2:$U$6),IF(G69="总部",LOOKUP(M69,基础设置!$T$8:$T$13,基础设置!$V$8:$V$13),IF(G69="拓展部",LOOKUP(M69,基础设置!$T$8:$T$13,基础设置!$W$8:$W$13),5000)))</f>
        <v>4</v>
      </c>
    </row>
    <row r="70" spans="1:20" x14ac:dyDescent="0.15">
      <c r="A70" s="57">
        <v>69</v>
      </c>
      <c r="B70" s="7" t="s">
        <v>55</v>
      </c>
      <c r="C70" s="7" t="s">
        <v>35</v>
      </c>
      <c r="D70" s="7" t="s">
        <v>21</v>
      </c>
      <c r="E70" s="7" t="s">
        <v>167</v>
      </c>
      <c r="F70" s="7" t="s">
        <v>96</v>
      </c>
      <c r="G70" s="50" t="s">
        <v>9</v>
      </c>
      <c r="H70" s="8">
        <v>45390</v>
      </c>
      <c r="I70" s="60"/>
      <c r="J70" s="51">
        <f t="shared" si="9"/>
        <v>30</v>
      </c>
      <c r="K70" s="51">
        <f t="shared" si="10"/>
        <v>31</v>
      </c>
      <c r="L70" s="51">
        <f t="shared" si="11"/>
        <v>30</v>
      </c>
      <c r="M70" s="52">
        <f t="shared" si="12"/>
        <v>31</v>
      </c>
      <c r="N70" s="51">
        <f t="shared" si="13"/>
        <v>31</v>
      </c>
      <c r="O70" s="51">
        <f t="shared" si="14"/>
        <v>30</v>
      </c>
      <c r="P70" s="51">
        <f t="shared" si="15"/>
        <v>31</v>
      </c>
      <c r="Q70" s="51">
        <f t="shared" si="16"/>
        <v>30</v>
      </c>
      <c r="R70" s="51">
        <f t="shared" si="17"/>
        <v>31</v>
      </c>
      <c r="S70" s="53">
        <f>IF(G70="事业部",LOOKUP(M70,基础设置!$T$2:$T$6,基础设置!$U$2:$U$6),IF(G70="总部",LOOKUP(M70,基础设置!$T$8:$T$13,基础设置!$V$8:$V$13),IF(G70="拓展部",LOOKUP(M70,基础设置!$T$8:$T$13,基础设置!$W$8:$W$13),5000)))</f>
        <v>4</v>
      </c>
    </row>
    <row r="71" spans="1:20" x14ac:dyDescent="0.15">
      <c r="A71" s="57">
        <v>70</v>
      </c>
      <c r="B71" s="7" t="s">
        <v>55</v>
      </c>
      <c r="C71" s="7" t="s">
        <v>35</v>
      </c>
      <c r="D71" s="7" t="s">
        <v>21</v>
      </c>
      <c r="E71" s="7" t="s">
        <v>168</v>
      </c>
      <c r="F71" s="7" t="s">
        <v>96</v>
      </c>
      <c r="G71" s="50" t="s">
        <v>9</v>
      </c>
      <c r="H71" s="8">
        <v>45472</v>
      </c>
      <c r="I71" s="60"/>
      <c r="J71" s="51">
        <f t="shared" si="9"/>
        <v>30</v>
      </c>
      <c r="K71" s="51">
        <f t="shared" si="10"/>
        <v>31</v>
      </c>
      <c r="L71" s="51">
        <f t="shared" si="11"/>
        <v>30</v>
      </c>
      <c r="M71" s="52">
        <f t="shared" si="12"/>
        <v>31</v>
      </c>
      <c r="N71" s="51">
        <f t="shared" si="13"/>
        <v>31</v>
      </c>
      <c r="O71" s="51">
        <f t="shared" si="14"/>
        <v>30</v>
      </c>
      <c r="P71" s="51">
        <f t="shared" si="15"/>
        <v>31</v>
      </c>
      <c r="Q71" s="51">
        <f t="shared" si="16"/>
        <v>30</v>
      </c>
      <c r="R71" s="51">
        <f t="shared" si="17"/>
        <v>31</v>
      </c>
      <c r="S71" s="53">
        <f>IF(G71="事业部",LOOKUP(M71,基础设置!$T$2:$T$6,基础设置!$U$2:$U$6),IF(G71="总部",LOOKUP(M71,基础设置!$T$8:$T$13,基础设置!$V$8:$V$13),IF(G71="拓展部",LOOKUP(M71,基础设置!$T$8:$T$13,基础设置!$W$8:$W$13),5000)))</f>
        <v>4</v>
      </c>
    </row>
    <row r="72" spans="1:20" x14ac:dyDescent="0.15">
      <c r="A72" s="57">
        <v>71</v>
      </c>
      <c r="B72" s="7" t="s">
        <v>55</v>
      </c>
      <c r="C72" s="7" t="s">
        <v>35</v>
      </c>
      <c r="D72" s="7" t="s">
        <v>21</v>
      </c>
      <c r="E72" s="7" t="s">
        <v>169</v>
      </c>
      <c r="F72" s="7" t="s">
        <v>96</v>
      </c>
      <c r="G72" s="50" t="s">
        <v>9</v>
      </c>
      <c r="H72" s="8">
        <v>45622</v>
      </c>
      <c r="I72" s="60"/>
      <c r="J72" s="51">
        <f t="shared" si="9"/>
        <v>30</v>
      </c>
      <c r="K72" s="51">
        <f t="shared" si="10"/>
        <v>31</v>
      </c>
      <c r="L72" s="51">
        <f t="shared" si="11"/>
        <v>30</v>
      </c>
      <c r="M72" s="52">
        <f t="shared" si="12"/>
        <v>31</v>
      </c>
      <c r="N72" s="51">
        <f t="shared" si="13"/>
        <v>31</v>
      </c>
      <c r="O72" s="51">
        <f t="shared" si="14"/>
        <v>30</v>
      </c>
      <c r="P72" s="51">
        <f t="shared" si="15"/>
        <v>31</v>
      </c>
      <c r="Q72" s="51">
        <f t="shared" si="16"/>
        <v>30</v>
      </c>
      <c r="R72" s="51">
        <f t="shared" si="17"/>
        <v>31</v>
      </c>
      <c r="S72" s="53">
        <f>IF(G72="事业部",LOOKUP(M72,基础设置!$T$2:$T$6,基础设置!$U$2:$U$6),IF(G72="总部",LOOKUP(M72,基础设置!$T$8:$T$13,基础设置!$V$8:$V$13),IF(G72="拓展部",LOOKUP(M72,基础设置!$T$8:$T$13,基础设置!$W$8:$W$13),5000)))</f>
        <v>4</v>
      </c>
    </row>
    <row r="73" spans="1:20" x14ac:dyDescent="0.15">
      <c r="A73" s="57">
        <v>72</v>
      </c>
      <c r="B73" s="7" t="s">
        <v>55</v>
      </c>
      <c r="C73" s="7" t="s">
        <v>35</v>
      </c>
      <c r="D73" s="7" t="s">
        <v>21</v>
      </c>
      <c r="E73" s="7" t="s">
        <v>170</v>
      </c>
      <c r="F73" s="7" t="s">
        <v>96</v>
      </c>
      <c r="G73" s="50" t="s">
        <v>9</v>
      </c>
      <c r="H73" s="8">
        <v>45754</v>
      </c>
      <c r="I73" s="60"/>
      <c r="J73" s="51">
        <f t="shared" si="9"/>
        <v>24</v>
      </c>
      <c r="K73" s="51">
        <f t="shared" si="10"/>
        <v>31</v>
      </c>
      <c r="L73" s="51">
        <f t="shared" si="11"/>
        <v>30</v>
      </c>
      <c r="M73" s="52">
        <f t="shared" si="12"/>
        <v>31</v>
      </c>
      <c r="N73" s="51">
        <f t="shared" si="13"/>
        <v>31</v>
      </c>
      <c r="O73" s="51">
        <f t="shared" si="14"/>
        <v>30</v>
      </c>
      <c r="P73" s="51">
        <f t="shared" si="15"/>
        <v>31</v>
      </c>
      <c r="Q73" s="51">
        <f t="shared" si="16"/>
        <v>30</v>
      </c>
      <c r="R73" s="51">
        <f t="shared" si="17"/>
        <v>31</v>
      </c>
      <c r="S73" s="53">
        <f>IF(G73="事业部",LOOKUP(M73,基础设置!$T$2:$T$6,基础设置!$U$2:$U$6),IF(G73="总部",LOOKUP(M73,基础设置!$T$8:$T$13,基础设置!$V$8:$V$13),IF(G73="拓展部",LOOKUP(M73,基础设置!$T$8:$T$13,基础设置!$W$8:$W$13),5000)))</f>
        <v>4</v>
      </c>
      <c r="T73" s="53">
        <v>3500</v>
      </c>
    </row>
    <row r="74" spans="1:20" x14ac:dyDescent="0.15">
      <c r="A74" s="57">
        <v>73</v>
      </c>
      <c r="B74" s="7" t="s">
        <v>55</v>
      </c>
      <c r="C74" s="7" t="s">
        <v>35</v>
      </c>
      <c r="D74" s="7" t="s">
        <v>21</v>
      </c>
      <c r="E74" s="7" t="s">
        <v>171</v>
      </c>
      <c r="F74" s="7" t="s">
        <v>96</v>
      </c>
      <c r="G74" s="50" t="s">
        <v>9</v>
      </c>
      <c r="H74" s="8">
        <v>45797</v>
      </c>
      <c r="I74" s="60"/>
      <c r="J74" s="51">
        <f t="shared" si="9"/>
        <v>0</v>
      </c>
      <c r="K74" s="51">
        <f t="shared" si="10"/>
        <v>12</v>
      </c>
      <c r="L74" s="51">
        <f t="shared" si="11"/>
        <v>30</v>
      </c>
      <c r="M74" s="52">
        <f t="shared" si="12"/>
        <v>31</v>
      </c>
      <c r="N74" s="51">
        <f t="shared" si="13"/>
        <v>31</v>
      </c>
      <c r="O74" s="51">
        <f t="shared" si="14"/>
        <v>30</v>
      </c>
      <c r="P74" s="51">
        <f t="shared" si="15"/>
        <v>31</v>
      </c>
      <c r="Q74" s="51">
        <f t="shared" si="16"/>
        <v>30</v>
      </c>
      <c r="R74" s="51">
        <f t="shared" si="17"/>
        <v>31</v>
      </c>
      <c r="S74" s="53">
        <f>IF(G74="事业部",LOOKUP(M74,基础设置!$T$2:$T$6,基础设置!$U$2:$U$6),IF(G74="总部",LOOKUP(M74,基础设置!$T$8:$T$13,基础设置!$V$8:$V$13),IF(G74="拓展部",LOOKUP(M74,基础设置!$T$8:$T$13,基础设置!$W$8:$W$13),5000)))</f>
        <v>4</v>
      </c>
      <c r="T74" s="53">
        <v>4000</v>
      </c>
    </row>
    <row r="75" spans="1:20" x14ac:dyDescent="0.15">
      <c r="A75" s="57">
        <v>74</v>
      </c>
      <c r="B75" s="7" t="s">
        <v>49</v>
      </c>
      <c r="C75" s="7" t="s">
        <v>42</v>
      </c>
      <c r="D75" s="7" t="s">
        <v>30</v>
      </c>
      <c r="E75" s="7" t="s">
        <v>172</v>
      </c>
      <c r="F75" s="7" t="s">
        <v>96</v>
      </c>
      <c r="G75" s="50" t="s">
        <v>9</v>
      </c>
      <c r="H75" s="8">
        <v>44100</v>
      </c>
      <c r="I75" s="60"/>
      <c r="J75" s="51">
        <f t="shared" si="9"/>
        <v>30</v>
      </c>
      <c r="K75" s="51">
        <f t="shared" si="10"/>
        <v>31</v>
      </c>
      <c r="L75" s="51">
        <f t="shared" si="11"/>
        <v>30</v>
      </c>
      <c r="M75" s="52">
        <f t="shared" si="12"/>
        <v>31</v>
      </c>
      <c r="N75" s="51">
        <f t="shared" si="13"/>
        <v>31</v>
      </c>
      <c r="O75" s="51">
        <f t="shared" si="14"/>
        <v>30</v>
      </c>
      <c r="P75" s="51">
        <f t="shared" si="15"/>
        <v>31</v>
      </c>
      <c r="Q75" s="51">
        <f t="shared" si="16"/>
        <v>30</v>
      </c>
      <c r="R75" s="51">
        <f t="shared" si="17"/>
        <v>31</v>
      </c>
      <c r="S75" s="53">
        <f>IF(G75="事业部",LOOKUP(M75,基础设置!$T$2:$T$6,基础设置!$U$2:$U$6),IF(G75="总部",LOOKUP(M75,基础设置!$T$8:$T$13,基础设置!$V$8:$V$13),IF(G75="拓展部",LOOKUP(M75,基础设置!$T$8:$T$13,基础设置!$W$8:$W$13),5000)))</f>
        <v>4</v>
      </c>
    </row>
    <row r="76" spans="1:20" x14ac:dyDescent="0.15">
      <c r="A76" s="57">
        <v>75</v>
      </c>
      <c r="B76" s="7" t="s">
        <v>57</v>
      </c>
      <c r="C76" s="7" t="s">
        <v>94</v>
      </c>
      <c r="D76" s="7" t="s">
        <v>30</v>
      </c>
      <c r="E76" s="7" t="s">
        <v>173</v>
      </c>
      <c r="F76" s="7" t="s">
        <v>96</v>
      </c>
      <c r="G76" s="50" t="s">
        <v>9</v>
      </c>
      <c r="H76" s="8">
        <v>45174</v>
      </c>
      <c r="I76" s="60"/>
      <c r="J76" s="51">
        <f t="shared" si="9"/>
        <v>30</v>
      </c>
      <c r="K76" s="51">
        <f t="shared" si="10"/>
        <v>31</v>
      </c>
      <c r="L76" s="51">
        <f t="shared" si="11"/>
        <v>30</v>
      </c>
      <c r="M76" s="52">
        <f t="shared" si="12"/>
        <v>31</v>
      </c>
      <c r="N76" s="51">
        <f t="shared" si="13"/>
        <v>31</v>
      </c>
      <c r="O76" s="51">
        <f t="shared" si="14"/>
        <v>30</v>
      </c>
      <c r="P76" s="51">
        <f t="shared" si="15"/>
        <v>31</v>
      </c>
      <c r="Q76" s="51">
        <f t="shared" si="16"/>
        <v>30</v>
      </c>
      <c r="R76" s="51">
        <f t="shared" si="17"/>
        <v>31</v>
      </c>
      <c r="S76" s="53">
        <f>IF(G76="事业部",LOOKUP(M76,基础设置!$T$2:$T$6,基础设置!$U$2:$U$6),IF(G76="总部",LOOKUP(M76,基础设置!$T$8:$T$13,基础设置!$V$8:$V$13),IF(G76="拓展部",LOOKUP(M76,基础设置!$T$8:$T$13,基础设置!$W$8:$W$13),5000)))</f>
        <v>4</v>
      </c>
    </row>
    <row r="77" spans="1:20" x14ac:dyDescent="0.15">
      <c r="A77" s="57">
        <v>76</v>
      </c>
      <c r="B77" s="7" t="s">
        <v>57</v>
      </c>
      <c r="C77" s="7" t="s">
        <v>46</v>
      </c>
      <c r="D77" s="7" t="s">
        <v>30</v>
      </c>
      <c r="E77" s="7" t="s">
        <v>174</v>
      </c>
      <c r="F77" s="7" t="s">
        <v>96</v>
      </c>
      <c r="G77" s="50" t="s">
        <v>9</v>
      </c>
      <c r="H77" s="8">
        <v>45811</v>
      </c>
      <c r="I77" s="60"/>
      <c r="J77" s="51">
        <f t="shared" si="9"/>
        <v>0</v>
      </c>
      <c r="K77" s="51">
        <f t="shared" si="10"/>
        <v>0</v>
      </c>
      <c r="L77" s="51">
        <f t="shared" si="11"/>
        <v>28</v>
      </c>
      <c r="M77" s="52">
        <f t="shared" si="12"/>
        <v>31</v>
      </c>
      <c r="N77" s="51">
        <f t="shared" si="13"/>
        <v>31</v>
      </c>
      <c r="O77" s="51">
        <f t="shared" si="14"/>
        <v>30</v>
      </c>
      <c r="P77" s="51">
        <f t="shared" si="15"/>
        <v>31</v>
      </c>
      <c r="Q77" s="51">
        <f t="shared" si="16"/>
        <v>30</v>
      </c>
      <c r="R77" s="51">
        <f t="shared" si="17"/>
        <v>31</v>
      </c>
      <c r="S77" s="53">
        <f>IF(G77="事业部",LOOKUP(M77,基础设置!$T$2:$T$6,基础设置!$U$2:$U$6),IF(G77="总部",LOOKUP(M77,基础设置!$T$8:$T$13,基础设置!$V$8:$V$13),IF(G77="拓展部",LOOKUP(M77,基础设置!$T$8:$T$13,基础设置!$W$8:$W$13),5000)))</f>
        <v>4</v>
      </c>
      <c r="T77" s="53">
        <v>5000</v>
      </c>
    </row>
    <row r="78" spans="1:20" x14ac:dyDescent="0.15">
      <c r="A78" s="57">
        <v>77</v>
      </c>
      <c r="B78" s="7" t="s">
        <v>57</v>
      </c>
      <c r="C78" s="7" t="s">
        <v>35</v>
      </c>
      <c r="D78" s="7" t="s">
        <v>21</v>
      </c>
      <c r="E78" s="7" t="s">
        <v>175</v>
      </c>
      <c r="F78" s="7" t="s">
        <v>96</v>
      </c>
      <c r="G78" s="50" t="s">
        <v>9</v>
      </c>
      <c r="H78" s="8">
        <v>44614</v>
      </c>
      <c r="I78" s="60"/>
      <c r="J78" s="51">
        <f t="shared" si="9"/>
        <v>30</v>
      </c>
      <c r="K78" s="51">
        <f t="shared" si="10"/>
        <v>31</v>
      </c>
      <c r="L78" s="51">
        <f t="shared" si="11"/>
        <v>30</v>
      </c>
      <c r="M78" s="52">
        <f t="shared" si="12"/>
        <v>31</v>
      </c>
      <c r="N78" s="51">
        <f t="shared" si="13"/>
        <v>31</v>
      </c>
      <c r="O78" s="51">
        <f t="shared" si="14"/>
        <v>30</v>
      </c>
      <c r="P78" s="51">
        <f t="shared" si="15"/>
        <v>31</v>
      </c>
      <c r="Q78" s="51">
        <f t="shared" si="16"/>
        <v>30</v>
      </c>
      <c r="R78" s="51">
        <f t="shared" si="17"/>
        <v>31</v>
      </c>
      <c r="S78" s="53">
        <f>IF(G78="事业部",LOOKUP(M78,基础设置!$T$2:$T$6,基础设置!$U$2:$U$6),IF(G78="总部",LOOKUP(M78,基础设置!$T$8:$T$13,基础设置!$V$8:$V$13),IF(G78="拓展部",LOOKUP(M78,基础设置!$T$8:$T$13,基础设置!$W$8:$W$13),5000)))</f>
        <v>4</v>
      </c>
    </row>
    <row r="79" spans="1:20" x14ac:dyDescent="0.15">
      <c r="A79" s="57">
        <v>78</v>
      </c>
      <c r="B79" s="7" t="s">
        <v>57</v>
      </c>
      <c r="C79" s="7" t="s">
        <v>97</v>
      </c>
      <c r="D79" s="7" t="s">
        <v>21</v>
      </c>
      <c r="E79" s="7" t="s">
        <v>176</v>
      </c>
      <c r="F79" s="7" t="s">
        <v>96</v>
      </c>
      <c r="G79" s="50" t="s">
        <v>9</v>
      </c>
      <c r="H79" s="8">
        <v>44784</v>
      </c>
      <c r="I79" s="60"/>
      <c r="J79" s="51">
        <f t="shared" si="9"/>
        <v>30</v>
      </c>
      <c r="K79" s="51">
        <f t="shared" si="10"/>
        <v>31</v>
      </c>
      <c r="L79" s="51">
        <f t="shared" si="11"/>
        <v>30</v>
      </c>
      <c r="M79" s="52">
        <f t="shared" si="12"/>
        <v>31</v>
      </c>
      <c r="N79" s="51">
        <f t="shared" si="13"/>
        <v>31</v>
      </c>
      <c r="O79" s="51">
        <f t="shared" si="14"/>
        <v>30</v>
      </c>
      <c r="P79" s="51">
        <f t="shared" si="15"/>
        <v>31</v>
      </c>
      <c r="Q79" s="51">
        <f t="shared" si="16"/>
        <v>30</v>
      </c>
      <c r="R79" s="51">
        <f t="shared" si="17"/>
        <v>31</v>
      </c>
      <c r="S79" s="53">
        <f>IF(G79="事业部",LOOKUP(M79,基础设置!$T$2:$T$6,基础设置!$U$2:$U$6),IF(G79="总部",LOOKUP(M79,基础设置!$T$8:$T$13,基础设置!$V$8:$V$13),IF(G79="拓展部",LOOKUP(M79,基础设置!$T$8:$T$13,基础设置!$W$8:$W$13),5000)))</f>
        <v>4</v>
      </c>
    </row>
    <row r="80" spans="1:20" x14ac:dyDescent="0.15">
      <c r="A80" s="57">
        <v>79</v>
      </c>
      <c r="B80" s="7" t="s">
        <v>57</v>
      </c>
      <c r="C80" s="7" t="s">
        <v>35</v>
      </c>
      <c r="D80" s="7" t="s">
        <v>21</v>
      </c>
      <c r="E80" s="7" t="s">
        <v>177</v>
      </c>
      <c r="F80" s="7" t="s">
        <v>96</v>
      </c>
      <c r="G80" s="50" t="s">
        <v>9</v>
      </c>
      <c r="H80" s="8">
        <v>45352</v>
      </c>
      <c r="I80" s="60"/>
      <c r="J80" s="51">
        <f t="shared" si="9"/>
        <v>30</v>
      </c>
      <c r="K80" s="51">
        <f t="shared" si="10"/>
        <v>31</v>
      </c>
      <c r="L80" s="51">
        <f t="shared" si="11"/>
        <v>30</v>
      </c>
      <c r="M80" s="52">
        <f t="shared" si="12"/>
        <v>31</v>
      </c>
      <c r="N80" s="51">
        <f t="shared" si="13"/>
        <v>31</v>
      </c>
      <c r="O80" s="51">
        <f t="shared" si="14"/>
        <v>30</v>
      </c>
      <c r="P80" s="51">
        <f t="shared" si="15"/>
        <v>31</v>
      </c>
      <c r="Q80" s="51">
        <f t="shared" si="16"/>
        <v>30</v>
      </c>
      <c r="R80" s="51">
        <f t="shared" si="17"/>
        <v>31</v>
      </c>
      <c r="S80" s="53">
        <f>IF(G80="事业部",LOOKUP(M80,基础设置!$T$2:$T$6,基础设置!$U$2:$U$6),IF(G80="总部",LOOKUP(M80,基础设置!$T$8:$T$13,基础设置!$V$8:$V$13),IF(G80="拓展部",LOOKUP(M80,基础设置!$T$8:$T$13,基础设置!$W$8:$W$13),5000)))</f>
        <v>4</v>
      </c>
    </row>
    <row r="81" spans="1:19" x14ac:dyDescent="0.15">
      <c r="A81" s="57">
        <v>80</v>
      </c>
      <c r="B81" s="7" t="s">
        <v>57</v>
      </c>
      <c r="C81" s="7" t="s">
        <v>35</v>
      </c>
      <c r="D81" s="7" t="s">
        <v>21</v>
      </c>
      <c r="E81" s="7" t="s">
        <v>178</v>
      </c>
      <c r="F81" s="7" t="s">
        <v>96</v>
      </c>
      <c r="G81" s="50" t="s">
        <v>9</v>
      </c>
      <c r="H81" s="8">
        <v>45475</v>
      </c>
      <c r="I81" s="60"/>
      <c r="J81" s="51">
        <f t="shared" si="9"/>
        <v>30</v>
      </c>
      <c r="K81" s="51">
        <f t="shared" si="10"/>
        <v>31</v>
      </c>
      <c r="L81" s="51">
        <f t="shared" si="11"/>
        <v>30</v>
      </c>
      <c r="M81" s="52">
        <f t="shared" si="12"/>
        <v>31</v>
      </c>
      <c r="N81" s="51">
        <f t="shared" si="13"/>
        <v>31</v>
      </c>
      <c r="O81" s="51">
        <f t="shared" si="14"/>
        <v>30</v>
      </c>
      <c r="P81" s="51">
        <f t="shared" si="15"/>
        <v>31</v>
      </c>
      <c r="Q81" s="51">
        <f t="shared" si="16"/>
        <v>30</v>
      </c>
      <c r="R81" s="51">
        <f t="shared" si="17"/>
        <v>31</v>
      </c>
      <c r="S81" s="53">
        <f>IF(G81="事业部",LOOKUP(M81,基础设置!$T$2:$T$6,基础设置!$U$2:$U$6),IF(G81="总部",LOOKUP(M81,基础设置!$T$8:$T$13,基础设置!$V$8:$V$13),IF(G81="拓展部",LOOKUP(M81,基础设置!$T$8:$T$13,基础设置!$W$8:$W$13),5000)))</f>
        <v>4</v>
      </c>
    </row>
    <row r="82" spans="1:19" x14ac:dyDescent="0.15">
      <c r="A82" s="57">
        <v>81</v>
      </c>
      <c r="B82" s="7" t="s">
        <v>57</v>
      </c>
      <c r="C82" s="7" t="s">
        <v>35</v>
      </c>
      <c r="D82" s="7" t="s">
        <v>21</v>
      </c>
      <c r="E82" s="7" t="s">
        <v>179</v>
      </c>
      <c r="F82" s="7" t="s">
        <v>96</v>
      </c>
      <c r="G82" s="50" t="s">
        <v>9</v>
      </c>
      <c r="H82" s="8">
        <v>45503</v>
      </c>
      <c r="I82" s="60"/>
      <c r="J82" s="51">
        <f t="shared" si="9"/>
        <v>30</v>
      </c>
      <c r="K82" s="51">
        <f t="shared" si="10"/>
        <v>31</v>
      </c>
      <c r="L82" s="51">
        <f t="shared" si="11"/>
        <v>30</v>
      </c>
      <c r="M82" s="52">
        <f t="shared" si="12"/>
        <v>31</v>
      </c>
      <c r="N82" s="51">
        <f t="shared" si="13"/>
        <v>31</v>
      </c>
      <c r="O82" s="51">
        <f t="shared" si="14"/>
        <v>30</v>
      </c>
      <c r="P82" s="51">
        <f t="shared" si="15"/>
        <v>31</v>
      </c>
      <c r="Q82" s="51">
        <f t="shared" si="16"/>
        <v>30</v>
      </c>
      <c r="R82" s="51">
        <f t="shared" si="17"/>
        <v>31</v>
      </c>
      <c r="S82" s="53">
        <f>IF(G82="事业部",LOOKUP(M82,基础设置!$T$2:$T$6,基础设置!$U$2:$U$6),IF(G82="总部",LOOKUP(M82,基础设置!$T$8:$T$13,基础设置!$V$8:$V$13),IF(G82="拓展部",LOOKUP(M82,基础设置!$T$8:$T$13,基础设置!$W$8:$W$13),5000)))</f>
        <v>4</v>
      </c>
    </row>
    <row r="83" spans="1:19" x14ac:dyDescent="0.15">
      <c r="A83" s="57">
        <v>82</v>
      </c>
      <c r="B83" s="62" t="s">
        <v>22</v>
      </c>
      <c r="C83" s="7" t="s">
        <v>35</v>
      </c>
      <c r="D83" s="7" t="s">
        <v>21</v>
      </c>
      <c r="E83" s="7" t="s">
        <v>180</v>
      </c>
      <c r="F83" s="7" t="s">
        <v>96</v>
      </c>
      <c r="G83" s="50" t="s">
        <v>9</v>
      </c>
      <c r="H83" s="8">
        <v>45693</v>
      </c>
      <c r="I83" s="60"/>
      <c r="J83" s="51">
        <f t="shared" si="9"/>
        <v>30</v>
      </c>
      <c r="K83" s="51">
        <f t="shared" si="10"/>
        <v>31</v>
      </c>
      <c r="L83" s="51">
        <f t="shared" si="11"/>
        <v>30</v>
      </c>
      <c r="M83" s="52">
        <f t="shared" si="12"/>
        <v>31</v>
      </c>
      <c r="N83" s="51">
        <f t="shared" si="13"/>
        <v>31</v>
      </c>
      <c r="O83" s="51">
        <f t="shared" si="14"/>
        <v>30</v>
      </c>
      <c r="P83" s="51">
        <f t="shared" si="15"/>
        <v>31</v>
      </c>
      <c r="Q83" s="51">
        <f t="shared" si="16"/>
        <v>30</v>
      </c>
      <c r="R83" s="51">
        <f t="shared" si="17"/>
        <v>31</v>
      </c>
      <c r="S83" s="53">
        <f>IF(G83="事业部",LOOKUP(M83,基础设置!$T$2:$T$6,基础设置!$U$2:$U$6),IF(G83="总部",LOOKUP(M83,基础设置!$T$8:$T$13,基础设置!$V$8:$V$13),IF(G83="拓展部",LOOKUP(M83,基础设置!$T$8:$T$13,基础设置!$W$8:$W$13),5000)))</f>
        <v>4</v>
      </c>
    </row>
    <row r="84" spans="1:19" x14ac:dyDescent="0.15">
      <c r="A84" s="57">
        <v>83</v>
      </c>
      <c r="B84" s="7" t="s">
        <v>57</v>
      </c>
      <c r="C84" s="7" t="s">
        <v>35</v>
      </c>
      <c r="D84" s="7" t="s">
        <v>21</v>
      </c>
      <c r="E84" s="7" t="s">
        <v>181</v>
      </c>
      <c r="F84" s="7" t="s">
        <v>96</v>
      </c>
      <c r="G84" s="50" t="s">
        <v>9</v>
      </c>
      <c r="H84" s="8">
        <v>45729</v>
      </c>
      <c r="I84" s="60"/>
      <c r="J84" s="51">
        <f t="shared" si="9"/>
        <v>30</v>
      </c>
      <c r="K84" s="51">
        <f t="shared" si="10"/>
        <v>31</v>
      </c>
      <c r="L84" s="51">
        <f t="shared" si="11"/>
        <v>30</v>
      </c>
      <c r="M84" s="52">
        <f t="shared" si="12"/>
        <v>31</v>
      </c>
      <c r="N84" s="51">
        <f t="shared" si="13"/>
        <v>31</v>
      </c>
      <c r="O84" s="51">
        <f t="shared" si="14"/>
        <v>30</v>
      </c>
      <c r="P84" s="51">
        <f t="shared" si="15"/>
        <v>31</v>
      </c>
      <c r="Q84" s="51">
        <f t="shared" si="16"/>
        <v>30</v>
      </c>
      <c r="R84" s="51">
        <f t="shared" si="17"/>
        <v>31</v>
      </c>
      <c r="S84" s="53">
        <f>IF(G84="事业部",LOOKUP(M84,基础设置!$T$2:$T$6,基础设置!$U$2:$U$6),IF(G84="总部",LOOKUP(M84,基础设置!$T$8:$T$13,基础设置!$V$8:$V$13),IF(G84="拓展部",LOOKUP(M84,基础设置!$T$8:$T$13,基础设置!$W$8:$W$13),5000)))</f>
        <v>4</v>
      </c>
    </row>
    <row r="85" spans="1:19" x14ac:dyDescent="0.15">
      <c r="A85" s="57">
        <v>84</v>
      </c>
      <c r="B85" s="7" t="s">
        <v>59</v>
      </c>
      <c r="C85" s="7" t="s">
        <v>94</v>
      </c>
      <c r="D85" s="7" t="s">
        <v>30</v>
      </c>
      <c r="E85" s="7" t="s">
        <v>182</v>
      </c>
      <c r="F85" s="7" t="s">
        <v>96</v>
      </c>
      <c r="G85" s="50" t="s">
        <v>9</v>
      </c>
      <c r="H85" s="8">
        <v>44965</v>
      </c>
      <c r="I85" s="60"/>
      <c r="J85" s="51">
        <f t="shared" si="9"/>
        <v>30</v>
      </c>
      <c r="K85" s="51">
        <f t="shared" si="10"/>
        <v>31</v>
      </c>
      <c r="L85" s="51">
        <f t="shared" si="11"/>
        <v>30</v>
      </c>
      <c r="M85" s="52">
        <f t="shared" si="12"/>
        <v>31</v>
      </c>
      <c r="N85" s="51">
        <f t="shared" si="13"/>
        <v>31</v>
      </c>
      <c r="O85" s="51">
        <f t="shared" si="14"/>
        <v>30</v>
      </c>
      <c r="P85" s="51">
        <f t="shared" si="15"/>
        <v>31</v>
      </c>
      <c r="Q85" s="51">
        <f t="shared" si="16"/>
        <v>30</v>
      </c>
      <c r="R85" s="51">
        <f t="shared" si="17"/>
        <v>31</v>
      </c>
      <c r="S85" s="53">
        <f>IF(G85="事业部",LOOKUP(M85,基础设置!$T$2:$T$6,基础设置!$U$2:$U$6),IF(G85="总部",LOOKUP(M85,基础设置!$T$8:$T$13,基础设置!$V$8:$V$13),IF(G85="拓展部",LOOKUP(M85,基础设置!$T$8:$T$13,基础设置!$W$8:$W$13),5000)))</f>
        <v>4</v>
      </c>
    </row>
    <row r="86" spans="1:19" x14ac:dyDescent="0.15">
      <c r="A86" s="57">
        <v>85</v>
      </c>
      <c r="B86" s="7" t="s">
        <v>59</v>
      </c>
      <c r="C86" s="7" t="s">
        <v>97</v>
      </c>
      <c r="D86" s="7" t="s">
        <v>21</v>
      </c>
      <c r="E86" s="7" t="s">
        <v>183</v>
      </c>
      <c r="F86" s="7" t="s">
        <v>96</v>
      </c>
      <c r="G86" s="50" t="s">
        <v>9</v>
      </c>
      <c r="H86" s="8">
        <v>45024</v>
      </c>
      <c r="I86" s="60"/>
      <c r="J86" s="51">
        <f t="shared" si="9"/>
        <v>30</v>
      </c>
      <c r="K86" s="51">
        <f t="shared" si="10"/>
        <v>31</v>
      </c>
      <c r="L86" s="51">
        <f t="shared" si="11"/>
        <v>30</v>
      </c>
      <c r="M86" s="52">
        <f t="shared" si="12"/>
        <v>31</v>
      </c>
      <c r="N86" s="51">
        <f t="shared" si="13"/>
        <v>31</v>
      </c>
      <c r="O86" s="51">
        <f t="shared" si="14"/>
        <v>30</v>
      </c>
      <c r="P86" s="51">
        <f t="shared" si="15"/>
        <v>31</v>
      </c>
      <c r="Q86" s="51">
        <f t="shared" si="16"/>
        <v>30</v>
      </c>
      <c r="R86" s="51">
        <f t="shared" si="17"/>
        <v>31</v>
      </c>
      <c r="S86" s="53">
        <f>IF(G86="事业部",LOOKUP(M86,基础设置!$T$2:$T$6,基础设置!$U$2:$U$6),IF(G86="总部",LOOKUP(M86,基础设置!$T$8:$T$13,基础设置!$V$8:$V$13),IF(G86="拓展部",LOOKUP(M86,基础设置!$T$8:$T$13,基础设置!$W$8:$W$13),5000)))</f>
        <v>4</v>
      </c>
    </row>
    <row r="87" spans="1:19" x14ac:dyDescent="0.15">
      <c r="A87" s="57">
        <v>86</v>
      </c>
      <c r="B87" s="7" t="s">
        <v>59</v>
      </c>
      <c r="C87" s="7" t="s">
        <v>35</v>
      </c>
      <c r="D87" s="7" t="s">
        <v>21</v>
      </c>
      <c r="E87" s="7" t="s">
        <v>184</v>
      </c>
      <c r="F87" s="7" t="s">
        <v>96</v>
      </c>
      <c r="G87" s="50" t="s">
        <v>9</v>
      </c>
      <c r="H87" s="8">
        <v>44620</v>
      </c>
      <c r="I87" s="60"/>
      <c r="J87" s="51">
        <f t="shared" si="9"/>
        <v>30</v>
      </c>
      <c r="K87" s="51">
        <f t="shared" si="10"/>
        <v>31</v>
      </c>
      <c r="L87" s="51">
        <f t="shared" si="11"/>
        <v>30</v>
      </c>
      <c r="M87" s="52">
        <f t="shared" si="12"/>
        <v>31</v>
      </c>
      <c r="N87" s="51">
        <f t="shared" si="13"/>
        <v>31</v>
      </c>
      <c r="O87" s="51">
        <f t="shared" si="14"/>
        <v>30</v>
      </c>
      <c r="P87" s="51">
        <f t="shared" si="15"/>
        <v>31</v>
      </c>
      <c r="Q87" s="51">
        <f t="shared" si="16"/>
        <v>30</v>
      </c>
      <c r="R87" s="51">
        <f t="shared" si="17"/>
        <v>31</v>
      </c>
      <c r="S87" s="53">
        <f>IF(G87="事业部",LOOKUP(M87,基础设置!$T$2:$T$6,基础设置!$U$2:$U$6),IF(G87="总部",LOOKUP(M87,基础设置!$T$8:$T$13,基础设置!$V$8:$V$13),IF(G87="拓展部",LOOKUP(M87,基础设置!$T$8:$T$13,基础设置!$W$8:$W$13),5000)))</f>
        <v>4</v>
      </c>
    </row>
    <row r="88" spans="1:19" x14ac:dyDescent="0.15">
      <c r="A88" s="57">
        <v>87</v>
      </c>
      <c r="B88" s="7" t="s">
        <v>59</v>
      </c>
      <c r="C88" s="7" t="s">
        <v>35</v>
      </c>
      <c r="D88" s="7" t="s">
        <v>21</v>
      </c>
      <c r="E88" s="7" t="s">
        <v>185</v>
      </c>
      <c r="F88" s="7" t="s">
        <v>96</v>
      </c>
      <c r="G88" s="50" t="s">
        <v>9</v>
      </c>
      <c r="H88" s="8">
        <v>45346</v>
      </c>
      <c r="I88" s="60"/>
      <c r="J88" s="51">
        <f t="shared" si="9"/>
        <v>30</v>
      </c>
      <c r="K88" s="51">
        <f t="shared" si="10"/>
        <v>31</v>
      </c>
      <c r="L88" s="51">
        <f t="shared" si="11"/>
        <v>30</v>
      </c>
      <c r="M88" s="52">
        <f t="shared" si="12"/>
        <v>31</v>
      </c>
      <c r="N88" s="51">
        <f t="shared" si="13"/>
        <v>31</v>
      </c>
      <c r="O88" s="51">
        <f t="shared" si="14"/>
        <v>30</v>
      </c>
      <c r="P88" s="51">
        <f t="shared" si="15"/>
        <v>31</v>
      </c>
      <c r="Q88" s="51">
        <f t="shared" si="16"/>
        <v>30</v>
      </c>
      <c r="R88" s="51">
        <f t="shared" si="17"/>
        <v>31</v>
      </c>
      <c r="S88" s="53">
        <f>IF(G88="事业部",LOOKUP(M88,基础设置!$T$2:$T$6,基础设置!$U$2:$U$6),IF(G88="总部",LOOKUP(M88,基础设置!$T$8:$T$13,基础设置!$V$8:$V$13),IF(G88="拓展部",LOOKUP(M88,基础设置!$T$8:$T$13,基础设置!$W$8:$W$13),5000)))</f>
        <v>4</v>
      </c>
    </row>
    <row r="89" spans="1:19" x14ac:dyDescent="0.15">
      <c r="A89" s="57">
        <v>88</v>
      </c>
      <c r="B89" s="7" t="s">
        <v>59</v>
      </c>
      <c r="C89" s="7" t="s">
        <v>35</v>
      </c>
      <c r="D89" s="7" t="s">
        <v>21</v>
      </c>
      <c r="E89" s="7" t="s">
        <v>186</v>
      </c>
      <c r="F89" s="7" t="s">
        <v>96</v>
      </c>
      <c r="G89" s="50" t="s">
        <v>9</v>
      </c>
      <c r="H89" s="8">
        <v>45601</v>
      </c>
      <c r="I89" s="60"/>
      <c r="J89" s="51">
        <f t="shared" si="9"/>
        <v>30</v>
      </c>
      <c r="K89" s="51">
        <f t="shared" si="10"/>
        <v>31</v>
      </c>
      <c r="L89" s="51">
        <f t="shared" si="11"/>
        <v>30</v>
      </c>
      <c r="M89" s="52">
        <f t="shared" si="12"/>
        <v>31</v>
      </c>
      <c r="N89" s="51">
        <f t="shared" si="13"/>
        <v>31</v>
      </c>
      <c r="O89" s="51">
        <f t="shared" si="14"/>
        <v>30</v>
      </c>
      <c r="P89" s="51">
        <f t="shared" si="15"/>
        <v>31</v>
      </c>
      <c r="Q89" s="51">
        <f t="shared" si="16"/>
        <v>30</v>
      </c>
      <c r="R89" s="51">
        <f t="shared" si="17"/>
        <v>31</v>
      </c>
      <c r="S89" s="53">
        <f>IF(G89="事业部",LOOKUP(M89,基础设置!$T$2:$T$6,基础设置!$U$2:$U$6),IF(G89="总部",LOOKUP(M89,基础设置!$T$8:$T$13,基础设置!$V$8:$V$13),IF(G89="拓展部",LOOKUP(M89,基础设置!$T$8:$T$13,基础设置!$W$8:$W$13),5000)))</f>
        <v>4</v>
      </c>
    </row>
    <row r="90" spans="1:19" x14ac:dyDescent="0.15">
      <c r="A90" s="57">
        <v>89</v>
      </c>
      <c r="B90" s="7" t="s">
        <v>59</v>
      </c>
      <c r="C90" s="7" t="s">
        <v>35</v>
      </c>
      <c r="D90" s="7" t="s">
        <v>21</v>
      </c>
      <c r="E90" s="7" t="s">
        <v>187</v>
      </c>
      <c r="F90" s="7" t="s">
        <v>96</v>
      </c>
      <c r="G90" s="50" t="s">
        <v>9</v>
      </c>
      <c r="H90" s="8">
        <v>45700</v>
      </c>
      <c r="I90" s="60"/>
      <c r="J90" s="51">
        <f t="shared" si="9"/>
        <v>30</v>
      </c>
      <c r="K90" s="51">
        <f t="shared" si="10"/>
        <v>31</v>
      </c>
      <c r="L90" s="51">
        <f t="shared" si="11"/>
        <v>30</v>
      </c>
      <c r="M90" s="52">
        <f t="shared" si="12"/>
        <v>31</v>
      </c>
      <c r="N90" s="51">
        <f t="shared" si="13"/>
        <v>31</v>
      </c>
      <c r="O90" s="51">
        <f t="shared" si="14"/>
        <v>30</v>
      </c>
      <c r="P90" s="51">
        <f t="shared" si="15"/>
        <v>31</v>
      </c>
      <c r="Q90" s="51">
        <f t="shared" si="16"/>
        <v>30</v>
      </c>
      <c r="R90" s="51">
        <f t="shared" si="17"/>
        <v>31</v>
      </c>
      <c r="S90" s="53">
        <f>IF(G90="事业部",LOOKUP(M90,基础设置!$T$2:$T$6,基础设置!$U$2:$U$6),IF(G90="总部",LOOKUP(M90,基础设置!$T$8:$T$13,基础设置!$V$8:$V$13),IF(G90="拓展部",LOOKUP(M90,基础设置!$T$8:$T$13,基础设置!$W$8:$W$13),5000)))</f>
        <v>4</v>
      </c>
    </row>
    <row r="91" spans="1:19" x14ac:dyDescent="0.15">
      <c r="A91" s="57">
        <v>90</v>
      </c>
      <c r="B91" s="7" t="s">
        <v>59</v>
      </c>
      <c r="C91" s="7" t="s">
        <v>35</v>
      </c>
      <c r="D91" s="7" t="s">
        <v>21</v>
      </c>
      <c r="E91" s="7" t="s">
        <v>188</v>
      </c>
      <c r="F91" s="7" t="s">
        <v>36</v>
      </c>
      <c r="G91" s="50" t="s">
        <v>9</v>
      </c>
      <c r="H91" s="8">
        <v>45719</v>
      </c>
      <c r="I91" s="8">
        <v>45831</v>
      </c>
      <c r="J91" s="51">
        <f t="shared" si="9"/>
        <v>30</v>
      </c>
      <c r="K91" s="51">
        <f t="shared" si="10"/>
        <v>31</v>
      </c>
      <c r="L91" s="51">
        <f t="shared" si="11"/>
        <v>23</v>
      </c>
      <c r="M91" s="52">
        <f t="shared" si="12"/>
        <v>0</v>
      </c>
      <c r="N91" s="51">
        <f t="shared" si="13"/>
        <v>0</v>
      </c>
      <c r="O91" s="51">
        <f t="shared" si="14"/>
        <v>0</v>
      </c>
      <c r="P91" s="51">
        <f t="shared" si="15"/>
        <v>0</v>
      </c>
      <c r="Q91" s="51">
        <f t="shared" si="16"/>
        <v>0</v>
      </c>
      <c r="R91" s="51">
        <f t="shared" si="17"/>
        <v>0</v>
      </c>
      <c r="S91" s="53">
        <f>IF(G91="事业部",LOOKUP(M91,基础设置!$T$2:$T$6,基础设置!$U$2:$U$6),IF(G91="总部",LOOKUP(M91,基础设置!$T$8:$T$13,基础设置!$V$8:$V$13),IF(G91="拓展部",LOOKUP(M91,基础设置!$T$8:$T$13,基础设置!$W$8:$W$13),5000)))</f>
        <v>0</v>
      </c>
    </row>
    <row r="92" spans="1:19" x14ac:dyDescent="0.15">
      <c r="A92" s="57">
        <v>91</v>
      </c>
      <c r="B92" s="7" t="s">
        <v>59</v>
      </c>
      <c r="C92" s="7" t="s">
        <v>35</v>
      </c>
      <c r="D92" s="7" t="s">
        <v>21</v>
      </c>
      <c r="E92" s="7" t="s">
        <v>189</v>
      </c>
      <c r="F92" s="7" t="s">
        <v>36</v>
      </c>
      <c r="G92" s="50" t="s">
        <v>9</v>
      </c>
      <c r="H92" s="8">
        <v>45732</v>
      </c>
      <c r="I92" s="60">
        <v>45855</v>
      </c>
      <c r="J92" s="51">
        <f t="shared" si="9"/>
        <v>30</v>
      </c>
      <c r="K92" s="51">
        <f t="shared" si="10"/>
        <v>31</v>
      </c>
      <c r="L92" s="51">
        <f t="shared" si="11"/>
        <v>30</v>
      </c>
      <c r="M92" s="52">
        <f t="shared" si="12"/>
        <v>17</v>
      </c>
      <c r="N92" s="51">
        <f t="shared" si="13"/>
        <v>0</v>
      </c>
      <c r="O92" s="51">
        <f t="shared" si="14"/>
        <v>0</v>
      </c>
      <c r="P92" s="51">
        <f t="shared" si="15"/>
        <v>0</v>
      </c>
      <c r="Q92" s="51">
        <f t="shared" si="16"/>
        <v>0</v>
      </c>
      <c r="R92" s="51">
        <f t="shared" si="17"/>
        <v>0</v>
      </c>
      <c r="S92" s="53">
        <f>IF(G92="事业部",LOOKUP(M92,基础设置!$T$2:$T$6,基础设置!$U$2:$U$6),IF(G92="总部",LOOKUP(M92,基础设置!$T$8:$T$13,基础设置!$V$8:$V$13),IF(G92="拓展部",LOOKUP(M92,基础设置!$T$8:$T$13,基础设置!$W$8:$W$13),5000)))</f>
        <v>2</v>
      </c>
    </row>
    <row r="93" spans="1:19" x14ac:dyDescent="0.15">
      <c r="A93" s="57">
        <v>92</v>
      </c>
      <c r="B93" s="7" t="s">
        <v>61</v>
      </c>
      <c r="C93" s="7" t="s">
        <v>94</v>
      </c>
      <c r="D93" s="7" t="s">
        <v>30</v>
      </c>
      <c r="E93" s="7" t="s">
        <v>190</v>
      </c>
      <c r="F93" s="7" t="s">
        <v>96</v>
      </c>
      <c r="G93" s="50" t="s">
        <v>9</v>
      </c>
      <c r="H93" s="8">
        <v>44146</v>
      </c>
      <c r="I93" s="60"/>
      <c r="J93" s="51">
        <f t="shared" si="9"/>
        <v>30</v>
      </c>
      <c r="K93" s="51">
        <f t="shared" si="10"/>
        <v>31</v>
      </c>
      <c r="L93" s="51">
        <f t="shared" si="11"/>
        <v>30</v>
      </c>
      <c r="M93" s="52">
        <f t="shared" si="12"/>
        <v>31</v>
      </c>
      <c r="N93" s="51">
        <f t="shared" si="13"/>
        <v>31</v>
      </c>
      <c r="O93" s="51">
        <f t="shared" si="14"/>
        <v>30</v>
      </c>
      <c r="P93" s="51">
        <f t="shared" si="15"/>
        <v>31</v>
      </c>
      <c r="Q93" s="51">
        <f t="shared" si="16"/>
        <v>30</v>
      </c>
      <c r="R93" s="51">
        <f t="shared" si="17"/>
        <v>31</v>
      </c>
      <c r="S93" s="53">
        <f>IF(G93="事业部",LOOKUP(M93,基础设置!$T$2:$T$6,基础设置!$U$2:$U$6),IF(G93="总部",LOOKUP(M93,基础设置!$T$8:$T$13,基础设置!$V$8:$V$13),IF(G93="拓展部",LOOKUP(M93,基础设置!$T$8:$T$13,基础设置!$W$8:$W$13),5000)))</f>
        <v>4</v>
      </c>
    </row>
    <row r="94" spans="1:19" x14ac:dyDescent="0.15">
      <c r="A94" s="57">
        <v>93</v>
      </c>
      <c r="B94" s="7" t="s">
        <v>61</v>
      </c>
      <c r="C94" s="7" t="s">
        <v>140</v>
      </c>
      <c r="D94" s="7" t="s">
        <v>30</v>
      </c>
      <c r="E94" s="7" t="s">
        <v>191</v>
      </c>
      <c r="F94" s="7" t="s">
        <v>96</v>
      </c>
      <c r="G94" s="50" t="s">
        <v>9</v>
      </c>
      <c r="H94" s="8">
        <v>44964</v>
      </c>
      <c r="I94" s="60"/>
      <c r="J94" s="51">
        <f t="shared" si="9"/>
        <v>30</v>
      </c>
      <c r="K94" s="51">
        <f t="shared" si="10"/>
        <v>31</v>
      </c>
      <c r="L94" s="51">
        <f t="shared" si="11"/>
        <v>30</v>
      </c>
      <c r="M94" s="52">
        <f t="shared" si="12"/>
        <v>31</v>
      </c>
      <c r="N94" s="51">
        <f t="shared" si="13"/>
        <v>31</v>
      </c>
      <c r="O94" s="51">
        <f t="shared" si="14"/>
        <v>30</v>
      </c>
      <c r="P94" s="51">
        <f t="shared" si="15"/>
        <v>31</v>
      </c>
      <c r="Q94" s="51">
        <f t="shared" si="16"/>
        <v>30</v>
      </c>
      <c r="R94" s="51">
        <f t="shared" si="17"/>
        <v>31</v>
      </c>
      <c r="S94" s="53">
        <f>IF(G94="事业部",LOOKUP(M94,基础设置!$T$2:$T$6,基础设置!$U$2:$U$6),IF(G94="总部",LOOKUP(M94,基础设置!$T$8:$T$13,基础设置!$V$8:$V$13),IF(G94="拓展部",LOOKUP(M94,基础设置!$T$8:$T$13,基础设置!$W$8:$W$13),5000)))</f>
        <v>4</v>
      </c>
    </row>
    <row r="95" spans="1:19" x14ac:dyDescent="0.15">
      <c r="A95" s="57">
        <v>94</v>
      </c>
      <c r="B95" s="7" t="s">
        <v>61</v>
      </c>
      <c r="C95" s="7" t="s">
        <v>35</v>
      </c>
      <c r="D95" s="7" t="s">
        <v>21</v>
      </c>
      <c r="E95" s="7" t="s">
        <v>192</v>
      </c>
      <c r="F95" s="7" t="s">
        <v>96</v>
      </c>
      <c r="G95" s="50" t="s">
        <v>9</v>
      </c>
      <c r="H95" s="8">
        <v>45026</v>
      </c>
      <c r="I95" s="60"/>
      <c r="J95" s="51">
        <f t="shared" si="9"/>
        <v>30</v>
      </c>
      <c r="K95" s="51">
        <f t="shared" si="10"/>
        <v>31</v>
      </c>
      <c r="L95" s="51">
        <f t="shared" si="11"/>
        <v>30</v>
      </c>
      <c r="M95" s="52">
        <f t="shared" si="12"/>
        <v>31</v>
      </c>
      <c r="N95" s="51">
        <f t="shared" si="13"/>
        <v>31</v>
      </c>
      <c r="O95" s="51">
        <f t="shared" si="14"/>
        <v>30</v>
      </c>
      <c r="P95" s="51">
        <f t="shared" si="15"/>
        <v>31</v>
      </c>
      <c r="Q95" s="51">
        <f t="shared" si="16"/>
        <v>30</v>
      </c>
      <c r="R95" s="51">
        <f t="shared" si="17"/>
        <v>31</v>
      </c>
      <c r="S95" s="53">
        <f>IF(G95="事业部",LOOKUP(M95,基础设置!$T$2:$T$6,基础设置!$U$2:$U$6),IF(G95="总部",LOOKUP(M95,基础设置!$T$8:$T$13,基础设置!$V$8:$V$13),IF(G95="拓展部",LOOKUP(M95,基础设置!$T$8:$T$13,基础设置!$W$8:$W$13),5000)))</f>
        <v>4</v>
      </c>
    </row>
    <row r="96" spans="1:19" x14ac:dyDescent="0.15">
      <c r="A96" s="57">
        <v>95</v>
      </c>
      <c r="B96" s="7" t="s">
        <v>61</v>
      </c>
      <c r="C96" s="7" t="s">
        <v>35</v>
      </c>
      <c r="D96" s="7" t="s">
        <v>21</v>
      </c>
      <c r="E96" s="7" t="s">
        <v>193</v>
      </c>
      <c r="F96" s="7" t="s">
        <v>96</v>
      </c>
      <c r="G96" s="50" t="s">
        <v>9</v>
      </c>
      <c r="H96" s="8">
        <v>45230</v>
      </c>
      <c r="I96" s="60"/>
      <c r="J96" s="51">
        <f t="shared" si="9"/>
        <v>30</v>
      </c>
      <c r="K96" s="51">
        <f t="shared" si="10"/>
        <v>31</v>
      </c>
      <c r="L96" s="51">
        <f t="shared" si="11"/>
        <v>30</v>
      </c>
      <c r="M96" s="52">
        <f t="shared" si="12"/>
        <v>31</v>
      </c>
      <c r="N96" s="51">
        <f t="shared" si="13"/>
        <v>31</v>
      </c>
      <c r="O96" s="51">
        <f t="shared" si="14"/>
        <v>30</v>
      </c>
      <c r="P96" s="51">
        <f t="shared" si="15"/>
        <v>31</v>
      </c>
      <c r="Q96" s="51">
        <f t="shared" si="16"/>
        <v>30</v>
      </c>
      <c r="R96" s="51">
        <f t="shared" si="17"/>
        <v>31</v>
      </c>
      <c r="S96" s="53">
        <f>IF(G96="事业部",LOOKUP(M96,基础设置!$T$2:$T$6,基础设置!$U$2:$U$6),IF(G96="总部",LOOKUP(M96,基础设置!$T$8:$T$13,基础设置!$V$8:$V$13),IF(G96="拓展部",LOOKUP(M96,基础设置!$T$8:$T$13,基础设置!$W$8:$W$13),5000)))</f>
        <v>4</v>
      </c>
    </row>
    <row r="97" spans="1:20" x14ac:dyDescent="0.15">
      <c r="A97" s="57">
        <v>96</v>
      </c>
      <c r="B97" s="7" t="s">
        <v>61</v>
      </c>
      <c r="C97" s="7" t="s">
        <v>35</v>
      </c>
      <c r="D97" s="7" t="s">
        <v>21</v>
      </c>
      <c r="E97" s="7" t="s">
        <v>194</v>
      </c>
      <c r="F97" s="7" t="s">
        <v>96</v>
      </c>
      <c r="G97" s="50" t="s">
        <v>9</v>
      </c>
      <c r="H97" s="8">
        <v>45621</v>
      </c>
      <c r="I97" s="60"/>
      <c r="J97" s="51">
        <f t="shared" si="9"/>
        <v>30</v>
      </c>
      <c r="K97" s="51">
        <f t="shared" si="10"/>
        <v>31</v>
      </c>
      <c r="L97" s="51">
        <f t="shared" si="11"/>
        <v>30</v>
      </c>
      <c r="M97" s="52">
        <f t="shared" si="12"/>
        <v>31</v>
      </c>
      <c r="N97" s="51">
        <f t="shared" si="13"/>
        <v>31</v>
      </c>
      <c r="O97" s="51">
        <f t="shared" si="14"/>
        <v>30</v>
      </c>
      <c r="P97" s="51">
        <f t="shared" si="15"/>
        <v>31</v>
      </c>
      <c r="Q97" s="51">
        <f t="shared" si="16"/>
        <v>30</v>
      </c>
      <c r="R97" s="51">
        <f t="shared" si="17"/>
        <v>31</v>
      </c>
      <c r="S97" s="53">
        <f>IF(G97="事业部",LOOKUP(M97,基础设置!$T$2:$T$6,基础设置!$U$2:$U$6),IF(G97="总部",LOOKUP(M97,基础设置!$T$8:$T$13,基础设置!$V$8:$V$13),IF(G97="拓展部",LOOKUP(M97,基础设置!$T$8:$T$13,基础设置!$W$8:$W$13),5000)))</f>
        <v>4</v>
      </c>
    </row>
    <row r="98" spans="1:20" x14ac:dyDescent="0.15">
      <c r="A98" s="57">
        <v>97</v>
      </c>
      <c r="B98" s="7" t="s">
        <v>61</v>
      </c>
      <c r="C98" s="7" t="s">
        <v>35</v>
      </c>
      <c r="D98" s="7" t="s">
        <v>21</v>
      </c>
      <c r="E98" s="7" t="s">
        <v>195</v>
      </c>
      <c r="F98" s="7" t="s">
        <v>96</v>
      </c>
      <c r="G98" s="50" t="s">
        <v>9</v>
      </c>
      <c r="H98" s="8">
        <v>45695</v>
      </c>
      <c r="I98" s="60"/>
      <c r="J98" s="51">
        <f t="shared" si="9"/>
        <v>30</v>
      </c>
      <c r="K98" s="51">
        <f t="shared" si="10"/>
        <v>31</v>
      </c>
      <c r="L98" s="51">
        <f t="shared" si="11"/>
        <v>30</v>
      </c>
      <c r="M98" s="52">
        <f t="shared" si="12"/>
        <v>31</v>
      </c>
      <c r="N98" s="51">
        <f t="shared" si="13"/>
        <v>31</v>
      </c>
      <c r="O98" s="51">
        <f t="shared" si="14"/>
        <v>30</v>
      </c>
      <c r="P98" s="51">
        <f t="shared" si="15"/>
        <v>31</v>
      </c>
      <c r="Q98" s="51">
        <f t="shared" si="16"/>
        <v>30</v>
      </c>
      <c r="R98" s="51">
        <f t="shared" si="17"/>
        <v>31</v>
      </c>
      <c r="S98" s="53">
        <f>IF(G98="事业部",LOOKUP(M98,基础设置!$T$2:$T$6,基础设置!$U$2:$U$6),IF(G98="总部",LOOKUP(M98,基础设置!$T$8:$T$13,基础设置!$V$8:$V$13),IF(G98="拓展部",LOOKUP(M98,基础设置!$T$8:$T$13,基础设置!$W$8:$W$13),5000)))</f>
        <v>4</v>
      </c>
    </row>
    <row r="99" spans="1:20" x14ac:dyDescent="0.15">
      <c r="A99" s="57">
        <v>98</v>
      </c>
      <c r="B99" s="7" t="s">
        <v>61</v>
      </c>
      <c r="C99" s="7" t="s">
        <v>35</v>
      </c>
      <c r="D99" s="7" t="s">
        <v>21</v>
      </c>
      <c r="E99" s="8" t="s">
        <v>196</v>
      </c>
      <c r="F99" s="7" t="s">
        <v>96</v>
      </c>
      <c r="G99" s="50" t="s">
        <v>9</v>
      </c>
      <c r="H99" s="8">
        <v>45821</v>
      </c>
      <c r="I99" s="60"/>
      <c r="J99" s="51">
        <f t="shared" si="9"/>
        <v>0</v>
      </c>
      <c r="K99" s="51">
        <f t="shared" si="10"/>
        <v>0</v>
      </c>
      <c r="L99" s="51">
        <f t="shared" si="11"/>
        <v>18</v>
      </c>
      <c r="M99" s="52">
        <f t="shared" si="12"/>
        <v>31</v>
      </c>
      <c r="N99" s="51">
        <f t="shared" si="13"/>
        <v>31</v>
      </c>
      <c r="O99" s="51">
        <f t="shared" si="14"/>
        <v>30</v>
      </c>
      <c r="P99" s="51">
        <f t="shared" si="15"/>
        <v>31</v>
      </c>
      <c r="Q99" s="51">
        <f t="shared" si="16"/>
        <v>30</v>
      </c>
      <c r="R99" s="51">
        <f t="shared" si="17"/>
        <v>31</v>
      </c>
      <c r="S99" s="53">
        <f>IF(G99="事业部",LOOKUP(M99,基础设置!$T$2:$T$6,基础设置!$U$2:$U$6),IF(G99="总部",LOOKUP(M99,基础设置!$T$8:$T$13,基础设置!$V$8:$V$13),IF(G99="拓展部",LOOKUP(M99,基础设置!$T$8:$T$13,基础设置!$W$8:$W$13),5000)))</f>
        <v>4</v>
      </c>
      <c r="T99" s="53">
        <v>3500</v>
      </c>
    </row>
    <row r="100" spans="1:20" x14ac:dyDescent="0.15">
      <c r="A100" s="57">
        <v>99</v>
      </c>
      <c r="B100" s="7" t="s">
        <v>63</v>
      </c>
      <c r="C100" s="7" t="s">
        <v>94</v>
      </c>
      <c r="D100" s="7" t="s">
        <v>30</v>
      </c>
      <c r="E100" s="7" t="s">
        <v>197</v>
      </c>
      <c r="F100" s="7" t="s">
        <v>96</v>
      </c>
      <c r="G100" s="50" t="s">
        <v>9</v>
      </c>
      <c r="H100" s="8">
        <v>44725</v>
      </c>
      <c r="I100" s="60"/>
      <c r="J100" s="51">
        <f t="shared" si="9"/>
        <v>30</v>
      </c>
      <c r="K100" s="51">
        <f t="shared" si="10"/>
        <v>31</v>
      </c>
      <c r="L100" s="51">
        <f t="shared" si="11"/>
        <v>30</v>
      </c>
      <c r="M100" s="52">
        <f t="shared" si="12"/>
        <v>31</v>
      </c>
      <c r="N100" s="51">
        <f t="shared" si="13"/>
        <v>31</v>
      </c>
      <c r="O100" s="51">
        <f t="shared" si="14"/>
        <v>30</v>
      </c>
      <c r="P100" s="51">
        <f t="shared" si="15"/>
        <v>31</v>
      </c>
      <c r="Q100" s="51">
        <f t="shared" si="16"/>
        <v>30</v>
      </c>
      <c r="R100" s="51">
        <f t="shared" si="17"/>
        <v>31</v>
      </c>
      <c r="S100" s="53">
        <f>IF(G100="事业部",LOOKUP(M100,基础设置!$T$2:$T$6,基础设置!$U$2:$U$6),IF(G100="总部",LOOKUP(M100,基础设置!$T$8:$T$13,基础设置!$V$8:$V$13),IF(G100="拓展部",LOOKUP(M100,基础设置!$T$8:$T$13,基础设置!$W$8:$W$13),5000)))</f>
        <v>4</v>
      </c>
    </row>
    <row r="101" spans="1:20" x14ac:dyDescent="0.15">
      <c r="A101" s="57">
        <v>100</v>
      </c>
      <c r="B101" s="7" t="s">
        <v>63</v>
      </c>
      <c r="C101" s="7" t="s">
        <v>97</v>
      </c>
      <c r="D101" s="7" t="s">
        <v>21</v>
      </c>
      <c r="E101" s="7" t="s">
        <v>198</v>
      </c>
      <c r="F101" s="7" t="s">
        <v>96</v>
      </c>
      <c r="G101" s="50" t="s">
        <v>9</v>
      </c>
      <c r="H101" s="8">
        <v>44687</v>
      </c>
      <c r="I101" s="60"/>
      <c r="J101" s="51">
        <f t="shared" si="9"/>
        <v>30</v>
      </c>
      <c r="K101" s="51">
        <f t="shared" si="10"/>
        <v>31</v>
      </c>
      <c r="L101" s="51">
        <f t="shared" si="11"/>
        <v>30</v>
      </c>
      <c r="M101" s="52">
        <f t="shared" si="12"/>
        <v>31</v>
      </c>
      <c r="N101" s="51">
        <f t="shared" si="13"/>
        <v>31</v>
      </c>
      <c r="O101" s="51">
        <f t="shared" si="14"/>
        <v>30</v>
      </c>
      <c r="P101" s="51">
        <f t="shared" si="15"/>
        <v>31</v>
      </c>
      <c r="Q101" s="51">
        <f t="shared" si="16"/>
        <v>30</v>
      </c>
      <c r="R101" s="51">
        <f t="shared" si="17"/>
        <v>31</v>
      </c>
      <c r="S101" s="53">
        <f>IF(G101="事业部",LOOKUP(M101,基础设置!$T$2:$T$6,基础设置!$U$2:$U$6),IF(G101="总部",LOOKUP(M101,基础设置!$T$8:$T$13,基础设置!$V$8:$V$13),IF(G101="拓展部",LOOKUP(M101,基础设置!$T$8:$T$13,基础设置!$W$8:$W$13),5000)))</f>
        <v>4</v>
      </c>
    </row>
    <row r="102" spans="1:20" x14ac:dyDescent="0.15">
      <c r="A102" s="57">
        <v>101</v>
      </c>
      <c r="B102" s="7" t="s">
        <v>63</v>
      </c>
      <c r="C102" s="7" t="s">
        <v>35</v>
      </c>
      <c r="D102" s="7" t="s">
        <v>21</v>
      </c>
      <c r="E102" s="7" t="s">
        <v>199</v>
      </c>
      <c r="F102" s="7" t="s">
        <v>96</v>
      </c>
      <c r="G102" s="50" t="s">
        <v>9</v>
      </c>
      <c r="H102" s="8">
        <v>44688</v>
      </c>
      <c r="I102" s="60"/>
      <c r="J102" s="51">
        <f t="shared" si="9"/>
        <v>30</v>
      </c>
      <c r="K102" s="51">
        <f t="shared" si="10"/>
        <v>31</v>
      </c>
      <c r="L102" s="51">
        <f t="shared" si="11"/>
        <v>30</v>
      </c>
      <c r="M102" s="52">
        <f t="shared" si="12"/>
        <v>31</v>
      </c>
      <c r="N102" s="51">
        <f t="shared" si="13"/>
        <v>31</v>
      </c>
      <c r="O102" s="51">
        <f t="shared" si="14"/>
        <v>30</v>
      </c>
      <c r="P102" s="51">
        <f t="shared" si="15"/>
        <v>31</v>
      </c>
      <c r="Q102" s="51">
        <f t="shared" si="16"/>
        <v>30</v>
      </c>
      <c r="R102" s="51">
        <f t="shared" si="17"/>
        <v>31</v>
      </c>
      <c r="S102" s="53">
        <f>IF(G102="事业部",LOOKUP(M102,基础设置!$T$2:$T$6,基础设置!$U$2:$U$6),IF(G102="总部",LOOKUP(M102,基础设置!$T$8:$T$13,基础设置!$V$8:$V$13),IF(G102="拓展部",LOOKUP(M102,基础设置!$T$8:$T$13,基础设置!$W$8:$W$13),5000)))</f>
        <v>4</v>
      </c>
    </row>
    <row r="103" spans="1:20" x14ac:dyDescent="0.15">
      <c r="A103" s="57">
        <v>102</v>
      </c>
      <c r="B103" s="7" t="s">
        <v>63</v>
      </c>
      <c r="C103" s="7" t="s">
        <v>35</v>
      </c>
      <c r="D103" s="7" t="s">
        <v>21</v>
      </c>
      <c r="E103" s="7" t="s">
        <v>200</v>
      </c>
      <c r="F103" s="7" t="s">
        <v>96</v>
      </c>
      <c r="G103" s="50" t="s">
        <v>9</v>
      </c>
      <c r="H103" s="8">
        <v>44973</v>
      </c>
      <c r="I103" s="60"/>
      <c r="J103" s="51">
        <f t="shared" si="9"/>
        <v>30</v>
      </c>
      <c r="K103" s="51">
        <f t="shared" si="10"/>
        <v>31</v>
      </c>
      <c r="L103" s="51">
        <f t="shared" si="11"/>
        <v>30</v>
      </c>
      <c r="M103" s="52">
        <f t="shared" si="12"/>
        <v>31</v>
      </c>
      <c r="N103" s="51">
        <f t="shared" si="13"/>
        <v>31</v>
      </c>
      <c r="O103" s="51">
        <f t="shared" si="14"/>
        <v>30</v>
      </c>
      <c r="P103" s="51">
        <f t="shared" si="15"/>
        <v>31</v>
      </c>
      <c r="Q103" s="51">
        <f t="shared" si="16"/>
        <v>30</v>
      </c>
      <c r="R103" s="51">
        <f t="shared" si="17"/>
        <v>31</v>
      </c>
      <c r="S103" s="53">
        <f>IF(G103="事业部",LOOKUP(M103,基础设置!$T$2:$T$6,基础设置!$U$2:$U$6),IF(G103="总部",LOOKUP(M103,基础设置!$T$8:$T$13,基础设置!$V$8:$V$13),IF(G103="拓展部",LOOKUP(M103,基础设置!$T$8:$T$13,基础设置!$W$8:$W$13),5000)))</f>
        <v>4</v>
      </c>
    </row>
    <row r="104" spans="1:20" x14ac:dyDescent="0.15">
      <c r="A104" s="57">
        <v>103</v>
      </c>
      <c r="B104" s="7" t="s">
        <v>63</v>
      </c>
      <c r="C104" s="7" t="s">
        <v>35</v>
      </c>
      <c r="D104" s="7" t="s">
        <v>21</v>
      </c>
      <c r="E104" s="7" t="s">
        <v>201</v>
      </c>
      <c r="F104" s="7" t="s">
        <v>96</v>
      </c>
      <c r="G104" s="50" t="s">
        <v>9</v>
      </c>
      <c r="H104" s="8">
        <v>45389</v>
      </c>
      <c r="I104" s="60"/>
      <c r="J104" s="51">
        <f t="shared" si="9"/>
        <v>30</v>
      </c>
      <c r="K104" s="51">
        <f t="shared" si="10"/>
        <v>31</v>
      </c>
      <c r="L104" s="51">
        <f t="shared" si="11"/>
        <v>30</v>
      </c>
      <c r="M104" s="52">
        <f t="shared" si="12"/>
        <v>31</v>
      </c>
      <c r="N104" s="51">
        <f t="shared" si="13"/>
        <v>31</v>
      </c>
      <c r="O104" s="51">
        <f t="shared" si="14"/>
        <v>30</v>
      </c>
      <c r="P104" s="51">
        <f t="shared" si="15"/>
        <v>31</v>
      </c>
      <c r="Q104" s="51">
        <f t="shared" si="16"/>
        <v>30</v>
      </c>
      <c r="R104" s="51">
        <f t="shared" si="17"/>
        <v>31</v>
      </c>
      <c r="S104" s="53">
        <f>IF(G104="事业部",LOOKUP(M104,基础设置!$T$2:$T$6,基础设置!$U$2:$U$6),IF(G104="总部",LOOKUP(M104,基础设置!$T$8:$T$13,基础设置!$V$8:$V$13),IF(G104="拓展部",LOOKUP(M104,基础设置!$T$8:$T$13,基础设置!$W$8:$W$13),5000)))</f>
        <v>4</v>
      </c>
    </row>
    <row r="105" spans="1:20" x14ac:dyDescent="0.15">
      <c r="A105" s="57">
        <v>104</v>
      </c>
      <c r="B105" s="7" t="s">
        <v>63</v>
      </c>
      <c r="C105" s="7" t="s">
        <v>35</v>
      </c>
      <c r="D105" s="7" t="s">
        <v>21</v>
      </c>
      <c r="E105" s="7" t="s">
        <v>202</v>
      </c>
      <c r="F105" s="7" t="s">
        <v>96</v>
      </c>
      <c r="G105" s="50" t="s">
        <v>9</v>
      </c>
      <c r="H105" s="8">
        <v>45701</v>
      </c>
      <c r="I105" s="60"/>
      <c r="J105" s="51">
        <f t="shared" si="9"/>
        <v>30</v>
      </c>
      <c r="K105" s="51">
        <f t="shared" si="10"/>
        <v>31</v>
      </c>
      <c r="L105" s="51">
        <f t="shared" si="11"/>
        <v>30</v>
      </c>
      <c r="M105" s="52">
        <f t="shared" si="12"/>
        <v>31</v>
      </c>
      <c r="N105" s="51">
        <f t="shared" si="13"/>
        <v>31</v>
      </c>
      <c r="O105" s="51">
        <f t="shared" si="14"/>
        <v>30</v>
      </c>
      <c r="P105" s="51">
        <f t="shared" si="15"/>
        <v>31</v>
      </c>
      <c r="Q105" s="51">
        <f t="shared" si="16"/>
        <v>30</v>
      </c>
      <c r="R105" s="51">
        <f t="shared" si="17"/>
        <v>31</v>
      </c>
      <c r="S105" s="53">
        <f>IF(G105="事业部",LOOKUP(M105,基础设置!$T$2:$T$6,基础设置!$U$2:$U$6),IF(G105="总部",LOOKUP(M105,基础设置!$T$8:$T$13,基础设置!$V$8:$V$13),IF(G105="拓展部",LOOKUP(M105,基础设置!$T$8:$T$13,基础设置!$W$8:$W$13),5000)))</f>
        <v>4</v>
      </c>
    </row>
    <row r="106" spans="1:20" x14ac:dyDescent="0.15">
      <c r="A106" s="57">
        <v>105</v>
      </c>
      <c r="B106" s="7" t="s">
        <v>63</v>
      </c>
      <c r="C106" s="7" t="s">
        <v>35</v>
      </c>
      <c r="D106" s="7" t="s">
        <v>21</v>
      </c>
      <c r="E106" s="7" t="s">
        <v>203</v>
      </c>
      <c r="F106" s="7" t="s">
        <v>96</v>
      </c>
      <c r="G106" s="50" t="s">
        <v>9</v>
      </c>
      <c r="H106" s="8">
        <v>45755</v>
      </c>
      <c r="I106" s="60"/>
      <c r="J106" s="51">
        <f t="shared" si="9"/>
        <v>23</v>
      </c>
      <c r="K106" s="51">
        <f t="shared" si="10"/>
        <v>31</v>
      </c>
      <c r="L106" s="51">
        <f t="shared" si="11"/>
        <v>30</v>
      </c>
      <c r="M106" s="52">
        <f t="shared" si="12"/>
        <v>31</v>
      </c>
      <c r="N106" s="51">
        <f t="shared" si="13"/>
        <v>31</v>
      </c>
      <c r="O106" s="51">
        <f t="shared" si="14"/>
        <v>30</v>
      </c>
      <c r="P106" s="51">
        <f t="shared" si="15"/>
        <v>31</v>
      </c>
      <c r="Q106" s="51">
        <f t="shared" si="16"/>
        <v>30</v>
      </c>
      <c r="R106" s="51">
        <f t="shared" si="17"/>
        <v>31</v>
      </c>
      <c r="S106" s="53">
        <f>IF(G106="事业部",LOOKUP(M106,基础设置!$T$2:$T$6,基础设置!$U$2:$U$6),IF(G106="总部",LOOKUP(M106,基础设置!$T$8:$T$13,基础设置!$V$8:$V$13),IF(G106="拓展部",LOOKUP(M106,基础设置!$T$8:$T$13,基础设置!$W$8:$W$13),5000)))</f>
        <v>4</v>
      </c>
    </row>
    <row r="107" spans="1:20" x14ac:dyDescent="0.15">
      <c r="A107" s="57">
        <v>106</v>
      </c>
      <c r="B107" s="7" t="s">
        <v>51</v>
      </c>
      <c r="C107" s="7" t="s">
        <v>42</v>
      </c>
      <c r="D107" s="7" t="s">
        <v>30</v>
      </c>
      <c r="E107" s="7" t="s">
        <v>204</v>
      </c>
      <c r="F107" s="7" t="s">
        <v>96</v>
      </c>
      <c r="G107" s="50" t="s">
        <v>9</v>
      </c>
      <c r="H107" s="8">
        <v>44865</v>
      </c>
      <c r="I107" s="60"/>
      <c r="J107" s="51">
        <f t="shared" si="9"/>
        <v>30</v>
      </c>
      <c r="K107" s="51">
        <f t="shared" si="10"/>
        <v>31</v>
      </c>
      <c r="L107" s="51">
        <f t="shared" si="11"/>
        <v>30</v>
      </c>
      <c r="M107" s="52">
        <f t="shared" si="12"/>
        <v>31</v>
      </c>
      <c r="N107" s="51">
        <f t="shared" si="13"/>
        <v>31</v>
      </c>
      <c r="O107" s="51">
        <f t="shared" si="14"/>
        <v>30</v>
      </c>
      <c r="P107" s="51">
        <f t="shared" si="15"/>
        <v>31</v>
      </c>
      <c r="Q107" s="51">
        <f t="shared" si="16"/>
        <v>30</v>
      </c>
      <c r="R107" s="51">
        <f t="shared" si="17"/>
        <v>31</v>
      </c>
      <c r="S107" s="53">
        <f>IF(G107="事业部",LOOKUP(M107,基础设置!$T$2:$T$6,基础设置!$U$2:$U$6),IF(G107="总部",LOOKUP(M107,基础设置!$T$8:$T$13,基础设置!$V$8:$V$13),IF(G107="拓展部",LOOKUP(M107,基础设置!$T$8:$T$13,基础设置!$W$8:$W$13),5000)))</f>
        <v>4</v>
      </c>
    </row>
    <row r="108" spans="1:20" x14ac:dyDescent="0.15">
      <c r="A108" s="57">
        <v>107</v>
      </c>
      <c r="B108" s="7" t="s">
        <v>65</v>
      </c>
      <c r="C108" s="7" t="s">
        <v>97</v>
      </c>
      <c r="D108" s="7" t="s">
        <v>21</v>
      </c>
      <c r="E108" s="7" t="s">
        <v>205</v>
      </c>
      <c r="F108" s="7" t="s">
        <v>96</v>
      </c>
      <c r="G108" s="50" t="s">
        <v>9</v>
      </c>
      <c r="H108" s="8">
        <v>44823</v>
      </c>
      <c r="I108" s="60"/>
      <c r="J108" s="51">
        <f t="shared" si="9"/>
        <v>30</v>
      </c>
      <c r="K108" s="51">
        <f t="shared" si="10"/>
        <v>31</v>
      </c>
      <c r="L108" s="51">
        <f t="shared" si="11"/>
        <v>30</v>
      </c>
      <c r="M108" s="52">
        <f t="shared" si="12"/>
        <v>31</v>
      </c>
      <c r="N108" s="51">
        <f t="shared" si="13"/>
        <v>31</v>
      </c>
      <c r="O108" s="51">
        <f t="shared" si="14"/>
        <v>30</v>
      </c>
      <c r="P108" s="51">
        <f t="shared" si="15"/>
        <v>31</v>
      </c>
      <c r="Q108" s="51">
        <f t="shared" si="16"/>
        <v>30</v>
      </c>
      <c r="R108" s="51">
        <f t="shared" si="17"/>
        <v>31</v>
      </c>
      <c r="S108" s="53">
        <f>IF(G108="事业部",LOOKUP(M108,基础设置!$T$2:$T$6,基础设置!$U$2:$U$6),IF(G108="总部",LOOKUP(M108,基础设置!$T$8:$T$13,基础设置!$V$8:$V$13),IF(G108="拓展部",LOOKUP(M108,基础设置!$T$8:$T$13,基础设置!$W$8:$W$13),5000)))</f>
        <v>4</v>
      </c>
    </row>
    <row r="109" spans="1:20" x14ac:dyDescent="0.15">
      <c r="A109" s="57">
        <v>108</v>
      </c>
      <c r="B109" s="7" t="s">
        <v>65</v>
      </c>
      <c r="C109" s="7" t="s">
        <v>94</v>
      </c>
      <c r="D109" s="7" t="s">
        <v>30</v>
      </c>
      <c r="E109" s="7" t="s">
        <v>206</v>
      </c>
      <c r="F109" s="7" t="s">
        <v>96</v>
      </c>
      <c r="G109" s="50" t="s">
        <v>9</v>
      </c>
      <c r="H109" s="8">
        <v>44921</v>
      </c>
      <c r="I109" s="60"/>
      <c r="J109" s="51">
        <f t="shared" si="9"/>
        <v>30</v>
      </c>
      <c r="K109" s="51">
        <f t="shared" si="10"/>
        <v>31</v>
      </c>
      <c r="L109" s="51">
        <f t="shared" si="11"/>
        <v>30</v>
      </c>
      <c r="M109" s="52">
        <f t="shared" si="12"/>
        <v>31</v>
      </c>
      <c r="N109" s="51">
        <f t="shared" si="13"/>
        <v>31</v>
      </c>
      <c r="O109" s="51">
        <f t="shared" si="14"/>
        <v>30</v>
      </c>
      <c r="P109" s="51">
        <f t="shared" si="15"/>
        <v>31</v>
      </c>
      <c r="Q109" s="51">
        <f t="shared" si="16"/>
        <v>30</v>
      </c>
      <c r="R109" s="51">
        <f t="shared" si="17"/>
        <v>31</v>
      </c>
      <c r="S109" s="53">
        <f>IF(G109="事业部",LOOKUP(M109,基础设置!$T$2:$T$6,基础设置!$U$2:$U$6),IF(G109="总部",LOOKUP(M109,基础设置!$T$8:$T$13,基础设置!$V$8:$V$13),IF(G109="拓展部",LOOKUP(M109,基础设置!$T$8:$T$13,基础设置!$W$8:$W$13),5000)))</f>
        <v>4</v>
      </c>
    </row>
    <row r="110" spans="1:20" x14ac:dyDescent="0.15">
      <c r="A110" s="57">
        <v>109</v>
      </c>
      <c r="B110" s="7" t="s">
        <v>65</v>
      </c>
      <c r="C110" s="7" t="s">
        <v>35</v>
      </c>
      <c r="D110" s="7" t="s">
        <v>21</v>
      </c>
      <c r="E110" s="7" t="s">
        <v>207</v>
      </c>
      <c r="F110" s="7" t="s">
        <v>96</v>
      </c>
      <c r="G110" s="50" t="s">
        <v>9</v>
      </c>
      <c r="H110" s="8">
        <v>44800</v>
      </c>
      <c r="I110" s="60"/>
      <c r="J110" s="51">
        <f t="shared" si="9"/>
        <v>30</v>
      </c>
      <c r="K110" s="51">
        <f t="shared" si="10"/>
        <v>31</v>
      </c>
      <c r="L110" s="51">
        <f t="shared" si="11"/>
        <v>30</v>
      </c>
      <c r="M110" s="52">
        <f t="shared" si="12"/>
        <v>31</v>
      </c>
      <c r="N110" s="51">
        <f t="shared" si="13"/>
        <v>31</v>
      </c>
      <c r="O110" s="51">
        <f t="shared" si="14"/>
        <v>30</v>
      </c>
      <c r="P110" s="51">
        <f t="shared" si="15"/>
        <v>31</v>
      </c>
      <c r="Q110" s="51">
        <f t="shared" si="16"/>
        <v>30</v>
      </c>
      <c r="R110" s="51">
        <f t="shared" si="17"/>
        <v>31</v>
      </c>
      <c r="S110" s="53">
        <f>IF(G110="事业部",LOOKUP(M110,基础设置!$T$2:$T$6,基础设置!$U$2:$U$6),IF(G110="总部",LOOKUP(M110,基础设置!$T$8:$T$13,基础设置!$V$8:$V$13),IF(G110="拓展部",LOOKUP(M110,基础设置!$T$8:$T$13,基础设置!$W$8:$W$13),5000)))</f>
        <v>4</v>
      </c>
    </row>
    <row r="111" spans="1:20" x14ac:dyDescent="0.15">
      <c r="A111" s="57">
        <v>110</v>
      </c>
      <c r="B111" s="7" t="s">
        <v>65</v>
      </c>
      <c r="C111" s="7" t="s">
        <v>35</v>
      </c>
      <c r="D111" s="7" t="s">
        <v>21</v>
      </c>
      <c r="E111" s="7" t="s">
        <v>208</v>
      </c>
      <c r="F111" s="7" t="s">
        <v>96</v>
      </c>
      <c r="G111" s="50" t="s">
        <v>9</v>
      </c>
      <c r="H111" s="8">
        <v>45175</v>
      </c>
      <c r="I111" s="60"/>
      <c r="J111" s="51">
        <f t="shared" si="9"/>
        <v>30</v>
      </c>
      <c r="K111" s="51">
        <f t="shared" si="10"/>
        <v>31</v>
      </c>
      <c r="L111" s="51">
        <f t="shared" si="11"/>
        <v>30</v>
      </c>
      <c r="M111" s="52">
        <f t="shared" si="12"/>
        <v>31</v>
      </c>
      <c r="N111" s="51">
        <f t="shared" si="13"/>
        <v>31</v>
      </c>
      <c r="O111" s="51">
        <f t="shared" si="14"/>
        <v>30</v>
      </c>
      <c r="P111" s="51">
        <f t="shared" si="15"/>
        <v>31</v>
      </c>
      <c r="Q111" s="51">
        <f t="shared" si="16"/>
        <v>30</v>
      </c>
      <c r="R111" s="51">
        <f t="shared" si="17"/>
        <v>31</v>
      </c>
      <c r="S111" s="53">
        <f>IF(G111="事业部",LOOKUP(M111,基础设置!$T$2:$T$6,基础设置!$U$2:$U$6),IF(G111="总部",LOOKUP(M111,基础设置!$T$8:$T$13,基础设置!$V$8:$V$13),IF(G111="拓展部",LOOKUP(M111,基础设置!$T$8:$T$13,基础设置!$W$8:$W$13),5000)))</f>
        <v>4</v>
      </c>
    </row>
    <row r="112" spans="1:20" x14ac:dyDescent="0.15">
      <c r="A112" s="57">
        <v>111</v>
      </c>
      <c r="B112" s="7" t="s">
        <v>65</v>
      </c>
      <c r="C112" s="7" t="s">
        <v>35</v>
      </c>
      <c r="D112" s="7" t="s">
        <v>21</v>
      </c>
      <c r="E112" s="7" t="s">
        <v>209</v>
      </c>
      <c r="F112" s="7" t="s">
        <v>96</v>
      </c>
      <c r="G112" s="50" t="s">
        <v>9</v>
      </c>
      <c r="H112" s="8">
        <v>45712</v>
      </c>
      <c r="I112" s="60"/>
      <c r="J112" s="51">
        <f t="shared" si="9"/>
        <v>30</v>
      </c>
      <c r="K112" s="51">
        <f t="shared" si="10"/>
        <v>31</v>
      </c>
      <c r="L112" s="51">
        <f t="shared" si="11"/>
        <v>30</v>
      </c>
      <c r="M112" s="52">
        <f t="shared" si="12"/>
        <v>31</v>
      </c>
      <c r="N112" s="51">
        <f t="shared" si="13"/>
        <v>31</v>
      </c>
      <c r="O112" s="51">
        <f t="shared" si="14"/>
        <v>30</v>
      </c>
      <c r="P112" s="51">
        <f t="shared" si="15"/>
        <v>31</v>
      </c>
      <c r="Q112" s="51">
        <f t="shared" si="16"/>
        <v>30</v>
      </c>
      <c r="R112" s="51">
        <f t="shared" si="17"/>
        <v>31</v>
      </c>
      <c r="S112" s="53">
        <f>IF(G112="事业部",LOOKUP(M112,基础设置!$T$2:$T$6,基础设置!$U$2:$U$6),IF(G112="总部",LOOKUP(M112,基础设置!$T$8:$T$13,基础设置!$V$8:$V$13),IF(G112="拓展部",LOOKUP(M112,基础设置!$T$8:$T$13,基础设置!$W$8:$W$13),5000)))</f>
        <v>4</v>
      </c>
    </row>
    <row r="113" spans="1:20" x14ac:dyDescent="0.15">
      <c r="A113" s="57">
        <v>112</v>
      </c>
      <c r="B113" s="7" t="s">
        <v>65</v>
      </c>
      <c r="C113" s="7" t="s">
        <v>35</v>
      </c>
      <c r="D113" s="7" t="s">
        <v>21</v>
      </c>
      <c r="E113" s="7" t="s">
        <v>210</v>
      </c>
      <c r="F113" s="7" t="s">
        <v>96</v>
      </c>
      <c r="G113" s="50" t="s">
        <v>9</v>
      </c>
      <c r="H113" s="8">
        <v>45741</v>
      </c>
      <c r="I113" s="60"/>
      <c r="J113" s="51">
        <f t="shared" si="9"/>
        <v>30</v>
      </c>
      <c r="K113" s="51">
        <f t="shared" si="10"/>
        <v>31</v>
      </c>
      <c r="L113" s="51">
        <f t="shared" si="11"/>
        <v>30</v>
      </c>
      <c r="M113" s="52">
        <f t="shared" si="12"/>
        <v>31</v>
      </c>
      <c r="N113" s="51">
        <f t="shared" si="13"/>
        <v>31</v>
      </c>
      <c r="O113" s="51">
        <f t="shared" si="14"/>
        <v>30</v>
      </c>
      <c r="P113" s="51">
        <f t="shared" si="15"/>
        <v>31</v>
      </c>
      <c r="Q113" s="51">
        <f t="shared" si="16"/>
        <v>30</v>
      </c>
      <c r="R113" s="51">
        <f t="shared" si="17"/>
        <v>31</v>
      </c>
      <c r="S113" s="53">
        <f>IF(G113="事业部",LOOKUP(M113,基础设置!$T$2:$T$6,基础设置!$U$2:$U$6),IF(G113="总部",LOOKUP(M113,基础设置!$T$8:$T$13,基础设置!$V$8:$V$13),IF(G113="拓展部",LOOKUP(M113,基础设置!$T$8:$T$13,基础设置!$W$8:$W$13),5000)))</f>
        <v>4</v>
      </c>
    </row>
    <row r="114" spans="1:20" x14ac:dyDescent="0.15">
      <c r="A114" s="57">
        <v>113</v>
      </c>
      <c r="B114" s="7" t="s">
        <v>65</v>
      </c>
      <c r="C114" s="7" t="s">
        <v>35</v>
      </c>
      <c r="D114" s="7" t="s">
        <v>21</v>
      </c>
      <c r="E114" s="7" t="s">
        <v>211</v>
      </c>
      <c r="F114" s="7" t="s">
        <v>36</v>
      </c>
      <c r="G114" s="50" t="s">
        <v>9</v>
      </c>
      <c r="H114" s="8">
        <v>45769</v>
      </c>
      <c r="I114" s="60">
        <v>45869</v>
      </c>
      <c r="J114" s="51">
        <f t="shared" si="9"/>
        <v>9</v>
      </c>
      <c r="K114" s="51">
        <f t="shared" si="10"/>
        <v>31</v>
      </c>
      <c r="L114" s="51">
        <f t="shared" si="11"/>
        <v>30</v>
      </c>
      <c r="M114" s="52">
        <f t="shared" si="12"/>
        <v>31</v>
      </c>
      <c r="N114" s="51">
        <f t="shared" si="13"/>
        <v>0</v>
      </c>
      <c r="O114" s="51">
        <f t="shared" si="14"/>
        <v>0</v>
      </c>
      <c r="P114" s="51">
        <f t="shared" si="15"/>
        <v>0</v>
      </c>
      <c r="Q114" s="51">
        <f t="shared" si="16"/>
        <v>0</v>
      </c>
      <c r="R114" s="51">
        <f t="shared" si="17"/>
        <v>0</v>
      </c>
      <c r="S114" s="53">
        <f>IF(G114="事业部",LOOKUP(M114,基础设置!$T$2:$T$6,基础设置!$U$2:$U$6),IF(G114="总部",LOOKUP(M114,基础设置!$T$8:$T$13,基础设置!$V$8:$V$13),IF(G114="拓展部",LOOKUP(M114,基础设置!$T$8:$T$13,基础设置!$W$8:$W$13),5000)))</f>
        <v>4</v>
      </c>
    </row>
    <row r="115" spans="1:20" x14ac:dyDescent="0.15">
      <c r="A115" s="57">
        <v>114</v>
      </c>
      <c r="B115" s="7" t="s">
        <v>23</v>
      </c>
      <c r="C115" s="7" t="s">
        <v>47</v>
      </c>
      <c r="D115" s="7" t="s">
        <v>30</v>
      </c>
      <c r="E115" s="7" t="s">
        <v>212</v>
      </c>
      <c r="F115" s="7" t="s">
        <v>96</v>
      </c>
      <c r="G115" s="50" t="s">
        <v>9</v>
      </c>
      <c r="H115" s="8">
        <v>45207</v>
      </c>
      <c r="I115" s="60"/>
      <c r="J115" s="51">
        <f t="shared" si="9"/>
        <v>30</v>
      </c>
      <c r="K115" s="51">
        <f t="shared" si="10"/>
        <v>31</v>
      </c>
      <c r="L115" s="51">
        <f t="shared" si="11"/>
        <v>30</v>
      </c>
      <c r="M115" s="52">
        <f t="shared" si="12"/>
        <v>31</v>
      </c>
      <c r="N115" s="51">
        <f t="shared" si="13"/>
        <v>31</v>
      </c>
      <c r="O115" s="51">
        <f t="shared" si="14"/>
        <v>30</v>
      </c>
      <c r="P115" s="51">
        <f t="shared" si="15"/>
        <v>31</v>
      </c>
      <c r="Q115" s="51">
        <f t="shared" si="16"/>
        <v>30</v>
      </c>
      <c r="R115" s="51">
        <f t="shared" si="17"/>
        <v>31</v>
      </c>
      <c r="S115" s="53">
        <f>IF(G115="事业部",LOOKUP(M115,基础设置!$T$2:$T$6,基础设置!$U$2:$U$6),IF(G115="总部",LOOKUP(M115,基础设置!$T$8:$T$13,基础设置!$V$8:$V$13),IF(G115="拓展部",LOOKUP(M115,基础设置!$T$8:$T$13,基础设置!$W$8:$W$13),5000)))</f>
        <v>4</v>
      </c>
    </row>
    <row r="116" spans="1:20" x14ac:dyDescent="0.15">
      <c r="A116" s="57">
        <v>115</v>
      </c>
      <c r="B116" s="7" t="s">
        <v>67</v>
      </c>
      <c r="C116" s="7" t="s">
        <v>94</v>
      </c>
      <c r="D116" s="7" t="s">
        <v>30</v>
      </c>
      <c r="E116" s="7" t="s">
        <v>213</v>
      </c>
      <c r="F116" s="7" t="s">
        <v>96</v>
      </c>
      <c r="G116" s="50" t="s">
        <v>9</v>
      </c>
      <c r="H116" s="8">
        <v>44098</v>
      </c>
      <c r="I116" s="60"/>
      <c r="J116" s="51">
        <f t="shared" si="9"/>
        <v>30</v>
      </c>
      <c r="K116" s="51">
        <f t="shared" si="10"/>
        <v>31</v>
      </c>
      <c r="L116" s="51">
        <f t="shared" si="11"/>
        <v>30</v>
      </c>
      <c r="M116" s="52">
        <f t="shared" si="12"/>
        <v>31</v>
      </c>
      <c r="N116" s="51">
        <f t="shared" si="13"/>
        <v>31</v>
      </c>
      <c r="O116" s="51">
        <f t="shared" si="14"/>
        <v>30</v>
      </c>
      <c r="P116" s="51">
        <f t="shared" si="15"/>
        <v>31</v>
      </c>
      <c r="Q116" s="51">
        <f t="shared" si="16"/>
        <v>30</v>
      </c>
      <c r="R116" s="51">
        <f t="shared" si="17"/>
        <v>31</v>
      </c>
      <c r="S116" s="53">
        <f>IF(G116="事业部",LOOKUP(M116,基础设置!$T$2:$T$6,基础设置!$U$2:$U$6),IF(G116="总部",LOOKUP(M116,基础设置!$T$8:$T$13,基础设置!$V$8:$V$13),IF(G116="拓展部",LOOKUP(M116,基础设置!$T$8:$T$13,基础设置!$W$8:$W$13),5000)))</f>
        <v>4</v>
      </c>
    </row>
    <row r="117" spans="1:20" x14ac:dyDescent="0.15">
      <c r="A117" s="57">
        <v>116</v>
      </c>
      <c r="B117" s="7" t="s">
        <v>67</v>
      </c>
      <c r="C117" s="7" t="s">
        <v>35</v>
      </c>
      <c r="D117" s="7" t="s">
        <v>21</v>
      </c>
      <c r="E117" s="7" t="s">
        <v>214</v>
      </c>
      <c r="F117" s="7" t="s">
        <v>96</v>
      </c>
      <c r="G117" s="50" t="s">
        <v>9</v>
      </c>
      <c r="H117" s="8">
        <v>45112</v>
      </c>
      <c r="I117" s="60"/>
      <c r="J117" s="51">
        <f t="shared" si="9"/>
        <v>30</v>
      </c>
      <c r="K117" s="51">
        <f t="shared" si="10"/>
        <v>31</v>
      </c>
      <c r="L117" s="51">
        <f t="shared" si="11"/>
        <v>30</v>
      </c>
      <c r="M117" s="52">
        <f t="shared" si="12"/>
        <v>31</v>
      </c>
      <c r="N117" s="51">
        <f t="shared" si="13"/>
        <v>31</v>
      </c>
      <c r="O117" s="51">
        <f t="shared" si="14"/>
        <v>30</v>
      </c>
      <c r="P117" s="51">
        <f t="shared" si="15"/>
        <v>31</v>
      </c>
      <c r="Q117" s="51">
        <f t="shared" si="16"/>
        <v>30</v>
      </c>
      <c r="R117" s="51">
        <f t="shared" si="17"/>
        <v>31</v>
      </c>
      <c r="S117" s="53">
        <f>IF(G117="事业部",LOOKUP(M117,基础设置!$T$2:$T$6,基础设置!$U$2:$U$6),IF(G117="总部",LOOKUP(M117,基础设置!$T$8:$T$13,基础设置!$V$8:$V$13),IF(G117="拓展部",LOOKUP(M117,基础设置!$T$8:$T$13,基础设置!$W$8:$W$13),5000)))</f>
        <v>4</v>
      </c>
    </row>
    <row r="118" spans="1:20" x14ac:dyDescent="0.15">
      <c r="A118" s="57">
        <v>117</v>
      </c>
      <c r="B118" s="7" t="s">
        <v>67</v>
      </c>
      <c r="C118" s="7" t="s">
        <v>35</v>
      </c>
      <c r="D118" s="7" t="s">
        <v>21</v>
      </c>
      <c r="E118" s="7" t="s">
        <v>215</v>
      </c>
      <c r="F118" s="7" t="s">
        <v>96</v>
      </c>
      <c r="G118" s="50" t="s">
        <v>9</v>
      </c>
      <c r="H118" s="8">
        <v>45366</v>
      </c>
      <c r="I118" s="60"/>
      <c r="J118" s="51">
        <f t="shared" si="9"/>
        <v>30</v>
      </c>
      <c r="K118" s="51">
        <f t="shared" si="10"/>
        <v>31</v>
      </c>
      <c r="L118" s="51">
        <f t="shared" si="11"/>
        <v>30</v>
      </c>
      <c r="M118" s="52">
        <f t="shared" si="12"/>
        <v>31</v>
      </c>
      <c r="N118" s="51">
        <f t="shared" si="13"/>
        <v>31</v>
      </c>
      <c r="O118" s="51">
        <f t="shared" si="14"/>
        <v>30</v>
      </c>
      <c r="P118" s="51">
        <f t="shared" si="15"/>
        <v>31</v>
      </c>
      <c r="Q118" s="51">
        <f t="shared" si="16"/>
        <v>30</v>
      </c>
      <c r="R118" s="51">
        <f t="shared" si="17"/>
        <v>31</v>
      </c>
      <c r="S118" s="53">
        <f>IF(G118="事业部",LOOKUP(M118,基础设置!$T$2:$T$6,基础设置!$U$2:$U$6),IF(G118="总部",LOOKUP(M118,基础设置!$T$8:$T$13,基础设置!$V$8:$V$13),IF(G118="拓展部",LOOKUP(M118,基础设置!$T$8:$T$13,基础设置!$W$8:$W$13),5000)))</f>
        <v>4</v>
      </c>
    </row>
    <row r="119" spans="1:20" x14ac:dyDescent="0.15">
      <c r="A119" s="57">
        <v>118</v>
      </c>
      <c r="B119" s="7" t="s">
        <v>67</v>
      </c>
      <c r="C119" s="7" t="s">
        <v>35</v>
      </c>
      <c r="D119" s="7" t="s">
        <v>21</v>
      </c>
      <c r="E119" s="7" t="s">
        <v>216</v>
      </c>
      <c r="F119" s="7" t="s">
        <v>96</v>
      </c>
      <c r="G119" s="50" t="s">
        <v>9</v>
      </c>
      <c r="H119" s="8">
        <v>45387</v>
      </c>
      <c r="I119" s="60"/>
      <c r="J119" s="51">
        <f t="shared" si="9"/>
        <v>30</v>
      </c>
      <c r="K119" s="51">
        <f t="shared" si="10"/>
        <v>31</v>
      </c>
      <c r="L119" s="51">
        <f t="shared" si="11"/>
        <v>30</v>
      </c>
      <c r="M119" s="52">
        <f t="shared" si="12"/>
        <v>31</v>
      </c>
      <c r="N119" s="51">
        <f t="shared" si="13"/>
        <v>31</v>
      </c>
      <c r="O119" s="51">
        <f t="shared" si="14"/>
        <v>30</v>
      </c>
      <c r="P119" s="51">
        <f t="shared" si="15"/>
        <v>31</v>
      </c>
      <c r="Q119" s="51">
        <f t="shared" si="16"/>
        <v>30</v>
      </c>
      <c r="R119" s="51">
        <f t="shared" si="17"/>
        <v>31</v>
      </c>
      <c r="S119" s="53">
        <f>IF(G119="事业部",LOOKUP(M119,基础设置!$T$2:$T$6,基础设置!$U$2:$U$6),IF(G119="总部",LOOKUP(M119,基础设置!$T$8:$T$13,基础设置!$V$8:$V$13),IF(G119="拓展部",LOOKUP(M119,基础设置!$T$8:$T$13,基础设置!$W$8:$W$13),5000)))</f>
        <v>4</v>
      </c>
    </row>
    <row r="120" spans="1:20" x14ac:dyDescent="0.15">
      <c r="A120" s="57">
        <v>119</v>
      </c>
      <c r="B120" s="7" t="s">
        <v>67</v>
      </c>
      <c r="C120" s="7" t="s">
        <v>35</v>
      </c>
      <c r="D120" s="7" t="s">
        <v>21</v>
      </c>
      <c r="E120" s="7" t="s">
        <v>217</v>
      </c>
      <c r="F120" s="7" t="s">
        <v>96</v>
      </c>
      <c r="G120" s="50" t="s">
        <v>9</v>
      </c>
      <c r="H120" s="8">
        <v>45554</v>
      </c>
      <c r="I120" s="60"/>
      <c r="J120" s="51">
        <f t="shared" si="9"/>
        <v>30</v>
      </c>
      <c r="K120" s="51">
        <f t="shared" si="10"/>
        <v>31</v>
      </c>
      <c r="L120" s="51">
        <f t="shared" si="11"/>
        <v>30</v>
      </c>
      <c r="M120" s="52">
        <f t="shared" si="12"/>
        <v>31</v>
      </c>
      <c r="N120" s="51">
        <f t="shared" si="13"/>
        <v>31</v>
      </c>
      <c r="O120" s="51">
        <f t="shared" si="14"/>
        <v>30</v>
      </c>
      <c r="P120" s="51">
        <f t="shared" si="15"/>
        <v>31</v>
      </c>
      <c r="Q120" s="51">
        <f t="shared" si="16"/>
        <v>30</v>
      </c>
      <c r="R120" s="51">
        <f t="shared" si="17"/>
        <v>31</v>
      </c>
      <c r="S120" s="53">
        <f>IF(G120="事业部",LOOKUP(M120,基础设置!$T$2:$T$6,基础设置!$U$2:$U$6),IF(G120="总部",LOOKUP(M120,基础设置!$T$8:$T$13,基础设置!$V$8:$V$13),IF(G120="拓展部",LOOKUP(M120,基础设置!$T$8:$T$13,基础设置!$W$8:$W$13),5000)))</f>
        <v>4</v>
      </c>
    </row>
    <row r="121" spans="1:20" x14ac:dyDescent="0.15">
      <c r="A121" s="57">
        <v>120</v>
      </c>
      <c r="B121" s="7" t="s">
        <v>67</v>
      </c>
      <c r="C121" s="7" t="s">
        <v>97</v>
      </c>
      <c r="D121" s="7" t="s">
        <v>21</v>
      </c>
      <c r="E121" s="7" t="s">
        <v>218</v>
      </c>
      <c r="F121" s="7" t="s">
        <v>36</v>
      </c>
      <c r="G121" s="50" t="s">
        <v>9</v>
      </c>
      <c r="H121" s="8">
        <v>45762</v>
      </c>
      <c r="I121" s="60">
        <v>45853</v>
      </c>
      <c r="J121" s="51">
        <f t="shared" si="9"/>
        <v>16</v>
      </c>
      <c r="K121" s="51">
        <f t="shared" si="10"/>
        <v>31</v>
      </c>
      <c r="L121" s="51">
        <f t="shared" si="11"/>
        <v>30</v>
      </c>
      <c r="M121" s="52">
        <f t="shared" si="12"/>
        <v>15</v>
      </c>
      <c r="N121" s="51">
        <f t="shared" si="13"/>
        <v>0</v>
      </c>
      <c r="O121" s="51">
        <f t="shared" si="14"/>
        <v>0</v>
      </c>
      <c r="P121" s="51">
        <f t="shared" si="15"/>
        <v>0</v>
      </c>
      <c r="Q121" s="51">
        <f t="shared" si="16"/>
        <v>0</v>
      </c>
      <c r="R121" s="51">
        <f t="shared" si="17"/>
        <v>0</v>
      </c>
      <c r="S121" s="53">
        <f>IF(G121="事业部",LOOKUP(M121,基础设置!$T$2:$T$6,基础设置!$U$2:$U$6),IF(G121="总部",LOOKUP(M121,基础设置!$T$8:$T$13,基础设置!$V$8:$V$13),IF(G121="拓展部",LOOKUP(M121,基础设置!$T$8:$T$13,基础设置!$W$8:$W$13),5000)))</f>
        <v>2</v>
      </c>
    </row>
    <row r="122" spans="1:20" x14ac:dyDescent="0.15">
      <c r="A122" s="57">
        <v>121</v>
      </c>
      <c r="B122" s="7" t="s">
        <v>67</v>
      </c>
      <c r="C122" s="7" t="s">
        <v>35</v>
      </c>
      <c r="D122" s="7" t="s">
        <v>21</v>
      </c>
      <c r="E122" s="7" t="s">
        <v>219</v>
      </c>
      <c r="F122" s="7" t="s">
        <v>96</v>
      </c>
      <c r="G122" s="50" t="s">
        <v>9</v>
      </c>
      <c r="H122" s="8">
        <v>45784</v>
      </c>
      <c r="I122" s="60"/>
      <c r="J122" s="51">
        <f t="shared" si="9"/>
        <v>0</v>
      </c>
      <c r="K122" s="51">
        <f t="shared" si="10"/>
        <v>25</v>
      </c>
      <c r="L122" s="51">
        <f t="shared" si="11"/>
        <v>30</v>
      </c>
      <c r="M122" s="52">
        <f t="shared" si="12"/>
        <v>31</v>
      </c>
      <c r="N122" s="51">
        <f t="shared" si="13"/>
        <v>31</v>
      </c>
      <c r="O122" s="51">
        <f t="shared" si="14"/>
        <v>30</v>
      </c>
      <c r="P122" s="51">
        <f t="shared" si="15"/>
        <v>31</v>
      </c>
      <c r="Q122" s="51">
        <f t="shared" si="16"/>
        <v>30</v>
      </c>
      <c r="R122" s="51">
        <f t="shared" si="17"/>
        <v>31</v>
      </c>
      <c r="S122" s="53">
        <f>IF(G122="事业部",LOOKUP(M122,基础设置!$T$2:$T$6,基础设置!$U$2:$U$6),IF(G122="总部",LOOKUP(M122,基础设置!$T$8:$T$13,基础设置!$V$8:$V$13),IF(G122="拓展部",LOOKUP(M122,基础设置!$T$8:$T$13,基础设置!$W$8:$W$13),5000)))</f>
        <v>4</v>
      </c>
      <c r="T122" s="53">
        <v>4000</v>
      </c>
    </row>
    <row r="123" spans="1:20" x14ac:dyDescent="0.15">
      <c r="A123" s="57">
        <v>122</v>
      </c>
      <c r="B123" s="7" t="s">
        <v>68</v>
      </c>
      <c r="C123" s="7" t="s">
        <v>35</v>
      </c>
      <c r="D123" s="7" t="s">
        <v>21</v>
      </c>
      <c r="E123" s="7" t="s">
        <v>220</v>
      </c>
      <c r="F123" s="7" t="s">
        <v>96</v>
      </c>
      <c r="G123" s="50" t="s">
        <v>9</v>
      </c>
      <c r="H123" s="8">
        <v>44851</v>
      </c>
      <c r="I123" s="60"/>
      <c r="J123" s="51">
        <f t="shared" si="9"/>
        <v>30</v>
      </c>
      <c r="K123" s="51">
        <f t="shared" si="10"/>
        <v>31</v>
      </c>
      <c r="L123" s="51">
        <f t="shared" si="11"/>
        <v>30</v>
      </c>
      <c r="M123" s="52">
        <f t="shared" si="12"/>
        <v>31</v>
      </c>
      <c r="N123" s="51">
        <f t="shared" si="13"/>
        <v>31</v>
      </c>
      <c r="O123" s="51">
        <f t="shared" si="14"/>
        <v>30</v>
      </c>
      <c r="P123" s="51">
        <f t="shared" si="15"/>
        <v>31</v>
      </c>
      <c r="Q123" s="51">
        <f t="shared" si="16"/>
        <v>30</v>
      </c>
      <c r="R123" s="51">
        <f t="shared" si="17"/>
        <v>31</v>
      </c>
      <c r="S123" s="53">
        <f>IF(G123="事业部",LOOKUP(M123,基础设置!$T$2:$T$6,基础设置!$U$2:$U$6),IF(G123="总部",LOOKUP(M123,基础设置!$T$8:$T$13,基础设置!$V$8:$V$13),IF(G123="拓展部",LOOKUP(M123,基础设置!$T$8:$T$13,基础设置!$W$8:$W$13),5000)))</f>
        <v>4</v>
      </c>
    </row>
    <row r="124" spans="1:20" x14ac:dyDescent="0.15">
      <c r="A124" s="57">
        <v>123</v>
      </c>
      <c r="B124" s="7" t="s">
        <v>68</v>
      </c>
      <c r="C124" s="7" t="s">
        <v>35</v>
      </c>
      <c r="D124" s="7" t="s">
        <v>21</v>
      </c>
      <c r="E124" s="7" t="s">
        <v>221</v>
      </c>
      <c r="F124" s="7" t="s">
        <v>36</v>
      </c>
      <c r="G124" s="50" t="s">
        <v>9</v>
      </c>
      <c r="H124" s="8">
        <v>45024</v>
      </c>
      <c r="I124" s="8">
        <v>45832</v>
      </c>
      <c r="J124" s="51">
        <f t="shared" si="9"/>
        <v>30</v>
      </c>
      <c r="K124" s="51">
        <f t="shared" si="10"/>
        <v>31</v>
      </c>
      <c r="L124" s="51">
        <f t="shared" si="11"/>
        <v>24</v>
      </c>
      <c r="M124" s="52">
        <f t="shared" si="12"/>
        <v>0</v>
      </c>
      <c r="N124" s="51">
        <f t="shared" si="13"/>
        <v>0</v>
      </c>
      <c r="O124" s="51">
        <f t="shared" si="14"/>
        <v>0</v>
      </c>
      <c r="P124" s="51">
        <f t="shared" si="15"/>
        <v>0</v>
      </c>
      <c r="Q124" s="51">
        <f t="shared" si="16"/>
        <v>0</v>
      </c>
      <c r="R124" s="51">
        <f t="shared" si="17"/>
        <v>0</v>
      </c>
      <c r="S124" s="53">
        <f>IF(G124="事业部",LOOKUP(M124,基础设置!$T$2:$T$6,基础设置!$U$2:$U$6),IF(G124="总部",LOOKUP(M124,基础设置!$T$8:$T$13,基础设置!$V$8:$V$13),IF(G124="拓展部",LOOKUP(M124,基础设置!$T$8:$T$13,基础设置!$W$8:$W$13),5000)))</f>
        <v>0</v>
      </c>
    </row>
    <row r="125" spans="1:20" x14ac:dyDescent="0.15">
      <c r="A125" s="57">
        <v>124</v>
      </c>
      <c r="B125" s="7" t="s">
        <v>68</v>
      </c>
      <c r="C125" s="7" t="s">
        <v>97</v>
      </c>
      <c r="D125" s="7" t="s">
        <v>21</v>
      </c>
      <c r="E125" s="7" t="s">
        <v>222</v>
      </c>
      <c r="F125" s="7" t="s">
        <v>96</v>
      </c>
      <c r="G125" s="50" t="s">
        <v>9</v>
      </c>
      <c r="H125" s="8">
        <v>45595</v>
      </c>
      <c r="I125" s="60"/>
      <c r="J125" s="51">
        <f t="shared" si="9"/>
        <v>30</v>
      </c>
      <c r="K125" s="51">
        <f t="shared" si="10"/>
        <v>31</v>
      </c>
      <c r="L125" s="51">
        <f t="shared" si="11"/>
        <v>30</v>
      </c>
      <c r="M125" s="52">
        <f t="shared" si="12"/>
        <v>31</v>
      </c>
      <c r="N125" s="51">
        <f t="shared" si="13"/>
        <v>31</v>
      </c>
      <c r="O125" s="51">
        <f t="shared" si="14"/>
        <v>30</v>
      </c>
      <c r="P125" s="51">
        <f t="shared" si="15"/>
        <v>31</v>
      </c>
      <c r="Q125" s="51">
        <f t="shared" si="16"/>
        <v>30</v>
      </c>
      <c r="R125" s="51">
        <f t="shared" si="17"/>
        <v>31</v>
      </c>
      <c r="S125" s="53">
        <f>IF(G125="事业部",LOOKUP(M125,基础设置!$T$2:$T$6,基础设置!$U$2:$U$6),IF(G125="总部",LOOKUP(M125,基础设置!$T$8:$T$13,基础设置!$V$8:$V$13),IF(G125="拓展部",LOOKUP(M125,基础设置!$T$8:$T$13,基础设置!$W$8:$W$13),5000)))</f>
        <v>4</v>
      </c>
    </row>
    <row r="126" spans="1:20" x14ac:dyDescent="0.15">
      <c r="A126" s="57">
        <v>125</v>
      </c>
      <c r="B126" s="7" t="s">
        <v>68</v>
      </c>
      <c r="C126" s="7" t="s">
        <v>35</v>
      </c>
      <c r="D126" s="7" t="s">
        <v>21</v>
      </c>
      <c r="E126" s="7" t="s">
        <v>223</v>
      </c>
      <c r="F126" s="7" t="s">
        <v>96</v>
      </c>
      <c r="G126" s="50" t="s">
        <v>9</v>
      </c>
      <c r="H126" s="8">
        <v>45629</v>
      </c>
      <c r="I126" s="60"/>
      <c r="J126" s="51">
        <f t="shared" si="9"/>
        <v>30</v>
      </c>
      <c r="K126" s="51">
        <f t="shared" si="10"/>
        <v>31</v>
      </c>
      <c r="L126" s="51">
        <f t="shared" si="11"/>
        <v>30</v>
      </c>
      <c r="M126" s="52">
        <f t="shared" si="12"/>
        <v>31</v>
      </c>
      <c r="N126" s="51">
        <f t="shared" si="13"/>
        <v>31</v>
      </c>
      <c r="O126" s="51">
        <f t="shared" si="14"/>
        <v>30</v>
      </c>
      <c r="P126" s="51">
        <f t="shared" si="15"/>
        <v>31</v>
      </c>
      <c r="Q126" s="51">
        <f t="shared" si="16"/>
        <v>30</v>
      </c>
      <c r="R126" s="51">
        <f t="shared" si="17"/>
        <v>31</v>
      </c>
      <c r="S126" s="53">
        <f>IF(G126="事业部",LOOKUP(M126,基础设置!$T$2:$T$6,基础设置!$U$2:$U$6),IF(G126="总部",LOOKUP(M126,基础设置!$T$8:$T$13,基础设置!$V$8:$V$13),IF(G126="拓展部",LOOKUP(M126,基础设置!$T$8:$T$13,基础设置!$W$8:$W$13),5000)))</f>
        <v>4</v>
      </c>
    </row>
    <row r="127" spans="1:20" x14ac:dyDescent="0.15">
      <c r="A127" s="57">
        <v>126</v>
      </c>
      <c r="B127" s="7" t="s">
        <v>68</v>
      </c>
      <c r="C127" s="57" t="s">
        <v>94</v>
      </c>
      <c r="D127" s="7" t="s">
        <v>30</v>
      </c>
      <c r="E127" s="7" t="s">
        <v>224</v>
      </c>
      <c r="F127" s="7" t="s">
        <v>96</v>
      </c>
      <c r="G127" s="50" t="s">
        <v>9</v>
      </c>
      <c r="H127" s="8">
        <v>45707</v>
      </c>
      <c r="I127" s="60"/>
      <c r="J127" s="51">
        <f t="shared" si="9"/>
        <v>30</v>
      </c>
      <c r="K127" s="51">
        <f t="shared" si="10"/>
        <v>31</v>
      </c>
      <c r="L127" s="51">
        <f t="shared" si="11"/>
        <v>30</v>
      </c>
      <c r="M127" s="52">
        <f t="shared" si="12"/>
        <v>31</v>
      </c>
      <c r="N127" s="51">
        <f t="shared" si="13"/>
        <v>31</v>
      </c>
      <c r="O127" s="51">
        <f t="shared" si="14"/>
        <v>30</v>
      </c>
      <c r="P127" s="51">
        <f t="shared" si="15"/>
        <v>31</v>
      </c>
      <c r="Q127" s="51">
        <f t="shared" si="16"/>
        <v>30</v>
      </c>
      <c r="R127" s="51">
        <f t="shared" si="17"/>
        <v>31</v>
      </c>
      <c r="S127" s="53">
        <f>IF(G127="事业部",LOOKUP(M127,基础设置!$T$2:$T$6,基础设置!$U$2:$U$6),IF(G127="总部",LOOKUP(M127,基础设置!$T$8:$T$13,基础设置!$V$8:$V$13),IF(G127="拓展部",LOOKUP(M127,基础设置!$T$8:$T$13,基础设置!$W$8:$W$13),5000)))</f>
        <v>4</v>
      </c>
    </row>
    <row r="128" spans="1:20" x14ac:dyDescent="0.15">
      <c r="A128" s="57">
        <v>127</v>
      </c>
      <c r="B128" s="7" t="s">
        <v>68</v>
      </c>
      <c r="C128" s="7" t="s">
        <v>35</v>
      </c>
      <c r="D128" s="7" t="s">
        <v>21</v>
      </c>
      <c r="E128" s="7" t="s">
        <v>225</v>
      </c>
      <c r="F128" s="7" t="s">
        <v>96</v>
      </c>
      <c r="G128" s="50" t="s">
        <v>9</v>
      </c>
      <c r="H128" s="8">
        <v>45700</v>
      </c>
      <c r="I128" s="60"/>
      <c r="J128" s="51">
        <f t="shared" si="9"/>
        <v>30</v>
      </c>
      <c r="K128" s="51">
        <f t="shared" si="10"/>
        <v>31</v>
      </c>
      <c r="L128" s="51">
        <f t="shared" si="11"/>
        <v>30</v>
      </c>
      <c r="M128" s="52">
        <f t="shared" si="12"/>
        <v>31</v>
      </c>
      <c r="N128" s="51">
        <f t="shared" si="13"/>
        <v>31</v>
      </c>
      <c r="O128" s="51">
        <f t="shared" si="14"/>
        <v>30</v>
      </c>
      <c r="P128" s="51">
        <f t="shared" si="15"/>
        <v>31</v>
      </c>
      <c r="Q128" s="51">
        <f t="shared" si="16"/>
        <v>30</v>
      </c>
      <c r="R128" s="51">
        <f t="shared" si="17"/>
        <v>31</v>
      </c>
      <c r="S128" s="53">
        <f>IF(G128="事业部",LOOKUP(M128,基础设置!$T$2:$T$6,基础设置!$U$2:$U$6),IF(G128="总部",LOOKUP(M128,基础设置!$T$8:$T$13,基础设置!$V$8:$V$13),IF(G128="拓展部",LOOKUP(M128,基础设置!$T$8:$T$13,基础设置!$W$8:$W$13),5000)))</f>
        <v>4</v>
      </c>
    </row>
    <row r="129" spans="1:20" x14ac:dyDescent="0.15">
      <c r="A129" s="57">
        <v>128</v>
      </c>
      <c r="B129" s="7" t="s">
        <v>68</v>
      </c>
      <c r="C129" s="7" t="s">
        <v>35</v>
      </c>
      <c r="D129" s="7" t="s">
        <v>21</v>
      </c>
      <c r="E129" s="7" t="s">
        <v>226</v>
      </c>
      <c r="F129" s="7" t="s">
        <v>96</v>
      </c>
      <c r="G129" s="50" t="s">
        <v>9</v>
      </c>
      <c r="H129" s="8">
        <v>45729</v>
      </c>
      <c r="I129" s="60"/>
      <c r="J129" s="51">
        <f t="shared" si="9"/>
        <v>30</v>
      </c>
      <c r="K129" s="51">
        <f t="shared" si="10"/>
        <v>31</v>
      </c>
      <c r="L129" s="51">
        <f t="shared" si="11"/>
        <v>30</v>
      </c>
      <c r="M129" s="52">
        <f t="shared" si="12"/>
        <v>31</v>
      </c>
      <c r="N129" s="51">
        <f t="shared" si="13"/>
        <v>31</v>
      </c>
      <c r="O129" s="51">
        <f t="shared" si="14"/>
        <v>30</v>
      </c>
      <c r="P129" s="51">
        <f t="shared" si="15"/>
        <v>31</v>
      </c>
      <c r="Q129" s="51">
        <f t="shared" si="16"/>
        <v>30</v>
      </c>
      <c r="R129" s="51">
        <f t="shared" si="17"/>
        <v>31</v>
      </c>
      <c r="S129" s="53">
        <f>IF(G129="事业部",LOOKUP(M129,基础设置!$T$2:$T$6,基础设置!$U$2:$U$6),IF(G129="总部",LOOKUP(M129,基础设置!$T$8:$T$13,基础设置!$V$8:$V$13),IF(G129="拓展部",LOOKUP(M129,基础设置!$T$8:$T$13,基础设置!$W$8:$W$13),5000)))</f>
        <v>4</v>
      </c>
    </row>
    <row r="130" spans="1:20" x14ac:dyDescent="0.15">
      <c r="A130" s="57">
        <v>129</v>
      </c>
      <c r="B130" s="7" t="s">
        <v>68</v>
      </c>
      <c r="C130" s="7" t="s">
        <v>35</v>
      </c>
      <c r="D130" s="7" t="s">
        <v>21</v>
      </c>
      <c r="E130" s="7" t="s">
        <v>227</v>
      </c>
      <c r="F130" s="7" t="s">
        <v>96</v>
      </c>
      <c r="G130" s="50" t="s">
        <v>9</v>
      </c>
      <c r="H130" s="8">
        <v>45797</v>
      </c>
      <c r="I130" s="60"/>
      <c r="J130" s="51">
        <f t="shared" si="9"/>
        <v>0</v>
      </c>
      <c r="K130" s="51">
        <f t="shared" si="10"/>
        <v>12</v>
      </c>
      <c r="L130" s="51">
        <f t="shared" si="11"/>
        <v>30</v>
      </c>
      <c r="M130" s="52">
        <f t="shared" si="12"/>
        <v>31</v>
      </c>
      <c r="N130" s="51">
        <f t="shared" si="13"/>
        <v>31</v>
      </c>
      <c r="O130" s="51">
        <f t="shared" si="14"/>
        <v>30</v>
      </c>
      <c r="P130" s="51">
        <f t="shared" si="15"/>
        <v>31</v>
      </c>
      <c r="Q130" s="51">
        <f t="shared" si="16"/>
        <v>30</v>
      </c>
      <c r="R130" s="51">
        <f t="shared" si="17"/>
        <v>31</v>
      </c>
      <c r="S130" s="53">
        <f>IF(G130="事业部",LOOKUP(M130,基础设置!$T$2:$T$6,基础设置!$U$2:$U$6),IF(G130="总部",LOOKUP(M130,基础设置!$T$8:$T$13,基础设置!$V$8:$V$13),IF(G130="拓展部",LOOKUP(M130,基础设置!$T$8:$T$13,基础设置!$W$8:$W$13),5000)))</f>
        <v>4</v>
      </c>
      <c r="T130" s="53">
        <v>4000</v>
      </c>
    </row>
    <row r="131" spans="1:20" x14ac:dyDescent="0.15">
      <c r="A131" s="57">
        <v>130</v>
      </c>
      <c r="B131" s="7" t="s">
        <v>68</v>
      </c>
      <c r="C131" s="7" t="s">
        <v>35</v>
      </c>
      <c r="D131" s="7" t="s">
        <v>21</v>
      </c>
      <c r="E131" s="7" t="s">
        <v>228</v>
      </c>
      <c r="F131" s="7" t="s">
        <v>96</v>
      </c>
      <c r="G131" s="50" t="s">
        <v>9</v>
      </c>
      <c r="H131" s="8">
        <v>45813</v>
      </c>
      <c r="I131" s="60"/>
      <c r="J131" s="51">
        <f t="shared" ref="J131:J194" si="18">MAX(0,MIN(IF(I131="",EOMONTH(DATE(YEAR($J$1),MONTH($J$1),1),0),I131),EOMONTH(DATE(YEAR($J$1),MONTH($J$1),1),0))-MAX(H131,DATE(YEAR($J$1),MONTH($J$1),1))+1)</f>
        <v>0</v>
      </c>
      <c r="K131" s="51">
        <f t="shared" ref="K131:K194" si="19">MAX(0,MIN(IF(I131="",EOMONTH(DATE(YEAR($K$1),MONTH($K$1),1),0),I131),EOMONTH(DATE(YEAR($K$1),MONTH($K$1),1),0))-MAX(H131,DATE(YEAR($K$1),MONTH($K$1),1))+1)</f>
        <v>0</v>
      </c>
      <c r="L131" s="51">
        <f t="shared" ref="L131:L194" si="20">MAX(0,MIN(IF(I131="",EOMONTH(DATE(YEAR($L$1),MONTH($L$1),1),0),I131),EOMONTH(DATE(YEAR($L$1),MONTH($L$1),1),0))-MAX(H131,DATE(YEAR($L$1),MONTH($L$1),1))+1)</f>
        <v>26</v>
      </c>
      <c r="M131" s="52">
        <f t="shared" ref="M131:M194" si="21">MAX(0,MIN(IF(I131="",EOMONTH(DATE(YEAR($M$1),MONTH($M$1),1),0),I131),EOMONTH(DATE(YEAR($M$1),MONTH($M$1),1),0))-MAX(H131,DATE(YEAR($M$1),MONTH($M$1),1))+1)</f>
        <v>31</v>
      </c>
      <c r="N131" s="51">
        <f t="shared" ref="N131:N194" si="22">MAX(0,MIN(IF(I131="",EOMONTH(DATE(YEAR($N$1),MONTH($N$1),1),0),I131),EOMONTH(DATE(YEAR($N$1),MONTH($N$1),1),0))-MAX(H131,DATE(YEAR($N$1),MONTH($N$1),1))+1)</f>
        <v>31</v>
      </c>
      <c r="O131" s="51">
        <f t="shared" ref="O131:O194" si="23">MAX(0,MIN(IF(I131="",EOMONTH(DATE(YEAR($O$1),MONTH($O$1),1),0),I131),EOMONTH(DATE(YEAR($O$1),MONTH($O$1),1),0))-MAX(H131,DATE(YEAR($O$1),MONTH($O$1),1))+1)</f>
        <v>30</v>
      </c>
      <c r="P131" s="51">
        <f t="shared" ref="P131:P194" si="24">MAX(0,MIN(IF(I131="",EOMONTH(DATE(YEAR($P$1),MONTH($P$1),1),0),I131),EOMONTH(DATE(YEAR($P$1),MONTH($P$1),1),0))-MAX(H131,DATE(YEAR($P$1),MONTH($P$1),1))+1)</f>
        <v>31</v>
      </c>
      <c r="Q131" s="51">
        <f t="shared" ref="Q131:Q194" si="25">MAX(0,MIN(IF(I131="",EOMONTH(DATE(YEAR($Q$1),MONTH($Q$1),1),0),I131),EOMONTH(DATE(YEAR($Q$1),MONTH($Q$1),1),0))-MAX(H131,DATE(YEAR($Q$1),MONTH($Q$1),1))+1)</f>
        <v>30</v>
      </c>
      <c r="R131" s="51">
        <f t="shared" ref="R131:R194" si="26">MAX(0,MIN(IF(I131="",EOMONTH(DATE(YEAR($R$1),MONTH($R$1),1),0),I131),EOMONTH(DATE(YEAR($R$1),MONTH($R$1),1),0))-MAX(H131,DATE(YEAR($R$1),MONTH($R$1),1))+1)</f>
        <v>31</v>
      </c>
      <c r="S131" s="53">
        <f>IF(G131="事业部",LOOKUP(M131,基础设置!$T$2:$T$6,基础设置!$U$2:$U$6),IF(G131="总部",LOOKUP(M131,基础设置!$T$8:$T$13,基础设置!$V$8:$V$13),IF(G131="拓展部",LOOKUP(M131,基础设置!$T$8:$T$13,基础设置!$W$8:$W$13),5000)))</f>
        <v>4</v>
      </c>
      <c r="T131" s="53">
        <v>4000</v>
      </c>
    </row>
    <row r="132" spans="1:20" x14ac:dyDescent="0.15">
      <c r="A132" s="57">
        <v>131</v>
      </c>
      <c r="B132" s="7" t="s">
        <v>69</v>
      </c>
      <c r="C132" s="7" t="s">
        <v>97</v>
      </c>
      <c r="D132" s="7" t="s">
        <v>21</v>
      </c>
      <c r="E132" s="7" t="s">
        <v>229</v>
      </c>
      <c r="F132" s="7" t="s">
        <v>96</v>
      </c>
      <c r="G132" s="50" t="s">
        <v>9</v>
      </c>
      <c r="H132" s="8">
        <v>45070</v>
      </c>
      <c r="I132" s="60"/>
      <c r="J132" s="51">
        <f t="shared" si="18"/>
        <v>30</v>
      </c>
      <c r="K132" s="51">
        <f t="shared" si="19"/>
        <v>31</v>
      </c>
      <c r="L132" s="51">
        <f t="shared" si="20"/>
        <v>30</v>
      </c>
      <c r="M132" s="52">
        <f t="shared" si="21"/>
        <v>31</v>
      </c>
      <c r="N132" s="51">
        <f t="shared" si="22"/>
        <v>31</v>
      </c>
      <c r="O132" s="51">
        <f t="shared" si="23"/>
        <v>30</v>
      </c>
      <c r="P132" s="51">
        <f t="shared" si="24"/>
        <v>31</v>
      </c>
      <c r="Q132" s="51">
        <f t="shared" si="25"/>
        <v>30</v>
      </c>
      <c r="R132" s="51">
        <f t="shared" si="26"/>
        <v>31</v>
      </c>
      <c r="S132" s="53">
        <f>IF(G132="事业部",LOOKUP(M132,基础设置!$T$2:$T$6,基础设置!$U$2:$U$6),IF(G132="总部",LOOKUP(M132,基础设置!$T$8:$T$13,基础设置!$V$8:$V$13),IF(G132="拓展部",LOOKUP(M132,基础设置!$T$8:$T$13,基础设置!$W$8:$W$13),5000)))</f>
        <v>4</v>
      </c>
    </row>
    <row r="133" spans="1:20" x14ac:dyDescent="0.15">
      <c r="A133" s="57">
        <v>132</v>
      </c>
      <c r="B133" s="7" t="s">
        <v>69</v>
      </c>
      <c r="C133" s="7" t="s">
        <v>35</v>
      </c>
      <c r="D133" s="7" t="s">
        <v>21</v>
      </c>
      <c r="E133" s="7" t="s">
        <v>230</v>
      </c>
      <c r="F133" s="7" t="s">
        <v>96</v>
      </c>
      <c r="G133" s="50" t="s">
        <v>9</v>
      </c>
      <c r="H133" s="8">
        <v>45109</v>
      </c>
      <c r="I133" s="60"/>
      <c r="J133" s="51">
        <f t="shared" si="18"/>
        <v>30</v>
      </c>
      <c r="K133" s="51">
        <f t="shared" si="19"/>
        <v>31</v>
      </c>
      <c r="L133" s="51">
        <f t="shared" si="20"/>
        <v>30</v>
      </c>
      <c r="M133" s="52">
        <f t="shared" si="21"/>
        <v>31</v>
      </c>
      <c r="N133" s="51">
        <f t="shared" si="22"/>
        <v>31</v>
      </c>
      <c r="O133" s="51">
        <f t="shared" si="23"/>
        <v>30</v>
      </c>
      <c r="P133" s="51">
        <f t="shared" si="24"/>
        <v>31</v>
      </c>
      <c r="Q133" s="51">
        <f t="shared" si="25"/>
        <v>30</v>
      </c>
      <c r="R133" s="51">
        <f t="shared" si="26"/>
        <v>31</v>
      </c>
      <c r="S133" s="53">
        <f>IF(G133="事业部",LOOKUP(M133,基础设置!$T$2:$T$6,基础设置!$U$2:$U$6),IF(G133="总部",LOOKUP(M133,基础设置!$T$8:$T$13,基础设置!$V$8:$V$13),IF(G133="拓展部",LOOKUP(M133,基础设置!$T$8:$T$13,基础设置!$W$8:$W$13),5000)))</f>
        <v>4</v>
      </c>
    </row>
    <row r="134" spans="1:20" x14ac:dyDescent="0.15">
      <c r="A134" s="57">
        <v>133</v>
      </c>
      <c r="B134" s="7" t="s">
        <v>69</v>
      </c>
      <c r="C134" s="7" t="s">
        <v>35</v>
      </c>
      <c r="D134" s="7" t="s">
        <v>21</v>
      </c>
      <c r="E134" s="7" t="s">
        <v>231</v>
      </c>
      <c r="F134" s="7" t="s">
        <v>96</v>
      </c>
      <c r="G134" s="50" t="s">
        <v>9</v>
      </c>
      <c r="H134" s="8">
        <v>45405</v>
      </c>
      <c r="I134" s="60"/>
      <c r="J134" s="51">
        <f t="shared" si="18"/>
        <v>30</v>
      </c>
      <c r="K134" s="51">
        <f t="shared" si="19"/>
        <v>31</v>
      </c>
      <c r="L134" s="51">
        <f t="shared" si="20"/>
        <v>30</v>
      </c>
      <c r="M134" s="52">
        <f t="shared" si="21"/>
        <v>31</v>
      </c>
      <c r="N134" s="51">
        <f t="shared" si="22"/>
        <v>31</v>
      </c>
      <c r="O134" s="51">
        <f t="shared" si="23"/>
        <v>30</v>
      </c>
      <c r="P134" s="51">
        <f t="shared" si="24"/>
        <v>31</v>
      </c>
      <c r="Q134" s="51">
        <f t="shared" si="25"/>
        <v>30</v>
      </c>
      <c r="R134" s="51">
        <f t="shared" si="26"/>
        <v>31</v>
      </c>
      <c r="S134" s="53">
        <f>IF(G134="事业部",LOOKUP(M134,基础设置!$T$2:$T$6,基础设置!$U$2:$U$6),IF(G134="总部",LOOKUP(M134,基础设置!$T$8:$T$13,基础设置!$V$8:$V$13),IF(G134="拓展部",LOOKUP(M134,基础设置!$T$8:$T$13,基础设置!$W$8:$W$13),5000)))</f>
        <v>4</v>
      </c>
    </row>
    <row r="135" spans="1:20" x14ac:dyDescent="0.15">
      <c r="A135" s="57">
        <v>134</v>
      </c>
      <c r="B135" s="7" t="s">
        <v>69</v>
      </c>
      <c r="C135" s="7" t="s">
        <v>94</v>
      </c>
      <c r="D135" s="7" t="s">
        <v>30</v>
      </c>
      <c r="E135" s="7" t="s">
        <v>232</v>
      </c>
      <c r="F135" s="7" t="s">
        <v>96</v>
      </c>
      <c r="G135" s="50" t="s">
        <v>9</v>
      </c>
      <c r="H135" s="8">
        <v>45627</v>
      </c>
      <c r="I135" s="60"/>
      <c r="J135" s="51">
        <f t="shared" si="18"/>
        <v>30</v>
      </c>
      <c r="K135" s="51">
        <f t="shared" si="19"/>
        <v>31</v>
      </c>
      <c r="L135" s="51">
        <f t="shared" si="20"/>
        <v>30</v>
      </c>
      <c r="M135" s="52">
        <f t="shared" si="21"/>
        <v>31</v>
      </c>
      <c r="N135" s="51">
        <f t="shared" si="22"/>
        <v>31</v>
      </c>
      <c r="O135" s="51">
        <f t="shared" si="23"/>
        <v>30</v>
      </c>
      <c r="P135" s="51">
        <f t="shared" si="24"/>
        <v>31</v>
      </c>
      <c r="Q135" s="51">
        <f t="shared" si="25"/>
        <v>30</v>
      </c>
      <c r="R135" s="51">
        <f t="shared" si="26"/>
        <v>31</v>
      </c>
      <c r="S135" s="53">
        <f>IF(G135="事业部",LOOKUP(M135,基础设置!$T$2:$T$6,基础设置!$U$2:$U$6),IF(G135="总部",LOOKUP(M135,基础设置!$T$8:$T$13,基础设置!$V$8:$V$13),IF(G135="拓展部",LOOKUP(M135,基础设置!$T$8:$T$13,基础设置!$W$8:$W$13),5000)))</f>
        <v>4</v>
      </c>
    </row>
    <row r="136" spans="1:20" x14ac:dyDescent="0.15">
      <c r="A136" s="57">
        <v>135</v>
      </c>
      <c r="B136" s="7" t="s">
        <v>69</v>
      </c>
      <c r="C136" s="7" t="s">
        <v>35</v>
      </c>
      <c r="D136" s="7" t="s">
        <v>21</v>
      </c>
      <c r="E136" s="7" t="s">
        <v>233</v>
      </c>
      <c r="F136" s="7" t="s">
        <v>36</v>
      </c>
      <c r="G136" s="50" t="s">
        <v>9</v>
      </c>
      <c r="H136" s="8">
        <v>45700</v>
      </c>
      <c r="I136" s="8">
        <v>45824</v>
      </c>
      <c r="J136" s="51">
        <f t="shared" si="18"/>
        <v>30</v>
      </c>
      <c r="K136" s="51">
        <f t="shared" si="19"/>
        <v>31</v>
      </c>
      <c r="L136" s="51">
        <f t="shared" si="20"/>
        <v>16</v>
      </c>
      <c r="M136" s="52">
        <f t="shared" si="21"/>
        <v>0</v>
      </c>
      <c r="N136" s="51">
        <f t="shared" si="22"/>
        <v>0</v>
      </c>
      <c r="O136" s="51">
        <f t="shared" si="23"/>
        <v>0</v>
      </c>
      <c r="P136" s="51">
        <f t="shared" si="24"/>
        <v>0</v>
      </c>
      <c r="Q136" s="51">
        <f t="shared" si="25"/>
        <v>0</v>
      </c>
      <c r="R136" s="51">
        <f t="shared" si="26"/>
        <v>0</v>
      </c>
      <c r="S136" s="53">
        <f>IF(G136="事业部",LOOKUP(M136,基础设置!$T$2:$T$6,基础设置!$U$2:$U$6),IF(G136="总部",LOOKUP(M136,基础设置!$T$8:$T$13,基础设置!$V$8:$V$13),IF(G136="拓展部",LOOKUP(M136,基础设置!$T$8:$T$13,基础设置!$W$8:$W$13),5000)))</f>
        <v>0</v>
      </c>
    </row>
    <row r="137" spans="1:20" x14ac:dyDescent="0.15">
      <c r="A137" s="57">
        <v>136</v>
      </c>
      <c r="B137" s="7" t="s">
        <v>69</v>
      </c>
      <c r="C137" s="7" t="s">
        <v>35</v>
      </c>
      <c r="D137" s="7" t="s">
        <v>21</v>
      </c>
      <c r="E137" s="7" t="s">
        <v>234</v>
      </c>
      <c r="F137" s="7" t="s">
        <v>36</v>
      </c>
      <c r="G137" s="50" t="s">
        <v>9</v>
      </c>
      <c r="H137" s="8">
        <v>45762</v>
      </c>
      <c r="I137" s="60">
        <v>45858</v>
      </c>
      <c r="J137" s="51">
        <f t="shared" si="18"/>
        <v>16</v>
      </c>
      <c r="K137" s="51">
        <f t="shared" si="19"/>
        <v>31</v>
      </c>
      <c r="L137" s="51">
        <f t="shared" si="20"/>
        <v>30</v>
      </c>
      <c r="M137" s="52">
        <f t="shared" si="21"/>
        <v>20</v>
      </c>
      <c r="N137" s="51">
        <f t="shared" si="22"/>
        <v>0</v>
      </c>
      <c r="O137" s="51">
        <f t="shared" si="23"/>
        <v>0</v>
      </c>
      <c r="P137" s="51">
        <f t="shared" si="24"/>
        <v>0</v>
      </c>
      <c r="Q137" s="51">
        <f t="shared" si="25"/>
        <v>0</v>
      </c>
      <c r="R137" s="51">
        <f t="shared" si="26"/>
        <v>0</v>
      </c>
      <c r="S137" s="53">
        <f>IF(G137="事业部",LOOKUP(M137,基础设置!$T$2:$T$6,基础设置!$U$2:$U$6),IF(G137="总部",LOOKUP(M137,基础设置!$T$8:$T$13,基础设置!$V$8:$V$13),IF(G137="拓展部",LOOKUP(M137,基础设置!$T$8:$T$13,基础设置!$W$8:$W$13),5000)))</f>
        <v>2</v>
      </c>
    </row>
    <row r="138" spans="1:20" x14ac:dyDescent="0.15">
      <c r="A138" s="57">
        <v>137</v>
      </c>
      <c r="B138" s="7" t="s">
        <v>69</v>
      </c>
      <c r="C138" s="7" t="s">
        <v>35</v>
      </c>
      <c r="D138" s="7" t="s">
        <v>21</v>
      </c>
      <c r="E138" s="7" t="s">
        <v>235</v>
      </c>
      <c r="F138" s="7" t="s">
        <v>36</v>
      </c>
      <c r="G138" s="50" t="s">
        <v>9</v>
      </c>
      <c r="H138" s="8">
        <v>45775</v>
      </c>
      <c r="I138" s="8">
        <v>45837</v>
      </c>
      <c r="J138" s="51">
        <f t="shared" si="18"/>
        <v>3</v>
      </c>
      <c r="K138" s="51">
        <f t="shared" si="19"/>
        <v>31</v>
      </c>
      <c r="L138" s="51">
        <f t="shared" si="20"/>
        <v>29</v>
      </c>
      <c r="M138" s="52">
        <f t="shared" si="21"/>
        <v>0</v>
      </c>
      <c r="N138" s="51">
        <f t="shared" si="22"/>
        <v>0</v>
      </c>
      <c r="O138" s="51">
        <f t="shared" si="23"/>
        <v>0</v>
      </c>
      <c r="P138" s="51">
        <f t="shared" si="24"/>
        <v>0</v>
      </c>
      <c r="Q138" s="51">
        <f t="shared" si="25"/>
        <v>0</v>
      </c>
      <c r="R138" s="51">
        <f t="shared" si="26"/>
        <v>0</v>
      </c>
      <c r="S138" s="53">
        <f>IF(G138="事业部",LOOKUP(M138,基础设置!$T$2:$T$6,基础设置!$U$2:$U$6),IF(G138="总部",LOOKUP(M138,基础设置!$T$8:$T$13,基础设置!$V$8:$V$13),IF(G138="拓展部",LOOKUP(M138,基础设置!$T$8:$T$13,基础设置!$W$8:$W$13),5000)))</f>
        <v>0</v>
      </c>
    </row>
    <row r="139" spans="1:20" x14ac:dyDescent="0.15">
      <c r="A139" s="57">
        <v>138</v>
      </c>
      <c r="B139" s="7" t="s">
        <v>69</v>
      </c>
      <c r="C139" s="7" t="s">
        <v>35</v>
      </c>
      <c r="D139" s="7" t="s">
        <v>21</v>
      </c>
      <c r="E139" s="7" t="s">
        <v>236</v>
      </c>
      <c r="F139" s="7" t="s">
        <v>96</v>
      </c>
      <c r="G139" s="50" t="s">
        <v>9</v>
      </c>
      <c r="H139" s="8">
        <v>45819</v>
      </c>
      <c r="I139" s="8"/>
      <c r="J139" s="51">
        <f t="shared" si="18"/>
        <v>0</v>
      </c>
      <c r="K139" s="51">
        <f t="shared" si="19"/>
        <v>0</v>
      </c>
      <c r="L139" s="51">
        <f t="shared" si="20"/>
        <v>20</v>
      </c>
      <c r="M139" s="52">
        <f t="shared" si="21"/>
        <v>31</v>
      </c>
      <c r="N139" s="51">
        <f t="shared" si="22"/>
        <v>31</v>
      </c>
      <c r="O139" s="51">
        <f t="shared" si="23"/>
        <v>30</v>
      </c>
      <c r="P139" s="51">
        <f t="shared" si="24"/>
        <v>31</v>
      </c>
      <c r="Q139" s="51">
        <f t="shared" si="25"/>
        <v>30</v>
      </c>
      <c r="R139" s="51">
        <f t="shared" si="26"/>
        <v>31</v>
      </c>
      <c r="S139" s="53">
        <f>IF(G139="事业部",LOOKUP(M139,基础设置!$T$2:$T$6,基础设置!$U$2:$U$6),IF(G139="总部",LOOKUP(M139,基础设置!$T$8:$T$13,基础设置!$V$8:$V$13),IF(G139="拓展部",LOOKUP(M139,基础设置!$T$8:$T$13,基础设置!$W$8:$W$13),5000)))</f>
        <v>4</v>
      </c>
      <c r="T139" s="53">
        <v>3500</v>
      </c>
    </row>
    <row r="140" spans="1:20" x14ac:dyDescent="0.15">
      <c r="A140" s="57">
        <v>139</v>
      </c>
      <c r="B140" s="7" t="s">
        <v>79</v>
      </c>
      <c r="C140" s="7" t="s">
        <v>35</v>
      </c>
      <c r="D140" s="7" t="s">
        <v>21</v>
      </c>
      <c r="E140" s="7" t="s">
        <v>237</v>
      </c>
      <c r="F140" s="7" t="s">
        <v>96</v>
      </c>
      <c r="G140" s="50" t="s">
        <v>9</v>
      </c>
      <c r="H140" s="8">
        <v>45061</v>
      </c>
      <c r="I140" s="60"/>
      <c r="J140" s="51">
        <f t="shared" si="18"/>
        <v>30</v>
      </c>
      <c r="K140" s="51">
        <f t="shared" si="19"/>
        <v>31</v>
      </c>
      <c r="L140" s="51">
        <f t="shared" si="20"/>
        <v>30</v>
      </c>
      <c r="M140" s="52">
        <f t="shared" si="21"/>
        <v>31</v>
      </c>
      <c r="N140" s="51">
        <f t="shared" si="22"/>
        <v>31</v>
      </c>
      <c r="O140" s="51">
        <f t="shared" si="23"/>
        <v>30</v>
      </c>
      <c r="P140" s="51">
        <f t="shared" si="24"/>
        <v>31</v>
      </c>
      <c r="Q140" s="51">
        <f t="shared" si="25"/>
        <v>30</v>
      </c>
      <c r="R140" s="51">
        <f t="shared" si="26"/>
        <v>31</v>
      </c>
      <c r="S140" s="53">
        <f>IF(G140="事业部",LOOKUP(M140,基础设置!$T$2:$T$6,基础设置!$U$2:$U$6),IF(G140="总部",LOOKUP(M140,基础设置!$T$8:$T$13,基础设置!$V$8:$V$13),IF(G140="拓展部",LOOKUP(M140,基础设置!$T$8:$T$13,基础设置!$W$8:$W$13),5000)))</f>
        <v>4</v>
      </c>
    </row>
    <row r="141" spans="1:20" x14ac:dyDescent="0.15">
      <c r="A141" s="57">
        <v>140</v>
      </c>
      <c r="B141" s="7" t="s">
        <v>70</v>
      </c>
      <c r="C141" s="7" t="s">
        <v>35</v>
      </c>
      <c r="D141" s="7" t="s">
        <v>21</v>
      </c>
      <c r="E141" s="7" t="s">
        <v>238</v>
      </c>
      <c r="F141" s="7" t="s">
        <v>96</v>
      </c>
      <c r="G141" s="50" t="s">
        <v>9</v>
      </c>
      <c r="H141" s="8">
        <v>45063</v>
      </c>
      <c r="I141" s="60"/>
      <c r="J141" s="51">
        <f t="shared" si="18"/>
        <v>30</v>
      </c>
      <c r="K141" s="51">
        <f t="shared" si="19"/>
        <v>31</v>
      </c>
      <c r="L141" s="51">
        <f t="shared" si="20"/>
        <v>30</v>
      </c>
      <c r="M141" s="52">
        <f t="shared" si="21"/>
        <v>31</v>
      </c>
      <c r="N141" s="51">
        <f t="shared" si="22"/>
        <v>31</v>
      </c>
      <c r="O141" s="51">
        <f t="shared" si="23"/>
        <v>30</v>
      </c>
      <c r="P141" s="51">
        <f t="shared" si="24"/>
        <v>31</v>
      </c>
      <c r="Q141" s="51">
        <f t="shared" si="25"/>
        <v>30</v>
      </c>
      <c r="R141" s="51">
        <f t="shared" si="26"/>
        <v>31</v>
      </c>
      <c r="S141" s="53">
        <f>IF(G141="事业部",LOOKUP(M141,基础设置!$T$2:$T$6,基础设置!$U$2:$U$6),IF(G141="总部",LOOKUP(M141,基础设置!$T$8:$T$13,基础设置!$V$8:$V$13),IF(G141="拓展部",LOOKUP(M141,基础设置!$T$8:$T$13,基础设置!$W$8:$W$13),5000)))</f>
        <v>4</v>
      </c>
    </row>
    <row r="142" spans="1:20" x14ac:dyDescent="0.15">
      <c r="A142" s="57">
        <v>141</v>
      </c>
      <c r="B142" s="7" t="s">
        <v>70</v>
      </c>
      <c r="C142" s="7" t="s">
        <v>35</v>
      </c>
      <c r="D142" s="7" t="s">
        <v>21</v>
      </c>
      <c r="E142" s="7" t="s">
        <v>239</v>
      </c>
      <c r="F142" s="7" t="s">
        <v>96</v>
      </c>
      <c r="G142" s="50" t="s">
        <v>9</v>
      </c>
      <c r="H142" s="8">
        <v>45419</v>
      </c>
      <c r="I142" s="60"/>
      <c r="J142" s="51">
        <f t="shared" si="18"/>
        <v>30</v>
      </c>
      <c r="K142" s="51">
        <f t="shared" si="19"/>
        <v>31</v>
      </c>
      <c r="L142" s="51">
        <f t="shared" si="20"/>
        <v>30</v>
      </c>
      <c r="M142" s="52">
        <f t="shared" si="21"/>
        <v>31</v>
      </c>
      <c r="N142" s="51">
        <f t="shared" si="22"/>
        <v>31</v>
      </c>
      <c r="O142" s="51">
        <f t="shared" si="23"/>
        <v>30</v>
      </c>
      <c r="P142" s="51">
        <f t="shared" si="24"/>
        <v>31</v>
      </c>
      <c r="Q142" s="51">
        <f t="shared" si="25"/>
        <v>30</v>
      </c>
      <c r="R142" s="51">
        <f t="shared" si="26"/>
        <v>31</v>
      </c>
      <c r="S142" s="53">
        <f>IF(G142="事业部",LOOKUP(M142,基础设置!$T$2:$T$6,基础设置!$U$2:$U$6),IF(G142="总部",LOOKUP(M142,基础设置!$T$8:$T$13,基础设置!$V$8:$V$13),IF(G142="拓展部",LOOKUP(M142,基础设置!$T$8:$T$13,基础设置!$W$8:$W$13),5000)))</f>
        <v>4</v>
      </c>
    </row>
    <row r="143" spans="1:20" x14ac:dyDescent="0.15">
      <c r="A143" s="57">
        <v>142</v>
      </c>
      <c r="B143" s="7" t="s">
        <v>70</v>
      </c>
      <c r="C143" s="7" t="s">
        <v>94</v>
      </c>
      <c r="D143" s="7" t="s">
        <v>30</v>
      </c>
      <c r="E143" s="7" t="s">
        <v>240</v>
      </c>
      <c r="F143" s="7" t="s">
        <v>96</v>
      </c>
      <c r="G143" s="50" t="s">
        <v>9</v>
      </c>
      <c r="H143" s="8">
        <v>45493</v>
      </c>
      <c r="I143" s="60"/>
      <c r="J143" s="51">
        <f t="shared" si="18"/>
        <v>30</v>
      </c>
      <c r="K143" s="51">
        <f t="shared" si="19"/>
        <v>31</v>
      </c>
      <c r="L143" s="51">
        <f t="shared" si="20"/>
        <v>30</v>
      </c>
      <c r="M143" s="52">
        <f t="shared" si="21"/>
        <v>31</v>
      </c>
      <c r="N143" s="51">
        <f t="shared" si="22"/>
        <v>31</v>
      </c>
      <c r="O143" s="51">
        <f t="shared" si="23"/>
        <v>30</v>
      </c>
      <c r="P143" s="51">
        <f t="shared" si="24"/>
        <v>31</v>
      </c>
      <c r="Q143" s="51">
        <f t="shared" si="25"/>
        <v>30</v>
      </c>
      <c r="R143" s="51">
        <f t="shared" si="26"/>
        <v>31</v>
      </c>
      <c r="S143" s="53">
        <f>IF(G143="事业部",LOOKUP(M143,基础设置!$T$2:$T$6,基础设置!$U$2:$U$6),IF(G143="总部",LOOKUP(M143,基础设置!$T$8:$T$13,基础设置!$V$8:$V$13),IF(G143="拓展部",LOOKUP(M143,基础设置!$T$8:$T$13,基础设置!$W$8:$W$13),5000)))</f>
        <v>4</v>
      </c>
    </row>
    <row r="144" spans="1:20" x14ac:dyDescent="0.15">
      <c r="A144" s="57">
        <v>143</v>
      </c>
      <c r="B144" s="7" t="s">
        <v>70</v>
      </c>
      <c r="C144" s="7" t="s">
        <v>97</v>
      </c>
      <c r="D144" s="7" t="s">
        <v>21</v>
      </c>
      <c r="E144" s="7" t="s">
        <v>241</v>
      </c>
      <c r="F144" s="7" t="s">
        <v>96</v>
      </c>
      <c r="G144" s="50" t="s">
        <v>9</v>
      </c>
      <c r="H144" s="8">
        <v>45532</v>
      </c>
      <c r="I144" s="60"/>
      <c r="J144" s="51">
        <f t="shared" si="18"/>
        <v>30</v>
      </c>
      <c r="K144" s="51">
        <f t="shared" si="19"/>
        <v>31</v>
      </c>
      <c r="L144" s="51">
        <f t="shared" si="20"/>
        <v>30</v>
      </c>
      <c r="M144" s="52">
        <f t="shared" si="21"/>
        <v>31</v>
      </c>
      <c r="N144" s="51">
        <f t="shared" si="22"/>
        <v>31</v>
      </c>
      <c r="O144" s="51">
        <f t="shared" si="23"/>
        <v>30</v>
      </c>
      <c r="P144" s="51">
        <f t="shared" si="24"/>
        <v>31</v>
      </c>
      <c r="Q144" s="51">
        <f t="shared" si="25"/>
        <v>30</v>
      </c>
      <c r="R144" s="51">
        <f t="shared" si="26"/>
        <v>31</v>
      </c>
      <c r="S144" s="53">
        <f>IF(G144="事业部",LOOKUP(M144,基础设置!$T$2:$T$6,基础设置!$U$2:$U$6),IF(G144="总部",LOOKUP(M144,基础设置!$T$8:$T$13,基础设置!$V$8:$V$13),IF(G144="拓展部",LOOKUP(M144,基础设置!$T$8:$T$13,基础设置!$W$8:$W$13),5000)))</f>
        <v>4</v>
      </c>
    </row>
    <row r="145" spans="1:20" x14ac:dyDescent="0.15">
      <c r="A145" s="57">
        <v>144</v>
      </c>
      <c r="B145" s="7" t="s">
        <v>70</v>
      </c>
      <c r="C145" s="7" t="s">
        <v>35</v>
      </c>
      <c r="D145" s="7" t="s">
        <v>21</v>
      </c>
      <c r="E145" s="7" t="s">
        <v>242</v>
      </c>
      <c r="F145" s="7" t="s">
        <v>96</v>
      </c>
      <c r="G145" s="50" t="s">
        <v>9</v>
      </c>
      <c r="H145" s="8">
        <v>45600</v>
      </c>
      <c r="I145" s="60"/>
      <c r="J145" s="51">
        <f t="shared" si="18"/>
        <v>30</v>
      </c>
      <c r="K145" s="51">
        <f t="shared" si="19"/>
        <v>31</v>
      </c>
      <c r="L145" s="51">
        <f t="shared" si="20"/>
        <v>30</v>
      </c>
      <c r="M145" s="52">
        <f t="shared" si="21"/>
        <v>31</v>
      </c>
      <c r="N145" s="51">
        <f t="shared" si="22"/>
        <v>31</v>
      </c>
      <c r="O145" s="51">
        <f t="shared" si="23"/>
        <v>30</v>
      </c>
      <c r="P145" s="51">
        <f t="shared" si="24"/>
        <v>31</v>
      </c>
      <c r="Q145" s="51">
        <f t="shared" si="25"/>
        <v>30</v>
      </c>
      <c r="R145" s="51">
        <f t="shared" si="26"/>
        <v>31</v>
      </c>
      <c r="S145" s="53">
        <f>IF(G145="事业部",LOOKUP(M145,基础设置!$T$2:$T$6,基础设置!$U$2:$U$6),IF(G145="总部",LOOKUP(M145,基础设置!$T$8:$T$13,基础设置!$V$8:$V$13),IF(G145="拓展部",LOOKUP(M145,基础设置!$T$8:$T$13,基础设置!$W$8:$W$13),5000)))</f>
        <v>4</v>
      </c>
    </row>
    <row r="146" spans="1:20" x14ac:dyDescent="0.15">
      <c r="A146" s="57">
        <v>145</v>
      </c>
      <c r="B146" s="7" t="s">
        <v>70</v>
      </c>
      <c r="C146" s="7" t="s">
        <v>35</v>
      </c>
      <c r="D146" s="7" t="s">
        <v>21</v>
      </c>
      <c r="E146" s="7" t="s">
        <v>243</v>
      </c>
      <c r="F146" s="7" t="s">
        <v>96</v>
      </c>
      <c r="G146" s="50" t="s">
        <v>9</v>
      </c>
      <c r="H146" s="8">
        <v>45748</v>
      </c>
      <c r="I146" s="60"/>
      <c r="J146" s="51">
        <f t="shared" si="18"/>
        <v>30</v>
      </c>
      <c r="K146" s="51">
        <f t="shared" si="19"/>
        <v>31</v>
      </c>
      <c r="L146" s="51">
        <f t="shared" si="20"/>
        <v>30</v>
      </c>
      <c r="M146" s="52">
        <f t="shared" si="21"/>
        <v>31</v>
      </c>
      <c r="N146" s="51">
        <f t="shared" si="22"/>
        <v>31</v>
      </c>
      <c r="O146" s="51">
        <f t="shared" si="23"/>
        <v>30</v>
      </c>
      <c r="P146" s="51">
        <f t="shared" si="24"/>
        <v>31</v>
      </c>
      <c r="Q146" s="51">
        <f t="shared" si="25"/>
        <v>30</v>
      </c>
      <c r="R146" s="51">
        <f t="shared" si="26"/>
        <v>31</v>
      </c>
      <c r="S146" s="53">
        <f>IF(G146="事业部",LOOKUP(M146,基础设置!$T$2:$T$6,基础设置!$U$2:$U$6),IF(G146="总部",LOOKUP(M146,基础设置!$T$8:$T$13,基础设置!$V$8:$V$13),IF(G146="拓展部",LOOKUP(M146,基础设置!$T$8:$T$13,基础设置!$W$8:$W$13),5000)))</f>
        <v>4</v>
      </c>
    </row>
    <row r="147" spans="1:20" x14ac:dyDescent="0.15">
      <c r="A147" s="57">
        <v>146</v>
      </c>
      <c r="B147" s="7" t="s">
        <v>70</v>
      </c>
      <c r="C147" s="7" t="s">
        <v>35</v>
      </c>
      <c r="D147" s="7" t="s">
        <v>21</v>
      </c>
      <c r="E147" s="7" t="s">
        <v>244</v>
      </c>
      <c r="F147" s="7" t="s">
        <v>96</v>
      </c>
      <c r="G147" s="50" t="s">
        <v>9</v>
      </c>
      <c r="H147" s="8">
        <v>45797</v>
      </c>
      <c r="I147" s="60"/>
      <c r="J147" s="51">
        <f t="shared" si="18"/>
        <v>0</v>
      </c>
      <c r="K147" s="51">
        <f t="shared" si="19"/>
        <v>12</v>
      </c>
      <c r="L147" s="51">
        <f t="shared" si="20"/>
        <v>30</v>
      </c>
      <c r="M147" s="52">
        <f t="shared" si="21"/>
        <v>31</v>
      </c>
      <c r="N147" s="51">
        <f t="shared" si="22"/>
        <v>31</v>
      </c>
      <c r="O147" s="51">
        <f t="shared" si="23"/>
        <v>30</v>
      </c>
      <c r="P147" s="51">
        <f t="shared" si="24"/>
        <v>31</v>
      </c>
      <c r="Q147" s="51">
        <f t="shared" si="25"/>
        <v>30</v>
      </c>
      <c r="R147" s="51">
        <f t="shared" si="26"/>
        <v>31</v>
      </c>
      <c r="S147" s="53">
        <f>IF(G147="事业部",LOOKUP(M147,基础设置!$T$2:$T$6,基础设置!$U$2:$U$6),IF(G147="总部",LOOKUP(M147,基础设置!$T$8:$T$13,基础设置!$V$8:$V$13),IF(G147="拓展部",LOOKUP(M147,基础设置!$T$8:$T$13,基础设置!$W$8:$W$13),5000)))</f>
        <v>4</v>
      </c>
      <c r="T147" s="53">
        <v>4000</v>
      </c>
    </row>
    <row r="148" spans="1:20" x14ac:dyDescent="0.15">
      <c r="A148" s="57">
        <v>147</v>
      </c>
      <c r="B148" s="7" t="s">
        <v>71</v>
      </c>
      <c r="C148" s="7" t="s">
        <v>94</v>
      </c>
      <c r="D148" s="7" t="s">
        <v>30</v>
      </c>
      <c r="E148" s="7" t="s">
        <v>245</v>
      </c>
      <c r="F148" s="7" t="s">
        <v>96</v>
      </c>
      <c r="G148" s="50" t="s">
        <v>9</v>
      </c>
      <c r="H148" s="8">
        <v>45215</v>
      </c>
      <c r="I148" s="60"/>
      <c r="J148" s="51">
        <f t="shared" si="18"/>
        <v>30</v>
      </c>
      <c r="K148" s="51">
        <f t="shared" si="19"/>
        <v>31</v>
      </c>
      <c r="L148" s="51">
        <f t="shared" si="20"/>
        <v>30</v>
      </c>
      <c r="M148" s="52">
        <f t="shared" si="21"/>
        <v>31</v>
      </c>
      <c r="N148" s="51">
        <f t="shared" si="22"/>
        <v>31</v>
      </c>
      <c r="O148" s="51">
        <f t="shared" si="23"/>
        <v>30</v>
      </c>
      <c r="P148" s="51">
        <f t="shared" si="24"/>
        <v>31</v>
      </c>
      <c r="Q148" s="51">
        <f t="shared" si="25"/>
        <v>30</v>
      </c>
      <c r="R148" s="51">
        <f t="shared" si="26"/>
        <v>31</v>
      </c>
      <c r="S148" s="53">
        <f>IF(G148="事业部",LOOKUP(M148,基础设置!$T$2:$T$6,基础设置!$U$2:$U$6),IF(G148="总部",LOOKUP(M148,基础设置!$T$8:$T$13,基础设置!$V$8:$V$13),IF(G148="拓展部",LOOKUP(M148,基础设置!$T$8:$T$13,基础设置!$W$8:$W$13),5000)))</f>
        <v>4</v>
      </c>
    </row>
    <row r="149" spans="1:20" x14ac:dyDescent="0.15">
      <c r="A149" s="57">
        <v>148</v>
      </c>
      <c r="B149" s="7" t="s">
        <v>71</v>
      </c>
      <c r="C149" s="7" t="s">
        <v>97</v>
      </c>
      <c r="D149" s="7" t="s">
        <v>21</v>
      </c>
      <c r="E149" s="7" t="s">
        <v>246</v>
      </c>
      <c r="F149" s="7" t="s">
        <v>96</v>
      </c>
      <c r="G149" s="50" t="s">
        <v>9</v>
      </c>
      <c r="H149" s="8">
        <v>45071</v>
      </c>
      <c r="I149" s="60"/>
      <c r="J149" s="51">
        <f t="shared" si="18"/>
        <v>30</v>
      </c>
      <c r="K149" s="51">
        <f t="shared" si="19"/>
        <v>31</v>
      </c>
      <c r="L149" s="51">
        <f t="shared" si="20"/>
        <v>30</v>
      </c>
      <c r="M149" s="52">
        <f t="shared" si="21"/>
        <v>31</v>
      </c>
      <c r="N149" s="51">
        <f t="shared" si="22"/>
        <v>31</v>
      </c>
      <c r="O149" s="51">
        <f t="shared" si="23"/>
        <v>30</v>
      </c>
      <c r="P149" s="51">
        <f t="shared" si="24"/>
        <v>31</v>
      </c>
      <c r="Q149" s="51">
        <f t="shared" si="25"/>
        <v>30</v>
      </c>
      <c r="R149" s="51">
        <f t="shared" si="26"/>
        <v>31</v>
      </c>
      <c r="S149" s="53">
        <f>IF(G149="事业部",LOOKUP(M149,基础设置!$T$2:$T$6,基础设置!$U$2:$U$6),IF(G149="总部",LOOKUP(M149,基础设置!$T$8:$T$13,基础设置!$V$8:$V$13),IF(G149="拓展部",LOOKUP(M149,基础设置!$T$8:$T$13,基础设置!$W$8:$W$13),5000)))</f>
        <v>4</v>
      </c>
    </row>
    <row r="150" spans="1:20" x14ac:dyDescent="0.15">
      <c r="A150" s="57">
        <v>149</v>
      </c>
      <c r="B150" s="7" t="s">
        <v>71</v>
      </c>
      <c r="C150" s="7" t="s">
        <v>35</v>
      </c>
      <c r="D150" s="7" t="s">
        <v>21</v>
      </c>
      <c r="E150" s="7" t="s">
        <v>247</v>
      </c>
      <c r="F150" s="7" t="s">
        <v>96</v>
      </c>
      <c r="G150" s="50" t="s">
        <v>9</v>
      </c>
      <c r="H150" s="8">
        <v>45111</v>
      </c>
      <c r="I150" s="60"/>
      <c r="J150" s="51">
        <f t="shared" si="18"/>
        <v>30</v>
      </c>
      <c r="K150" s="51">
        <f t="shared" si="19"/>
        <v>31</v>
      </c>
      <c r="L150" s="51">
        <f t="shared" si="20"/>
        <v>30</v>
      </c>
      <c r="M150" s="52">
        <f t="shared" si="21"/>
        <v>31</v>
      </c>
      <c r="N150" s="51">
        <f t="shared" si="22"/>
        <v>31</v>
      </c>
      <c r="O150" s="51">
        <f t="shared" si="23"/>
        <v>30</v>
      </c>
      <c r="P150" s="51">
        <f t="shared" si="24"/>
        <v>31</v>
      </c>
      <c r="Q150" s="51">
        <f t="shared" si="25"/>
        <v>30</v>
      </c>
      <c r="R150" s="51">
        <f t="shared" si="26"/>
        <v>31</v>
      </c>
      <c r="S150" s="53">
        <f>IF(G150="事业部",LOOKUP(M150,基础设置!$T$2:$T$6,基础设置!$U$2:$U$6),IF(G150="总部",LOOKUP(M150,基础设置!$T$8:$T$13,基础设置!$V$8:$V$13),IF(G150="拓展部",LOOKUP(M150,基础设置!$T$8:$T$13,基础设置!$W$8:$W$13),5000)))</f>
        <v>4</v>
      </c>
    </row>
    <row r="151" spans="1:20" x14ac:dyDescent="0.15">
      <c r="A151" s="57">
        <v>150</v>
      </c>
      <c r="B151" s="7" t="s">
        <v>71</v>
      </c>
      <c r="C151" s="7" t="s">
        <v>35</v>
      </c>
      <c r="D151" s="7" t="s">
        <v>21</v>
      </c>
      <c r="E151" s="7" t="s">
        <v>248</v>
      </c>
      <c r="F151" s="7" t="s">
        <v>96</v>
      </c>
      <c r="G151" s="50" t="s">
        <v>9</v>
      </c>
      <c r="H151" s="8">
        <v>45155</v>
      </c>
      <c r="I151" s="60"/>
      <c r="J151" s="51">
        <f t="shared" si="18"/>
        <v>30</v>
      </c>
      <c r="K151" s="51">
        <f t="shared" si="19"/>
        <v>31</v>
      </c>
      <c r="L151" s="51">
        <f t="shared" si="20"/>
        <v>30</v>
      </c>
      <c r="M151" s="52">
        <f t="shared" si="21"/>
        <v>31</v>
      </c>
      <c r="N151" s="51">
        <f t="shared" si="22"/>
        <v>31</v>
      </c>
      <c r="O151" s="51">
        <f t="shared" si="23"/>
        <v>30</v>
      </c>
      <c r="P151" s="51">
        <f t="shared" si="24"/>
        <v>31</v>
      </c>
      <c r="Q151" s="51">
        <f t="shared" si="25"/>
        <v>30</v>
      </c>
      <c r="R151" s="51">
        <f t="shared" si="26"/>
        <v>31</v>
      </c>
      <c r="S151" s="53">
        <f>IF(G151="事业部",LOOKUP(M151,基础设置!$T$2:$T$6,基础设置!$U$2:$U$6),IF(G151="总部",LOOKUP(M151,基础设置!$T$8:$T$13,基础设置!$V$8:$V$13),IF(G151="拓展部",LOOKUP(M151,基础设置!$T$8:$T$13,基础设置!$W$8:$W$13),5000)))</f>
        <v>4</v>
      </c>
    </row>
    <row r="152" spans="1:20" x14ac:dyDescent="0.15">
      <c r="A152" s="57">
        <v>151</v>
      </c>
      <c r="B152" s="7" t="s">
        <v>71</v>
      </c>
      <c r="C152" s="7" t="s">
        <v>35</v>
      </c>
      <c r="D152" s="7" t="s">
        <v>21</v>
      </c>
      <c r="E152" s="7" t="s">
        <v>249</v>
      </c>
      <c r="F152" s="7" t="s">
        <v>96</v>
      </c>
      <c r="G152" s="50" t="s">
        <v>9</v>
      </c>
      <c r="H152" s="8">
        <v>45404</v>
      </c>
      <c r="I152" s="60"/>
      <c r="J152" s="51">
        <f t="shared" si="18"/>
        <v>30</v>
      </c>
      <c r="K152" s="51">
        <f t="shared" si="19"/>
        <v>31</v>
      </c>
      <c r="L152" s="51">
        <f t="shared" si="20"/>
        <v>30</v>
      </c>
      <c r="M152" s="52">
        <f t="shared" si="21"/>
        <v>31</v>
      </c>
      <c r="N152" s="51">
        <f t="shared" si="22"/>
        <v>31</v>
      </c>
      <c r="O152" s="51">
        <f t="shared" si="23"/>
        <v>30</v>
      </c>
      <c r="P152" s="51">
        <f t="shared" si="24"/>
        <v>31</v>
      </c>
      <c r="Q152" s="51">
        <f t="shared" si="25"/>
        <v>30</v>
      </c>
      <c r="R152" s="51">
        <f t="shared" si="26"/>
        <v>31</v>
      </c>
      <c r="S152" s="53">
        <f>IF(G152="事业部",LOOKUP(M152,基础设置!$T$2:$T$6,基础设置!$U$2:$U$6),IF(G152="总部",LOOKUP(M152,基础设置!$T$8:$T$13,基础设置!$V$8:$V$13),IF(G152="拓展部",LOOKUP(M152,基础设置!$T$8:$T$13,基础设置!$W$8:$W$13),5000)))</f>
        <v>4</v>
      </c>
    </row>
    <row r="153" spans="1:20" x14ac:dyDescent="0.15">
      <c r="A153" s="57">
        <v>152</v>
      </c>
      <c r="B153" s="7" t="s">
        <v>71</v>
      </c>
      <c r="C153" s="7" t="s">
        <v>35</v>
      </c>
      <c r="D153" s="7" t="s">
        <v>21</v>
      </c>
      <c r="E153" s="7" t="s">
        <v>250</v>
      </c>
      <c r="F153" s="7" t="s">
        <v>36</v>
      </c>
      <c r="G153" s="50" t="s">
        <v>9</v>
      </c>
      <c r="H153" s="8">
        <v>45517</v>
      </c>
      <c r="I153" s="8">
        <v>45828</v>
      </c>
      <c r="J153" s="51">
        <f t="shared" si="18"/>
        <v>30</v>
      </c>
      <c r="K153" s="51">
        <f t="shared" si="19"/>
        <v>31</v>
      </c>
      <c r="L153" s="51">
        <f t="shared" si="20"/>
        <v>20</v>
      </c>
      <c r="M153" s="52">
        <f t="shared" si="21"/>
        <v>0</v>
      </c>
      <c r="N153" s="51">
        <f t="shared" si="22"/>
        <v>0</v>
      </c>
      <c r="O153" s="51">
        <f t="shared" si="23"/>
        <v>0</v>
      </c>
      <c r="P153" s="51">
        <f t="shared" si="24"/>
        <v>0</v>
      </c>
      <c r="Q153" s="51">
        <f t="shared" si="25"/>
        <v>0</v>
      </c>
      <c r="R153" s="51">
        <f t="shared" si="26"/>
        <v>0</v>
      </c>
      <c r="S153" s="53">
        <f>IF(G153="事业部",LOOKUP(M153,基础设置!$T$2:$T$6,基础设置!$U$2:$U$6),IF(G153="总部",LOOKUP(M153,基础设置!$T$8:$T$13,基础设置!$V$8:$V$13),IF(G153="拓展部",LOOKUP(M153,基础设置!$T$8:$T$13,基础设置!$W$8:$W$13),5000)))</f>
        <v>0</v>
      </c>
    </row>
    <row r="154" spans="1:20" x14ac:dyDescent="0.15">
      <c r="A154" s="57">
        <v>153</v>
      </c>
      <c r="B154" s="7" t="s">
        <v>71</v>
      </c>
      <c r="C154" s="7" t="s">
        <v>35</v>
      </c>
      <c r="D154" s="7" t="s">
        <v>21</v>
      </c>
      <c r="E154" s="7" t="s">
        <v>251</v>
      </c>
      <c r="F154" s="7" t="s">
        <v>96</v>
      </c>
      <c r="G154" s="50" t="s">
        <v>9</v>
      </c>
      <c r="H154" s="8">
        <v>45802</v>
      </c>
      <c r="I154" s="60"/>
      <c r="J154" s="51">
        <f t="shared" si="18"/>
        <v>0</v>
      </c>
      <c r="K154" s="51">
        <f t="shared" si="19"/>
        <v>7</v>
      </c>
      <c r="L154" s="51">
        <f t="shared" si="20"/>
        <v>30</v>
      </c>
      <c r="M154" s="52">
        <f t="shared" si="21"/>
        <v>31</v>
      </c>
      <c r="N154" s="51">
        <f t="shared" si="22"/>
        <v>31</v>
      </c>
      <c r="O154" s="51">
        <f t="shared" si="23"/>
        <v>30</v>
      </c>
      <c r="P154" s="51">
        <f t="shared" si="24"/>
        <v>31</v>
      </c>
      <c r="Q154" s="51">
        <f t="shared" si="25"/>
        <v>30</v>
      </c>
      <c r="R154" s="51">
        <f t="shared" si="26"/>
        <v>31</v>
      </c>
      <c r="S154" s="53">
        <f>IF(G154="事业部",LOOKUP(M154,基础设置!$T$2:$T$6,基础设置!$U$2:$U$6),IF(G154="总部",LOOKUP(M154,基础设置!$T$8:$T$13,基础设置!$V$8:$V$13),IF(G154="拓展部",LOOKUP(M154,基础设置!$T$8:$T$13,基础设置!$W$8:$W$13),5000)))</f>
        <v>4</v>
      </c>
      <c r="T154" s="53">
        <v>4000</v>
      </c>
    </row>
    <row r="155" spans="1:20" x14ac:dyDescent="0.15">
      <c r="A155" s="57">
        <v>154</v>
      </c>
      <c r="B155" s="7" t="s">
        <v>71</v>
      </c>
      <c r="C155" s="7" t="s">
        <v>35</v>
      </c>
      <c r="D155" s="7" t="s">
        <v>21</v>
      </c>
      <c r="E155" s="7" t="s">
        <v>252</v>
      </c>
      <c r="F155" s="7" t="s">
        <v>96</v>
      </c>
      <c r="G155" s="50" t="s">
        <v>9</v>
      </c>
      <c r="H155" s="8">
        <v>45821</v>
      </c>
      <c r="I155" s="60"/>
      <c r="J155" s="51">
        <f t="shared" si="18"/>
        <v>0</v>
      </c>
      <c r="K155" s="51">
        <f t="shared" si="19"/>
        <v>0</v>
      </c>
      <c r="L155" s="51">
        <f t="shared" si="20"/>
        <v>18</v>
      </c>
      <c r="M155" s="52">
        <f t="shared" si="21"/>
        <v>31</v>
      </c>
      <c r="N155" s="51">
        <f t="shared" si="22"/>
        <v>31</v>
      </c>
      <c r="O155" s="51">
        <f t="shared" si="23"/>
        <v>30</v>
      </c>
      <c r="P155" s="51">
        <f t="shared" si="24"/>
        <v>31</v>
      </c>
      <c r="Q155" s="51">
        <f t="shared" si="25"/>
        <v>30</v>
      </c>
      <c r="R155" s="51">
        <f t="shared" si="26"/>
        <v>31</v>
      </c>
      <c r="S155" s="53">
        <f>IF(G155="事业部",LOOKUP(M155,基础设置!$T$2:$T$6,基础设置!$U$2:$U$6),IF(G155="总部",LOOKUP(M155,基础设置!$T$8:$T$13,基础设置!$V$8:$V$13),IF(G155="拓展部",LOOKUP(M155,基础设置!$T$8:$T$13,基础设置!$W$8:$W$13),5000)))</f>
        <v>4</v>
      </c>
      <c r="T155" s="53">
        <v>3500</v>
      </c>
    </row>
    <row r="156" spans="1:20" x14ac:dyDescent="0.15">
      <c r="A156" s="57">
        <v>155</v>
      </c>
      <c r="B156" s="57" t="s">
        <v>53</v>
      </c>
      <c r="C156" s="7" t="s">
        <v>46</v>
      </c>
      <c r="D156" s="7" t="s">
        <v>30</v>
      </c>
      <c r="E156" s="7" t="s">
        <v>253</v>
      </c>
      <c r="F156" s="7" t="s">
        <v>96</v>
      </c>
      <c r="G156" s="50" t="s">
        <v>9</v>
      </c>
      <c r="H156" s="8">
        <v>42423</v>
      </c>
      <c r="I156" s="60"/>
      <c r="J156" s="51">
        <f t="shared" si="18"/>
        <v>30</v>
      </c>
      <c r="K156" s="51">
        <f t="shared" si="19"/>
        <v>31</v>
      </c>
      <c r="L156" s="51">
        <f t="shared" si="20"/>
        <v>30</v>
      </c>
      <c r="M156" s="52">
        <f t="shared" si="21"/>
        <v>31</v>
      </c>
      <c r="N156" s="51">
        <f t="shared" si="22"/>
        <v>31</v>
      </c>
      <c r="O156" s="51">
        <f t="shared" si="23"/>
        <v>30</v>
      </c>
      <c r="P156" s="51">
        <f t="shared" si="24"/>
        <v>31</v>
      </c>
      <c r="Q156" s="51">
        <f t="shared" si="25"/>
        <v>30</v>
      </c>
      <c r="R156" s="51">
        <f t="shared" si="26"/>
        <v>31</v>
      </c>
      <c r="S156" s="53">
        <f>IF(G156="事业部",LOOKUP(M156,基础设置!$T$2:$T$6,基础设置!$U$2:$U$6),IF(G156="总部",LOOKUP(M156,基础设置!$T$8:$T$13,基础设置!$V$8:$V$13),IF(G156="拓展部",LOOKUP(M156,基础设置!$T$8:$T$13,基础设置!$W$8:$W$13),5000)))</f>
        <v>4</v>
      </c>
    </row>
    <row r="157" spans="1:20" x14ac:dyDescent="0.15">
      <c r="A157" s="57">
        <v>156</v>
      </c>
      <c r="B157" s="7" t="s">
        <v>72</v>
      </c>
      <c r="C157" s="7" t="s">
        <v>97</v>
      </c>
      <c r="D157" s="7" t="s">
        <v>21</v>
      </c>
      <c r="E157" s="7" t="s">
        <v>254</v>
      </c>
      <c r="F157" s="7" t="s">
        <v>96</v>
      </c>
      <c r="G157" s="50" t="s">
        <v>9</v>
      </c>
      <c r="H157" s="8">
        <v>45267</v>
      </c>
      <c r="I157" s="60"/>
      <c r="J157" s="51">
        <f t="shared" si="18"/>
        <v>30</v>
      </c>
      <c r="K157" s="51">
        <f t="shared" si="19"/>
        <v>31</v>
      </c>
      <c r="L157" s="51">
        <f t="shared" si="20"/>
        <v>30</v>
      </c>
      <c r="M157" s="52">
        <f t="shared" si="21"/>
        <v>31</v>
      </c>
      <c r="N157" s="51">
        <f t="shared" si="22"/>
        <v>31</v>
      </c>
      <c r="O157" s="51">
        <f t="shared" si="23"/>
        <v>30</v>
      </c>
      <c r="P157" s="51">
        <f t="shared" si="24"/>
        <v>31</v>
      </c>
      <c r="Q157" s="51">
        <f t="shared" si="25"/>
        <v>30</v>
      </c>
      <c r="R157" s="51">
        <f t="shared" si="26"/>
        <v>31</v>
      </c>
      <c r="S157" s="53">
        <f>IF(G157="事业部",LOOKUP(M157,基础设置!$T$2:$T$6,基础设置!$U$2:$U$6),IF(G157="总部",LOOKUP(M157,基础设置!$T$8:$T$13,基础设置!$V$8:$V$13),IF(G157="拓展部",LOOKUP(M157,基础设置!$T$8:$T$13,基础设置!$W$8:$W$13),5000)))</f>
        <v>4</v>
      </c>
    </row>
    <row r="158" spans="1:20" x14ac:dyDescent="0.15">
      <c r="A158" s="57">
        <v>157</v>
      </c>
      <c r="B158" s="7" t="s">
        <v>72</v>
      </c>
      <c r="C158" s="7" t="s">
        <v>35</v>
      </c>
      <c r="D158" s="7" t="s">
        <v>21</v>
      </c>
      <c r="E158" s="7" t="s">
        <v>255</v>
      </c>
      <c r="F158" s="7" t="s">
        <v>96</v>
      </c>
      <c r="G158" s="50" t="s">
        <v>9</v>
      </c>
      <c r="H158" s="8">
        <v>45209</v>
      </c>
      <c r="I158" s="60"/>
      <c r="J158" s="51">
        <f t="shared" si="18"/>
        <v>30</v>
      </c>
      <c r="K158" s="51">
        <f t="shared" si="19"/>
        <v>31</v>
      </c>
      <c r="L158" s="51">
        <f t="shared" si="20"/>
        <v>30</v>
      </c>
      <c r="M158" s="52">
        <f t="shared" si="21"/>
        <v>31</v>
      </c>
      <c r="N158" s="51">
        <f t="shared" si="22"/>
        <v>31</v>
      </c>
      <c r="O158" s="51">
        <f t="shared" si="23"/>
        <v>30</v>
      </c>
      <c r="P158" s="51">
        <f t="shared" si="24"/>
        <v>31</v>
      </c>
      <c r="Q158" s="51">
        <f t="shared" si="25"/>
        <v>30</v>
      </c>
      <c r="R158" s="51">
        <f t="shared" si="26"/>
        <v>31</v>
      </c>
      <c r="S158" s="53">
        <f>IF(G158="事业部",LOOKUP(M158,基础设置!$T$2:$T$6,基础设置!$U$2:$U$6),IF(G158="总部",LOOKUP(M158,基础设置!$T$8:$T$13,基础设置!$V$8:$V$13),IF(G158="拓展部",LOOKUP(M158,基础设置!$T$8:$T$13,基础设置!$W$8:$W$13),5000)))</f>
        <v>4</v>
      </c>
    </row>
    <row r="159" spans="1:20" x14ac:dyDescent="0.15">
      <c r="A159" s="57">
        <v>158</v>
      </c>
      <c r="B159" s="7" t="s">
        <v>72</v>
      </c>
      <c r="C159" s="7" t="s">
        <v>94</v>
      </c>
      <c r="D159" s="7" t="s">
        <v>30</v>
      </c>
      <c r="E159" s="7" t="s">
        <v>256</v>
      </c>
      <c r="F159" s="7" t="s">
        <v>96</v>
      </c>
      <c r="G159" s="50" t="s">
        <v>9</v>
      </c>
      <c r="H159" s="8">
        <v>45445</v>
      </c>
      <c r="I159" s="60"/>
      <c r="J159" s="51">
        <f t="shared" si="18"/>
        <v>30</v>
      </c>
      <c r="K159" s="51">
        <f t="shared" si="19"/>
        <v>31</v>
      </c>
      <c r="L159" s="51">
        <f t="shared" si="20"/>
        <v>30</v>
      </c>
      <c r="M159" s="52">
        <f t="shared" si="21"/>
        <v>31</v>
      </c>
      <c r="N159" s="51">
        <f t="shared" si="22"/>
        <v>31</v>
      </c>
      <c r="O159" s="51">
        <f t="shared" si="23"/>
        <v>30</v>
      </c>
      <c r="P159" s="51">
        <f t="shared" si="24"/>
        <v>31</v>
      </c>
      <c r="Q159" s="51">
        <f t="shared" si="25"/>
        <v>30</v>
      </c>
      <c r="R159" s="51">
        <f t="shared" si="26"/>
        <v>31</v>
      </c>
      <c r="S159" s="53">
        <f>IF(G159="事业部",LOOKUP(M159,基础设置!$T$2:$T$6,基础设置!$U$2:$U$6),IF(G159="总部",LOOKUP(M159,基础设置!$T$8:$T$13,基础设置!$V$8:$V$13),IF(G159="拓展部",LOOKUP(M159,基础设置!$T$8:$T$13,基础设置!$W$8:$W$13),5000)))</f>
        <v>4</v>
      </c>
    </row>
    <row r="160" spans="1:20" x14ac:dyDescent="0.15">
      <c r="A160" s="57">
        <v>159</v>
      </c>
      <c r="B160" s="7" t="s">
        <v>72</v>
      </c>
      <c r="C160" s="7" t="s">
        <v>35</v>
      </c>
      <c r="D160" s="7" t="s">
        <v>21</v>
      </c>
      <c r="E160" s="7" t="s">
        <v>257</v>
      </c>
      <c r="F160" s="7" t="s">
        <v>96</v>
      </c>
      <c r="G160" s="50" t="s">
        <v>9</v>
      </c>
      <c r="H160" s="8">
        <v>45440</v>
      </c>
      <c r="I160" s="60"/>
      <c r="J160" s="51">
        <f t="shared" si="18"/>
        <v>30</v>
      </c>
      <c r="K160" s="51">
        <f t="shared" si="19"/>
        <v>31</v>
      </c>
      <c r="L160" s="51">
        <f t="shared" si="20"/>
        <v>30</v>
      </c>
      <c r="M160" s="52">
        <f t="shared" si="21"/>
        <v>31</v>
      </c>
      <c r="N160" s="51">
        <f t="shared" si="22"/>
        <v>31</v>
      </c>
      <c r="O160" s="51">
        <f t="shared" si="23"/>
        <v>30</v>
      </c>
      <c r="P160" s="51">
        <f t="shared" si="24"/>
        <v>31</v>
      </c>
      <c r="Q160" s="51">
        <f t="shared" si="25"/>
        <v>30</v>
      </c>
      <c r="R160" s="51">
        <f t="shared" si="26"/>
        <v>31</v>
      </c>
      <c r="S160" s="53">
        <f>IF(G160="事业部",LOOKUP(M160,基础设置!$T$2:$T$6,基础设置!$U$2:$U$6),IF(G160="总部",LOOKUP(M160,基础设置!$T$8:$T$13,基础设置!$V$8:$V$13),IF(G160="拓展部",LOOKUP(M160,基础设置!$T$8:$T$13,基础设置!$W$8:$W$13),5000)))</f>
        <v>4</v>
      </c>
    </row>
    <row r="161" spans="1:21" x14ac:dyDescent="0.15">
      <c r="A161" s="57">
        <v>160</v>
      </c>
      <c r="B161" s="7" t="s">
        <v>72</v>
      </c>
      <c r="C161" s="7" t="s">
        <v>35</v>
      </c>
      <c r="D161" s="7" t="s">
        <v>21</v>
      </c>
      <c r="E161" s="7" t="s">
        <v>258</v>
      </c>
      <c r="F161" s="7" t="s">
        <v>96</v>
      </c>
      <c r="G161" s="50" t="s">
        <v>9</v>
      </c>
      <c r="H161" s="8">
        <v>45497</v>
      </c>
      <c r="I161" s="60"/>
      <c r="J161" s="51">
        <f t="shared" si="18"/>
        <v>30</v>
      </c>
      <c r="K161" s="51">
        <f t="shared" si="19"/>
        <v>31</v>
      </c>
      <c r="L161" s="51">
        <f t="shared" si="20"/>
        <v>30</v>
      </c>
      <c r="M161" s="52">
        <f t="shared" si="21"/>
        <v>31</v>
      </c>
      <c r="N161" s="51">
        <f t="shared" si="22"/>
        <v>31</v>
      </c>
      <c r="O161" s="51">
        <f t="shared" si="23"/>
        <v>30</v>
      </c>
      <c r="P161" s="51">
        <f t="shared" si="24"/>
        <v>31</v>
      </c>
      <c r="Q161" s="51">
        <f t="shared" si="25"/>
        <v>30</v>
      </c>
      <c r="R161" s="51">
        <f t="shared" si="26"/>
        <v>31</v>
      </c>
      <c r="S161" s="53">
        <f>IF(G161="事业部",LOOKUP(M161,基础设置!$T$2:$T$6,基础设置!$U$2:$U$6),IF(G161="总部",LOOKUP(M161,基础设置!$T$8:$T$13,基础设置!$V$8:$V$13),IF(G161="拓展部",LOOKUP(M161,基础设置!$T$8:$T$13,基础设置!$W$8:$W$13),5000)))</f>
        <v>4</v>
      </c>
      <c r="U161" s="54" t="s">
        <v>259</v>
      </c>
    </row>
    <row r="162" spans="1:21" x14ac:dyDescent="0.15">
      <c r="A162" s="57">
        <v>161</v>
      </c>
      <c r="B162" s="7" t="s">
        <v>72</v>
      </c>
      <c r="C162" s="7" t="s">
        <v>35</v>
      </c>
      <c r="D162" s="7" t="s">
        <v>21</v>
      </c>
      <c r="E162" s="7" t="s">
        <v>260</v>
      </c>
      <c r="F162" s="7" t="s">
        <v>96</v>
      </c>
      <c r="G162" s="50" t="s">
        <v>9</v>
      </c>
      <c r="H162" s="8">
        <v>45697</v>
      </c>
      <c r="I162" s="60"/>
      <c r="J162" s="51">
        <f t="shared" si="18"/>
        <v>30</v>
      </c>
      <c r="K162" s="51">
        <f t="shared" si="19"/>
        <v>31</v>
      </c>
      <c r="L162" s="51">
        <f t="shared" si="20"/>
        <v>30</v>
      </c>
      <c r="M162" s="52">
        <f t="shared" si="21"/>
        <v>31</v>
      </c>
      <c r="N162" s="51">
        <f t="shared" si="22"/>
        <v>31</v>
      </c>
      <c r="O162" s="51">
        <f t="shared" si="23"/>
        <v>30</v>
      </c>
      <c r="P162" s="51">
        <f t="shared" si="24"/>
        <v>31</v>
      </c>
      <c r="Q162" s="51">
        <f t="shared" si="25"/>
        <v>30</v>
      </c>
      <c r="R162" s="51">
        <f t="shared" si="26"/>
        <v>31</v>
      </c>
      <c r="S162" s="53">
        <f>IF(G162="事业部",LOOKUP(M162,基础设置!$T$2:$T$6,基础设置!$U$2:$U$6),IF(G162="总部",LOOKUP(M162,基础设置!$T$8:$T$13,基础设置!$V$8:$V$13),IF(G162="拓展部",LOOKUP(M162,基础设置!$T$8:$T$13,基础设置!$W$8:$W$13),5000)))</f>
        <v>4</v>
      </c>
    </row>
    <row r="163" spans="1:21" x14ac:dyDescent="0.15">
      <c r="A163" s="57">
        <v>162</v>
      </c>
      <c r="B163" s="7" t="s">
        <v>72</v>
      </c>
      <c r="C163" s="7" t="s">
        <v>35</v>
      </c>
      <c r="D163" s="7" t="s">
        <v>21</v>
      </c>
      <c r="E163" s="7" t="s">
        <v>261</v>
      </c>
      <c r="F163" s="7" t="s">
        <v>96</v>
      </c>
      <c r="G163" s="50" t="s">
        <v>9</v>
      </c>
      <c r="H163" s="8">
        <v>45711</v>
      </c>
      <c r="I163" s="60"/>
      <c r="J163" s="51">
        <f t="shared" si="18"/>
        <v>30</v>
      </c>
      <c r="K163" s="51">
        <f t="shared" si="19"/>
        <v>31</v>
      </c>
      <c r="L163" s="51">
        <f t="shared" si="20"/>
        <v>30</v>
      </c>
      <c r="M163" s="52">
        <f t="shared" si="21"/>
        <v>31</v>
      </c>
      <c r="N163" s="51">
        <f t="shared" si="22"/>
        <v>31</v>
      </c>
      <c r="O163" s="51">
        <f t="shared" si="23"/>
        <v>30</v>
      </c>
      <c r="P163" s="51">
        <f t="shared" si="24"/>
        <v>31</v>
      </c>
      <c r="Q163" s="51">
        <f t="shared" si="25"/>
        <v>30</v>
      </c>
      <c r="R163" s="51">
        <f t="shared" si="26"/>
        <v>31</v>
      </c>
      <c r="S163" s="53">
        <f>IF(G163="事业部",LOOKUP(M163,基础设置!$T$2:$T$6,基础设置!$U$2:$U$6),IF(G163="总部",LOOKUP(M163,基础设置!$T$8:$T$13,基础设置!$V$8:$V$13),IF(G163="拓展部",LOOKUP(M163,基础设置!$T$8:$T$13,基础设置!$W$8:$W$13),5000)))</f>
        <v>4</v>
      </c>
    </row>
    <row r="164" spans="1:21" x14ac:dyDescent="0.15">
      <c r="A164" s="57">
        <v>163</v>
      </c>
      <c r="B164" s="7" t="s">
        <v>39</v>
      </c>
      <c r="C164" s="7" t="s">
        <v>47</v>
      </c>
      <c r="D164" s="7" t="s">
        <v>30</v>
      </c>
      <c r="E164" s="7" t="s">
        <v>262</v>
      </c>
      <c r="F164" s="7" t="s">
        <v>96</v>
      </c>
      <c r="G164" s="50" t="s">
        <v>9</v>
      </c>
      <c r="H164" s="8">
        <v>44685</v>
      </c>
      <c r="I164" s="60"/>
      <c r="J164" s="51">
        <f t="shared" si="18"/>
        <v>30</v>
      </c>
      <c r="K164" s="51">
        <f t="shared" si="19"/>
        <v>31</v>
      </c>
      <c r="L164" s="51">
        <f t="shared" si="20"/>
        <v>30</v>
      </c>
      <c r="M164" s="52">
        <f t="shared" si="21"/>
        <v>31</v>
      </c>
      <c r="N164" s="51">
        <f t="shared" si="22"/>
        <v>31</v>
      </c>
      <c r="O164" s="51">
        <f t="shared" si="23"/>
        <v>30</v>
      </c>
      <c r="P164" s="51">
        <f t="shared" si="24"/>
        <v>31</v>
      </c>
      <c r="Q164" s="51">
        <f t="shared" si="25"/>
        <v>30</v>
      </c>
      <c r="R164" s="51">
        <f t="shared" si="26"/>
        <v>31</v>
      </c>
      <c r="S164" s="53">
        <f>IF(G164="事业部",LOOKUP(M164,基础设置!$T$2:$T$6,基础设置!$U$2:$U$6),IF(G164="总部",LOOKUP(M164,基础设置!$T$8:$T$13,基础设置!$V$8:$V$13),IF(G164="拓展部",LOOKUP(M164,基础设置!$T$8:$T$13,基础设置!$W$8:$W$13),5000)))</f>
        <v>4</v>
      </c>
    </row>
    <row r="165" spans="1:21" x14ac:dyDescent="0.15">
      <c r="A165" s="57">
        <v>164</v>
      </c>
      <c r="B165" s="7" t="s">
        <v>73</v>
      </c>
      <c r="C165" s="7" t="s">
        <v>94</v>
      </c>
      <c r="D165" s="7" t="s">
        <v>30</v>
      </c>
      <c r="E165" s="7" t="s">
        <v>263</v>
      </c>
      <c r="F165" s="7" t="s">
        <v>96</v>
      </c>
      <c r="G165" s="50" t="s">
        <v>9</v>
      </c>
      <c r="H165" s="8">
        <v>44263</v>
      </c>
      <c r="I165" s="60"/>
      <c r="J165" s="51">
        <f t="shared" si="18"/>
        <v>30</v>
      </c>
      <c r="K165" s="51">
        <f t="shared" si="19"/>
        <v>31</v>
      </c>
      <c r="L165" s="51">
        <f t="shared" si="20"/>
        <v>30</v>
      </c>
      <c r="M165" s="52">
        <f t="shared" si="21"/>
        <v>31</v>
      </c>
      <c r="N165" s="51">
        <f t="shared" si="22"/>
        <v>31</v>
      </c>
      <c r="O165" s="51">
        <f t="shared" si="23"/>
        <v>30</v>
      </c>
      <c r="P165" s="51">
        <f t="shared" si="24"/>
        <v>31</v>
      </c>
      <c r="Q165" s="51">
        <f t="shared" si="25"/>
        <v>30</v>
      </c>
      <c r="R165" s="51">
        <f t="shared" si="26"/>
        <v>31</v>
      </c>
      <c r="S165" s="53">
        <f>IF(G165="事业部",LOOKUP(M165,基础设置!$T$2:$T$6,基础设置!$U$2:$U$6),IF(G165="总部",LOOKUP(M165,基础设置!$T$8:$T$13,基础设置!$V$8:$V$13),IF(G165="拓展部",LOOKUP(M165,基础设置!$T$8:$T$13,基础设置!$W$8:$W$13),5000)))</f>
        <v>4</v>
      </c>
    </row>
    <row r="166" spans="1:21" x14ac:dyDescent="0.15">
      <c r="A166" s="57">
        <v>165</v>
      </c>
      <c r="B166" s="7" t="s">
        <v>73</v>
      </c>
      <c r="C166" s="7" t="s">
        <v>35</v>
      </c>
      <c r="D166" s="7" t="s">
        <v>21</v>
      </c>
      <c r="E166" s="7" t="s">
        <v>264</v>
      </c>
      <c r="F166" s="7" t="s">
        <v>96</v>
      </c>
      <c r="G166" s="50" t="s">
        <v>9</v>
      </c>
      <c r="H166" s="8">
        <v>45187</v>
      </c>
      <c r="I166" s="60"/>
      <c r="J166" s="51">
        <f t="shared" si="18"/>
        <v>30</v>
      </c>
      <c r="K166" s="51">
        <f t="shared" si="19"/>
        <v>31</v>
      </c>
      <c r="L166" s="51">
        <f t="shared" si="20"/>
        <v>30</v>
      </c>
      <c r="M166" s="52">
        <f t="shared" si="21"/>
        <v>31</v>
      </c>
      <c r="N166" s="51">
        <f t="shared" si="22"/>
        <v>31</v>
      </c>
      <c r="O166" s="51">
        <f t="shared" si="23"/>
        <v>30</v>
      </c>
      <c r="P166" s="51">
        <f t="shared" si="24"/>
        <v>31</v>
      </c>
      <c r="Q166" s="51">
        <f t="shared" si="25"/>
        <v>30</v>
      </c>
      <c r="R166" s="51">
        <f t="shared" si="26"/>
        <v>31</v>
      </c>
      <c r="S166" s="53">
        <f>IF(G166="事业部",LOOKUP(M166,基础设置!$T$2:$T$6,基础设置!$U$2:$U$6),IF(G166="总部",LOOKUP(M166,基础设置!$T$8:$T$13,基础设置!$V$8:$V$13),IF(G166="拓展部",LOOKUP(M166,基础设置!$T$8:$T$13,基础设置!$W$8:$W$13),5000)))</f>
        <v>4</v>
      </c>
    </row>
    <row r="167" spans="1:21" x14ac:dyDescent="0.15">
      <c r="A167" s="57">
        <v>166</v>
      </c>
      <c r="B167" s="7" t="s">
        <v>73</v>
      </c>
      <c r="C167" s="7" t="s">
        <v>97</v>
      </c>
      <c r="D167" s="7" t="s">
        <v>21</v>
      </c>
      <c r="E167" s="7" t="s">
        <v>265</v>
      </c>
      <c r="F167" s="7" t="s">
        <v>96</v>
      </c>
      <c r="G167" s="50" t="s">
        <v>9</v>
      </c>
      <c r="H167" s="8">
        <v>45296</v>
      </c>
      <c r="I167" s="60"/>
      <c r="J167" s="51">
        <f t="shared" si="18"/>
        <v>30</v>
      </c>
      <c r="K167" s="51">
        <f t="shared" si="19"/>
        <v>31</v>
      </c>
      <c r="L167" s="51">
        <f t="shared" si="20"/>
        <v>30</v>
      </c>
      <c r="M167" s="52">
        <f t="shared" si="21"/>
        <v>31</v>
      </c>
      <c r="N167" s="51">
        <f t="shared" si="22"/>
        <v>31</v>
      </c>
      <c r="O167" s="51">
        <f t="shared" si="23"/>
        <v>30</v>
      </c>
      <c r="P167" s="51">
        <f t="shared" si="24"/>
        <v>31</v>
      </c>
      <c r="Q167" s="51">
        <f t="shared" si="25"/>
        <v>30</v>
      </c>
      <c r="R167" s="51">
        <f t="shared" si="26"/>
        <v>31</v>
      </c>
      <c r="S167" s="53">
        <f>IF(G167="事业部",LOOKUP(M167,基础设置!$T$2:$T$6,基础设置!$U$2:$U$6),IF(G167="总部",LOOKUP(M167,基础设置!$T$8:$T$13,基础设置!$V$8:$V$13),IF(G167="拓展部",LOOKUP(M167,基础设置!$T$8:$T$13,基础设置!$W$8:$W$13),5000)))</f>
        <v>4</v>
      </c>
    </row>
    <row r="168" spans="1:21" x14ac:dyDescent="0.15">
      <c r="A168" s="57">
        <v>167</v>
      </c>
      <c r="B168" s="7" t="s">
        <v>73</v>
      </c>
      <c r="C168" s="7" t="s">
        <v>35</v>
      </c>
      <c r="D168" s="7" t="s">
        <v>21</v>
      </c>
      <c r="E168" s="7" t="s">
        <v>266</v>
      </c>
      <c r="F168" s="7" t="s">
        <v>96</v>
      </c>
      <c r="G168" s="50" t="s">
        <v>9</v>
      </c>
      <c r="H168" s="8">
        <v>45222</v>
      </c>
      <c r="I168" s="60"/>
      <c r="J168" s="51">
        <f t="shared" si="18"/>
        <v>30</v>
      </c>
      <c r="K168" s="51">
        <f t="shared" si="19"/>
        <v>31</v>
      </c>
      <c r="L168" s="51">
        <f t="shared" si="20"/>
        <v>30</v>
      </c>
      <c r="M168" s="52">
        <f t="shared" si="21"/>
        <v>31</v>
      </c>
      <c r="N168" s="51">
        <f t="shared" si="22"/>
        <v>31</v>
      </c>
      <c r="O168" s="51">
        <f t="shared" si="23"/>
        <v>30</v>
      </c>
      <c r="P168" s="51">
        <f t="shared" si="24"/>
        <v>31</v>
      </c>
      <c r="Q168" s="51">
        <f t="shared" si="25"/>
        <v>30</v>
      </c>
      <c r="R168" s="51">
        <f t="shared" si="26"/>
        <v>31</v>
      </c>
      <c r="S168" s="53">
        <f>IF(G168="事业部",LOOKUP(M168,基础设置!$T$2:$T$6,基础设置!$U$2:$U$6),IF(G168="总部",LOOKUP(M168,基础设置!$T$8:$T$13,基础设置!$V$8:$V$13),IF(G168="拓展部",LOOKUP(M168,基础设置!$T$8:$T$13,基础设置!$W$8:$W$13),5000)))</f>
        <v>4</v>
      </c>
    </row>
    <row r="169" spans="1:21" x14ac:dyDescent="0.15">
      <c r="A169" s="57">
        <v>168</v>
      </c>
      <c r="B169" s="7" t="s">
        <v>73</v>
      </c>
      <c r="C169" s="7" t="s">
        <v>35</v>
      </c>
      <c r="D169" s="7" t="s">
        <v>21</v>
      </c>
      <c r="E169" s="7" t="s">
        <v>267</v>
      </c>
      <c r="F169" s="7" t="s">
        <v>96</v>
      </c>
      <c r="G169" s="50" t="s">
        <v>9</v>
      </c>
      <c r="H169" s="8">
        <v>45702</v>
      </c>
      <c r="I169" s="60"/>
      <c r="J169" s="51">
        <f t="shared" si="18"/>
        <v>30</v>
      </c>
      <c r="K169" s="51">
        <f t="shared" si="19"/>
        <v>31</v>
      </c>
      <c r="L169" s="51">
        <f t="shared" si="20"/>
        <v>30</v>
      </c>
      <c r="M169" s="52">
        <f t="shared" si="21"/>
        <v>31</v>
      </c>
      <c r="N169" s="51">
        <f t="shared" si="22"/>
        <v>31</v>
      </c>
      <c r="O169" s="51">
        <f t="shared" si="23"/>
        <v>30</v>
      </c>
      <c r="P169" s="51">
        <f t="shared" si="24"/>
        <v>31</v>
      </c>
      <c r="Q169" s="51">
        <f t="shared" si="25"/>
        <v>30</v>
      </c>
      <c r="R169" s="51">
        <f t="shared" si="26"/>
        <v>31</v>
      </c>
      <c r="S169" s="53">
        <f>IF(G169="事业部",LOOKUP(M169,基础设置!$T$2:$T$6,基础设置!$U$2:$U$6),IF(G169="总部",LOOKUP(M169,基础设置!$T$8:$T$13,基础设置!$V$8:$V$13),IF(G169="拓展部",LOOKUP(M169,基础设置!$T$8:$T$13,基础设置!$W$8:$W$13),5000)))</f>
        <v>4</v>
      </c>
    </row>
    <row r="170" spans="1:21" x14ac:dyDescent="0.15">
      <c r="A170" s="57">
        <v>169</v>
      </c>
      <c r="B170" s="7" t="s">
        <v>73</v>
      </c>
      <c r="C170" s="7" t="s">
        <v>35</v>
      </c>
      <c r="D170" s="7" t="s">
        <v>21</v>
      </c>
      <c r="E170" s="7" t="s">
        <v>268</v>
      </c>
      <c r="F170" s="7" t="s">
        <v>96</v>
      </c>
      <c r="G170" s="50" t="s">
        <v>9</v>
      </c>
      <c r="H170" s="8">
        <v>45720</v>
      </c>
      <c r="I170" s="60"/>
      <c r="J170" s="51">
        <f t="shared" si="18"/>
        <v>30</v>
      </c>
      <c r="K170" s="51">
        <f t="shared" si="19"/>
        <v>31</v>
      </c>
      <c r="L170" s="51">
        <f t="shared" si="20"/>
        <v>30</v>
      </c>
      <c r="M170" s="52">
        <f t="shared" si="21"/>
        <v>31</v>
      </c>
      <c r="N170" s="51">
        <f t="shared" si="22"/>
        <v>31</v>
      </c>
      <c r="O170" s="51">
        <f t="shared" si="23"/>
        <v>30</v>
      </c>
      <c r="P170" s="51">
        <f t="shared" si="24"/>
        <v>31</v>
      </c>
      <c r="Q170" s="51">
        <f t="shared" si="25"/>
        <v>30</v>
      </c>
      <c r="R170" s="51">
        <f t="shared" si="26"/>
        <v>31</v>
      </c>
      <c r="S170" s="53">
        <f>IF(G170="事业部",LOOKUP(M170,基础设置!$T$2:$T$6,基础设置!$U$2:$U$6),IF(G170="总部",LOOKUP(M170,基础设置!$T$8:$T$13,基础设置!$V$8:$V$13),IF(G170="拓展部",LOOKUP(M170,基础设置!$T$8:$T$13,基础设置!$W$8:$W$13),5000)))</f>
        <v>4</v>
      </c>
    </row>
    <row r="171" spans="1:21" x14ac:dyDescent="0.15">
      <c r="A171" s="57">
        <v>170</v>
      </c>
      <c r="B171" s="7" t="s">
        <v>81</v>
      </c>
      <c r="C171" s="7" t="s">
        <v>46</v>
      </c>
      <c r="D171" s="7" t="s">
        <v>30</v>
      </c>
      <c r="E171" s="7" t="s">
        <v>269</v>
      </c>
      <c r="F171" s="7" t="s">
        <v>96</v>
      </c>
      <c r="G171" s="50" t="s">
        <v>9</v>
      </c>
      <c r="H171" s="8">
        <v>44501</v>
      </c>
      <c r="I171" s="60"/>
      <c r="J171" s="51">
        <f t="shared" si="18"/>
        <v>30</v>
      </c>
      <c r="K171" s="51">
        <f t="shared" si="19"/>
        <v>31</v>
      </c>
      <c r="L171" s="51">
        <f t="shared" si="20"/>
        <v>30</v>
      </c>
      <c r="M171" s="52">
        <f t="shared" si="21"/>
        <v>31</v>
      </c>
      <c r="N171" s="51">
        <f t="shared" si="22"/>
        <v>31</v>
      </c>
      <c r="O171" s="51">
        <f t="shared" si="23"/>
        <v>30</v>
      </c>
      <c r="P171" s="51">
        <f t="shared" si="24"/>
        <v>31</v>
      </c>
      <c r="Q171" s="51">
        <f t="shared" si="25"/>
        <v>30</v>
      </c>
      <c r="R171" s="51">
        <f t="shared" si="26"/>
        <v>31</v>
      </c>
      <c r="S171" s="53">
        <f>IF(G171="事业部",LOOKUP(M171,基础设置!$T$2:$T$6,基础设置!$U$2:$U$6),IF(G171="总部",LOOKUP(M171,基础设置!$T$8:$T$13,基础设置!$V$8:$V$13),IF(G171="拓展部",LOOKUP(M171,基础设置!$T$8:$T$13,基础设置!$W$8:$W$13),5000)))</f>
        <v>4</v>
      </c>
    </row>
    <row r="172" spans="1:21" x14ac:dyDescent="0.15">
      <c r="A172" s="57">
        <v>171</v>
      </c>
      <c r="B172" s="7" t="s">
        <v>73</v>
      </c>
      <c r="C172" s="7" t="s">
        <v>35</v>
      </c>
      <c r="D172" s="7" t="s">
        <v>21</v>
      </c>
      <c r="E172" s="7" t="s">
        <v>270</v>
      </c>
      <c r="F172" s="7" t="s">
        <v>96</v>
      </c>
      <c r="G172" s="50" t="s">
        <v>9</v>
      </c>
      <c r="H172" s="8">
        <v>45818</v>
      </c>
      <c r="I172" s="60"/>
      <c r="J172" s="51">
        <f t="shared" si="18"/>
        <v>0</v>
      </c>
      <c r="K172" s="51">
        <f t="shared" si="19"/>
        <v>0</v>
      </c>
      <c r="L172" s="51">
        <f t="shared" si="20"/>
        <v>21</v>
      </c>
      <c r="M172" s="52">
        <f t="shared" si="21"/>
        <v>31</v>
      </c>
      <c r="N172" s="51">
        <f t="shared" si="22"/>
        <v>31</v>
      </c>
      <c r="O172" s="51">
        <f t="shared" si="23"/>
        <v>30</v>
      </c>
      <c r="P172" s="51">
        <f t="shared" si="24"/>
        <v>31</v>
      </c>
      <c r="Q172" s="51">
        <f t="shared" si="25"/>
        <v>30</v>
      </c>
      <c r="R172" s="51">
        <f t="shared" si="26"/>
        <v>31</v>
      </c>
      <c r="S172" s="53">
        <f>IF(G172="事业部",LOOKUP(M172,基础设置!$T$2:$T$6,基础设置!$U$2:$U$6),IF(G172="总部",LOOKUP(M172,基础设置!$T$8:$T$13,基础设置!$V$8:$V$13),IF(G172="拓展部",LOOKUP(M172,基础设置!$T$8:$T$13,基础设置!$W$8:$W$13),5000)))</f>
        <v>4</v>
      </c>
      <c r="T172" s="53">
        <v>4000</v>
      </c>
    </row>
    <row r="173" spans="1:21" x14ac:dyDescent="0.15">
      <c r="A173" s="57">
        <v>172</v>
      </c>
      <c r="B173" s="7" t="s">
        <v>74</v>
      </c>
      <c r="C173" s="7" t="s">
        <v>35</v>
      </c>
      <c r="D173" s="7" t="s">
        <v>21</v>
      </c>
      <c r="E173" s="7" t="s">
        <v>271</v>
      </c>
      <c r="F173" s="7" t="s">
        <v>96</v>
      </c>
      <c r="G173" s="50" t="s">
        <v>9</v>
      </c>
      <c r="H173" s="8">
        <v>44483</v>
      </c>
      <c r="I173" s="60"/>
      <c r="J173" s="51">
        <f t="shared" si="18"/>
        <v>30</v>
      </c>
      <c r="K173" s="51">
        <f t="shared" si="19"/>
        <v>31</v>
      </c>
      <c r="L173" s="51">
        <f t="shared" si="20"/>
        <v>30</v>
      </c>
      <c r="M173" s="52">
        <f t="shared" si="21"/>
        <v>31</v>
      </c>
      <c r="N173" s="51">
        <f t="shared" si="22"/>
        <v>31</v>
      </c>
      <c r="O173" s="51">
        <f t="shared" si="23"/>
        <v>30</v>
      </c>
      <c r="P173" s="51">
        <f t="shared" si="24"/>
        <v>31</v>
      </c>
      <c r="Q173" s="51">
        <f t="shared" si="25"/>
        <v>30</v>
      </c>
      <c r="R173" s="51">
        <f t="shared" si="26"/>
        <v>31</v>
      </c>
      <c r="S173" s="53">
        <f>IF(G173="事业部",LOOKUP(M173,基础设置!$T$2:$T$6,基础设置!$U$2:$U$6),IF(G173="总部",LOOKUP(M173,基础设置!$T$8:$T$13,基础设置!$V$8:$V$13),IF(G173="拓展部",LOOKUP(M173,基础设置!$T$8:$T$13,基础设置!$W$8:$W$13),5000)))</f>
        <v>4</v>
      </c>
    </row>
    <row r="174" spans="1:21" x14ac:dyDescent="0.15">
      <c r="A174" s="57">
        <v>173</v>
      </c>
      <c r="B174" s="7" t="s">
        <v>74</v>
      </c>
      <c r="C174" s="7" t="s">
        <v>94</v>
      </c>
      <c r="D174" s="7" t="s">
        <v>30</v>
      </c>
      <c r="E174" s="7" t="s">
        <v>272</v>
      </c>
      <c r="F174" s="7" t="s">
        <v>96</v>
      </c>
      <c r="G174" s="50" t="s">
        <v>9</v>
      </c>
      <c r="H174" s="8">
        <v>44669</v>
      </c>
      <c r="I174" s="60"/>
      <c r="J174" s="51">
        <f t="shared" si="18"/>
        <v>30</v>
      </c>
      <c r="K174" s="51">
        <f t="shared" si="19"/>
        <v>31</v>
      </c>
      <c r="L174" s="51">
        <f t="shared" si="20"/>
        <v>30</v>
      </c>
      <c r="M174" s="52">
        <f t="shared" si="21"/>
        <v>31</v>
      </c>
      <c r="N174" s="51">
        <f t="shared" si="22"/>
        <v>31</v>
      </c>
      <c r="O174" s="51">
        <f t="shared" si="23"/>
        <v>30</v>
      </c>
      <c r="P174" s="51">
        <f t="shared" si="24"/>
        <v>31</v>
      </c>
      <c r="Q174" s="51">
        <f t="shared" si="25"/>
        <v>30</v>
      </c>
      <c r="R174" s="51">
        <f t="shared" si="26"/>
        <v>31</v>
      </c>
      <c r="S174" s="53">
        <f>IF(G174="事业部",LOOKUP(M174,基础设置!$T$2:$T$6,基础设置!$U$2:$U$6),IF(G174="总部",LOOKUP(M174,基础设置!$T$8:$T$13,基础设置!$V$8:$V$13),IF(G174="拓展部",LOOKUP(M174,基础设置!$T$8:$T$13,基础设置!$W$8:$W$13),5000)))</f>
        <v>4</v>
      </c>
    </row>
    <row r="175" spans="1:21" x14ac:dyDescent="0.15">
      <c r="A175" s="57">
        <v>174</v>
      </c>
      <c r="B175" s="7" t="s">
        <v>74</v>
      </c>
      <c r="C175" s="7" t="s">
        <v>35</v>
      </c>
      <c r="D175" s="7" t="s">
        <v>21</v>
      </c>
      <c r="E175" s="7" t="s">
        <v>273</v>
      </c>
      <c r="F175" s="7" t="s">
        <v>96</v>
      </c>
      <c r="G175" s="50" t="s">
        <v>9</v>
      </c>
      <c r="H175" s="8">
        <v>44987</v>
      </c>
      <c r="I175" s="60"/>
      <c r="J175" s="51">
        <f t="shared" si="18"/>
        <v>30</v>
      </c>
      <c r="K175" s="51">
        <f t="shared" si="19"/>
        <v>31</v>
      </c>
      <c r="L175" s="51">
        <f t="shared" si="20"/>
        <v>30</v>
      </c>
      <c r="M175" s="52">
        <f t="shared" si="21"/>
        <v>31</v>
      </c>
      <c r="N175" s="51">
        <f t="shared" si="22"/>
        <v>31</v>
      </c>
      <c r="O175" s="51">
        <f t="shared" si="23"/>
        <v>30</v>
      </c>
      <c r="P175" s="51">
        <f t="shared" si="24"/>
        <v>31</v>
      </c>
      <c r="Q175" s="51">
        <f t="shared" si="25"/>
        <v>30</v>
      </c>
      <c r="R175" s="51">
        <f t="shared" si="26"/>
        <v>31</v>
      </c>
      <c r="S175" s="53">
        <f>IF(G175="事业部",LOOKUP(M175,基础设置!$T$2:$T$6,基础设置!$U$2:$U$6),IF(G175="总部",LOOKUP(M175,基础设置!$T$8:$T$13,基础设置!$V$8:$V$13),IF(G175="拓展部",LOOKUP(M175,基础设置!$T$8:$T$13,基础设置!$W$8:$W$13),5000)))</f>
        <v>4</v>
      </c>
    </row>
    <row r="176" spans="1:21" x14ac:dyDescent="0.15">
      <c r="A176" s="57">
        <v>175</v>
      </c>
      <c r="B176" s="7" t="s">
        <v>74</v>
      </c>
      <c r="C176" s="7" t="s">
        <v>35</v>
      </c>
      <c r="D176" s="7" t="s">
        <v>21</v>
      </c>
      <c r="E176" s="7" t="s">
        <v>274</v>
      </c>
      <c r="F176" s="7" t="s">
        <v>36</v>
      </c>
      <c r="G176" s="50" t="s">
        <v>9</v>
      </c>
      <c r="H176" s="8">
        <v>45348</v>
      </c>
      <c r="I176" s="60">
        <v>45845</v>
      </c>
      <c r="J176" s="51">
        <f t="shared" si="18"/>
        <v>30</v>
      </c>
      <c r="K176" s="51">
        <f t="shared" si="19"/>
        <v>31</v>
      </c>
      <c r="L176" s="51">
        <f t="shared" si="20"/>
        <v>30</v>
      </c>
      <c r="M176" s="52">
        <f t="shared" si="21"/>
        <v>7</v>
      </c>
      <c r="N176" s="51">
        <f t="shared" si="22"/>
        <v>0</v>
      </c>
      <c r="O176" s="51">
        <f t="shared" si="23"/>
        <v>0</v>
      </c>
      <c r="P176" s="51">
        <f t="shared" si="24"/>
        <v>0</v>
      </c>
      <c r="Q176" s="51">
        <f t="shared" si="25"/>
        <v>0</v>
      </c>
      <c r="R176" s="51">
        <f t="shared" si="26"/>
        <v>0</v>
      </c>
      <c r="S176" s="53">
        <f>IF(G176="事业部",LOOKUP(M176,基础设置!$T$2:$T$6,基础设置!$U$2:$U$6),IF(G176="总部",LOOKUP(M176,基础设置!$T$8:$T$13,基础设置!$V$8:$V$13),IF(G176="拓展部",LOOKUP(M176,基础设置!$T$8:$T$13,基础设置!$W$8:$W$13),5000)))</f>
        <v>1</v>
      </c>
    </row>
    <row r="177" spans="1:20" x14ac:dyDescent="0.15">
      <c r="A177" s="57">
        <v>176</v>
      </c>
      <c r="B177" s="7" t="s">
        <v>74</v>
      </c>
      <c r="C177" s="7" t="s">
        <v>97</v>
      </c>
      <c r="D177" s="7" t="s">
        <v>21</v>
      </c>
      <c r="E177" s="7" t="s">
        <v>275</v>
      </c>
      <c r="F177" s="7" t="s">
        <v>96</v>
      </c>
      <c r="G177" s="50" t="s">
        <v>9</v>
      </c>
      <c r="H177" s="8">
        <v>45503</v>
      </c>
      <c r="I177" s="60"/>
      <c r="J177" s="51">
        <f t="shared" si="18"/>
        <v>30</v>
      </c>
      <c r="K177" s="51">
        <f t="shared" si="19"/>
        <v>31</v>
      </c>
      <c r="L177" s="51">
        <f t="shared" si="20"/>
        <v>30</v>
      </c>
      <c r="M177" s="52">
        <f t="shared" si="21"/>
        <v>31</v>
      </c>
      <c r="N177" s="51">
        <f t="shared" si="22"/>
        <v>31</v>
      </c>
      <c r="O177" s="51">
        <f t="shared" si="23"/>
        <v>30</v>
      </c>
      <c r="P177" s="51">
        <f t="shared" si="24"/>
        <v>31</v>
      </c>
      <c r="Q177" s="51">
        <f t="shared" si="25"/>
        <v>30</v>
      </c>
      <c r="R177" s="51">
        <f t="shared" si="26"/>
        <v>31</v>
      </c>
      <c r="S177" s="53">
        <f>IF(G177="事业部",LOOKUP(M177,基础设置!$T$2:$T$6,基础设置!$U$2:$U$6),IF(G177="总部",LOOKUP(M177,基础设置!$T$8:$T$13,基础设置!$V$8:$V$13),IF(G177="拓展部",LOOKUP(M177,基础设置!$T$8:$T$13,基础设置!$W$8:$W$13),5000)))</f>
        <v>4</v>
      </c>
    </row>
    <row r="178" spans="1:20" x14ac:dyDescent="0.15">
      <c r="A178" s="57">
        <v>177</v>
      </c>
      <c r="B178" s="7" t="s">
        <v>74</v>
      </c>
      <c r="C178" s="7" t="s">
        <v>35</v>
      </c>
      <c r="D178" s="7" t="s">
        <v>21</v>
      </c>
      <c r="E178" s="7" t="s">
        <v>276</v>
      </c>
      <c r="F178" s="7" t="s">
        <v>96</v>
      </c>
      <c r="G178" s="50" t="s">
        <v>9</v>
      </c>
      <c r="H178" s="8">
        <v>45706</v>
      </c>
      <c r="I178" s="60"/>
      <c r="J178" s="51">
        <f t="shared" si="18"/>
        <v>30</v>
      </c>
      <c r="K178" s="51">
        <f t="shared" si="19"/>
        <v>31</v>
      </c>
      <c r="L178" s="51">
        <f t="shared" si="20"/>
        <v>30</v>
      </c>
      <c r="M178" s="52">
        <f t="shared" si="21"/>
        <v>31</v>
      </c>
      <c r="N178" s="51">
        <f t="shared" si="22"/>
        <v>31</v>
      </c>
      <c r="O178" s="51">
        <f t="shared" si="23"/>
        <v>30</v>
      </c>
      <c r="P178" s="51">
        <f t="shared" si="24"/>
        <v>31</v>
      </c>
      <c r="Q178" s="51">
        <f t="shared" si="25"/>
        <v>30</v>
      </c>
      <c r="R178" s="51">
        <f t="shared" si="26"/>
        <v>31</v>
      </c>
      <c r="S178" s="53">
        <f>IF(G178="事业部",LOOKUP(M178,基础设置!$T$2:$T$6,基础设置!$U$2:$U$6),IF(G178="总部",LOOKUP(M178,基础设置!$T$8:$T$13,基础设置!$V$8:$V$13),IF(G178="拓展部",LOOKUP(M178,基础设置!$T$8:$T$13,基础设置!$W$8:$W$13),5000)))</f>
        <v>4</v>
      </c>
    </row>
    <row r="179" spans="1:20" x14ac:dyDescent="0.15">
      <c r="A179" s="57">
        <v>178</v>
      </c>
      <c r="B179" s="7" t="s">
        <v>74</v>
      </c>
      <c r="C179" s="7" t="s">
        <v>35</v>
      </c>
      <c r="D179" s="7" t="s">
        <v>21</v>
      </c>
      <c r="E179" s="7" t="s">
        <v>277</v>
      </c>
      <c r="F179" s="7" t="s">
        <v>96</v>
      </c>
      <c r="G179" s="50" t="s">
        <v>9</v>
      </c>
      <c r="H179" s="8">
        <v>45711</v>
      </c>
      <c r="I179" s="60"/>
      <c r="J179" s="51">
        <f t="shared" si="18"/>
        <v>30</v>
      </c>
      <c r="K179" s="51">
        <f t="shared" si="19"/>
        <v>31</v>
      </c>
      <c r="L179" s="51">
        <f t="shared" si="20"/>
        <v>30</v>
      </c>
      <c r="M179" s="52">
        <f t="shared" si="21"/>
        <v>31</v>
      </c>
      <c r="N179" s="51">
        <f t="shared" si="22"/>
        <v>31</v>
      </c>
      <c r="O179" s="51">
        <f t="shared" si="23"/>
        <v>30</v>
      </c>
      <c r="P179" s="51">
        <f t="shared" si="24"/>
        <v>31</v>
      </c>
      <c r="Q179" s="51">
        <f t="shared" si="25"/>
        <v>30</v>
      </c>
      <c r="R179" s="51">
        <f t="shared" si="26"/>
        <v>31</v>
      </c>
      <c r="S179" s="53">
        <f>IF(G179="事业部",LOOKUP(M179,基础设置!$T$2:$T$6,基础设置!$U$2:$U$6),IF(G179="总部",LOOKUP(M179,基础设置!$T$8:$T$13,基础设置!$V$8:$V$13),IF(G179="拓展部",LOOKUP(M179,基础设置!$T$8:$T$13,基础设置!$W$8:$W$13),5000)))</f>
        <v>4</v>
      </c>
    </row>
    <row r="180" spans="1:20" x14ac:dyDescent="0.15">
      <c r="A180" s="57">
        <v>179</v>
      </c>
      <c r="B180" s="7" t="s">
        <v>74</v>
      </c>
      <c r="C180" s="7" t="s">
        <v>35</v>
      </c>
      <c r="D180" s="7" t="s">
        <v>21</v>
      </c>
      <c r="E180" s="7" t="s">
        <v>278</v>
      </c>
      <c r="F180" s="7" t="s">
        <v>96</v>
      </c>
      <c r="G180" s="50" t="s">
        <v>9</v>
      </c>
      <c r="H180" s="8">
        <v>45741</v>
      </c>
      <c r="I180" s="60"/>
      <c r="J180" s="51">
        <f t="shared" si="18"/>
        <v>30</v>
      </c>
      <c r="K180" s="51">
        <f t="shared" si="19"/>
        <v>31</v>
      </c>
      <c r="L180" s="51">
        <f t="shared" si="20"/>
        <v>30</v>
      </c>
      <c r="M180" s="52">
        <f t="shared" si="21"/>
        <v>31</v>
      </c>
      <c r="N180" s="51">
        <f t="shared" si="22"/>
        <v>31</v>
      </c>
      <c r="O180" s="51">
        <f t="shared" si="23"/>
        <v>30</v>
      </c>
      <c r="P180" s="51">
        <f t="shared" si="24"/>
        <v>31</v>
      </c>
      <c r="Q180" s="51">
        <f t="shared" si="25"/>
        <v>30</v>
      </c>
      <c r="R180" s="51">
        <f t="shared" si="26"/>
        <v>31</v>
      </c>
      <c r="S180" s="53">
        <f>IF(G180="事业部",LOOKUP(M180,基础设置!$T$2:$T$6,基础设置!$U$2:$U$6),IF(G180="总部",LOOKUP(M180,基础设置!$T$8:$T$13,基础设置!$V$8:$V$13),IF(G180="拓展部",LOOKUP(M180,基础设置!$T$8:$T$13,基础设置!$W$8:$W$13),5000)))</f>
        <v>4</v>
      </c>
    </row>
    <row r="181" spans="1:20" x14ac:dyDescent="0.15">
      <c r="A181" s="57">
        <v>180</v>
      </c>
      <c r="B181" s="7" t="s">
        <v>75</v>
      </c>
      <c r="C181" s="7" t="s">
        <v>94</v>
      </c>
      <c r="D181" s="7" t="s">
        <v>30</v>
      </c>
      <c r="E181" s="7" t="s">
        <v>279</v>
      </c>
      <c r="F181" s="7" t="s">
        <v>96</v>
      </c>
      <c r="G181" s="50" t="s">
        <v>9</v>
      </c>
      <c r="H181" s="8">
        <v>44463</v>
      </c>
      <c r="I181" s="60"/>
      <c r="J181" s="51">
        <f t="shared" si="18"/>
        <v>30</v>
      </c>
      <c r="K181" s="51">
        <f t="shared" si="19"/>
        <v>31</v>
      </c>
      <c r="L181" s="51">
        <f t="shared" si="20"/>
        <v>30</v>
      </c>
      <c r="M181" s="52">
        <f t="shared" si="21"/>
        <v>31</v>
      </c>
      <c r="N181" s="51">
        <f t="shared" si="22"/>
        <v>31</v>
      </c>
      <c r="O181" s="51">
        <f t="shared" si="23"/>
        <v>30</v>
      </c>
      <c r="P181" s="51">
        <f t="shared" si="24"/>
        <v>31</v>
      </c>
      <c r="Q181" s="51">
        <f t="shared" si="25"/>
        <v>30</v>
      </c>
      <c r="R181" s="51">
        <f t="shared" si="26"/>
        <v>31</v>
      </c>
      <c r="S181" s="53">
        <f>IF(G181="事业部",LOOKUP(M181,基础设置!$T$2:$T$6,基础设置!$U$2:$U$6),IF(G181="总部",LOOKUP(M181,基础设置!$T$8:$T$13,基础设置!$V$8:$V$13),IF(G181="拓展部",LOOKUP(M181,基础设置!$T$8:$T$13,基础设置!$W$8:$W$13),5000)))</f>
        <v>4</v>
      </c>
    </row>
    <row r="182" spans="1:20" x14ac:dyDescent="0.15">
      <c r="A182" s="57">
        <v>181</v>
      </c>
      <c r="B182" s="7" t="s">
        <v>75</v>
      </c>
      <c r="C182" s="7" t="s">
        <v>35</v>
      </c>
      <c r="D182" s="7" t="s">
        <v>21</v>
      </c>
      <c r="E182" s="7" t="s">
        <v>280</v>
      </c>
      <c r="F182" s="7" t="s">
        <v>96</v>
      </c>
      <c r="G182" s="50" t="s">
        <v>9</v>
      </c>
      <c r="H182" s="8">
        <v>44641</v>
      </c>
      <c r="I182" s="60"/>
      <c r="J182" s="51">
        <f t="shared" si="18"/>
        <v>30</v>
      </c>
      <c r="K182" s="51">
        <f t="shared" si="19"/>
        <v>31</v>
      </c>
      <c r="L182" s="51">
        <f t="shared" si="20"/>
        <v>30</v>
      </c>
      <c r="M182" s="52">
        <f t="shared" si="21"/>
        <v>31</v>
      </c>
      <c r="N182" s="51">
        <f t="shared" si="22"/>
        <v>31</v>
      </c>
      <c r="O182" s="51">
        <f t="shared" si="23"/>
        <v>30</v>
      </c>
      <c r="P182" s="51">
        <f t="shared" si="24"/>
        <v>31</v>
      </c>
      <c r="Q182" s="51">
        <f t="shared" si="25"/>
        <v>30</v>
      </c>
      <c r="R182" s="51">
        <f t="shared" si="26"/>
        <v>31</v>
      </c>
      <c r="S182" s="53">
        <f>IF(G182="事业部",LOOKUP(M182,基础设置!$T$2:$T$6,基础设置!$U$2:$U$6),IF(G182="总部",LOOKUP(M182,基础设置!$T$8:$T$13,基础设置!$V$8:$V$13),IF(G182="拓展部",LOOKUP(M182,基础设置!$T$8:$T$13,基础设置!$W$8:$W$13),5000)))</f>
        <v>4</v>
      </c>
    </row>
    <row r="183" spans="1:20" x14ac:dyDescent="0.15">
      <c r="A183" s="57">
        <v>182</v>
      </c>
      <c r="B183" s="7" t="s">
        <v>75</v>
      </c>
      <c r="C183" s="7" t="s">
        <v>35</v>
      </c>
      <c r="D183" s="7" t="s">
        <v>21</v>
      </c>
      <c r="E183" s="7" t="s">
        <v>281</v>
      </c>
      <c r="F183" s="7" t="s">
        <v>96</v>
      </c>
      <c r="G183" s="50" t="s">
        <v>9</v>
      </c>
      <c r="H183" s="8">
        <v>45027</v>
      </c>
      <c r="I183" s="60"/>
      <c r="J183" s="51">
        <f t="shared" si="18"/>
        <v>30</v>
      </c>
      <c r="K183" s="51">
        <f t="shared" si="19"/>
        <v>31</v>
      </c>
      <c r="L183" s="51">
        <f t="shared" si="20"/>
        <v>30</v>
      </c>
      <c r="M183" s="52">
        <f t="shared" si="21"/>
        <v>31</v>
      </c>
      <c r="N183" s="51">
        <f t="shared" si="22"/>
        <v>31</v>
      </c>
      <c r="O183" s="51">
        <f t="shared" si="23"/>
        <v>30</v>
      </c>
      <c r="P183" s="51">
        <f t="shared" si="24"/>
        <v>31</v>
      </c>
      <c r="Q183" s="51">
        <f t="shared" si="25"/>
        <v>30</v>
      </c>
      <c r="R183" s="51">
        <f t="shared" si="26"/>
        <v>31</v>
      </c>
      <c r="S183" s="53">
        <f>IF(G183="事业部",LOOKUP(M183,基础设置!$T$2:$T$6,基础设置!$U$2:$U$6),IF(G183="总部",LOOKUP(M183,基础设置!$T$8:$T$13,基础设置!$V$8:$V$13),IF(G183="拓展部",LOOKUP(M183,基础设置!$T$8:$T$13,基础设置!$W$8:$W$13),5000)))</f>
        <v>4</v>
      </c>
    </row>
    <row r="184" spans="1:20" x14ac:dyDescent="0.15">
      <c r="A184" s="57">
        <v>183</v>
      </c>
      <c r="B184" s="7" t="s">
        <v>75</v>
      </c>
      <c r="C184" s="7" t="s">
        <v>35</v>
      </c>
      <c r="D184" s="7" t="s">
        <v>21</v>
      </c>
      <c r="E184" s="7" t="s">
        <v>282</v>
      </c>
      <c r="F184" s="7" t="s">
        <v>96</v>
      </c>
      <c r="G184" s="50" t="s">
        <v>9</v>
      </c>
      <c r="H184" s="8">
        <v>45364</v>
      </c>
      <c r="I184" s="60"/>
      <c r="J184" s="51">
        <f t="shared" si="18"/>
        <v>30</v>
      </c>
      <c r="K184" s="51">
        <f t="shared" si="19"/>
        <v>31</v>
      </c>
      <c r="L184" s="51">
        <f t="shared" si="20"/>
        <v>30</v>
      </c>
      <c r="M184" s="52">
        <f t="shared" si="21"/>
        <v>31</v>
      </c>
      <c r="N184" s="51">
        <f t="shared" si="22"/>
        <v>31</v>
      </c>
      <c r="O184" s="51">
        <f t="shared" si="23"/>
        <v>30</v>
      </c>
      <c r="P184" s="51">
        <f t="shared" si="24"/>
        <v>31</v>
      </c>
      <c r="Q184" s="51">
        <f t="shared" si="25"/>
        <v>30</v>
      </c>
      <c r="R184" s="51">
        <f t="shared" si="26"/>
        <v>31</v>
      </c>
      <c r="S184" s="53">
        <f>IF(G184="事业部",LOOKUP(M184,基础设置!$T$2:$T$6,基础设置!$U$2:$U$6),IF(G184="总部",LOOKUP(M184,基础设置!$T$8:$T$13,基础设置!$V$8:$V$13),IF(G184="拓展部",LOOKUP(M184,基础设置!$T$8:$T$13,基础设置!$W$8:$W$13),5000)))</f>
        <v>4</v>
      </c>
    </row>
    <row r="185" spans="1:20" x14ac:dyDescent="0.15">
      <c r="A185" s="57">
        <v>184</v>
      </c>
      <c r="B185" s="7" t="s">
        <v>75</v>
      </c>
      <c r="C185" s="7" t="s">
        <v>35</v>
      </c>
      <c r="D185" s="7" t="s">
        <v>21</v>
      </c>
      <c r="E185" s="7" t="s">
        <v>283</v>
      </c>
      <c r="F185" s="7" t="s">
        <v>96</v>
      </c>
      <c r="G185" s="50" t="s">
        <v>9</v>
      </c>
      <c r="H185" s="8">
        <v>45348</v>
      </c>
      <c r="I185" s="60"/>
      <c r="J185" s="51">
        <f t="shared" si="18"/>
        <v>30</v>
      </c>
      <c r="K185" s="51">
        <f t="shared" si="19"/>
        <v>31</v>
      </c>
      <c r="L185" s="51">
        <f t="shared" si="20"/>
        <v>30</v>
      </c>
      <c r="M185" s="52">
        <f t="shared" si="21"/>
        <v>31</v>
      </c>
      <c r="N185" s="51">
        <f t="shared" si="22"/>
        <v>31</v>
      </c>
      <c r="O185" s="51">
        <f t="shared" si="23"/>
        <v>30</v>
      </c>
      <c r="P185" s="51">
        <f t="shared" si="24"/>
        <v>31</v>
      </c>
      <c r="Q185" s="51">
        <f t="shared" si="25"/>
        <v>30</v>
      </c>
      <c r="R185" s="51">
        <f t="shared" si="26"/>
        <v>31</v>
      </c>
      <c r="S185" s="53">
        <f>IF(G185="事业部",LOOKUP(M185,基础设置!$T$2:$T$6,基础设置!$U$2:$U$6),IF(G185="总部",LOOKUP(M185,基础设置!$T$8:$T$13,基础设置!$V$8:$V$13),IF(G185="拓展部",LOOKUP(M185,基础设置!$T$8:$T$13,基础设置!$W$8:$W$13),5000)))</f>
        <v>4</v>
      </c>
    </row>
    <row r="186" spans="1:20" x14ac:dyDescent="0.15">
      <c r="A186" s="57">
        <v>185</v>
      </c>
      <c r="B186" s="7" t="s">
        <v>75</v>
      </c>
      <c r="C186" s="7" t="s">
        <v>97</v>
      </c>
      <c r="D186" s="7" t="s">
        <v>21</v>
      </c>
      <c r="E186" s="7" t="s">
        <v>284</v>
      </c>
      <c r="F186" s="7" t="s">
        <v>96</v>
      </c>
      <c r="G186" s="50" t="s">
        <v>9</v>
      </c>
      <c r="H186" s="8">
        <v>45739</v>
      </c>
      <c r="I186" s="60"/>
      <c r="J186" s="51">
        <f t="shared" si="18"/>
        <v>30</v>
      </c>
      <c r="K186" s="51">
        <f t="shared" si="19"/>
        <v>31</v>
      </c>
      <c r="L186" s="51">
        <f t="shared" si="20"/>
        <v>30</v>
      </c>
      <c r="M186" s="52">
        <f t="shared" si="21"/>
        <v>31</v>
      </c>
      <c r="N186" s="51">
        <f t="shared" si="22"/>
        <v>31</v>
      </c>
      <c r="O186" s="51">
        <f t="shared" si="23"/>
        <v>30</v>
      </c>
      <c r="P186" s="51">
        <f t="shared" si="24"/>
        <v>31</v>
      </c>
      <c r="Q186" s="51">
        <f t="shared" si="25"/>
        <v>30</v>
      </c>
      <c r="R186" s="51">
        <f t="shared" si="26"/>
        <v>31</v>
      </c>
      <c r="S186" s="53">
        <f>IF(G186="事业部",LOOKUP(M186,基础设置!$T$2:$T$6,基础设置!$U$2:$U$6),IF(G186="总部",LOOKUP(M186,基础设置!$T$8:$T$13,基础设置!$V$8:$V$13),IF(G186="拓展部",LOOKUP(M186,基础设置!$T$8:$T$13,基础设置!$W$8:$W$13),5000)))</f>
        <v>4</v>
      </c>
    </row>
    <row r="187" spans="1:20" x14ac:dyDescent="0.15">
      <c r="A187" s="57">
        <v>186</v>
      </c>
      <c r="B187" s="7" t="s">
        <v>75</v>
      </c>
      <c r="C187" s="7" t="s">
        <v>35</v>
      </c>
      <c r="D187" s="7" t="s">
        <v>21</v>
      </c>
      <c r="E187" s="7" t="s">
        <v>285</v>
      </c>
      <c r="F187" s="7" t="s">
        <v>96</v>
      </c>
      <c r="G187" s="50" t="s">
        <v>9</v>
      </c>
      <c r="H187" s="8">
        <v>45731</v>
      </c>
      <c r="I187" s="60"/>
      <c r="J187" s="51">
        <f t="shared" si="18"/>
        <v>30</v>
      </c>
      <c r="K187" s="51">
        <f t="shared" si="19"/>
        <v>31</v>
      </c>
      <c r="L187" s="51">
        <f t="shared" si="20"/>
        <v>30</v>
      </c>
      <c r="M187" s="52">
        <f t="shared" si="21"/>
        <v>31</v>
      </c>
      <c r="N187" s="51">
        <f t="shared" si="22"/>
        <v>31</v>
      </c>
      <c r="O187" s="51">
        <f t="shared" si="23"/>
        <v>30</v>
      </c>
      <c r="P187" s="51">
        <f t="shared" si="24"/>
        <v>31</v>
      </c>
      <c r="Q187" s="51">
        <f t="shared" si="25"/>
        <v>30</v>
      </c>
      <c r="R187" s="51">
        <f t="shared" si="26"/>
        <v>31</v>
      </c>
      <c r="S187" s="53">
        <f>IF(G187="事业部",LOOKUP(M187,基础设置!$T$2:$T$6,基础设置!$U$2:$U$6),IF(G187="总部",LOOKUP(M187,基础设置!$T$8:$T$13,基础设置!$V$8:$V$13),IF(G187="拓展部",LOOKUP(M187,基础设置!$T$8:$T$13,基础设置!$W$8:$W$13),5000)))</f>
        <v>4</v>
      </c>
    </row>
    <row r="188" spans="1:20" x14ac:dyDescent="0.15">
      <c r="A188" s="57">
        <v>187</v>
      </c>
      <c r="B188" s="7" t="s">
        <v>75</v>
      </c>
      <c r="C188" s="7" t="s">
        <v>35</v>
      </c>
      <c r="D188" s="7" t="s">
        <v>21</v>
      </c>
      <c r="E188" s="7" t="s">
        <v>286</v>
      </c>
      <c r="F188" s="7" t="s">
        <v>96</v>
      </c>
      <c r="G188" s="50" t="s">
        <v>9</v>
      </c>
      <c r="H188" s="8">
        <v>45813</v>
      </c>
      <c r="I188" s="60"/>
      <c r="J188" s="51">
        <f t="shared" si="18"/>
        <v>0</v>
      </c>
      <c r="K188" s="51">
        <f t="shared" si="19"/>
        <v>0</v>
      </c>
      <c r="L188" s="51">
        <f t="shared" si="20"/>
        <v>26</v>
      </c>
      <c r="M188" s="52">
        <f t="shared" si="21"/>
        <v>31</v>
      </c>
      <c r="N188" s="51">
        <f t="shared" si="22"/>
        <v>31</v>
      </c>
      <c r="O188" s="51">
        <f t="shared" si="23"/>
        <v>30</v>
      </c>
      <c r="P188" s="51">
        <f t="shared" si="24"/>
        <v>31</v>
      </c>
      <c r="Q188" s="51">
        <f t="shared" si="25"/>
        <v>30</v>
      </c>
      <c r="R188" s="51">
        <f t="shared" si="26"/>
        <v>31</v>
      </c>
      <c r="S188" s="53">
        <f>IF(G188="事业部",LOOKUP(M188,基础设置!$T$2:$T$6,基础设置!$U$2:$U$6),IF(G188="总部",LOOKUP(M188,基础设置!$T$8:$T$13,基础设置!$V$8:$V$13),IF(G188="拓展部",LOOKUP(M188,基础设置!$T$8:$T$13,基础设置!$W$8:$W$13),5000)))</f>
        <v>4</v>
      </c>
      <c r="T188" s="53">
        <v>3500</v>
      </c>
    </row>
    <row r="189" spans="1:20" x14ac:dyDescent="0.15">
      <c r="A189" s="57">
        <v>188</v>
      </c>
      <c r="B189" s="7" t="s">
        <v>76</v>
      </c>
      <c r="C189" s="7" t="s">
        <v>35</v>
      </c>
      <c r="D189" s="7" t="s">
        <v>21</v>
      </c>
      <c r="E189" s="7" t="s">
        <v>287</v>
      </c>
      <c r="F189" s="7" t="s">
        <v>96</v>
      </c>
      <c r="G189" s="50" t="s">
        <v>9</v>
      </c>
      <c r="H189" s="8">
        <v>44981</v>
      </c>
      <c r="I189" s="60"/>
      <c r="J189" s="51">
        <f t="shared" si="18"/>
        <v>30</v>
      </c>
      <c r="K189" s="51">
        <f t="shared" si="19"/>
        <v>31</v>
      </c>
      <c r="L189" s="51">
        <f t="shared" si="20"/>
        <v>30</v>
      </c>
      <c r="M189" s="52">
        <f t="shared" si="21"/>
        <v>31</v>
      </c>
      <c r="N189" s="51">
        <f t="shared" si="22"/>
        <v>31</v>
      </c>
      <c r="O189" s="51">
        <f t="shared" si="23"/>
        <v>30</v>
      </c>
      <c r="P189" s="51">
        <f t="shared" si="24"/>
        <v>31</v>
      </c>
      <c r="Q189" s="51">
        <f t="shared" si="25"/>
        <v>30</v>
      </c>
      <c r="R189" s="51">
        <f t="shared" si="26"/>
        <v>31</v>
      </c>
      <c r="S189" s="53">
        <f>IF(G189="事业部",LOOKUP(M189,基础设置!$T$2:$T$6,基础设置!$U$2:$U$6),IF(G189="总部",LOOKUP(M189,基础设置!$T$8:$T$13,基础设置!$V$8:$V$13),IF(G189="拓展部",LOOKUP(M189,基础设置!$T$8:$T$13,基础设置!$W$8:$W$13),5000)))</f>
        <v>4</v>
      </c>
    </row>
    <row r="190" spans="1:20" x14ac:dyDescent="0.15">
      <c r="A190" s="57">
        <v>189</v>
      </c>
      <c r="B190" s="7" t="s">
        <v>76</v>
      </c>
      <c r="C190" s="7" t="s">
        <v>35</v>
      </c>
      <c r="D190" s="7" t="s">
        <v>21</v>
      </c>
      <c r="E190" s="7" t="s">
        <v>288</v>
      </c>
      <c r="F190" s="7" t="s">
        <v>96</v>
      </c>
      <c r="G190" s="50" t="s">
        <v>9</v>
      </c>
      <c r="H190" s="8">
        <v>45389</v>
      </c>
      <c r="I190" s="60">
        <v>45828</v>
      </c>
      <c r="J190" s="51">
        <f t="shared" si="18"/>
        <v>30</v>
      </c>
      <c r="K190" s="51">
        <f t="shared" si="19"/>
        <v>31</v>
      </c>
      <c r="L190" s="51">
        <f t="shared" si="20"/>
        <v>20</v>
      </c>
      <c r="M190" s="52">
        <f t="shared" si="21"/>
        <v>0</v>
      </c>
      <c r="N190" s="51">
        <f t="shared" si="22"/>
        <v>0</v>
      </c>
      <c r="O190" s="51">
        <f t="shared" si="23"/>
        <v>0</v>
      </c>
      <c r="P190" s="51">
        <f t="shared" si="24"/>
        <v>0</v>
      </c>
      <c r="Q190" s="51">
        <f t="shared" si="25"/>
        <v>0</v>
      </c>
      <c r="R190" s="51">
        <f t="shared" si="26"/>
        <v>0</v>
      </c>
      <c r="S190" s="53">
        <f>IF(G190="事业部",LOOKUP(M190,基础设置!$T$2:$T$6,基础设置!$U$2:$U$6),IF(G190="总部",LOOKUP(M190,基础设置!$T$8:$T$13,基础设置!$V$8:$V$13),IF(G190="拓展部",LOOKUP(M190,基础设置!$T$8:$T$13,基础设置!$W$8:$W$13),5000)))</f>
        <v>0</v>
      </c>
    </row>
    <row r="191" spans="1:20" x14ac:dyDescent="0.15">
      <c r="A191" s="57">
        <v>190</v>
      </c>
      <c r="B191" s="7" t="s">
        <v>76</v>
      </c>
      <c r="C191" s="7" t="s">
        <v>35</v>
      </c>
      <c r="D191" s="7" t="s">
        <v>21</v>
      </c>
      <c r="E191" s="7" t="s">
        <v>289</v>
      </c>
      <c r="F191" s="7" t="s">
        <v>36</v>
      </c>
      <c r="G191" s="50" t="s">
        <v>9</v>
      </c>
      <c r="H191" s="8">
        <v>45421</v>
      </c>
      <c r="I191" s="60">
        <v>45869</v>
      </c>
      <c r="J191" s="51">
        <f t="shared" si="18"/>
        <v>30</v>
      </c>
      <c r="K191" s="51">
        <f t="shared" si="19"/>
        <v>31</v>
      </c>
      <c r="L191" s="51">
        <f t="shared" si="20"/>
        <v>30</v>
      </c>
      <c r="M191" s="52">
        <f t="shared" si="21"/>
        <v>31</v>
      </c>
      <c r="N191" s="51">
        <f t="shared" si="22"/>
        <v>0</v>
      </c>
      <c r="O191" s="51">
        <f t="shared" si="23"/>
        <v>0</v>
      </c>
      <c r="P191" s="51">
        <f t="shared" si="24"/>
        <v>0</v>
      </c>
      <c r="Q191" s="51">
        <f t="shared" si="25"/>
        <v>0</v>
      </c>
      <c r="R191" s="51">
        <f t="shared" si="26"/>
        <v>0</v>
      </c>
      <c r="S191" s="53">
        <f>IF(G191="事业部",LOOKUP(M191,基础设置!$T$2:$T$6,基础设置!$U$2:$U$6),IF(G191="总部",LOOKUP(M191,基础设置!$T$8:$T$13,基础设置!$V$8:$V$13),IF(G191="拓展部",LOOKUP(M191,基础设置!$T$8:$T$13,基础设置!$W$8:$W$13),5000)))</f>
        <v>4</v>
      </c>
    </row>
    <row r="192" spans="1:20" x14ac:dyDescent="0.15">
      <c r="A192" s="57">
        <v>191</v>
      </c>
      <c r="B192" s="7" t="s">
        <v>76</v>
      </c>
      <c r="C192" s="7" t="s">
        <v>94</v>
      </c>
      <c r="D192" s="7" t="s">
        <v>30</v>
      </c>
      <c r="E192" s="7" t="s">
        <v>290</v>
      </c>
      <c r="F192" s="7" t="s">
        <v>96</v>
      </c>
      <c r="G192" s="50" t="s">
        <v>9</v>
      </c>
      <c r="H192" s="8">
        <v>45478</v>
      </c>
      <c r="I192" s="60"/>
      <c r="J192" s="51">
        <f t="shared" si="18"/>
        <v>30</v>
      </c>
      <c r="K192" s="51">
        <f t="shared" si="19"/>
        <v>31</v>
      </c>
      <c r="L192" s="51">
        <f t="shared" si="20"/>
        <v>30</v>
      </c>
      <c r="M192" s="52">
        <f t="shared" si="21"/>
        <v>31</v>
      </c>
      <c r="N192" s="51">
        <f t="shared" si="22"/>
        <v>31</v>
      </c>
      <c r="O192" s="51">
        <f t="shared" si="23"/>
        <v>30</v>
      </c>
      <c r="P192" s="51">
        <f t="shared" si="24"/>
        <v>31</v>
      </c>
      <c r="Q192" s="51">
        <f t="shared" si="25"/>
        <v>30</v>
      </c>
      <c r="R192" s="51">
        <f t="shared" si="26"/>
        <v>31</v>
      </c>
      <c r="S192" s="53">
        <f>IF(G192="事业部",LOOKUP(M192,基础设置!$T$2:$T$6,基础设置!$U$2:$U$6),IF(G192="总部",LOOKUP(M192,基础设置!$T$8:$T$13,基础设置!$V$8:$V$13),IF(G192="拓展部",LOOKUP(M192,基础设置!$T$8:$T$13,基础设置!$W$8:$W$13),5000)))</f>
        <v>4</v>
      </c>
    </row>
    <row r="193" spans="1:20" x14ac:dyDescent="0.15">
      <c r="A193" s="57">
        <v>192</v>
      </c>
      <c r="B193" s="7" t="s">
        <v>76</v>
      </c>
      <c r="C193" s="7" t="s">
        <v>35</v>
      </c>
      <c r="D193" s="7" t="s">
        <v>21</v>
      </c>
      <c r="E193" s="7" t="s">
        <v>291</v>
      </c>
      <c r="F193" s="7" t="s">
        <v>96</v>
      </c>
      <c r="G193" s="50" t="s">
        <v>9</v>
      </c>
      <c r="H193" s="8">
        <v>45547</v>
      </c>
      <c r="I193" s="60"/>
      <c r="J193" s="51">
        <f t="shared" si="18"/>
        <v>30</v>
      </c>
      <c r="K193" s="51">
        <f t="shared" si="19"/>
        <v>31</v>
      </c>
      <c r="L193" s="51">
        <f t="shared" si="20"/>
        <v>30</v>
      </c>
      <c r="M193" s="52">
        <f t="shared" si="21"/>
        <v>31</v>
      </c>
      <c r="N193" s="51">
        <f t="shared" si="22"/>
        <v>31</v>
      </c>
      <c r="O193" s="51">
        <f t="shared" si="23"/>
        <v>30</v>
      </c>
      <c r="P193" s="51">
        <f t="shared" si="24"/>
        <v>31</v>
      </c>
      <c r="Q193" s="51">
        <f t="shared" si="25"/>
        <v>30</v>
      </c>
      <c r="R193" s="51">
        <f t="shared" si="26"/>
        <v>31</v>
      </c>
      <c r="S193" s="53">
        <f>IF(G193="事业部",LOOKUP(M193,基础设置!$T$2:$T$6,基础设置!$U$2:$U$6),IF(G193="总部",LOOKUP(M193,基础设置!$T$8:$T$13,基础设置!$V$8:$V$13),IF(G193="拓展部",LOOKUP(M193,基础设置!$T$8:$T$13,基础设置!$W$8:$W$13),5000)))</f>
        <v>4</v>
      </c>
    </row>
    <row r="194" spans="1:20" x14ac:dyDescent="0.15">
      <c r="A194" s="57">
        <v>193</v>
      </c>
      <c r="B194" s="7" t="s">
        <v>76</v>
      </c>
      <c r="C194" s="7" t="s">
        <v>97</v>
      </c>
      <c r="D194" s="7" t="s">
        <v>21</v>
      </c>
      <c r="E194" s="7" t="s">
        <v>292</v>
      </c>
      <c r="F194" s="7" t="s">
        <v>96</v>
      </c>
      <c r="G194" s="50" t="s">
        <v>9</v>
      </c>
      <c r="H194" s="8">
        <v>45609</v>
      </c>
      <c r="I194" s="60"/>
      <c r="J194" s="51">
        <f t="shared" si="18"/>
        <v>30</v>
      </c>
      <c r="K194" s="51">
        <f t="shared" si="19"/>
        <v>31</v>
      </c>
      <c r="L194" s="51">
        <f t="shared" si="20"/>
        <v>30</v>
      </c>
      <c r="M194" s="52">
        <f t="shared" si="21"/>
        <v>31</v>
      </c>
      <c r="N194" s="51">
        <f t="shared" si="22"/>
        <v>31</v>
      </c>
      <c r="O194" s="51">
        <f t="shared" si="23"/>
        <v>30</v>
      </c>
      <c r="P194" s="51">
        <f t="shared" si="24"/>
        <v>31</v>
      </c>
      <c r="Q194" s="51">
        <f t="shared" si="25"/>
        <v>30</v>
      </c>
      <c r="R194" s="51">
        <f t="shared" si="26"/>
        <v>31</v>
      </c>
      <c r="S194" s="53">
        <f>IF(G194="事业部",LOOKUP(M194,基础设置!$T$2:$T$6,基础设置!$U$2:$U$6),IF(G194="总部",LOOKUP(M194,基础设置!$T$8:$T$13,基础设置!$V$8:$V$13),IF(G194="拓展部",LOOKUP(M194,基础设置!$T$8:$T$13,基础设置!$W$8:$W$13),5000)))</f>
        <v>4</v>
      </c>
    </row>
    <row r="195" spans="1:20" x14ac:dyDescent="0.15">
      <c r="A195" s="57">
        <v>194</v>
      </c>
      <c r="B195" s="7" t="s">
        <v>76</v>
      </c>
      <c r="C195" s="7" t="s">
        <v>35</v>
      </c>
      <c r="D195" s="7" t="s">
        <v>21</v>
      </c>
      <c r="E195" s="7" t="s">
        <v>293</v>
      </c>
      <c r="F195" s="7" t="s">
        <v>96</v>
      </c>
      <c r="G195" s="50" t="s">
        <v>9</v>
      </c>
      <c r="H195" s="8">
        <v>45697</v>
      </c>
      <c r="I195" s="60"/>
      <c r="J195" s="51">
        <f t="shared" ref="J195:J258" si="27">MAX(0,MIN(IF(I195="",EOMONTH(DATE(YEAR($J$1),MONTH($J$1),1),0),I195),EOMONTH(DATE(YEAR($J$1),MONTH($J$1),1),0))-MAX(H195,DATE(YEAR($J$1),MONTH($J$1),1))+1)</f>
        <v>30</v>
      </c>
      <c r="K195" s="51">
        <f t="shared" ref="K195:K258" si="28">MAX(0,MIN(IF(I195="",EOMONTH(DATE(YEAR($K$1),MONTH($K$1),1),0),I195),EOMONTH(DATE(YEAR($K$1),MONTH($K$1),1),0))-MAX(H195,DATE(YEAR($K$1),MONTH($K$1),1))+1)</f>
        <v>31</v>
      </c>
      <c r="L195" s="51">
        <f t="shared" ref="L195:L258" si="29">MAX(0,MIN(IF(I195="",EOMONTH(DATE(YEAR($L$1),MONTH($L$1),1),0),I195),EOMONTH(DATE(YEAR($L$1),MONTH($L$1),1),0))-MAX(H195,DATE(YEAR($L$1),MONTH($L$1),1))+1)</f>
        <v>30</v>
      </c>
      <c r="M195" s="52">
        <f t="shared" ref="M195:M258" si="30">MAX(0,MIN(IF(I195="",EOMONTH(DATE(YEAR($M$1),MONTH($M$1),1),0),I195),EOMONTH(DATE(YEAR($M$1),MONTH($M$1),1),0))-MAX(H195,DATE(YEAR($M$1),MONTH($M$1),1))+1)</f>
        <v>31</v>
      </c>
      <c r="N195" s="51">
        <f t="shared" ref="N195:N258" si="31">MAX(0,MIN(IF(I195="",EOMONTH(DATE(YEAR($N$1),MONTH($N$1),1),0),I195),EOMONTH(DATE(YEAR($N$1),MONTH($N$1),1),0))-MAX(H195,DATE(YEAR($N$1),MONTH($N$1),1))+1)</f>
        <v>31</v>
      </c>
      <c r="O195" s="51">
        <f t="shared" ref="O195:O258" si="32">MAX(0,MIN(IF(I195="",EOMONTH(DATE(YEAR($O$1),MONTH($O$1),1),0),I195),EOMONTH(DATE(YEAR($O$1),MONTH($O$1),1),0))-MAX(H195,DATE(YEAR($O$1),MONTH($O$1),1))+1)</f>
        <v>30</v>
      </c>
      <c r="P195" s="51">
        <f t="shared" ref="P195:P258" si="33">MAX(0,MIN(IF(I195="",EOMONTH(DATE(YEAR($P$1),MONTH($P$1),1),0),I195),EOMONTH(DATE(YEAR($P$1),MONTH($P$1),1),0))-MAX(H195,DATE(YEAR($P$1),MONTH($P$1),1))+1)</f>
        <v>31</v>
      </c>
      <c r="Q195" s="51">
        <f t="shared" ref="Q195:Q258" si="34">MAX(0,MIN(IF(I195="",EOMONTH(DATE(YEAR($Q$1),MONTH($Q$1),1),0),I195),EOMONTH(DATE(YEAR($Q$1),MONTH($Q$1),1),0))-MAX(H195,DATE(YEAR($Q$1),MONTH($Q$1),1))+1)</f>
        <v>30</v>
      </c>
      <c r="R195" s="51">
        <f t="shared" ref="R195:R258" si="35">MAX(0,MIN(IF(I195="",EOMONTH(DATE(YEAR($R$1),MONTH($R$1),1),0),I195),EOMONTH(DATE(YEAR($R$1),MONTH($R$1),1),0))-MAX(H195,DATE(YEAR($R$1),MONTH($R$1),1))+1)</f>
        <v>31</v>
      </c>
      <c r="S195" s="53">
        <f>IF(G195="事业部",LOOKUP(M195,基础设置!$T$2:$T$6,基础设置!$U$2:$U$6),IF(G195="总部",LOOKUP(M195,基础设置!$T$8:$T$13,基础设置!$V$8:$V$13),IF(G195="拓展部",LOOKUP(M195,基础设置!$T$8:$T$13,基础设置!$W$8:$W$13),5000)))</f>
        <v>4</v>
      </c>
    </row>
    <row r="196" spans="1:20" x14ac:dyDescent="0.15">
      <c r="A196" s="57">
        <v>195</v>
      </c>
      <c r="B196" s="7" t="s">
        <v>76</v>
      </c>
      <c r="C196" s="7" t="s">
        <v>46</v>
      </c>
      <c r="D196" s="7" t="s">
        <v>30</v>
      </c>
      <c r="E196" s="7" t="s">
        <v>294</v>
      </c>
      <c r="F196" s="7" t="s">
        <v>96</v>
      </c>
      <c r="G196" s="50" t="s">
        <v>9</v>
      </c>
      <c r="H196" s="8">
        <v>45720</v>
      </c>
      <c r="I196" s="60"/>
      <c r="J196" s="51">
        <f t="shared" si="27"/>
        <v>30</v>
      </c>
      <c r="K196" s="51">
        <f t="shared" si="28"/>
        <v>31</v>
      </c>
      <c r="L196" s="51">
        <f t="shared" si="29"/>
        <v>30</v>
      </c>
      <c r="M196" s="52">
        <f t="shared" si="30"/>
        <v>31</v>
      </c>
      <c r="N196" s="51">
        <f t="shared" si="31"/>
        <v>31</v>
      </c>
      <c r="O196" s="51">
        <f t="shared" si="32"/>
        <v>30</v>
      </c>
      <c r="P196" s="51">
        <f t="shared" si="33"/>
        <v>31</v>
      </c>
      <c r="Q196" s="51">
        <f t="shared" si="34"/>
        <v>30</v>
      </c>
      <c r="R196" s="51">
        <f t="shared" si="35"/>
        <v>31</v>
      </c>
      <c r="S196" s="53">
        <f>IF(G196="事业部",LOOKUP(M196,基础设置!$T$2:$T$6,基础设置!$U$2:$U$6),IF(G196="总部",LOOKUP(M196,基础设置!$T$8:$T$13,基础设置!$V$8:$V$13),IF(G196="拓展部",LOOKUP(M196,基础设置!$T$8:$T$13,基础设置!$W$8:$W$13),5000)))</f>
        <v>4</v>
      </c>
    </row>
    <row r="197" spans="1:20" x14ac:dyDescent="0.15">
      <c r="A197" s="57">
        <v>196</v>
      </c>
      <c r="B197" s="7" t="s">
        <v>76</v>
      </c>
      <c r="C197" s="7" t="s">
        <v>35</v>
      </c>
      <c r="D197" s="7" t="s">
        <v>21</v>
      </c>
      <c r="E197" s="7" t="s">
        <v>295</v>
      </c>
      <c r="F197" s="7" t="s">
        <v>96</v>
      </c>
      <c r="G197" s="50" t="s">
        <v>9</v>
      </c>
      <c r="H197" s="8">
        <v>45782</v>
      </c>
      <c r="I197" s="60"/>
      <c r="J197" s="51">
        <f t="shared" si="27"/>
        <v>0</v>
      </c>
      <c r="K197" s="51">
        <f t="shared" si="28"/>
        <v>27</v>
      </c>
      <c r="L197" s="51">
        <f t="shared" si="29"/>
        <v>30</v>
      </c>
      <c r="M197" s="52">
        <f t="shared" si="30"/>
        <v>31</v>
      </c>
      <c r="N197" s="51">
        <f t="shared" si="31"/>
        <v>31</v>
      </c>
      <c r="O197" s="51">
        <f t="shared" si="32"/>
        <v>30</v>
      </c>
      <c r="P197" s="51">
        <f t="shared" si="33"/>
        <v>31</v>
      </c>
      <c r="Q197" s="51">
        <f t="shared" si="34"/>
        <v>30</v>
      </c>
      <c r="R197" s="51">
        <f t="shared" si="35"/>
        <v>31</v>
      </c>
      <c r="S197" s="53">
        <f>IF(G197="事业部",LOOKUP(M197,基础设置!$T$2:$T$6,基础设置!$U$2:$U$6),IF(G197="总部",LOOKUP(M197,基础设置!$T$8:$T$13,基础设置!$V$8:$V$13),IF(G197="拓展部",LOOKUP(M197,基础设置!$T$8:$T$13,基础设置!$W$8:$W$13),5000)))</f>
        <v>4</v>
      </c>
      <c r="T197" s="53">
        <v>3500</v>
      </c>
    </row>
    <row r="198" spans="1:20" x14ac:dyDescent="0.15">
      <c r="A198" s="57">
        <v>197</v>
      </c>
      <c r="B198" s="7" t="s">
        <v>77</v>
      </c>
      <c r="C198" s="7" t="s">
        <v>94</v>
      </c>
      <c r="D198" s="7" t="s">
        <v>30</v>
      </c>
      <c r="E198" s="7" t="s">
        <v>296</v>
      </c>
      <c r="F198" s="7" t="s">
        <v>96</v>
      </c>
      <c r="G198" s="50" t="s">
        <v>9</v>
      </c>
      <c r="H198" s="8">
        <v>44704</v>
      </c>
      <c r="I198" s="60"/>
      <c r="J198" s="51">
        <f t="shared" si="27"/>
        <v>30</v>
      </c>
      <c r="K198" s="51">
        <f t="shared" si="28"/>
        <v>31</v>
      </c>
      <c r="L198" s="51">
        <f t="shared" si="29"/>
        <v>30</v>
      </c>
      <c r="M198" s="52">
        <f t="shared" si="30"/>
        <v>31</v>
      </c>
      <c r="N198" s="51">
        <f t="shared" si="31"/>
        <v>31</v>
      </c>
      <c r="O198" s="51">
        <f t="shared" si="32"/>
        <v>30</v>
      </c>
      <c r="P198" s="51">
        <f t="shared" si="33"/>
        <v>31</v>
      </c>
      <c r="Q198" s="51">
        <f t="shared" si="34"/>
        <v>30</v>
      </c>
      <c r="R198" s="51">
        <f t="shared" si="35"/>
        <v>31</v>
      </c>
      <c r="S198" s="53">
        <f>IF(G198="事业部",LOOKUP(M198,基础设置!$T$2:$T$6,基础设置!$U$2:$U$6),IF(G198="总部",LOOKUP(M198,基础设置!$T$8:$T$13,基础设置!$V$8:$V$13),IF(G198="拓展部",LOOKUP(M198,基础设置!$T$8:$T$13,基础设置!$W$8:$W$13),5000)))</f>
        <v>4</v>
      </c>
    </row>
    <row r="199" spans="1:20" x14ac:dyDescent="0.15">
      <c r="A199" s="57">
        <v>198</v>
      </c>
      <c r="B199" s="7" t="s">
        <v>77</v>
      </c>
      <c r="C199" s="7" t="s">
        <v>35</v>
      </c>
      <c r="D199" s="7" t="s">
        <v>21</v>
      </c>
      <c r="E199" s="7" t="s">
        <v>297</v>
      </c>
      <c r="F199" s="7" t="s">
        <v>96</v>
      </c>
      <c r="G199" s="50" t="s">
        <v>9</v>
      </c>
      <c r="H199" s="8">
        <v>45240</v>
      </c>
      <c r="I199" s="60"/>
      <c r="J199" s="51">
        <f t="shared" si="27"/>
        <v>30</v>
      </c>
      <c r="K199" s="51">
        <f t="shared" si="28"/>
        <v>31</v>
      </c>
      <c r="L199" s="51">
        <f t="shared" si="29"/>
        <v>30</v>
      </c>
      <c r="M199" s="52">
        <f t="shared" si="30"/>
        <v>31</v>
      </c>
      <c r="N199" s="51">
        <f t="shared" si="31"/>
        <v>31</v>
      </c>
      <c r="O199" s="51">
        <f t="shared" si="32"/>
        <v>30</v>
      </c>
      <c r="P199" s="51">
        <f t="shared" si="33"/>
        <v>31</v>
      </c>
      <c r="Q199" s="51">
        <f t="shared" si="34"/>
        <v>30</v>
      </c>
      <c r="R199" s="51">
        <f t="shared" si="35"/>
        <v>31</v>
      </c>
      <c r="S199" s="53">
        <f>IF(G199="事业部",LOOKUP(M199,基础设置!$T$2:$T$6,基础设置!$U$2:$U$6),IF(G199="总部",LOOKUP(M199,基础设置!$T$8:$T$13,基础设置!$V$8:$V$13),IF(G199="拓展部",LOOKUP(M199,基础设置!$T$8:$T$13,基础设置!$W$8:$W$13),5000)))</f>
        <v>4</v>
      </c>
    </row>
    <row r="200" spans="1:20" x14ac:dyDescent="0.15">
      <c r="A200" s="57">
        <v>199</v>
      </c>
      <c r="B200" s="7" t="s">
        <v>77</v>
      </c>
      <c r="C200" s="7" t="s">
        <v>35</v>
      </c>
      <c r="D200" s="7" t="s">
        <v>21</v>
      </c>
      <c r="E200" s="7" t="s">
        <v>298</v>
      </c>
      <c r="F200" s="7" t="s">
        <v>96</v>
      </c>
      <c r="G200" s="50" t="s">
        <v>9</v>
      </c>
      <c r="H200" s="8">
        <v>45446</v>
      </c>
      <c r="I200" s="60"/>
      <c r="J200" s="51">
        <f t="shared" si="27"/>
        <v>30</v>
      </c>
      <c r="K200" s="51">
        <f t="shared" si="28"/>
        <v>31</v>
      </c>
      <c r="L200" s="51">
        <f t="shared" si="29"/>
        <v>30</v>
      </c>
      <c r="M200" s="52">
        <f t="shared" si="30"/>
        <v>31</v>
      </c>
      <c r="N200" s="51">
        <f t="shared" si="31"/>
        <v>31</v>
      </c>
      <c r="O200" s="51">
        <f t="shared" si="32"/>
        <v>30</v>
      </c>
      <c r="P200" s="51">
        <f t="shared" si="33"/>
        <v>31</v>
      </c>
      <c r="Q200" s="51">
        <f t="shared" si="34"/>
        <v>30</v>
      </c>
      <c r="R200" s="51">
        <f t="shared" si="35"/>
        <v>31</v>
      </c>
      <c r="S200" s="53">
        <f>IF(G200="事业部",LOOKUP(M200,基础设置!$T$2:$T$6,基础设置!$U$2:$U$6),IF(G200="总部",LOOKUP(M200,基础设置!$T$8:$T$13,基础设置!$V$8:$V$13),IF(G200="拓展部",LOOKUP(M200,基础设置!$T$8:$T$13,基础设置!$W$8:$W$13),5000)))</f>
        <v>4</v>
      </c>
    </row>
    <row r="201" spans="1:20" x14ac:dyDescent="0.15">
      <c r="A201" s="57">
        <v>200</v>
      </c>
      <c r="B201" s="7" t="s">
        <v>77</v>
      </c>
      <c r="C201" s="7" t="s">
        <v>35</v>
      </c>
      <c r="D201" s="7" t="s">
        <v>21</v>
      </c>
      <c r="E201" s="7" t="s">
        <v>299</v>
      </c>
      <c r="F201" s="7" t="s">
        <v>96</v>
      </c>
      <c r="G201" s="50" t="s">
        <v>9</v>
      </c>
      <c r="H201" s="8">
        <v>45479</v>
      </c>
      <c r="I201" s="60"/>
      <c r="J201" s="51">
        <f t="shared" si="27"/>
        <v>30</v>
      </c>
      <c r="K201" s="51">
        <f t="shared" si="28"/>
        <v>31</v>
      </c>
      <c r="L201" s="51">
        <f t="shared" si="29"/>
        <v>30</v>
      </c>
      <c r="M201" s="52">
        <f t="shared" si="30"/>
        <v>31</v>
      </c>
      <c r="N201" s="51">
        <f t="shared" si="31"/>
        <v>31</v>
      </c>
      <c r="O201" s="51">
        <f t="shared" si="32"/>
        <v>30</v>
      </c>
      <c r="P201" s="51">
        <f t="shared" si="33"/>
        <v>31</v>
      </c>
      <c r="Q201" s="51">
        <f t="shared" si="34"/>
        <v>30</v>
      </c>
      <c r="R201" s="51">
        <f t="shared" si="35"/>
        <v>31</v>
      </c>
      <c r="S201" s="53">
        <f>IF(G201="事业部",LOOKUP(M201,基础设置!$T$2:$T$6,基础设置!$U$2:$U$6),IF(G201="总部",LOOKUP(M201,基础设置!$T$8:$T$13,基础设置!$V$8:$V$13),IF(G201="拓展部",LOOKUP(M201,基础设置!$T$8:$T$13,基础设置!$W$8:$W$13),5000)))</f>
        <v>4</v>
      </c>
    </row>
    <row r="202" spans="1:20" x14ac:dyDescent="0.15">
      <c r="A202" s="57">
        <v>201</v>
      </c>
      <c r="B202" s="7" t="s">
        <v>77</v>
      </c>
      <c r="C202" s="7" t="s">
        <v>35</v>
      </c>
      <c r="D202" s="7" t="s">
        <v>21</v>
      </c>
      <c r="E202" s="7" t="s">
        <v>300</v>
      </c>
      <c r="F202" s="7" t="s">
        <v>96</v>
      </c>
      <c r="G202" s="50" t="s">
        <v>9</v>
      </c>
      <c r="H202" s="8">
        <v>45468</v>
      </c>
      <c r="I202" s="60"/>
      <c r="J202" s="51">
        <f t="shared" si="27"/>
        <v>30</v>
      </c>
      <c r="K202" s="51">
        <f t="shared" si="28"/>
        <v>31</v>
      </c>
      <c r="L202" s="51">
        <f t="shared" si="29"/>
        <v>30</v>
      </c>
      <c r="M202" s="52">
        <f t="shared" si="30"/>
        <v>31</v>
      </c>
      <c r="N202" s="51">
        <f t="shared" si="31"/>
        <v>31</v>
      </c>
      <c r="O202" s="51">
        <f t="shared" si="32"/>
        <v>30</v>
      </c>
      <c r="P202" s="51">
        <f t="shared" si="33"/>
        <v>31</v>
      </c>
      <c r="Q202" s="51">
        <f t="shared" si="34"/>
        <v>30</v>
      </c>
      <c r="R202" s="51">
        <f t="shared" si="35"/>
        <v>31</v>
      </c>
      <c r="S202" s="53">
        <f>IF(G202="事业部",LOOKUP(M202,基础设置!$T$2:$T$6,基础设置!$U$2:$U$6),IF(G202="总部",LOOKUP(M202,基础设置!$T$8:$T$13,基础设置!$V$8:$V$13),IF(G202="拓展部",LOOKUP(M202,基础设置!$T$8:$T$13,基础设置!$W$8:$W$13),5000)))</f>
        <v>4</v>
      </c>
    </row>
    <row r="203" spans="1:20" x14ac:dyDescent="0.15">
      <c r="A203" s="57">
        <v>202</v>
      </c>
      <c r="B203" s="7" t="s">
        <v>77</v>
      </c>
      <c r="C203" s="7" t="s">
        <v>35</v>
      </c>
      <c r="D203" s="7" t="s">
        <v>21</v>
      </c>
      <c r="E203" s="7" t="s">
        <v>301</v>
      </c>
      <c r="F203" s="7" t="s">
        <v>96</v>
      </c>
      <c r="G203" s="50" t="s">
        <v>9</v>
      </c>
      <c r="H203" s="8">
        <v>45472</v>
      </c>
      <c r="I203" s="60"/>
      <c r="J203" s="51">
        <f t="shared" si="27"/>
        <v>30</v>
      </c>
      <c r="K203" s="51">
        <f t="shared" si="28"/>
        <v>31</v>
      </c>
      <c r="L203" s="51">
        <f t="shared" si="29"/>
        <v>30</v>
      </c>
      <c r="M203" s="52">
        <f t="shared" si="30"/>
        <v>31</v>
      </c>
      <c r="N203" s="51">
        <f t="shared" si="31"/>
        <v>31</v>
      </c>
      <c r="O203" s="51">
        <f t="shared" si="32"/>
        <v>30</v>
      </c>
      <c r="P203" s="51">
        <f t="shared" si="33"/>
        <v>31</v>
      </c>
      <c r="Q203" s="51">
        <f t="shared" si="34"/>
        <v>30</v>
      </c>
      <c r="R203" s="51">
        <f t="shared" si="35"/>
        <v>31</v>
      </c>
      <c r="S203" s="53">
        <f>IF(G203="事业部",LOOKUP(M203,基础设置!$T$2:$T$6,基础设置!$U$2:$U$6),IF(G203="总部",LOOKUP(M203,基础设置!$T$8:$T$13,基础设置!$V$8:$V$13),IF(G203="拓展部",LOOKUP(M203,基础设置!$T$8:$T$13,基础设置!$W$8:$W$13),5000)))</f>
        <v>4</v>
      </c>
    </row>
    <row r="204" spans="1:20" x14ac:dyDescent="0.15">
      <c r="A204" s="57">
        <v>203</v>
      </c>
      <c r="B204" s="7" t="s">
        <v>77</v>
      </c>
      <c r="C204" s="7" t="s">
        <v>97</v>
      </c>
      <c r="D204" s="7" t="s">
        <v>21</v>
      </c>
      <c r="E204" s="7" t="s">
        <v>302</v>
      </c>
      <c r="F204" s="7" t="s">
        <v>96</v>
      </c>
      <c r="G204" s="50" t="s">
        <v>9</v>
      </c>
      <c r="H204" s="8">
        <v>45499</v>
      </c>
      <c r="I204" s="60"/>
      <c r="J204" s="51">
        <f t="shared" si="27"/>
        <v>30</v>
      </c>
      <c r="K204" s="51">
        <f t="shared" si="28"/>
        <v>31</v>
      </c>
      <c r="L204" s="51">
        <f t="shared" si="29"/>
        <v>30</v>
      </c>
      <c r="M204" s="52">
        <f t="shared" si="30"/>
        <v>31</v>
      </c>
      <c r="N204" s="51">
        <f t="shared" si="31"/>
        <v>31</v>
      </c>
      <c r="O204" s="51">
        <f t="shared" si="32"/>
        <v>30</v>
      </c>
      <c r="P204" s="51">
        <f t="shared" si="33"/>
        <v>31</v>
      </c>
      <c r="Q204" s="51">
        <f t="shared" si="34"/>
        <v>30</v>
      </c>
      <c r="R204" s="51">
        <f t="shared" si="35"/>
        <v>31</v>
      </c>
      <c r="S204" s="53">
        <f>IF(G204="事业部",LOOKUP(M204,基础设置!$T$2:$T$6,基础设置!$U$2:$U$6),IF(G204="总部",LOOKUP(M204,基础设置!$T$8:$T$13,基础设置!$V$8:$V$13),IF(G204="拓展部",LOOKUP(M204,基础设置!$T$8:$T$13,基础设置!$W$8:$W$13),5000)))</f>
        <v>4</v>
      </c>
    </row>
    <row r="205" spans="1:20" x14ac:dyDescent="0.15">
      <c r="A205" s="57">
        <v>204</v>
      </c>
      <c r="B205" s="7" t="s">
        <v>77</v>
      </c>
      <c r="C205" s="7" t="s">
        <v>35</v>
      </c>
      <c r="D205" s="7" t="s">
        <v>21</v>
      </c>
      <c r="E205" s="7" t="s">
        <v>303</v>
      </c>
      <c r="F205" s="7" t="s">
        <v>96</v>
      </c>
      <c r="G205" s="50" t="s">
        <v>9</v>
      </c>
      <c r="H205" s="8">
        <v>45799</v>
      </c>
      <c r="I205" s="60"/>
      <c r="J205" s="51">
        <f t="shared" si="27"/>
        <v>0</v>
      </c>
      <c r="K205" s="51">
        <f t="shared" si="28"/>
        <v>10</v>
      </c>
      <c r="L205" s="51">
        <f t="shared" si="29"/>
        <v>30</v>
      </c>
      <c r="M205" s="52">
        <f t="shared" si="30"/>
        <v>31</v>
      </c>
      <c r="N205" s="51">
        <f t="shared" si="31"/>
        <v>31</v>
      </c>
      <c r="O205" s="51">
        <f t="shared" si="32"/>
        <v>30</v>
      </c>
      <c r="P205" s="51">
        <f t="shared" si="33"/>
        <v>31</v>
      </c>
      <c r="Q205" s="51">
        <f t="shared" si="34"/>
        <v>30</v>
      </c>
      <c r="R205" s="51">
        <f t="shared" si="35"/>
        <v>31</v>
      </c>
      <c r="S205" s="53">
        <f>IF(G205="事业部",LOOKUP(M205,基础设置!$T$2:$T$6,基础设置!$U$2:$U$6),IF(G205="总部",LOOKUP(M205,基础设置!$T$8:$T$13,基础设置!$V$8:$V$13),IF(G205="拓展部",LOOKUP(M205,基础设置!$T$8:$T$13,基础设置!$W$8:$W$13),5000)))</f>
        <v>4</v>
      </c>
      <c r="T205" s="53">
        <v>4000</v>
      </c>
    </row>
    <row r="206" spans="1:20" x14ac:dyDescent="0.15">
      <c r="A206" s="57">
        <v>205</v>
      </c>
      <c r="B206" s="7" t="s">
        <v>78</v>
      </c>
      <c r="C206" s="7" t="s">
        <v>35</v>
      </c>
      <c r="D206" s="7" t="s">
        <v>21</v>
      </c>
      <c r="E206" s="7" t="s">
        <v>304</v>
      </c>
      <c r="F206" s="7" t="s">
        <v>96</v>
      </c>
      <c r="G206" s="50" t="s">
        <v>9</v>
      </c>
      <c r="H206" s="8">
        <v>44908</v>
      </c>
      <c r="I206" s="60"/>
      <c r="J206" s="51">
        <f t="shared" si="27"/>
        <v>30</v>
      </c>
      <c r="K206" s="51">
        <f t="shared" si="28"/>
        <v>31</v>
      </c>
      <c r="L206" s="51">
        <f t="shared" si="29"/>
        <v>30</v>
      </c>
      <c r="M206" s="52">
        <f t="shared" si="30"/>
        <v>31</v>
      </c>
      <c r="N206" s="51">
        <f t="shared" si="31"/>
        <v>31</v>
      </c>
      <c r="O206" s="51">
        <f t="shared" si="32"/>
        <v>30</v>
      </c>
      <c r="P206" s="51">
        <f t="shared" si="33"/>
        <v>31</v>
      </c>
      <c r="Q206" s="51">
        <f t="shared" si="34"/>
        <v>30</v>
      </c>
      <c r="R206" s="51">
        <f t="shared" si="35"/>
        <v>31</v>
      </c>
      <c r="S206" s="53">
        <f>IF(G206="事业部",LOOKUP(M206,基础设置!$T$2:$T$6,基础设置!$U$2:$U$6),IF(G206="总部",LOOKUP(M206,基础设置!$T$8:$T$13,基础设置!$V$8:$V$13),IF(G206="拓展部",LOOKUP(M206,基础设置!$T$8:$T$13,基础设置!$W$8:$W$13),5000)))</f>
        <v>4</v>
      </c>
    </row>
    <row r="207" spans="1:20" x14ac:dyDescent="0.15">
      <c r="A207" s="57">
        <v>206</v>
      </c>
      <c r="B207" s="7" t="s">
        <v>78</v>
      </c>
      <c r="C207" s="7" t="s">
        <v>35</v>
      </c>
      <c r="D207" s="7" t="s">
        <v>21</v>
      </c>
      <c r="E207" s="7" t="s">
        <v>305</v>
      </c>
      <c r="F207" s="7" t="s">
        <v>96</v>
      </c>
      <c r="G207" s="50" t="s">
        <v>9</v>
      </c>
      <c r="H207" s="8">
        <v>45469</v>
      </c>
      <c r="I207" s="60"/>
      <c r="J207" s="51">
        <f t="shared" si="27"/>
        <v>30</v>
      </c>
      <c r="K207" s="51">
        <f t="shared" si="28"/>
        <v>31</v>
      </c>
      <c r="L207" s="51">
        <f t="shared" si="29"/>
        <v>30</v>
      </c>
      <c r="M207" s="52">
        <f t="shared" si="30"/>
        <v>31</v>
      </c>
      <c r="N207" s="51">
        <f t="shared" si="31"/>
        <v>31</v>
      </c>
      <c r="O207" s="51">
        <f t="shared" si="32"/>
        <v>30</v>
      </c>
      <c r="P207" s="51">
        <f t="shared" si="33"/>
        <v>31</v>
      </c>
      <c r="Q207" s="51">
        <f t="shared" si="34"/>
        <v>30</v>
      </c>
      <c r="R207" s="51">
        <f t="shared" si="35"/>
        <v>31</v>
      </c>
      <c r="S207" s="53">
        <f>IF(G207="事业部",LOOKUP(M207,基础设置!$T$2:$T$6,基础设置!$U$2:$U$6),IF(G207="总部",LOOKUP(M207,基础设置!$T$8:$T$13,基础设置!$V$8:$V$13),IF(G207="拓展部",LOOKUP(M207,基础设置!$T$8:$T$13,基础设置!$W$8:$W$13),5000)))</f>
        <v>4</v>
      </c>
    </row>
    <row r="208" spans="1:20" x14ac:dyDescent="0.15">
      <c r="A208" s="57">
        <v>207</v>
      </c>
      <c r="B208" s="7" t="s">
        <v>78</v>
      </c>
      <c r="C208" s="7" t="s">
        <v>94</v>
      </c>
      <c r="D208" s="7" t="s">
        <v>30</v>
      </c>
      <c r="E208" s="7" t="s">
        <v>306</v>
      </c>
      <c r="F208" s="7" t="s">
        <v>96</v>
      </c>
      <c r="G208" s="50" t="s">
        <v>9</v>
      </c>
      <c r="H208" s="8">
        <v>45505</v>
      </c>
      <c r="I208" s="60"/>
      <c r="J208" s="51">
        <f t="shared" si="27"/>
        <v>30</v>
      </c>
      <c r="K208" s="51">
        <f t="shared" si="28"/>
        <v>31</v>
      </c>
      <c r="L208" s="51">
        <f t="shared" si="29"/>
        <v>30</v>
      </c>
      <c r="M208" s="52">
        <f t="shared" si="30"/>
        <v>31</v>
      </c>
      <c r="N208" s="51">
        <f t="shared" si="31"/>
        <v>31</v>
      </c>
      <c r="O208" s="51">
        <f t="shared" si="32"/>
        <v>30</v>
      </c>
      <c r="P208" s="51">
        <f t="shared" si="33"/>
        <v>31</v>
      </c>
      <c r="Q208" s="51">
        <f t="shared" si="34"/>
        <v>30</v>
      </c>
      <c r="R208" s="51">
        <f t="shared" si="35"/>
        <v>31</v>
      </c>
      <c r="S208" s="53">
        <f>IF(G208="事业部",LOOKUP(M208,基础设置!$T$2:$T$6,基础设置!$U$2:$U$6),IF(G208="总部",LOOKUP(M208,基础设置!$T$8:$T$13,基础设置!$V$8:$V$13),IF(G208="拓展部",LOOKUP(M208,基础设置!$T$8:$T$13,基础设置!$W$8:$W$13),5000)))</f>
        <v>4</v>
      </c>
    </row>
    <row r="209" spans="1:20" x14ac:dyDescent="0.15">
      <c r="A209" s="57">
        <v>208</v>
      </c>
      <c r="B209" s="7" t="s">
        <v>78</v>
      </c>
      <c r="C209" s="7" t="s">
        <v>35</v>
      </c>
      <c r="D209" s="7" t="s">
        <v>21</v>
      </c>
      <c r="E209" s="7" t="s">
        <v>307</v>
      </c>
      <c r="F209" s="7" t="s">
        <v>96</v>
      </c>
      <c r="G209" s="50" t="s">
        <v>9</v>
      </c>
      <c r="H209" s="8">
        <v>45614</v>
      </c>
      <c r="I209" s="60"/>
      <c r="J209" s="51">
        <f t="shared" si="27"/>
        <v>30</v>
      </c>
      <c r="K209" s="51">
        <f t="shared" si="28"/>
        <v>31</v>
      </c>
      <c r="L209" s="51">
        <f t="shared" si="29"/>
        <v>30</v>
      </c>
      <c r="M209" s="52">
        <f t="shared" si="30"/>
        <v>31</v>
      </c>
      <c r="N209" s="51">
        <f t="shared" si="31"/>
        <v>31</v>
      </c>
      <c r="O209" s="51">
        <f t="shared" si="32"/>
        <v>30</v>
      </c>
      <c r="P209" s="51">
        <f t="shared" si="33"/>
        <v>31</v>
      </c>
      <c r="Q209" s="51">
        <f t="shared" si="34"/>
        <v>30</v>
      </c>
      <c r="R209" s="51">
        <f t="shared" si="35"/>
        <v>31</v>
      </c>
      <c r="S209" s="53">
        <f>IF(G209="事业部",LOOKUP(M209,基础设置!$T$2:$T$6,基础设置!$U$2:$U$6),IF(G209="总部",LOOKUP(M209,基础设置!$T$8:$T$13,基础设置!$V$8:$V$13),IF(G209="拓展部",LOOKUP(M209,基础设置!$T$8:$T$13,基础设置!$W$8:$W$13),5000)))</f>
        <v>4</v>
      </c>
    </row>
    <row r="210" spans="1:20" x14ac:dyDescent="0.15">
      <c r="A210" s="57">
        <v>209</v>
      </c>
      <c r="B210" s="7" t="s">
        <v>78</v>
      </c>
      <c r="C210" s="7" t="s">
        <v>35</v>
      </c>
      <c r="D210" s="7" t="s">
        <v>21</v>
      </c>
      <c r="E210" s="7" t="s">
        <v>308</v>
      </c>
      <c r="F210" s="7" t="s">
        <v>96</v>
      </c>
      <c r="G210" s="50" t="s">
        <v>9</v>
      </c>
      <c r="H210" s="8">
        <v>45737</v>
      </c>
      <c r="I210" s="60"/>
      <c r="J210" s="51">
        <f t="shared" si="27"/>
        <v>30</v>
      </c>
      <c r="K210" s="51">
        <f t="shared" si="28"/>
        <v>31</v>
      </c>
      <c r="L210" s="51">
        <f t="shared" si="29"/>
        <v>30</v>
      </c>
      <c r="M210" s="52">
        <f t="shared" si="30"/>
        <v>31</v>
      </c>
      <c r="N210" s="51">
        <f t="shared" si="31"/>
        <v>31</v>
      </c>
      <c r="O210" s="51">
        <f t="shared" si="32"/>
        <v>30</v>
      </c>
      <c r="P210" s="51">
        <f t="shared" si="33"/>
        <v>31</v>
      </c>
      <c r="Q210" s="51">
        <f t="shared" si="34"/>
        <v>30</v>
      </c>
      <c r="R210" s="51">
        <f t="shared" si="35"/>
        <v>31</v>
      </c>
      <c r="S210" s="53">
        <f>IF(G210="事业部",LOOKUP(M210,基础设置!$T$2:$T$6,基础设置!$U$2:$U$6),IF(G210="总部",LOOKUP(M210,基础设置!$T$8:$T$13,基础设置!$V$8:$V$13),IF(G210="拓展部",LOOKUP(M210,基础设置!$T$8:$T$13,基础设置!$W$8:$W$13),5000)))</f>
        <v>4</v>
      </c>
    </row>
    <row r="211" spans="1:20" x14ac:dyDescent="0.15">
      <c r="A211" s="57">
        <v>210</v>
      </c>
      <c r="B211" s="7" t="s">
        <v>78</v>
      </c>
      <c r="C211" s="7" t="s">
        <v>35</v>
      </c>
      <c r="D211" s="7" t="s">
        <v>21</v>
      </c>
      <c r="E211" s="7" t="s">
        <v>309</v>
      </c>
      <c r="F211" s="7" t="s">
        <v>36</v>
      </c>
      <c r="G211" s="50" t="s">
        <v>9</v>
      </c>
      <c r="H211" s="8">
        <v>45809</v>
      </c>
      <c r="I211" s="8">
        <v>45839</v>
      </c>
      <c r="J211" s="51">
        <f t="shared" si="27"/>
        <v>0</v>
      </c>
      <c r="K211" s="51">
        <f t="shared" si="28"/>
        <v>0</v>
      </c>
      <c r="L211" s="51">
        <f t="shared" si="29"/>
        <v>30</v>
      </c>
      <c r="M211" s="52">
        <f t="shared" si="30"/>
        <v>1</v>
      </c>
      <c r="N211" s="51">
        <f t="shared" si="31"/>
        <v>0</v>
      </c>
      <c r="O211" s="51">
        <f t="shared" si="32"/>
        <v>0</v>
      </c>
      <c r="P211" s="51">
        <f t="shared" si="33"/>
        <v>0</v>
      </c>
      <c r="Q211" s="51">
        <f t="shared" si="34"/>
        <v>0</v>
      </c>
      <c r="R211" s="51">
        <f t="shared" si="35"/>
        <v>0</v>
      </c>
      <c r="S211" s="53">
        <f>IF(G211="事业部",LOOKUP(M211,基础设置!$T$2:$T$6,基础设置!$U$2:$U$6),IF(G211="总部",LOOKUP(M211,基础设置!$T$8:$T$13,基础设置!$V$8:$V$13),IF(G211="拓展部",LOOKUP(M211,基础设置!$T$8:$T$13,基础设置!$W$8:$W$13),5000)))</f>
        <v>0</v>
      </c>
    </row>
    <row r="212" spans="1:20" x14ac:dyDescent="0.15">
      <c r="A212" s="57">
        <v>211</v>
      </c>
      <c r="B212" s="7" t="s">
        <v>78</v>
      </c>
      <c r="C212" s="7" t="s">
        <v>97</v>
      </c>
      <c r="D212" s="7" t="s">
        <v>21</v>
      </c>
      <c r="E212" s="7" t="s">
        <v>310</v>
      </c>
      <c r="F212" s="7" t="s">
        <v>96</v>
      </c>
      <c r="G212" s="50" t="s">
        <v>9</v>
      </c>
      <c r="H212" s="8">
        <v>45830</v>
      </c>
      <c r="I212" s="60"/>
      <c r="J212" s="51">
        <f t="shared" si="27"/>
        <v>0</v>
      </c>
      <c r="K212" s="51">
        <f t="shared" si="28"/>
        <v>0</v>
      </c>
      <c r="L212" s="51">
        <f t="shared" si="29"/>
        <v>9</v>
      </c>
      <c r="M212" s="52">
        <f t="shared" si="30"/>
        <v>31</v>
      </c>
      <c r="N212" s="51">
        <f t="shared" si="31"/>
        <v>31</v>
      </c>
      <c r="O212" s="51">
        <f t="shared" si="32"/>
        <v>30</v>
      </c>
      <c r="P212" s="51">
        <f t="shared" si="33"/>
        <v>31</v>
      </c>
      <c r="Q212" s="51">
        <f t="shared" si="34"/>
        <v>30</v>
      </c>
      <c r="R212" s="51">
        <f t="shared" si="35"/>
        <v>31</v>
      </c>
      <c r="S212" s="53">
        <f>IF(G212="事业部",LOOKUP(M212,基础设置!$T$2:$T$6,基础设置!$U$2:$U$6),IF(G212="总部",LOOKUP(M212,基础设置!$T$8:$T$13,基础设置!$V$8:$V$13),IF(G212="拓展部",LOOKUP(M212,基础设置!$T$8:$T$13,基础设置!$W$8:$W$13),5000)))</f>
        <v>4</v>
      </c>
      <c r="T212" s="53">
        <v>3500</v>
      </c>
    </row>
    <row r="213" spans="1:20" x14ac:dyDescent="0.15">
      <c r="A213" s="57">
        <v>212</v>
      </c>
      <c r="B213" s="7" t="s">
        <v>79</v>
      </c>
      <c r="C213" s="7" t="s">
        <v>94</v>
      </c>
      <c r="D213" s="7" t="s">
        <v>30</v>
      </c>
      <c r="E213" s="7" t="s">
        <v>311</v>
      </c>
      <c r="F213" s="7" t="s">
        <v>96</v>
      </c>
      <c r="G213" s="50" t="s">
        <v>9</v>
      </c>
      <c r="H213" s="8">
        <v>41411</v>
      </c>
      <c r="I213" s="60"/>
      <c r="J213" s="51">
        <f t="shared" si="27"/>
        <v>30</v>
      </c>
      <c r="K213" s="51">
        <f t="shared" si="28"/>
        <v>31</v>
      </c>
      <c r="L213" s="51">
        <f t="shared" si="29"/>
        <v>30</v>
      </c>
      <c r="M213" s="52">
        <f t="shared" si="30"/>
        <v>31</v>
      </c>
      <c r="N213" s="51">
        <f t="shared" si="31"/>
        <v>31</v>
      </c>
      <c r="O213" s="51">
        <f t="shared" si="32"/>
        <v>30</v>
      </c>
      <c r="P213" s="51">
        <f t="shared" si="33"/>
        <v>31</v>
      </c>
      <c r="Q213" s="51">
        <f t="shared" si="34"/>
        <v>30</v>
      </c>
      <c r="R213" s="51">
        <f t="shared" si="35"/>
        <v>31</v>
      </c>
      <c r="S213" s="53">
        <f>IF(G213="事业部",LOOKUP(M213,基础设置!$T$2:$T$6,基础设置!$U$2:$U$6),IF(G213="总部",LOOKUP(M213,基础设置!$T$8:$T$13,基础设置!$V$8:$V$13),IF(G213="拓展部",LOOKUP(M213,基础设置!$T$8:$T$13,基础设置!$W$8:$W$13),5000)))</f>
        <v>4</v>
      </c>
    </row>
    <row r="214" spans="1:20" x14ac:dyDescent="0.15">
      <c r="A214" s="57">
        <v>213</v>
      </c>
      <c r="B214" s="7" t="s">
        <v>79</v>
      </c>
      <c r="C214" s="7" t="s">
        <v>35</v>
      </c>
      <c r="D214" s="7" t="s">
        <v>21</v>
      </c>
      <c r="E214" s="7" t="s">
        <v>312</v>
      </c>
      <c r="F214" s="7" t="s">
        <v>96</v>
      </c>
      <c r="G214" s="50" t="s">
        <v>9</v>
      </c>
      <c r="H214" s="8">
        <v>45175</v>
      </c>
      <c r="I214" s="60"/>
      <c r="J214" s="51">
        <f t="shared" si="27"/>
        <v>30</v>
      </c>
      <c r="K214" s="51">
        <f t="shared" si="28"/>
        <v>31</v>
      </c>
      <c r="L214" s="51">
        <f t="shared" si="29"/>
        <v>30</v>
      </c>
      <c r="M214" s="52">
        <f t="shared" si="30"/>
        <v>31</v>
      </c>
      <c r="N214" s="51">
        <f t="shared" si="31"/>
        <v>31</v>
      </c>
      <c r="O214" s="51">
        <f t="shared" si="32"/>
        <v>30</v>
      </c>
      <c r="P214" s="51">
        <f t="shared" si="33"/>
        <v>31</v>
      </c>
      <c r="Q214" s="51">
        <f t="shared" si="34"/>
        <v>30</v>
      </c>
      <c r="R214" s="51">
        <f t="shared" si="35"/>
        <v>31</v>
      </c>
      <c r="S214" s="53">
        <f>IF(G214="事业部",LOOKUP(M214,基础设置!$T$2:$T$6,基础设置!$U$2:$U$6),IF(G214="总部",LOOKUP(M214,基础设置!$T$8:$T$13,基础设置!$V$8:$V$13),IF(G214="拓展部",LOOKUP(M214,基础设置!$T$8:$T$13,基础设置!$W$8:$W$13),5000)))</f>
        <v>4</v>
      </c>
    </row>
    <row r="215" spans="1:20" x14ac:dyDescent="0.15">
      <c r="A215" s="57">
        <v>214</v>
      </c>
      <c r="B215" s="7" t="s">
        <v>79</v>
      </c>
      <c r="C215" s="7" t="s">
        <v>35</v>
      </c>
      <c r="D215" s="7" t="s">
        <v>21</v>
      </c>
      <c r="E215" s="7" t="s">
        <v>313</v>
      </c>
      <c r="F215" s="7" t="s">
        <v>96</v>
      </c>
      <c r="G215" s="50" t="s">
        <v>9</v>
      </c>
      <c r="H215" s="8">
        <v>45242</v>
      </c>
      <c r="I215" s="60"/>
      <c r="J215" s="51">
        <f t="shared" si="27"/>
        <v>30</v>
      </c>
      <c r="K215" s="51">
        <f t="shared" si="28"/>
        <v>31</v>
      </c>
      <c r="L215" s="51">
        <f t="shared" si="29"/>
        <v>30</v>
      </c>
      <c r="M215" s="52">
        <f t="shared" si="30"/>
        <v>31</v>
      </c>
      <c r="N215" s="51">
        <f t="shared" si="31"/>
        <v>31</v>
      </c>
      <c r="O215" s="51">
        <f t="shared" si="32"/>
        <v>30</v>
      </c>
      <c r="P215" s="51">
        <f t="shared" si="33"/>
        <v>31</v>
      </c>
      <c r="Q215" s="51">
        <f t="shared" si="34"/>
        <v>30</v>
      </c>
      <c r="R215" s="51">
        <f t="shared" si="35"/>
        <v>31</v>
      </c>
      <c r="S215" s="53">
        <f>IF(G215="事业部",LOOKUP(M215,基础设置!$T$2:$T$6,基础设置!$U$2:$U$6),IF(G215="总部",LOOKUP(M215,基础设置!$T$8:$T$13,基础设置!$V$8:$V$13),IF(G215="拓展部",LOOKUP(M215,基础设置!$T$8:$T$13,基础设置!$W$8:$W$13),5000)))</f>
        <v>4</v>
      </c>
    </row>
    <row r="216" spans="1:20" x14ac:dyDescent="0.15">
      <c r="A216" s="57">
        <v>215</v>
      </c>
      <c r="B216" s="7" t="s">
        <v>70</v>
      </c>
      <c r="C216" s="7" t="s">
        <v>35</v>
      </c>
      <c r="D216" s="7" t="s">
        <v>21</v>
      </c>
      <c r="E216" s="7" t="s">
        <v>314</v>
      </c>
      <c r="F216" s="7" t="s">
        <v>96</v>
      </c>
      <c r="G216" s="50" t="s">
        <v>9</v>
      </c>
      <c r="H216" s="8">
        <v>45665</v>
      </c>
      <c r="I216" s="60"/>
      <c r="J216" s="51">
        <f t="shared" si="27"/>
        <v>30</v>
      </c>
      <c r="K216" s="51">
        <f t="shared" si="28"/>
        <v>31</v>
      </c>
      <c r="L216" s="51">
        <f t="shared" si="29"/>
        <v>30</v>
      </c>
      <c r="M216" s="52">
        <f t="shared" si="30"/>
        <v>31</v>
      </c>
      <c r="N216" s="51">
        <f t="shared" si="31"/>
        <v>31</v>
      </c>
      <c r="O216" s="51">
        <f t="shared" si="32"/>
        <v>30</v>
      </c>
      <c r="P216" s="51">
        <f t="shared" si="33"/>
        <v>31</v>
      </c>
      <c r="Q216" s="51">
        <f t="shared" si="34"/>
        <v>30</v>
      </c>
      <c r="R216" s="51">
        <f t="shared" si="35"/>
        <v>31</v>
      </c>
      <c r="S216" s="53">
        <f>IF(G216="事业部",LOOKUP(M216,基础设置!$T$2:$T$6,基础设置!$U$2:$U$6),IF(G216="总部",LOOKUP(M216,基础设置!$T$8:$T$13,基础设置!$V$8:$V$13),IF(G216="拓展部",LOOKUP(M216,基础设置!$T$8:$T$13,基础设置!$W$8:$W$13),5000)))</f>
        <v>4</v>
      </c>
    </row>
    <row r="217" spans="1:20" x14ac:dyDescent="0.15">
      <c r="A217" s="57">
        <v>216</v>
      </c>
      <c r="B217" s="7" t="s">
        <v>79</v>
      </c>
      <c r="C217" s="7" t="s">
        <v>97</v>
      </c>
      <c r="D217" s="7" t="s">
        <v>21</v>
      </c>
      <c r="E217" s="7" t="s">
        <v>315</v>
      </c>
      <c r="F217" s="7" t="s">
        <v>96</v>
      </c>
      <c r="G217" s="50" t="s">
        <v>9</v>
      </c>
      <c r="H217" s="8">
        <v>45711</v>
      </c>
      <c r="I217" s="60"/>
      <c r="J217" s="51">
        <f t="shared" si="27"/>
        <v>30</v>
      </c>
      <c r="K217" s="51">
        <f t="shared" si="28"/>
        <v>31</v>
      </c>
      <c r="L217" s="51">
        <f t="shared" si="29"/>
        <v>30</v>
      </c>
      <c r="M217" s="52">
        <f t="shared" si="30"/>
        <v>31</v>
      </c>
      <c r="N217" s="51">
        <f t="shared" si="31"/>
        <v>31</v>
      </c>
      <c r="O217" s="51">
        <f t="shared" si="32"/>
        <v>30</v>
      </c>
      <c r="P217" s="51">
        <f t="shared" si="33"/>
        <v>31</v>
      </c>
      <c r="Q217" s="51">
        <f t="shared" si="34"/>
        <v>30</v>
      </c>
      <c r="R217" s="51">
        <f t="shared" si="35"/>
        <v>31</v>
      </c>
      <c r="S217" s="53">
        <f>IF(G217="事业部",LOOKUP(M217,基础设置!$T$2:$T$6,基础设置!$U$2:$U$6),IF(G217="总部",LOOKUP(M217,基础设置!$T$8:$T$13,基础设置!$V$8:$V$13),IF(G217="拓展部",LOOKUP(M217,基础设置!$T$8:$T$13,基础设置!$W$8:$W$13),5000)))</f>
        <v>4</v>
      </c>
    </row>
    <row r="218" spans="1:20" x14ac:dyDescent="0.15">
      <c r="A218" s="57">
        <v>217</v>
      </c>
      <c r="B218" s="7" t="s">
        <v>79</v>
      </c>
      <c r="C218" s="7" t="s">
        <v>35</v>
      </c>
      <c r="D218" s="7" t="s">
        <v>21</v>
      </c>
      <c r="E218" s="7" t="s">
        <v>316</v>
      </c>
      <c r="F218" s="7" t="s">
        <v>96</v>
      </c>
      <c r="G218" s="50" t="s">
        <v>9</v>
      </c>
      <c r="H218" s="8">
        <v>45698</v>
      </c>
      <c r="I218" s="60"/>
      <c r="J218" s="51">
        <f t="shared" si="27"/>
        <v>30</v>
      </c>
      <c r="K218" s="51">
        <f t="shared" si="28"/>
        <v>31</v>
      </c>
      <c r="L218" s="51">
        <f t="shared" si="29"/>
        <v>30</v>
      </c>
      <c r="M218" s="52">
        <f t="shared" si="30"/>
        <v>31</v>
      </c>
      <c r="N218" s="51">
        <f t="shared" si="31"/>
        <v>31</v>
      </c>
      <c r="O218" s="51">
        <f t="shared" si="32"/>
        <v>30</v>
      </c>
      <c r="P218" s="51">
        <f t="shared" si="33"/>
        <v>31</v>
      </c>
      <c r="Q218" s="51">
        <f t="shared" si="34"/>
        <v>30</v>
      </c>
      <c r="R218" s="51">
        <f t="shared" si="35"/>
        <v>31</v>
      </c>
      <c r="S218" s="53">
        <f>IF(G218="事业部",LOOKUP(M218,基础设置!$T$2:$T$6,基础设置!$U$2:$U$6),IF(G218="总部",LOOKUP(M218,基础设置!$T$8:$T$13,基础设置!$V$8:$V$13),IF(G218="拓展部",LOOKUP(M218,基础设置!$T$8:$T$13,基础设置!$W$8:$W$13),5000)))</f>
        <v>4</v>
      </c>
    </row>
    <row r="219" spans="1:20" x14ac:dyDescent="0.15">
      <c r="A219" s="57">
        <v>218</v>
      </c>
      <c r="B219" s="7" t="s">
        <v>79</v>
      </c>
      <c r="C219" s="7" t="s">
        <v>35</v>
      </c>
      <c r="D219" s="7" t="s">
        <v>21</v>
      </c>
      <c r="E219" s="7" t="s">
        <v>317</v>
      </c>
      <c r="F219" s="7" t="s">
        <v>96</v>
      </c>
      <c r="G219" s="50" t="s">
        <v>9</v>
      </c>
      <c r="H219" s="8">
        <v>45759</v>
      </c>
      <c r="I219" s="60"/>
      <c r="J219" s="51">
        <f t="shared" si="27"/>
        <v>19</v>
      </c>
      <c r="K219" s="51">
        <f t="shared" si="28"/>
        <v>31</v>
      </c>
      <c r="L219" s="51">
        <f t="shared" si="29"/>
        <v>30</v>
      </c>
      <c r="M219" s="52">
        <f t="shared" si="30"/>
        <v>31</v>
      </c>
      <c r="N219" s="51">
        <f t="shared" si="31"/>
        <v>31</v>
      </c>
      <c r="O219" s="51">
        <f t="shared" si="32"/>
        <v>30</v>
      </c>
      <c r="P219" s="51">
        <f t="shared" si="33"/>
        <v>31</v>
      </c>
      <c r="Q219" s="51">
        <f t="shared" si="34"/>
        <v>30</v>
      </c>
      <c r="R219" s="51">
        <f t="shared" si="35"/>
        <v>31</v>
      </c>
      <c r="S219" s="53">
        <f>IF(G219="事业部",LOOKUP(M219,基础设置!$T$2:$T$6,基础设置!$U$2:$U$6),IF(G219="总部",LOOKUP(M219,基础设置!$T$8:$T$13,基础设置!$V$8:$V$13),IF(G219="拓展部",LOOKUP(M219,基础设置!$T$8:$T$13,基础设置!$W$8:$W$13),5000)))</f>
        <v>4</v>
      </c>
    </row>
    <row r="220" spans="1:20" x14ac:dyDescent="0.15">
      <c r="A220" s="57">
        <v>219</v>
      </c>
      <c r="B220" s="7" t="s">
        <v>80</v>
      </c>
      <c r="C220" s="7" t="s">
        <v>46</v>
      </c>
      <c r="D220" s="7" t="s">
        <v>30</v>
      </c>
      <c r="E220" s="7" t="s">
        <v>318</v>
      </c>
      <c r="F220" s="7" t="s">
        <v>96</v>
      </c>
      <c r="G220" s="50" t="s">
        <v>9</v>
      </c>
      <c r="H220" s="8">
        <v>45222</v>
      </c>
      <c r="I220" s="60"/>
      <c r="J220" s="51">
        <f t="shared" si="27"/>
        <v>30</v>
      </c>
      <c r="K220" s="51">
        <f t="shared" si="28"/>
        <v>31</v>
      </c>
      <c r="L220" s="51">
        <f t="shared" si="29"/>
        <v>30</v>
      </c>
      <c r="M220" s="52">
        <f t="shared" si="30"/>
        <v>31</v>
      </c>
      <c r="N220" s="51">
        <f t="shared" si="31"/>
        <v>31</v>
      </c>
      <c r="O220" s="51">
        <f t="shared" si="32"/>
        <v>30</v>
      </c>
      <c r="P220" s="51">
        <f t="shared" si="33"/>
        <v>31</v>
      </c>
      <c r="Q220" s="51">
        <f t="shared" si="34"/>
        <v>30</v>
      </c>
      <c r="R220" s="51">
        <f t="shared" si="35"/>
        <v>31</v>
      </c>
      <c r="S220" s="53">
        <f>IF(G220="事业部",LOOKUP(M220,基础设置!$T$2:$T$6,基础设置!$U$2:$U$6),IF(G220="总部",LOOKUP(M220,基础设置!$T$8:$T$13,基础设置!$V$8:$V$13),IF(G220="拓展部",LOOKUP(M220,基础设置!$T$8:$T$13,基础设置!$W$8:$W$13),5000)))</f>
        <v>4</v>
      </c>
    </row>
    <row r="221" spans="1:20" x14ac:dyDescent="0.15">
      <c r="A221" s="57">
        <v>220</v>
      </c>
      <c r="B221" s="7" t="s">
        <v>80</v>
      </c>
      <c r="C221" s="7" t="s">
        <v>97</v>
      </c>
      <c r="D221" s="7" t="s">
        <v>21</v>
      </c>
      <c r="E221" s="7" t="s">
        <v>319</v>
      </c>
      <c r="F221" s="7" t="s">
        <v>96</v>
      </c>
      <c r="G221" s="50" t="s">
        <v>9</v>
      </c>
      <c r="H221" s="8">
        <v>45644</v>
      </c>
      <c r="I221" s="60"/>
      <c r="J221" s="51">
        <f t="shared" si="27"/>
        <v>30</v>
      </c>
      <c r="K221" s="51">
        <f t="shared" si="28"/>
        <v>31</v>
      </c>
      <c r="L221" s="51">
        <f t="shared" si="29"/>
        <v>30</v>
      </c>
      <c r="M221" s="52">
        <f t="shared" si="30"/>
        <v>31</v>
      </c>
      <c r="N221" s="51">
        <f t="shared" si="31"/>
        <v>31</v>
      </c>
      <c r="O221" s="51">
        <f t="shared" si="32"/>
        <v>30</v>
      </c>
      <c r="P221" s="51">
        <f t="shared" si="33"/>
        <v>31</v>
      </c>
      <c r="Q221" s="51">
        <f t="shared" si="34"/>
        <v>30</v>
      </c>
      <c r="R221" s="51">
        <f t="shared" si="35"/>
        <v>31</v>
      </c>
      <c r="S221" s="53">
        <f>IF(G221="事业部",LOOKUP(M221,基础设置!$T$2:$T$6,基础设置!$U$2:$U$6),IF(G221="总部",LOOKUP(M221,基础设置!$T$8:$T$13,基础设置!$V$8:$V$13),IF(G221="拓展部",LOOKUP(M221,基础设置!$T$8:$T$13,基础设置!$W$8:$W$13),5000)))</f>
        <v>4</v>
      </c>
    </row>
    <row r="222" spans="1:20" x14ac:dyDescent="0.15">
      <c r="A222" s="57">
        <v>221</v>
      </c>
      <c r="B222" s="7" t="s">
        <v>80</v>
      </c>
      <c r="C222" s="7" t="s">
        <v>35</v>
      </c>
      <c r="D222" s="7" t="s">
        <v>21</v>
      </c>
      <c r="E222" s="7" t="s">
        <v>320</v>
      </c>
      <c r="F222" s="7" t="s">
        <v>96</v>
      </c>
      <c r="G222" s="50" t="s">
        <v>9</v>
      </c>
      <c r="H222" s="8">
        <v>45719</v>
      </c>
      <c r="I222" s="60"/>
      <c r="J222" s="51">
        <f t="shared" si="27"/>
        <v>30</v>
      </c>
      <c r="K222" s="51">
        <f t="shared" si="28"/>
        <v>31</v>
      </c>
      <c r="L222" s="51">
        <f t="shared" si="29"/>
        <v>30</v>
      </c>
      <c r="M222" s="52">
        <f t="shared" si="30"/>
        <v>31</v>
      </c>
      <c r="N222" s="51">
        <f t="shared" si="31"/>
        <v>31</v>
      </c>
      <c r="O222" s="51">
        <f t="shared" si="32"/>
        <v>30</v>
      </c>
      <c r="P222" s="51">
        <f t="shared" si="33"/>
        <v>31</v>
      </c>
      <c r="Q222" s="51">
        <f t="shared" si="34"/>
        <v>30</v>
      </c>
      <c r="R222" s="51">
        <f t="shared" si="35"/>
        <v>31</v>
      </c>
      <c r="S222" s="53">
        <f>IF(G222="事业部",LOOKUP(M222,基础设置!$T$2:$T$6,基础设置!$U$2:$U$6),IF(G222="总部",LOOKUP(M222,基础设置!$T$8:$T$13,基础设置!$V$8:$V$13),IF(G222="拓展部",LOOKUP(M222,基础设置!$T$8:$T$13,基础设置!$W$8:$W$13),5000)))</f>
        <v>4</v>
      </c>
    </row>
    <row r="223" spans="1:20" x14ac:dyDescent="0.15">
      <c r="A223" s="57">
        <v>222</v>
      </c>
      <c r="B223" s="7" t="s">
        <v>80</v>
      </c>
      <c r="C223" s="7" t="s">
        <v>35</v>
      </c>
      <c r="D223" s="7" t="s">
        <v>21</v>
      </c>
      <c r="E223" s="7" t="s">
        <v>321</v>
      </c>
      <c r="F223" s="7" t="s">
        <v>96</v>
      </c>
      <c r="G223" s="50" t="s">
        <v>9</v>
      </c>
      <c r="H223" s="8">
        <v>45726</v>
      </c>
      <c r="I223" s="60"/>
      <c r="J223" s="51">
        <f t="shared" si="27"/>
        <v>30</v>
      </c>
      <c r="K223" s="51">
        <f t="shared" si="28"/>
        <v>31</v>
      </c>
      <c r="L223" s="51">
        <f t="shared" si="29"/>
        <v>30</v>
      </c>
      <c r="M223" s="52">
        <f t="shared" si="30"/>
        <v>31</v>
      </c>
      <c r="N223" s="51">
        <f t="shared" si="31"/>
        <v>31</v>
      </c>
      <c r="O223" s="51">
        <f t="shared" si="32"/>
        <v>30</v>
      </c>
      <c r="P223" s="51">
        <f t="shared" si="33"/>
        <v>31</v>
      </c>
      <c r="Q223" s="51">
        <f t="shared" si="34"/>
        <v>30</v>
      </c>
      <c r="R223" s="51">
        <f t="shared" si="35"/>
        <v>31</v>
      </c>
      <c r="S223" s="53">
        <f>IF(G223="事业部",LOOKUP(M223,基础设置!$T$2:$T$6,基础设置!$U$2:$U$6),IF(G223="总部",LOOKUP(M223,基础设置!$T$8:$T$13,基础设置!$V$8:$V$13),IF(G223="拓展部",LOOKUP(M223,基础设置!$T$8:$T$13,基础设置!$W$8:$W$13),5000)))</f>
        <v>4</v>
      </c>
    </row>
    <row r="224" spans="1:20" x14ac:dyDescent="0.15">
      <c r="A224" s="57">
        <v>223</v>
      </c>
      <c r="B224" s="7" t="s">
        <v>80</v>
      </c>
      <c r="C224" s="7" t="s">
        <v>35</v>
      </c>
      <c r="D224" s="7" t="s">
        <v>21</v>
      </c>
      <c r="E224" s="7" t="s">
        <v>322</v>
      </c>
      <c r="F224" s="7" t="s">
        <v>96</v>
      </c>
      <c r="G224" s="50" t="s">
        <v>9</v>
      </c>
      <c r="H224" s="8">
        <v>45715</v>
      </c>
      <c r="I224" s="60"/>
      <c r="J224" s="51">
        <f t="shared" si="27"/>
        <v>30</v>
      </c>
      <c r="K224" s="51">
        <f t="shared" si="28"/>
        <v>31</v>
      </c>
      <c r="L224" s="51">
        <f t="shared" si="29"/>
        <v>30</v>
      </c>
      <c r="M224" s="52">
        <f t="shared" si="30"/>
        <v>31</v>
      </c>
      <c r="N224" s="51">
        <f t="shared" si="31"/>
        <v>31</v>
      </c>
      <c r="O224" s="51">
        <f t="shared" si="32"/>
        <v>30</v>
      </c>
      <c r="P224" s="51">
        <f t="shared" si="33"/>
        <v>31</v>
      </c>
      <c r="Q224" s="51">
        <f t="shared" si="34"/>
        <v>30</v>
      </c>
      <c r="R224" s="51">
        <f t="shared" si="35"/>
        <v>31</v>
      </c>
      <c r="S224" s="53">
        <f>IF(G224="事业部",LOOKUP(M224,基础设置!$T$2:$T$6,基础设置!$U$2:$U$6),IF(G224="总部",LOOKUP(M224,基础设置!$T$8:$T$13,基础设置!$V$8:$V$13),IF(G224="拓展部",LOOKUP(M224,基础设置!$T$8:$T$13,基础设置!$W$8:$W$13),5000)))</f>
        <v>4</v>
      </c>
    </row>
    <row r="225" spans="1:22" x14ac:dyDescent="0.15">
      <c r="A225" s="57">
        <v>224</v>
      </c>
      <c r="B225" s="7" t="s">
        <v>80</v>
      </c>
      <c r="C225" s="7" t="s">
        <v>35</v>
      </c>
      <c r="D225" s="7" t="s">
        <v>21</v>
      </c>
      <c r="E225" s="7" t="s">
        <v>323</v>
      </c>
      <c r="F225" s="7" t="s">
        <v>96</v>
      </c>
      <c r="G225" s="50" t="s">
        <v>9</v>
      </c>
      <c r="H225" s="8">
        <v>45726</v>
      </c>
      <c r="I225" s="60"/>
      <c r="J225" s="51">
        <f t="shared" si="27"/>
        <v>30</v>
      </c>
      <c r="K225" s="51">
        <f t="shared" si="28"/>
        <v>31</v>
      </c>
      <c r="L225" s="51">
        <f t="shared" si="29"/>
        <v>30</v>
      </c>
      <c r="M225" s="52">
        <f t="shared" si="30"/>
        <v>31</v>
      </c>
      <c r="N225" s="51">
        <f t="shared" si="31"/>
        <v>31</v>
      </c>
      <c r="O225" s="51">
        <f t="shared" si="32"/>
        <v>30</v>
      </c>
      <c r="P225" s="51">
        <f t="shared" si="33"/>
        <v>31</v>
      </c>
      <c r="Q225" s="51">
        <f t="shared" si="34"/>
        <v>30</v>
      </c>
      <c r="R225" s="51">
        <f t="shared" si="35"/>
        <v>31</v>
      </c>
      <c r="S225" s="53">
        <f>IF(G225="事业部",LOOKUP(M225,基础设置!$T$2:$T$6,基础设置!$U$2:$U$6),IF(G225="总部",LOOKUP(M225,基础设置!$T$8:$T$13,基础设置!$V$8:$V$13),IF(G225="拓展部",LOOKUP(M225,基础设置!$T$8:$T$13,基础设置!$W$8:$W$13),5000)))</f>
        <v>4</v>
      </c>
    </row>
    <row r="226" spans="1:22" x14ac:dyDescent="0.15">
      <c r="A226" s="57">
        <v>225</v>
      </c>
      <c r="B226" s="7" t="s">
        <v>80</v>
      </c>
      <c r="C226" s="7" t="s">
        <v>35</v>
      </c>
      <c r="D226" s="7" t="s">
        <v>21</v>
      </c>
      <c r="E226" s="7" t="s">
        <v>324</v>
      </c>
      <c r="F226" s="7" t="s">
        <v>36</v>
      </c>
      <c r="G226" s="50" t="s">
        <v>9</v>
      </c>
      <c r="H226" s="8">
        <v>45829</v>
      </c>
      <c r="I226" s="60">
        <v>45869</v>
      </c>
      <c r="J226" s="51">
        <f t="shared" si="27"/>
        <v>0</v>
      </c>
      <c r="K226" s="51">
        <f t="shared" si="28"/>
        <v>0</v>
      </c>
      <c r="L226" s="51">
        <f t="shared" si="29"/>
        <v>10</v>
      </c>
      <c r="M226" s="52">
        <f t="shared" si="30"/>
        <v>31</v>
      </c>
      <c r="N226" s="51">
        <f t="shared" si="31"/>
        <v>0</v>
      </c>
      <c r="O226" s="51">
        <f t="shared" si="32"/>
        <v>0</v>
      </c>
      <c r="P226" s="51">
        <f t="shared" si="33"/>
        <v>0</v>
      </c>
      <c r="Q226" s="51">
        <f t="shared" si="34"/>
        <v>0</v>
      </c>
      <c r="R226" s="51">
        <f t="shared" si="35"/>
        <v>0</v>
      </c>
      <c r="S226" s="53">
        <f>IF(G226="事业部",LOOKUP(M226,基础设置!$T$2:$T$6,基础设置!$U$2:$U$6),IF(G226="总部",LOOKUP(M226,基础设置!$T$8:$T$13,基础设置!$V$8:$V$13),IF(G226="拓展部",LOOKUP(M226,基础设置!$T$8:$T$13,基础设置!$W$8:$W$13),5000)))</f>
        <v>4</v>
      </c>
      <c r="V226" s="54" t="s">
        <v>325</v>
      </c>
    </row>
    <row r="227" spans="1:22" x14ac:dyDescent="0.15">
      <c r="A227" s="57">
        <v>226</v>
      </c>
      <c r="B227" s="7" t="s">
        <v>81</v>
      </c>
      <c r="C227" s="7" t="s">
        <v>35</v>
      </c>
      <c r="D227" s="7" t="s">
        <v>21</v>
      </c>
      <c r="E227" s="7" t="s">
        <v>326</v>
      </c>
      <c r="F227" s="7" t="s">
        <v>36</v>
      </c>
      <c r="G227" s="50" t="s">
        <v>9</v>
      </c>
      <c r="H227" s="8">
        <v>45717</v>
      </c>
      <c r="I227" s="60">
        <v>45848</v>
      </c>
      <c r="J227" s="51">
        <f t="shared" si="27"/>
        <v>30</v>
      </c>
      <c r="K227" s="51">
        <f t="shared" si="28"/>
        <v>31</v>
      </c>
      <c r="L227" s="51">
        <f t="shared" si="29"/>
        <v>30</v>
      </c>
      <c r="M227" s="52">
        <f t="shared" si="30"/>
        <v>10</v>
      </c>
      <c r="N227" s="51">
        <f t="shared" si="31"/>
        <v>0</v>
      </c>
      <c r="O227" s="51">
        <f t="shared" si="32"/>
        <v>0</v>
      </c>
      <c r="P227" s="51">
        <f t="shared" si="33"/>
        <v>0</v>
      </c>
      <c r="Q227" s="51">
        <f t="shared" si="34"/>
        <v>0</v>
      </c>
      <c r="R227" s="51">
        <f t="shared" si="35"/>
        <v>0</v>
      </c>
      <c r="S227" s="53">
        <f>IF(G227="事业部",LOOKUP(M227,基础设置!$T$2:$T$6,基础设置!$U$2:$U$6),IF(G227="总部",LOOKUP(M227,基础设置!$T$8:$T$13,基础设置!$V$8:$V$13),IF(G227="拓展部",LOOKUP(M227,基础设置!$T$8:$T$13,基础设置!$W$8:$W$13),5000)))</f>
        <v>1</v>
      </c>
    </row>
    <row r="228" spans="1:22" x14ac:dyDescent="0.15">
      <c r="A228" s="57">
        <v>227</v>
      </c>
      <c r="B228" s="7" t="s">
        <v>81</v>
      </c>
      <c r="C228" s="7" t="s">
        <v>97</v>
      </c>
      <c r="D228" s="7" t="s">
        <v>21</v>
      </c>
      <c r="E228" s="7" t="s">
        <v>327</v>
      </c>
      <c r="F228" s="7" t="s">
        <v>96</v>
      </c>
      <c r="G228" s="50" t="s">
        <v>9</v>
      </c>
      <c r="H228" s="8">
        <v>45750</v>
      </c>
      <c r="I228" s="60"/>
      <c r="J228" s="51">
        <f t="shared" si="27"/>
        <v>28</v>
      </c>
      <c r="K228" s="51">
        <f t="shared" si="28"/>
        <v>31</v>
      </c>
      <c r="L228" s="51">
        <f t="shared" si="29"/>
        <v>30</v>
      </c>
      <c r="M228" s="52">
        <f t="shared" si="30"/>
        <v>31</v>
      </c>
      <c r="N228" s="51">
        <f t="shared" si="31"/>
        <v>31</v>
      </c>
      <c r="O228" s="51">
        <f t="shared" si="32"/>
        <v>30</v>
      </c>
      <c r="P228" s="51">
        <f t="shared" si="33"/>
        <v>31</v>
      </c>
      <c r="Q228" s="51">
        <f t="shared" si="34"/>
        <v>30</v>
      </c>
      <c r="R228" s="51">
        <f t="shared" si="35"/>
        <v>31</v>
      </c>
      <c r="S228" s="53">
        <f>IF(G228="事业部",LOOKUP(M228,基础设置!$T$2:$T$6,基础设置!$U$2:$U$6),IF(G228="总部",LOOKUP(M228,基础设置!$T$8:$T$13,基础设置!$V$8:$V$13),IF(G228="拓展部",LOOKUP(M228,基础设置!$T$8:$T$13,基础设置!$W$8:$W$13),5000)))</f>
        <v>4</v>
      </c>
    </row>
    <row r="229" spans="1:22" x14ac:dyDescent="0.15">
      <c r="A229" s="57">
        <v>228</v>
      </c>
      <c r="B229" s="7" t="s">
        <v>81</v>
      </c>
      <c r="C229" s="7" t="s">
        <v>35</v>
      </c>
      <c r="D229" s="7" t="s">
        <v>21</v>
      </c>
      <c r="E229" s="7" t="s">
        <v>328</v>
      </c>
      <c r="F229" s="7" t="s">
        <v>36</v>
      </c>
      <c r="G229" s="50" t="s">
        <v>9</v>
      </c>
      <c r="H229" s="8">
        <v>45728</v>
      </c>
      <c r="I229" s="60">
        <v>45852</v>
      </c>
      <c r="J229" s="51">
        <f t="shared" si="27"/>
        <v>30</v>
      </c>
      <c r="K229" s="51">
        <f t="shared" si="28"/>
        <v>31</v>
      </c>
      <c r="L229" s="51">
        <f t="shared" si="29"/>
        <v>30</v>
      </c>
      <c r="M229" s="52">
        <f t="shared" si="30"/>
        <v>14</v>
      </c>
      <c r="N229" s="51">
        <f t="shared" si="31"/>
        <v>0</v>
      </c>
      <c r="O229" s="51">
        <f t="shared" si="32"/>
        <v>0</v>
      </c>
      <c r="P229" s="51">
        <f t="shared" si="33"/>
        <v>0</v>
      </c>
      <c r="Q229" s="51">
        <f t="shared" si="34"/>
        <v>0</v>
      </c>
      <c r="R229" s="51">
        <f t="shared" si="35"/>
        <v>0</v>
      </c>
      <c r="S229" s="53">
        <f>IF(G229="事业部",LOOKUP(M229,基础设置!$T$2:$T$6,基础设置!$U$2:$U$6),IF(G229="总部",LOOKUP(M229,基础设置!$T$8:$T$13,基础设置!$V$8:$V$13),IF(G229="拓展部",LOOKUP(M229,基础设置!$T$8:$T$13,基础设置!$W$8:$W$13),5000)))</f>
        <v>1</v>
      </c>
    </row>
    <row r="230" spans="1:22" x14ac:dyDescent="0.15">
      <c r="A230" s="57">
        <v>229</v>
      </c>
      <c r="B230" s="7" t="s">
        <v>81</v>
      </c>
      <c r="C230" s="7" t="s">
        <v>35</v>
      </c>
      <c r="D230" s="7" t="s">
        <v>21</v>
      </c>
      <c r="E230" s="7" t="s">
        <v>329</v>
      </c>
      <c r="F230" s="7" t="s">
        <v>96</v>
      </c>
      <c r="G230" s="50" t="s">
        <v>9</v>
      </c>
      <c r="H230" s="8">
        <v>45726</v>
      </c>
      <c r="I230" s="60"/>
      <c r="J230" s="51">
        <f t="shared" si="27"/>
        <v>30</v>
      </c>
      <c r="K230" s="51">
        <f t="shared" si="28"/>
        <v>31</v>
      </c>
      <c r="L230" s="51">
        <f t="shared" si="29"/>
        <v>30</v>
      </c>
      <c r="M230" s="52">
        <f t="shared" si="30"/>
        <v>31</v>
      </c>
      <c r="N230" s="51">
        <f t="shared" si="31"/>
        <v>31</v>
      </c>
      <c r="O230" s="51">
        <f t="shared" si="32"/>
        <v>30</v>
      </c>
      <c r="P230" s="51">
        <f t="shared" si="33"/>
        <v>31</v>
      </c>
      <c r="Q230" s="51">
        <f t="shared" si="34"/>
        <v>30</v>
      </c>
      <c r="R230" s="51">
        <f t="shared" si="35"/>
        <v>31</v>
      </c>
      <c r="S230" s="53">
        <f>IF(G230="事业部",LOOKUP(M230,基础设置!$T$2:$T$6,基础设置!$U$2:$U$6),IF(G230="总部",LOOKUP(M230,基础设置!$T$8:$T$13,基础设置!$V$8:$V$13),IF(G230="拓展部",LOOKUP(M230,基础设置!$T$8:$T$13,基础设置!$W$8:$W$13),5000)))</f>
        <v>4</v>
      </c>
    </row>
    <row r="231" spans="1:22" x14ac:dyDescent="0.15">
      <c r="A231" s="57">
        <v>230</v>
      </c>
      <c r="B231" s="7" t="s">
        <v>81</v>
      </c>
      <c r="C231" s="7" t="s">
        <v>35</v>
      </c>
      <c r="D231" s="7" t="s">
        <v>21</v>
      </c>
      <c r="E231" s="7" t="s">
        <v>330</v>
      </c>
      <c r="F231" s="7" t="s">
        <v>96</v>
      </c>
      <c r="G231" s="50" t="s">
        <v>9</v>
      </c>
      <c r="H231" s="8">
        <v>45742</v>
      </c>
      <c r="I231" s="60"/>
      <c r="J231" s="51">
        <f t="shared" si="27"/>
        <v>30</v>
      </c>
      <c r="K231" s="51">
        <f t="shared" si="28"/>
        <v>31</v>
      </c>
      <c r="L231" s="51">
        <f t="shared" si="29"/>
        <v>30</v>
      </c>
      <c r="M231" s="52">
        <f t="shared" si="30"/>
        <v>31</v>
      </c>
      <c r="N231" s="51">
        <f t="shared" si="31"/>
        <v>31</v>
      </c>
      <c r="O231" s="51">
        <f t="shared" si="32"/>
        <v>30</v>
      </c>
      <c r="P231" s="51">
        <f t="shared" si="33"/>
        <v>31</v>
      </c>
      <c r="Q231" s="51">
        <f t="shared" si="34"/>
        <v>30</v>
      </c>
      <c r="R231" s="51">
        <f t="shared" si="35"/>
        <v>31</v>
      </c>
      <c r="S231" s="53">
        <f>IF(G231="事业部",LOOKUP(M231,基础设置!$T$2:$T$6,基础设置!$U$2:$U$6),IF(G231="总部",LOOKUP(M231,基础设置!$T$8:$T$13,基础设置!$V$8:$V$13),IF(G231="拓展部",LOOKUP(M231,基础设置!$T$8:$T$13,基础设置!$W$8:$W$13),5000)))</f>
        <v>4</v>
      </c>
    </row>
    <row r="232" spans="1:22" x14ac:dyDescent="0.15">
      <c r="A232" s="57">
        <v>231</v>
      </c>
      <c r="B232" s="7" t="s">
        <v>81</v>
      </c>
      <c r="C232" s="7" t="s">
        <v>35</v>
      </c>
      <c r="D232" s="7" t="s">
        <v>21</v>
      </c>
      <c r="E232" s="7" t="s">
        <v>331</v>
      </c>
      <c r="F232" s="7" t="s">
        <v>96</v>
      </c>
      <c r="G232" s="50" t="s">
        <v>9</v>
      </c>
      <c r="H232" s="8">
        <v>45752</v>
      </c>
      <c r="I232" s="60"/>
      <c r="J232" s="51">
        <f t="shared" si="27"/>
        <v>26</v>
      </c>
      <c r="K232" s="51">
        <f t="shared" si="28"/>
        <v>31</v>
      </c>
      <c r="L232" s="51">
        <f t="shared" si="29"/>
        <v>30</v>
      </c>
      <c r="M232" s="52">
        <f t="shared" si="30"/>
        <v>31</v>
      </c>
      <c r="N232" s="51">
        <f t="shared" si="31"/>
        <v>31</v>
      </c>
      <c r="O232" s="51">
        <f t="shared" si="32"/>
        <v>30</v>
      </c>
      <c r="P232" s="51">
        <f t="shared" si="33"/>
        <v>31</v>
      </c>
      <c r="Q232" s="51">
        <f t="shared" si="34"/>
        <v>30</v>
      </c>
      <c r="R232" s="51">
        <f t="shared" si="35"/>
        <v>31</v>
      </c>
      <c r="S232" s="53">
        <f>IF(G232="事业部",LOOKUP(M232,基础设置!$T$2:$T$6,基础设置!$U$2:$U$6),IF(G232="总部",LOOKUP(M232,基础设置!$T$8:$T$13,基础设置!$V$8:$V$13),IF(G232="拓展部",LOOKUP(M232,基础设置!$T$8:$T$13,基础设置!$W$8:$W$13),5000)))</f>
        <v>4</v>
      </c>
    </row>
    <row r="233" spans="1:22" x14ac:dyDescent="0.15">
      <c r="A233" s="57">
        <v>232</v>
      </c>
      <c r="B233" s="7" t="s">
        <v>82</v>
      </c>
      <c r="C233" s="7" t="s">
        <v>46</v>
      </c>
      <c r="D233" s="7" t="s">
        <v>30</v>
      </c>
      <c r="E233" s="7" t="s">
        <v>332</v>
      </c>
      <c r="F233" s="7" t="s">
        <v>96</v>
      </c>
      <c r="G233" s="50" t="s">
        <v>9</v>
      </c>
      <c r="H233" s="8">
        <v>45229</v>
      </c>
      <c r="I233" s="60"/>
      <c r="J233" s="51">
        <f t="shared" si="27"/>
        <v>30</v>
      </c>
      <c r="K233" s="51">
        <f t="shared" si="28"/>
        <v>31</v>
      </c>
      <c r="L233" s="51">
        <f t="shared" si="29"/>
        <v>30</v>
      </c>
      <c r="M233" s="52">
        <f t="shared" si="30"/>
        <v>31</v>
      </c>
      <c r="N233" s="51">
        <f t="shared" si="31"/>
        <v>31</v>
      </c>
      <c r="O233" s="51">
        <f t="shared" si="32"/>
        <v>30</v>
      </c>
      <c r="P233" s="51">
        <f t="shared" si="33"/>
        <v>31</v>
      </c>
      <c r="Q233" s="51">
        <f t="shared" si="34"/>
        <v>30</v>
      </c>
      <c r="R233" s="51">
        <f t="shared" si="35"/>
        <v>31</v>
      </c>
      <c r="S233" s="53">
        <f>IF(G233="事业部",LOOKUP(M233,基础设置!$T$2:$T$6,基础设置!$U$2:$U$6),IF(G233="总部",LOOKUP(M233,基础设置!$T$8:$T$13,基础设置!$V$8:$V$13),IF(G233="拓展部",LOOKUP(M233,基础设置!$T$8:$T$13,基础设置!$W$8:$W$13),5000)))</f>
        <v>4</v>
      </c>
    </row>
    <row r="234" spans="1:22" x14ac:dyDescent="0.15">
      <c r="A234" s="57">
        <v>233</v>
      </c>
      <c r="B234" s="7" t="s">
        <v>82</v>
      </c>
      <c r="C234" s="7" t="s">
        <v>35</v>
      </c>
      <c r="D234" s="7" t="s">
        <v>21</v>
      </c>
      <c r="E234" s="7" t="s">
        <v>333</v>
      </c>
      <c r="F234" s="7" t="s">
        <v>96</v>
      </c>
      <c r="G234" s="50" t="s">
        <v>9</v>
      </c>
      <c r="H234" s="8">
        <v>45355</v>
      </c>
      <c r="I234" s="60"/>
      <c r="J234" s="51">
        <f t="shared" si="27"/>
        <v>30</v>
      </c>
      <c r="K234" s="51">
        <f t="shared" si="28"/>
        <v>31</v>
      </c>
      <c r="L234" s="51">
        <f t="shared" si="29"/>
        <v>30</v>
      </c>
      <c r="M234" s="52">
        <f t="shared" si="30"/>
        <v>31</v>
      </c>
      <c r="N234" s="51">
        <f t="shared" si="31"/>
        <v>31</v>
      </c>
      <c r="O234" s="51">
        <f t="shared" si="32"/>
        <v>30</v>
      </c>
      <c r="P234" s="51">
        <f t="shared" si="33"/>
        <v>31</v>
      </c>
      <c r="Q234" s="51">
        <f t="shared" si="34"/>
        <v>30</v>
      </c>
      <c r="R234" s="51">
        <f t="shared" si="35"/>
        <v>31</v>
      </c>
      <c r="S234" s="53">
        <f>IF(G234="事业部",LOOKUP(M234,基础设置!$T$2:$T$6,基础设置!$U$2:$U$6),IF(G234="总部",LOOKUP(M234,基础设置!$T$8:$T$13,基础设置!$V$8:$V$13),IF(G234="拓展部",LOOKUP(M234,基础设置!$T$8:$T$13,基础设置!$W$8:$W$13),5000)))</f>
        <v>4</v>
      </c>
    </row>
    <row r="235" spans="1:22" x14ac:dyDescent="0.15">
      <c r="A235" s="57">
        <v>234</v>
      </c>
      <c r="B235" s="7" t="s">
        <v>82</v>
      </c>
      <c r="C235" s="7" t="s">
        <v>35</v>
      </c>
      <c r="D235" s="7" t="s">
        <v>21</v>
      </c>
      <c r="E235" s="7" t="s">
        <v>334</v>
      </c>
      <c r="F235" s="7" t="s">
        <v>96</v>
      </c>
      <c r="G235" s="50" t="s">
        <v>9</v>
      </c>
      <c r="H235" s="8">
        <v>45505</v>
      </c>
      <c r="I235" s="60"/>
      <c r="J235" s="51">
        <f t="shared" si="27"/>
        <v>30</v>
      </c>
      <c r="K235" s="51">
        <f t="shared" si="28"/>
        <v>31</v>
      </c>
      <c r="L235" s="51">
        <f t="shared" si="29"/>
        <v>30</v>
      </c>
      <c r="M235" s="52">
        <f t="shared" si="30"/>
        <v>31</v>
      </c>
      <c r="N235" s="51">
        <f t="shared" si="31"/>
        <v>31</v>
      </c>
      <c r="O235" s="51">
        <f t="shared" si="32"/>
        <v>30</v>
      </c>
      <c r="P235" s="51">
        <f t="shared" si="33"/>
        <v>31</v>
      </c>
      <c r="Q235" s="51">
        <f t="shared" si="34"/>
        <v>30</v>
      </c>
      <c r="R235" s="51">
        <f t="shared" si="35"/>
        <v>31</v>
      </c>
      <c r="S235" s="53">
        <f>IF(G235="事业部",LOOKUP(M235,基础设置!$T$2:$T$6,基础设置!$U$2:$U$6),IF(G235="总部",LOOKUP(M235,基础设置!$T$8:$T$13,基础设置!$V$8:$V$13),IF(G235="拓展部",LOOKUP(M235,基础设置!$T$8:$T$13,基础设置!$W$8:$W$13),5000)))</f>
        <v>4</v>
      </c>
    </row>
    <row r="236" spans="1:22" x14ac:dyDescent="0.15">
      <c r="A236" s="57">
        <v>235</v>
      </c>
      <c r="B236" s="7" t="s">
        <v>82</v>
      </c>
      <c r="C236" s="7" t="s">
        <v>35</v>
      </c>
      <c r="D236" s="7" t="s">
        <v>21</v>
      </c>
      <c r="E236" s="7" t="s">
        <v>335</v>
      </c>
      <c r="F236" s="7" t="s">
        <v>96</v>
      </c>
      <c r="G236" s="50" t="s">
        <v>9</v>
      </c>
      <c r="H236" s="8">
        <v>45761</v>
      </c>
      <c r="I236" s="60"/>
      <c r="J236" s="51">
        <f t="shared" si="27"/>
        <v>17</v>
      </c>
      <c r="K236" s="51">
        <f t="shared" si="28"/>
        <v>31</v>
      </c>
      <c r="L236" s="51">
        <f t="shared" si="29"/>
        <v>30</v>
      </c>
      <c r="M236" s="52">
        <f t="shared" si="30"/>
        <v>31</v>
      </c>
      <c r="N236" s="51">
        <f t="shared" si="31"/>
        <v>31</v>
      </c>
      <c r="O236" s="51">
        <f t="shared" si="32"/>
        <v>30</v>
      </c>
      <c r="P236" s="51">
        <f t="shared" si="33"/>
        <v>31</v>
      </c>
      <c r="Q236" s="51">
        <f t="shared" si="34"/>
        <v>30</v>
      </c>
      <c r="R236" s="51">
        <f t="shared" si="35"/>
        <v>31</v>
      </c>
      <c r="S236" s="53">
        <f>IF(G236="事业部",LOOKUP(M236,基础设置!$T$2:$T$6,基础设置!$U$2:$U$6),IF(G236="总部",LOOKUP(M236,基础设置!$T$8:$T$13,基础设置!$V$8:$V$13),IF(G236="拓展部",LOOKUP(M236,基础设置!$T$8:$T$13,基础设置!$W$8:$W$13),5000)))</f>
        <v>4</v>
      </c>
      <c r="T236" s="53">
        <v>5000</v>
      </c>
    </row>
    <row r="237" spans="1:22" x14ac:dyDescent="0.15">
      <c r="A237" s="57">
        <v>236</v>
      </c>
      <c r="B237" s="7" t="s">
        <v>82</v>
      </c>
      <c r="C237" s="7" t="s">
        <v>35</v>
      </c>
      <c r="D237" s="7" t="s">
        <v>21</v>
      </c>
      <c r="E237" s="7" t="s">
        <v>336</v>
      </c>
      <c r="F237" s="7" t="s">
        <v>96</v>
      </c>
      <c r="G237" s="50" t="s">
        <v>9</v>
      </c>
      <c r="H237" s="8">
        <v>45756</v>
      </c>
      <c r="I237" s="60"/>
      <c r="J237" s="51">
        <f t="shared" si="27"/>
        <v>22</v>
      </c>
      <c r="K237" s="51">
        <f t="shared" si="28"/>
        <v>31</v>
      </c>
      <c r="L237" s="51">
        <f t="shared" si="29"/>
        <v>30</v>
      </c>
      <c r="M237" s="52">
        <f t="shared" si="30"/>
        <v>31</v>
      </c>
      <c r="N237" s="51">
        <f t="shared" si="31"/>
        <v>31</v>
      </c>
      <c r="O237" s="51">
        <f t="shared" si="32"/>
        <v>30</v>
      </c>
      <c r="P237" s="51">
        <f t="shared" si="33"/>
        <v>31</v>
      </c>
      <c r="Q237" s="51">
        <f t="shared" si="34"/>
        <v>30</v>
      </c>
      <c r="R237" s="51">
        <f t="shared" si="35"/>
        <v>31</v>
      </c>
      <c r="S237" s="53">
        <f>IF(G237="事业部",LOOKUP(M237,基础设置!$T$2:$T$6,基础设置!$U$2:$U$6),IF(G237="总部",LOOKUP(M237,基础设置!$T$8:$T$13,基础设置!$V$8:$V$13),IF(G237="拓展部",LOOKUP(M237,基础设置!$T$8:$T$13,基础设置!$W$8:$W$13),5000)))</f>
        <v>4</v>
      </c>
      <c r="T237" s="53">
        <v>4000</v>
      </c>
    </row>
    <row r="238" spans="1:22" x14ac:dyDescent="0.15">
      <c r="A238" s="57">
        <v>237</v>
      </c>
      <c r="B238" s="7" t="s">
        <v>82</v>
      </c>
      <c r="C238" s="7" t="s">
        <v>35</v>
      </c>
      <c r="D238" s="7" t="s">
        <v>21</v>
      </c>
      <c r="E238" s="7" t="s">
        <v>337</v>
      </c>
      <c r="F238" s="7" t="s">
        <v>96</v>
      </c>
      <c r="G238" s="50" t="s">
        <v>9</v>
      </c>
      <c r="H238" s="8">
        <v>45762</v>
      </c>
      <c r="I238" s="60"/>
      <c r="J238" s="51">
        <f t="shared" si="27"/>
        <v>16</v>
      </c>
      <c r="K238" s="51">
        <f t="shared" si="28"/>
        <v>31</v>
      </c>
      <c r="L238" s="51">
        <f t="shared" si="29"/>
        <v>30</v>
      </c>
      <c r="M238" s="52">
        <f t="shared" si="30"/>
        <v>31</v>
      </c>
      <c r="N238" s="51">
        <f t="shared" si="31"/>
        <v>31</v>
      </c>
      <c r="O238" s="51">
        <f t="shared" si="32"/>
        <v>30</v>
      </c>
      <c r="P238" s="51">
        <f t="shared" si="33"/>
        <v>31</v>
      </c>
      <c r="Q238" s="51">
        <f t="shared" si="34"/>
        <v>30</v>
      </c>
      <c r="R238" s="51">
        <f t="shared" si="35"/>
        <v>31</v>
      </c>
      <c r="S238" s="53">
        <f>IF(G238="事业部",LOOKUP(M238,基础设置!$T$2:$T$6,基础设置!$U$2:$U$6),IF(G238="总部",LOOKUP(M238,基础设置!$T$8:$T$13,基础设置!$V$8:$V$13),IF(G238="拓展部",LOOKUP(M238,基础设置!$T$8:$T$13,基础设置!$W$8:$W$13),5000)))</f>
        <v>4</v>
      </c>
      <c r="T238" s="53">
        <v>4000</v>
      </c>
    </row>
    <row r="239" spans="1:22" x14ac:dyDescent="0.15">
      <c r="A239" s="57">
        <v>238</v>
      </c>
      <c r="B239" s="7" t="s">
        <v>82</v>
      </c>
      <c r="C239" s="7" t="s">
        <v>35</v>
      </c>
      <c r="D239" s="7" t="s">
        <v>21</v>
      </c>
      <c r="E239" s="7" t="s">
        <v>338</v>
      </c>
      <c r="F239" s="7" t="s">
        <v>96</v>
      </c>
      <c r="G239" s="50" t="s">
        <v>9</v>
      </c>
      <c r="H239" s="8">
        <v>45788</v>
      </c>
      <c r="I239" s="60"/>
      <c r="J239" s="51">
        <f t="shared" si="27"/>
        <v>0</v>
      </c>
      <c r="K239" s="51">
        <f t="shared" si="28"/>
        <v>21</v>
      </c>
      <c r="L239" s="51">
        <f t="shared" si="29"/>
        <v>30</v>
      </c>
      <c r="M239" s="52">
        <f t="shared" si="30"/>
        <v>31</v>
      </c>
      <c r="N239" s="51">
        <f t="shared" si="31"/>
        <v>31</v>
      </c>
      <c r="O239" s="51">
        <f t="shared" si="32"/>
        <v>30</v>
      </c>
      <c r="P239" s="51">
        <f t="shared" si="33"/>
        <v>31</v>
      </c>
      <c r="Q239" s="51">
        <f t="shared" si="34"/>
        <v>30</v>
      </c>
      <c r="R239" s="51">
        <f t="shared" si="35"/>
        <v>31</v>
      </c>
      <c r="S239" s="53">
        <f>IF(G239="事业部",LOOKUP(M239,基础设置!$T$2:$T$6,基础设置!$U$2:$U$6),IF(G239="总部",LOOKUP(M239,基础设置!$T$8:$T$13,基础设置!$V$8:$V$13),IF(G239="拓展部",LOOKUP(M239,基础设置!$T$8:$T$13,基础设置!$W$8:$W$13),5000)))</f>
        <v>4</v>
      </c>
      <c r="T239" s="53">
        <v>5500</v>
      </c>
    </row>
    <row r="240" spans="1:22" x14ac:dyDescent="0.15">
      <c r="A240" s="57">
        <v>239</v>
      </c>
      <c r="B240" s="7" t="s">
        <v>82</v>
      </c>
      <c r="C240" s="7" t="s">
        <v>35</v>
      </c>
      <c r="D240" s="7" t="s">
        <v>21</v>
      </c>
      <c r="E240" s="7" t="s">
        <v>339</v>
      </c>
      <c r="F240" s="7" t="s">
        <v>96</v>
      </c>
      <c r="G240" s="50" t="s">
        <v>9</v>
      </c>
      <c r="H240" s="8">
        <v>45786</v>
      </c>
      <c r="I240" s="60"/>
      <c r="J240" s="51">
        <f t="shared" si="27"/>
        <v>0</v>
      </c>
      <c r="K240" s="51">
        <f t="shared" si="28"/>
        <v>23</v>
      </c>
      <c r="L240" s="51">
        <f t="shared" si="29"/>
        <v>30</v>
      </c>
      <c r="M240" s="52">
        <f t="shared" si="30"/>
        <v>31</v>
      </c>
      <c r="N240" s="51">
        <f t="shared" si="31"/>
        <v>31</v>
      </c>
      <c r="O240" s="51">
        <f t="shared" si="32"/>
        <v>30</v>
      </c>
      <c r="P240" s="51">
        <f t="shared" si="33"/>
        <v>31</v>
      </c>
      <c r="Q240" s="51">
        <f t="shared" si="34"/>
        <v>30</v>
      </c>
      <c r="R240" s="51">
        <f t="shared" si="35"/>
        <v>31</v>
      </c>
      <c r="S240" s="53">
        <f>IF(G240="事业部",LOOKUP(M240,基础设置!$T$2:$T$6,基础设置!$U$2:$U$6),IF(G240="总部",LOOKUP(M240,基础设置!$T$8:$T$13,基础设置!$V$8:$V$13),IF(G240="拓展部",LOOKUP(M240,基础设置!$T$8:$T$13,基础设置!$W$8:$W$13),5000)))</f>
        <v>4</v>
      </c>
      <c r="T240" s="53">
        <v>6000</v>
      </c>
    </row>
    <row r="241" spans="1:20" x14ac:dyDescent="0.15">
      <c r="A241" s="57">
        <v>240</v>
      </c>
      <c r="B241" s="7" t="s">
        <v>82</v>
      </c>
      <c r="C241" s="7" t="s">
        <v>35</v>
      </c>
      <c r="D241" s="7" t="s">
        <v>21</v>
      </c>
      <c r="E241" s="7" t="s">
        <v>340</v>
      </c>
      <c r="F241" s="7" t="s">
        <v>96</v>
      </c>
      <c r="G241" s="50" t="s">
        <v>9</v>
      </c>
      <c r="H241" s="8">
        <v>45788</v>
      </c>
      <c r="I241" s="60"/>
      <c r="J241" s="51">
        <f t="shared" si="27"/>
        <v>0</v>
      </c>
      <c r="K241" s="51">
        <f t="shared" si="28"/>
        <v>21</v>
      </c>
      <c r="L241" s="51">
        <f t="shared" si="29"/>
        <v>30</v>
      </c>
      <c r="M241" s="52">
        <f t="shared" si="30"/>
        <v>31</v>
      </c>
      <c r="N241" s="51">
        <f t="shared" si="31"/>
        <v>31</v>
      </c>
      <c r="O241" s="51">
        <f t="shared" si="32"/>
        <v>30</v>
      </c>
      <c r="P241" s="51">
        <f t="shared" si="33"/>
        <v>31</v>
      </c>
      <c r="Q241" s="51">
        <f t="shared" si="34"/>
        <v>30</v>
      </c>
      <c r="R241" s="51">
        <f t="shared" si="35"/>
        <v>31</v>
      </c>
      <c r="S241" s="53">
        <f>IF(G241="事业部",LOOKUP(M241,基础设置!$T$2:$T$6,基础设置!$U$2:$U$6),IF(G241="总部",LOOKUP(M241,基础设置!$T$8:$T$13,基础设置!$V$8:$V$13),IF(G241="拓展部",LOOKUP(M241,基础设置!$T$8:$T$13,基础设置!$W$8:$W$13),5000)))</f>
        <v>4</v>
      </c>
      <c r="T241" s="53">
        <v>5000</v>
      </c>
    </row>
    <row r="242" spans="1:20" x14ac:dyDescent="0.15">
      <c r="A242" s="57">
        <v>241</v>
      </c>
      <c r="B242" s="7" t="s">
        <v>82</v>
      </c>
      <c r="C242" s="7" t="s">
        <v>97</v>
      </c>
      <c r="D242" s="7" t="s">
        <v>21</v>
      </c>
      <c r="E242" s="7" t="s">
        <v>341</v>
      </c>
      <c r="F242" s="7" t="s">
        <v>96</v>
      </c>
      <c r="G242" s="50" t="s">
        <v>9</v>
      </c>
      <c r="H242" s="8">
        <v>45812</v>
      </c>
      <c r="I242" s="60"/>
      <c r="J242" s="51">
        <f t="shared" si="27"/>
        <v>0</v>
      </c>
      <c r="K242" s="51">
        <f t="shared" si="28"/>
        <v>0</v>
      </c>
      <c r="L242" s="51">
        <f t="shared" si="29"/>
        <v>27</v>
      </c>
      <c r="M242" s="52">
        <f t="shared" si="30"/>
        <v>31</v>
      </c>
      <c r="N242" s="51">
        <f t="shared" si="31"/>
        <v>31</v>
      </c>
      <c r="O242" s="51">
        <f t="shared" si="32"/>
        <v>30</v>
      </c>
      <c r="P242" s="51">
        <f t="shared" si="33"/>
        <v>31</v>
      </c>
      <c r="Q242" s="51">
        <f t="shared" si="34"/>
        <v>30</v>
      </c>
      <c r="R242" s="51">
        <f t="shared" si="35"/>
        <v>31</v>
      </c>
      <c r="S242" s="53">
        <f>IF(G242="事业部",LOOKUP(M242,基础设置!$T$2:$T$6,基础设置!$U$2:$U$6),IF(G242="总部",LOOKUP(M242,基础设置!$T$8:$T$13,基础设置!$V$8:$V$13),IF(G242="拓展部",LOOKUP(M242,基础设置!$T$8:$T$13,基础设置!$W$8:$W$13),5000)))</f>
        <v>4</v>
      </c>
      <c r="T242" s="53">
        <v>3500</v>
      </c>
    </row>
    <row r="243" spans="1:20" x14ac:dyDescent="0.15">
      <c r="A243" s="57">
        <v>242</v>
      </c>
      <c r="B243" s="7" t="s">
        <v>18</v>
      </c>
      <c r="C243" s="7" t="s">
        <v>342</v>
      </c>
      <c r="D243" s="7" t="s">
        <v>30</v>
      </c>
      <c r="E243" s="7" t="s">
        <v>343</v>
      </c>
      <c r="F243" s="7" t="s">
        <v>96</v>
      </c>
      <c r="G243" s="7" t="s">
        <v>18</v>
      </c>
      <c r="H243" s="8">
        <v>43444</v>
      </c>
      <c r="I243" s="60"/>
      <c r="J243" s="51">
        <f t="shared" si="27"/>
        <v>30</v>
      </c>
      <c r="K243" s="51">
        <f t="shared" si="28"/>
        <v>31</v>
      </c>
      <c r="L243" s="51">
        <f t="shared" si="29"/>
        <v>30</v>
      </c>
      <c r="M243" s="52">
        <f t="shared" si="30"/>
        <v>31</v>
      </c>
      <c r="N243" s="51">
        <f t="shared" si="31"/>
        <v>31</v>
      </c>
      <c r="O243" s="51">
        <f t="shared" si="32"/>
        <v>30</v>
      </c>
      <c r="P243" s="51">
        <f t="shared" si="33"/>
        <v>31</v>
      </c>
      <c r="Q243" s="51">
        <f t="shared" si="34"/>
        <v>30</v>
      </c>
      <c r="R243" s="51">
        <f t="shared" si="35"/>
        <v>31</v>
      </c>
      <c r="S243" s="53">
        <f>IF(G243="事业部",LOOKUP(M243,基础设置!$T$2:$T$6,基础设置!$U$2:$U$6),IF(G243="总部",LOOKUP(M243,基础设置!$T$8:$T$13,基础设置!$V$8:$V$13),IF(G243="拓展部",LOOKUP(M243,基础设置!$T$8:$T$13,基础设置!$W$8:$W$13),5000)))</f>
        <v>5</v>
      </c>
    </row>
    <row r="244" spans="1:20" x14ac:dyDescent="0.15">
      <c r="A244" s="57">
        <v>243</v>
      </c>
      <c r="B244" s="7" t="s">
        <v>18</v>
      </c>
      <c r="C244" s="7" t="s">
        <v>344</v>
      </c>
      <c r="D244" s="7" t="s">
        <v>30</v>
      </c>
      <c r="E244" s="7" t="s">
        <v>345</v>
      </c>
      <c r="F244" s="7" t="s">
        <v>96</v>
      </c>
      <c r="G244" s="7" t="s">
        <v>18</v>
      </c>
      <c r="H244" s="8">
        <v>44115</v>
      </c>
      <c r="I244" s="60"/>
      <c r="J244" s="51">
        <f t="shared" si="27"/>
        <v>30</v>
      </c>
      <c r="K244" s="51">
        <f t="shared" si="28"/>
        <v>31</v>
      </c>
      <c r="L244" s="51">
        <f t="shared" si="29"/>
        <v>30</v>
      </c>
      <c r="M244" s="52">
        <f t="shared" si="30"/>
        <v>31</v>
      </c>
      <c r="N244" s="51">
        <f t="shared" si="31"/>
        <v>31</v>
      </c>
      <c r="O244" s="51">
        <f t="shared" si="32"/>
        <v>30</v>
      </c>
      <c r="P244" s="51">
        <f t="shared" si="33"/>
        <v>31</v>
      </c>
      <c r="Q244" s="51">
        <f t="shared" si="34"/>
        <v>30</v>
      </c>
      <c r="R244" s="51">
        <f t="shared" si="35"/>
        <v>31</v>
      </c>
      <c r="S244" s="53">
        <f>IF(G244="事业部",LOOKUP(M244,基础设置!$T$2:$T$6,基础设置!$U$2:$U$6),IF(G244="总部",LOOKUP(M244,基础设置!$T$8:$T$13,基础设置!$V$8:$V$13),IF(G244="拓展部",LOOKUP(M244,基础设置!$T$8:$T$13,基础设置!$W$8:$W$13),5000)))</f>
        <v>5</v>
      </c>
    </row>
    <row r="245" spans="1:20" x14ac:dyDescent="0.15">
      <c r="A245" s="57">
        <v>244</v>
      </c>
      <c r="B245" s="7" t="s">
        <v>18</v>
      </c>
      <c r="C245" s="7" t="s">
        <v>342</v>
      </c>
      <c r="D245" s="7" t="s">
        <v>30</v>
      </c>
      <c r="E245" s="7" t="s">
        <v>346</v>
      </c>
      <c r="F245" s="7" t="s">
        <v>96</v>
      </c>
      <c r="G245" s="7" t="s">
        <v>18</v>
      </c>
      <c r="H245" s="8">
        <v>43929</v>
      </c>
      <c r="I245" s="60"/>
      <c r="J245" s="51">
        <f t="shared" si="27"/>
        <v>30</v>
      </c>
      <c r="K245" s="51">
        <f t="shared" si="28"/>
        <v>31</v>
      </c>
      <c r="L245" s="51">
        <f t="shared" si="29"/>
        <v>30</v>
      </c>
      <c r="M245" s="52">
        <f t="shared" si="30"/>
        <v>31</v>
      </c>
      <c r="N245" s="51">
        <f t="shared" si="31"/>
        <v>31</v>
      </c>
      <c r="O245" s="51">
        <f t="shared" si="32"/>
        <v>30</v>
      </c>
      <c r="P245" s="51">
        <f t="shared" si="33"/>
        <v>31</v>
      </c>
      <c r="Q245" s="51">
        <f t="shared" si="34"/>
        <v>30</v>
      </c>
      <c r="R245" s="51">
        <f t="shared" si="35"/>
        <v>31</v>
      </c>
      <c r="S245" s="53">
        <f>IF(G245="事业部",LOOKUP(M245,基础设置!$T$2:$T$6,基础设置!$U$2:$U$6),IF(G245="总部",LOOKUP(M245,基础设置!$T$8:$T$13,基础设置!$V$8:$V$13),IF(G245="拓展部",LOOKUP(M245,基础设置!$T$8:$T$13,基础设置!$W$8:$W$13),5000)))</f>
        <v>5</v>
      </c>
    </row>
    <row r="246" spans="1:20" x14ac:dyDescent="0.15">
      <c r="A246" s="57">
        <v>245</v>
      </c>
      <c r="B246" s="7" t="s">
        <v>18</v>
      </c>
      <c r="C246" s="7" t="s">
        <v>344</v>
      </c>
      <c r="D246" s="7" t="s">
        <v>30</v>
      </c>
      <c r="E246" s="7" t="s">
        <v>347</v>
      </c>
      <c r="F246" s="7" t="s">
        <v>96</v>
      </c>
      <c r="G246" s="7" t="s">
        <v>18</v>
      </c>
      <c r="H246" s="8">
        <v>45344</v>
      </c>
      <c r="I246" s="60"/>
      <c r="J246" s="51">
        <f t="shared" si="27"/>
        <v>30</v>
      </c>
      <c r="K246" s="51">
        <f t="shared" si="28"/>
        <v>31</v>
      </c>
      <c r="L246" s="51">
        <f t="shared" si="29"/>
        <v>30</v>
      </c>
      <c r="M246" s="52">
        <f t="shared" si="30"/>
        <v>31</v>
      </c>
      <c r="N246" s="51">
        <f t="shared" si="31"/>
        <v>31</v>
      </c>
      <c r="O246" s="51">
        <f t="shared" si="32"/>
        <v>30</v>
      </c>
      <c r="P246" s="51">
        <f t="shared" si="33"/>
        <v>31</v>
      </c>
      <c r="Q246" s="51">
        <f t="shared" si="34"/>
        <v>30</v>
      </c>
      <c r="R246" s="51">
        <f t="shared" si="35"/>
        <v>31</v>
      </c>
      <c r="S246" s="53">
        <f>IF(G246="事业部",LOOKUP(M246,基础设置!$T$2:$T$6,基础设置!$U$2:$U$6),IF(G246="总部",LOOKUP(M246,基础设置!$T$8:$T$13,基础设置!$V$8:$V$13),IF(G246="拓展部",LOOKUP(M246,基础设置!$T$8:$T$13,基础设置!$W$8:$W$13),5000)))</f>
        <v>5</v>
      </c>
    </row>
    <row r="247" spans="1:20" x14ac:dyDescent="0.15">
      <c r="A247" s="57">
        <v>246</v>
      </c>
      <c r="B247" s="7" t="s">
        <v>18</v>
      </c>
      <c r="C247" s="7" t="s">
        <v>348</v>
      </c>
      <c r="D247" s="7" t="s">
        <v>30</v>
      </c>
      <c r="E247" s="7" t="s">
        <v>349</v>
      </c>
      <c r="F247" s="7" t="s">
        <v>96</v>
      </c>
      <c r="G247" s="7" t="s">
        <v>18</v>
      </c>
      <c r="H247" s="8">
        <v>44566</v>
      </c>
      <c r="I247" s="60"/>
      <c r="J247" s="51">
        <f t="shared" si="27"/>
        <v>30</v>
      </c>
      <c r="K247" s="51">
        <f t="shared" si="28"/>
        <v>31</v>
      </c>
      <c r="L247" s="51">
        <f t="shared" si="29"/>
        <v>30</v>
      </c>
      <c r="M247" s="52">
        <f t="shared" si="30"/>
        <v>31</v>
      </c>
      <c r="N247" s="51">
        <f t="shared" si="31"/>
        <v>31</v>
      </c>
      <c r="O247" s="51">
        <f t="shared" si="32"/>
        <v>30</v>
      </c>
      <c r="P247" s="51">
        <f t="shared" si="33"/>
        <v>31</v>
      </c>
      <c r="Q247" s="51">
        <f t="shared" si="34"/>
        <v>30</v>
      </c>
      <c r="R247" s="51">
        <f t="shared" si="35"/>
        <v>31</v>
      </c>
      <c r="S247" s="53">
        <f>IF(G247="事业部",LOOKUP(M247,基础设置!$T$2:$T$6,基础设置!$U$2:$U$6),IF(G247="总部",LOOKUP(M247,基础设置!$T$8:$T$13,基础设置!$V$8:$V$13),IF(G247="拓展部",LOOKUP(M247,基础设置!$T$8:$T$13,基础设置!$W$8:$W$13),5000)))</f>
        <v>5</v>
      </c>
    </row>
    <row r="248" spans="1:20" x14ac:dyDescent="0.15">
      <c r="A248" s="57">
        <v>247</v>
      </c>
      <c r="B248" s="7" t="s">
        <v>18</v>
      </c>
      <c r="C248" s="7" t="s">
        <v>19</v>
      </c>
      <c r="D248" s="7" t="s">
        <v>21</v>
      </c>
      <c r="E248" s="7" t="s">
        <v>350</v>
      </c>
      <c r="F248" s="7" t="s">
        <v>96</v>
      </c>
      <c r="G248" s="57" t="s">
        <v>19</v>
      </c>
      <c r="H248" s="8">
        <v>45076</v>
      </c>
      <c r="I248" s="60"/>
      <c r="J248" s="51">
        <f t="shared" si="27"/>
        <v>30</v>
      </c>
      <c r="K248" s="51">
        <f t="shared" si="28"/>
        <v>31</v>
      </c>
      <c r="L248" s="51">
        <f t="shared" si="29"/>
        <v>30</v>
      </c>
      <c r="M248" s="52">
        <f t="shared" si="30"/>
        <v>31</v>
      </c>
      <c r="N248" s="51">
        <f t="shared" si="31"/>
        <v>31</v>
      </c>
      <c r="O248" s="51">
        <f t="shared" si="32"/>
        <v>30</v>
      </c>
      <c r="P248" s="51">
        <f t="shared" si="33"/>
        <v>31</v>
      </c>
      <c r="Q248" s="51">
        <f t="shared" si="34"/>
        <v>30</v>
      </c>
      <c r="R248" s="51">
        <f t="shared" si="35"/>
        <v>31</v>
      </c>
      <c r="S248" s="53">
        <f>IF(G248="事业部",LOOKUP(M248,基础设置!$T$2:$T$6,基础设置!$U$2:$U$6),IF(G248="总部",LOOKUP(M248,基础设置!$T$8:$T$13,基础设置!$V$8:$V$13),IF(G248="拓展部",LOOKUP(M248,基础设置!$T$8:$T$13,基础设置!$W$8:$W$13),5000)))</f>
        <v>6</v>
      </c>
    </row>
    <row r="249" spans="1:20" x14ac:dyDescent="0.15">
      <c r="A249" s="57">
        <v>248</v>
      </c>
      <c r="B249" s="7" t="s">
        <v>18</v>
      </c>
      <c r="C249" s="7" t="s">
        <v>19</v>
      </c>
      <c r="D249" s="7" t="s">
        <v>21</v>
      </c>
      <c r="E249" s="7" t="s">
        <v>351</v>
      </c>
      <c r="F249" s="7" t="s">
        <v>96</v>
      </c>
      <c r="G249" s="57" t="s">
        <v>19</v>
      </c>
      <c r="H249" s="8">
        <v>45627</v>
      </c>
      <c r="I249" s="60"/>
      <c r="J249" s="51">
        <f t="shared" si="27"/>
        <v>30</v>
      </c>
      <c r="K249" s="51">
        <f t="shared" si="28"/>
        <v>31</v>
      </c>
      <c r="L249" s="51">
        <f t="shared" si="29"/>
        <v>30</v>
      </c>
      <c r="M249" s="52">
        <f t="shared" si="30"/>
        <v>31</v>
      </c>
      <c r="N249" s="51">
        <f t="shared" si="31"/>
        <v>31</v>
      </c>
      <c r="O249" s="51">
        <f t="shared" si="32"/>
        <v>30</v>
      </c>
      <c r="P249" s="51">
        <f t="shared" si="33"/>
        <v>31</v>
      </c>
      <c r="Q249" s="51">
        <f t="shared" si="34"/>
        <v>30</v>
      </c>
      <c r="R249" s="51">
        <f t="shared" si="35"/>
        <v>31</v>
      </c>
      <c r="S249" s="53">
        <f>IF(G249="事业部",LOOKUP(M249,基础设置!$T$2:$T$6,基础设置!$U$2:$U$6),IF(G249="总部",LOOKUP(M249,基础设置!$T$8:$T$13,基础设置!$V$8:$V$13),IF(G249="拓展部",LOOKUP(M249,基础设置!$T$8:$T$13,基础设置!$W$8:$W$13),5000)))</f>
        <v>6</v>
      </c>
    </row>
    <row r="250" spans="1:20" x14ac:dyDescent="0.15">
      <c r="A250" s="57">
        <v>249</v>
      </c>
      <c r="B250" s="7" t="s">
        <v>18</v>
      </c>
      <c r="C250" s="7" t="s">
        <v>19</v>
      </c>
      <c r="D250" s="7" t="s">
        <v>21</v>
      </c>
      <c r="E250" s="7" t="s">
        <v>352</v>
      </c>
      <c r="F250" s="7" t="s">
        <v>96</v>
      </c>
      <c r="G250" s="57" t="s">
        <v>19</v>
      </c>
      <c r="H250" s="8">
        <v>45714</v>
      </c>
      <c r="I250" s="60"/>
      <c r="J250" s="51">
        <f t="shared" si="27"/>
        <v>30</v>
      </c>
      <c r="K250" s="51">
        <f t="shared" si="28"/>
        <v>31</v>
      </c>
      <c r="L250" s="51">
        <f t="shared" si="29"/>
        <v>30</v>
      </c>
      <c r="M250" s="52">
        <f t="shared" si="30"/>
        <v>31</v>
      </c>
      <c r="N250" s="51">
        <f t="shared" si="31"/>
        <v>31</v>
      </c>
      <c r="O250" s="51">
        <f t="shared" si="32"/>
        <v>30</v>
      </c>
      <c r="P250" s="51">
        <f t="shared" si="33"/>
        <v>31</v>
      </c>
      <c r="Q250" s="51">
        <f t="shared" si="34"/>
        <v>30</v>
      </c>
      <c r="R250" s="51">
        <f t="shared" si="35"/>
        <v>31</v>
      </c>
      <c r="S250" s="53">
        <f>IF(G250="事业部",LOOKUP(M250,基础设置!$T$2:$T$6,基础设置!$U$2:$U$6),IF(G250="总部",LOOKUP(M250,基础设置!$T$8:$T$13,基础设置!$V$8:$V$13),IF(G250="拓展部",LOOKUP(M250,基础设置!$T$8:$T$13,基础设置!$W$8:$W$13),5000)))</f>
        <v>6</v>
      </c>
    </row>
    <row r="251" spans="1:20" x14ac:dyDescent="0.15">
      <c r="A251" s="57">
        <v>250</v>
      </c>
      <c r="B251" s="7" t="s">
        <v>18</v>
      </c>
      <c r="C251" s="7" t="s">
        <v>353</v>
      </c>
      <c r="D251" s="7" t="s">
        <v>30</v>
      </c>
      <c r="E251" s="7" t="s">
        <v>354</v>
      </c>
      <c r="F251" s="7" t="s">
        <v>96</v>
      </c>
      <c r="G251" s="7" t="s">
        <v>18</v>
      </c>
      <c r="H251" s="8">
        <v>44960</v>
      </c>
      <c r="I251" s="60"/>
      <c r="J251" s="51">
        <f t="shared" si="27"/>
        <v>30</v>
      </c>
      <c r="K251" s="51">
        <f t="shared" si="28"/>
        <v>31</v>
      </c>
      <c r="L251" s="51">
        <f t="shared" si="29"/>
        <v>30</v>
      </c>
      <c r="M251" s="52">
        <f t="shared" si="30"/>
        <v>31</v>
      </c>
      <c r="N251" s="51">
        <f t="shared" si="31"/>
        <v>31</v>
      </c>
      <c r="O251" s="51">
        <f t="shared" si="32"/>
        <v>30</v>
      </c>
      <c r="P251" s="51">
        <f t="shared" si="33"/>
        <v>31</v>
      </c>
      <c r="Q251" s="51">
        <f t="shared" si="34"/>
        <v>30</v>
      </c>
      <c r="R251" s="51">
        <f t="shared" si="35"/>
        <v>31</v>
      </c>
      <c r="S251" s="53">
        <f>IF(G251="事业部",LOOKUP(M251,基础设置!$T$2:$T$6,基础设置!$U$2:$U$6),IF(G251="总部",LOOKUP(M251,基础设置!$T$8:$T$13,基础设置!$V$8:$V$13),IF(G251="拓展部",LOOKUP(M251,基础设置!$T$8:$T$13,基础设置!$W$8:$W$13),5000)))</f>
        <v>5</v>
      </c>
    </row>
    <row r="252" spans="1:20" x14ac:dyDescent="0.15">
      <c r="A252" s="57">
        <v>251</v>
      </c>
      <c r="B252" s="7" t="s">
        <v>18</v>
      </c>
      <c r="C252" s="7" t="s">
        <v>355</v>
      </c>
      <c r="D252" s="7" t="s">
        <v>30</v>
      </c>
      <c r="E252" s="7" t="s">
        <v>356</v>
      </c>
      <c r="F252" s="7" t="s">
        <v>96</v>
      </c>
      <c r="G252" s="7" t="s">
        <v>18</v>
      </c>
      <c r="H252" s="8">
        <v>45359</v>
      </c>
      <c r="I252" s="60"/>
      <c r="J252" s="51">
        <f t="shared" si="27"/>
        <v>30</v>
      </c>
      <c r="K252" s="51">
        <f t="shared" si="28"/>
        <v>31</v>
      </c>
      <c r="L252" s="51">
        <f t="shared" si="29"/>
        <v>30</v>
      </c>
      <c r="M252" s="52">
        <f t="shared" si="30"/>
        <v>31</v>
      </c>
      <c r="N252" s="51">
        <f t="shared" si="31"/>
        <v>31</v>
      </c>
      <c r="O252" s="51">
        <f t="shared" si="32"/>
        <v>30</v>
      </c>
      <c r="P252" s="51">
        <f t="shared" si="33"/>
        <v>31</v>
      </c>
      <c r="Q252" s="51">
        <f t="shared" si="34"/>
        <v>30</v>
      </c>
      <c r="R252" s="51">
        <f t="shared" si="35"/>
        <v>31</v>
      </c>
      <c r="S252" s="53">
        <f>IF(G252="事业部",LOOKUP(M252,基础设置!$T$2:$T$6,基础设置!$U$2:$U$6),IF(G252="总部",LOOKUP(M252,基础设置!$T$8:$T$13,基础设置!$V$8:$V$13),IF(G252="拓展部",LOOKUP(M252,基础设置!$T$8:$T$13,基础设置!$W$8:$W$13),5000)))</f>
        <v>5</v>
      </c>
    </row>
    <row r="253" spans="1:20" x14ac:dyDescent="0.15">
      <c r="A253" s="57">
        <v>252</v>
      </c>
      <c r="B253" s="7" t="s">
        <v>18</v>
      </c>
      <c r="C253" s="7" t="s">
        <v>353</v>
      </c>
      <c r="D253" s="7" t="s">
        <v>30</v>
      </c>
      <c r="E253" s="7" t="s">
        <v>357</v>
      </c>
      <c r="F253" s="7" t="s">
        <v>96</v>
      </c>
      <c r="G253" s="7" t="s">
        <v>18</v>
      </c>
      <c r="H253" s="8">
        <v>45152</v>
      </c>
      <c r="I253" s="60"/>
      <c r="J253" s="51">
        <f t="shared" si="27"/>
        <v>30</v>
      </c>
      <c r="K253" s="51">
        <f t="shared" si="28"/>
        <v>31</v>
      </c>
      <c r="L253" s="51">
        <f t="shared" si="29"/>
        <v>30</v>
      </c>
      <c r="M253" s="52">
        <f t="shared" si="30"/>
        <v>31</v>
      </c>
      <c r="N253" s="51">
        <f t="shared" si="31"/>
        <v>31</v>
      </c>
      <c r="O253" s="51">
        <f t="shared" si="32"/>
        <v>30</v>
      </c>
      <c r="P253" s="51">
        <f t="shared" si="33"/>
        <v>31</v>
      </c>
      <c r="Q253" s="51">
        <f t="shared" si="34"/>
        <v>30</v>
      </c>
      <c r="R253" s="51">
        <f t="shared" si="35"/>
        <v>31</v>
      </c>
      <c r="S253" s="53">
        <f>IF(G253="事业部",LOOKUP(M253,基础设置!$T$2:$T$6,基础设置!$U$2:$U$6),IF(G253="总部",LOOKUP(M253,基础设置!$T$8:$T$13,基础设置!$V$8:$V$13),IF(G253="拓展部",LOOKUP(M253,基础设置!$T$8:$T$13,基础设置!$W$8:$W$13),5000)))</f>
        <v>5</v>
      </c>
    </row>
    <row r="254" spans="1:20" x14ac:dyDescent="0.15">
      <c r="A254" s="57">
        <v>253</v>
      </c>
      <c r="B254" s="7" t="s">
        <v>18</v>
      </c>
      <c r="C254" s="7" t="s">
        <v>358</v>
      </c>
      <c r="D254" s="7" t="s">
        <v>30</v>
      </c>
      <c r="E254" s="7" t="s">
        <v>359</v>
      </c>
      <c r="F254" s="7" t="s">
        <v>96</v>
      </c>
      <c r="G254" s="50" t="s">
        <v>18</v>
      </c>
      <c r="H254" s="8">
        <v>45719</v>
      </c>
      <c r="I254" s="60"/>
      <c r="J254" s="51">
        <f t="shared" si="27"/>
        <v>30</v>
      </c>
      <c r="K254" s="51">
        <f t="shared" si="28"/>
        <v>31</v>
      </c>
      <c r="L254" s="51">
        <f t="shared" si="29"/>
        <v>30</v>
      </c>
      <c r="M254" s="52">
        <f t="shared" si="30"/>
        <v>31</v>
      </c>
      <c r="N254" s="51">
        <f t="shared" si="31"/>
        <v>31</v>
      </c>
      <c r="O254" s="51">
        <f t="shared" si="32"/>
        <v>30</v>
      </c>
      <c r="P254" s="51">
        <f t="shared" si="33"/>
        <v>31</v>
      </c>
      <c r="Q254" s="51">
        <f t="shared" si="34"/>
        <v>30</v>
      </c>
      <c r="R254" s="51">
        <f t="shared" si="35"/>
        <v>31</v>
      </c>
      <c r="S254" s="53">
        <f>IF(G254="事业部",LOOKUP(M254,基础设置!$T$2:$T$6,基础设置!$U$2:$U$6),IF(G254="总部",LOOKUP(M254,基础设置!$T$8:$T$13,基础设置!$V$8:$V$13),IF(G254="拓展部",LOOKUP(M254,基础设置!$T$8:$T$13,基础设置!$W$8:$W$13),5000)))</f>
        <v>5</v>
      </c>
    </row>
    <row r="255" spans="1:20" x14ac:dyDescent="0.15">
      <c r="A255" s="57">
        <v>254</v>
      </c>
      <c r="B255" s="7" t="s">
        <v>18</v>
      </c>
      <c r="C255" s="7" t="s">
        <v>360</v>
      </c>
      <c r="D255" s="7" t="s">
        <v>30</v>
      </c>
      <c r="E255" s="7" t="s">
        <v>361</v>
      </c>
      <c r="F255" s="7" t="s">
        <v>36</v>
      </c>
      <c r="G255" s="50" t="s">
        <v>18</v>
      </c>
      <c r="H255" s="8">
        <v>45582</v>
      </c>
      <c r="I255" s="60">
        <v>45851</v>
      </c>
      <c r="J255" s="51">
        <f t="shared" si="27"/>
        <v>30</v>
      </c>
      <c r="K255" s="51">
        <f t="shared" si="28"/>
        <v>31</v>
      </c>
      <c r="L255" s="51">
        <f t="shared" si="29"/>
        <v>30</v>
      </c>
      <c r="M255" s="52">
        <f t="shared" si="30"/>
        <v>13</v>
      </c>
      <c r="N255" s="51">
        <f t="shared" si="31"/>
        <v>0</v>
      </c>
      <c r="O255" s="51">
        <f t="shared" si="32"/>
        <v>0</v>
      </c>
      <c r="P255" s="51">
        <f t="shared" si="33"/>
        <v>0</v>
      </c>
      <c r="Q255" s="51">
        <f t="shared" si="34"/>
        <v>0</v>
      </c>
      <c r="R255" s="51">
        <f t="shared" si="35"/>
        <v>0</v>
      </c>
      <c r="S255" s="53">
        <f>IF(G255="事业部",LOOKUP(M255,基础设置!$T$2:$T$6,基础设置!$U$2:$U$6),IF(G255="总部",LOOKUP(M255,基础设置!$T$8:$T$13,基础设置!$V$8:$V$13),IF(G255="拓展部",LOOKUP(M255,基础设置!$T$8:$T$13,基础设置!$W$8:$W$13),5000)))</f>
        <v>2</v>
      </c>
    </row>
    <row r="256" spans="1:20" x14ac:dyDescent="0.15">
      <c r="A256" s="57">
        <v>255</v>
      </c>
      <c r="B256" s="7" t="s">
        <v>18</v>
      </c>
      <c r="C256" s="7" t="s">
        <v>362</v>
      </c>
      <c r="D256" s="7" t="s">
        <v>30</v>
      </c>
      <c r="E256" s="7" t="s">
        <v>363</v>
      </c>
      <c r="F256" s="7" t="s">
        <v>36</v>
      </c>
      <c r="G256" s="50" t="s">
        <v>18</v>
      </c>
      <c r="H256" s="8">
        <v>45722</v>
      </c>
      <c r="I256" s="8">
        <v>45831</v>
      </c>
      <c r="J256" s="51">
        <f t="shared" si="27"/>
        <v>30</v>
      </c>
      <c r="K256" s="51">
        <f t="shared" si="28"/>
        <v>31</v>
      </c>
      <c r="L256" s="51">
        <f t="shared" si="29"/>
        <v>23</v>
      </c>
      <c r="M256" s="52">
        <f t="shared" si="30"/>
        <v>0</v>
      </c>
      <c r="N256" s="51">
        <f t="shared" si="31"/>
        <v>0</v>
      </c>
      <c r="O256" s="51">
        <f t="shared" si="32"/>
        <v>0</v>
      </c>
      <c r="P256" s="51">
        <f t="shared" si="33"/>
        <v>0</v>
      </c>
      <c r="Q256" s="51">
        <f t="shared" si="34"/>
        <v>0</v>
      </c>
      <c r="R256" s="51">
        <f t="shared" si="35"/>
        <v>0</v>
      </c>
      <c r="S256" s="53">
        <f>IF(G256="事业部",LOOKUP(M256,基础设置!$T$2:$T$6,基础设置!$U$2:$U$6),IF(G256="总部",LOOKUP(M256,基础设置!$T$8:$T$13,基础设置!$V$8:$V$13),IF(G256="拓展部",LOOKUP(M256,基础设置!$T$8:$T$13,基础设置!$W$8:$W$13),5000)))</f>
        <v>0</v>
      </c>
    </row>
    <row r="257" spans="1:19" x14ac:dyDescent="0.15">
      <c r="A257" s="57">
        <v>256</v>
      </c>
      <c r="B257" s="7" t="s">
        <v>18</v>
      </c>
      <c r="C257" s="7" t="s">
        <v>364</v>
      </c>
      <c r="D257" s="7" t="s">
        <v>30</v>
      </c>
      <c r="E257" s="7" t="s">
        <v>365</v>
      </c>
      <c r="F257" s="7" t="s">
        <v>96</v>
      </c>
      <c r="G257" s="50" t="s">
        <v>18</v>
      </c>
      <c r="H257" s="8">
        <v>44958</v>
      </c>
      <c r="I257" s="60"/>
      <c r="J257" s="51">
        <f t="shared" si="27"/>
        <v>30</v>
      </c>
      <c r="K257" s="51">
        <f t="shared" si="28"/>
        <v>31</v>
      </c>
      <c r="L257" s="51">
        <f t="shared" si="29"/>
        <v>30</v>
      </c>
      <c r="M257" s="52">
        <f t="shared" si="30"/>
        <v>31</v>
      </c>
      <c r="N257" s="51">
        <f t="shared" si="31"/>
        <v>31</v>
      </c>
      <c r="O257" s="51">
        <f t="shared" si="32"/>
        <v>30</v>
      </c>
      <c r="P257" s="51">
        <f t="shared" si="33"/>
        <v>31</v>
      </c>
      <c r="Q257" s="51">
        <f t="shared" si="34"/>
        <v>30</v>
      </c>
      <c r="R257" s="51">
        <f t="shared" si="35"/>
        <v>31</v>
      </c>
      <c r="S257" s="53">
        <f>IF(G257="事业部",LOOKUP(M257,基础设置!$T$2:$T$6,基础设置!$U$2:$U$6),IF(G257="总部",LOOKUP(M257,基础设置!$T$8:$T$13,基础设置!$V$8:$V$13),IF(G257="拓展部",LOOKUP(M257,基础设置!$T$8:$T$13,基础设置!$W$8:$W$13),5000)))</f>
        <v>5</v>
      </c>
    </row>
    <row r="258" spans="1:19" x14ac:dyDescent="0.15">
      <c r="A258" s="57">
        <v>257</v>
      </c>
      <c r="B258" s="7" t="s">
        <v>18</v>
      </c>
      <c r="C258" s="7" t="s">
        <v>366</v>
      </c>
      <c r="D258" s="7" t="s">
        <v>30</v>
      </c>
      <c r="E258" s="7" t="s">
        <v>367</v>
      </c>
      <c r="F258" s="7" t="s">
        <v>96</v>
      </c>
      <c r="G258" s="50" t="s">
        <v>9</v>
      </c>
      <c r="H258" s="8">
        <v>44166</v>
      </c>
      <c r="I258" s="60"/>
      <c r="J258" s="51">
        <f t="shared" si="27"/>
        <v>30</v>
      </c>
      <c r="K258" s="51">
        <f t="shared" si="28"/>
        <v>31</v>
      </c>
      <c r="L258" s="51">
        <f t="shared" si="29"/>
        <v>30</v>
      </c>
      <c r="M258" s="52">
        <f t="shared" si="30"/>
        <v>31</v>
      </c>
      <c r="N258" s="51">
        <f t="shared" si="31"/>
        <v>31</v>
      </c>
      <c r="O258" s="51">
        <f t="shared" si="32"/>
        <v>30</v>
      </c>
      <c r="P258" s="51">
        <f t="shared" si="33"/>
        <v>31</v>
      </c>
      <c r="Q258" s="51">
        <f t="shared" si="34"/>
        <v>30</v>
      </c>
      <c r="R258" s="51">
        <f t="shared" si="35"/>
        <v>31</v>
      </c>
      <c r="S258" s="53">
        <f>IF(G258="事业部",LOOKUP(M258,基础设置!$T$2:$T$6,基础设置!$U$2:$U$6),IF(G258="总部",LOOKUP(M258,基础设置!$T$8:$T$13,基础设置!$V$8:$V$13),IF(G258="拓展部",LOOKUP(M258,基础设置!$T$8:$T$13,基础设置!$W$8:$W$13),5000)))</f>
        <v>4</v>
      </c>
    </row>
    <row r="259" spans="1:19" x14ac:dyDescent="0.15">
      <c r="A259" s="57">
        <v>258</v>
      </c>
      <c r="B259" s="7" t="s">
        <v>18</v>
      </c>
      <c r="C259" s="7" t="s">
        <v>366</v>
      </c>
      <c r="D259" s="7" t="s">
        <v>30</v>
      </c>
      <c r="E259" s="7" t="s">
        <v>368</v>
      </c>
      <c r="F259" s="7" t="s">
        <v>96</v>
      </c>
      <c r="G259" s="50" t="s">
        <v>9</v>
      </c>
      <c r="H259" s="8">
        <v>40947</v>
      </c>
      <c r="I259" s="60"/>
      <c r="J259" s="51">
        <f t="shared" ref="J259:J285" si="36">MAX(0,MIN(IF(I259="",EOMONTH(DATE(YEAR($J$1),MONTH($J$1),1),0),I259),EOMONTH(DATE(YEAR($J$1),MONTH($J$1),1),0))-MAX(H259,DATE(YEAR($J$1),MONTH($J$1),1))+1)</f>
        <v>30</v>
      </c>
      <c r="K259" s="51">
        <f t="shared" ref="K259:K285" si="37">MAX(0,MIN(IF(I259="",EOMONTH(DATE(YEAR($K$1),MONTH($K$1),1),0),I259),EOMONTH(DATE(YEAR($K$1),MONTH($K$1),1),0))-MAX(H259,DATE(YEAR($K$1),MONTH($K$1),1))+1)</f>
        <v>31</v>
      </c>
      <c r="L259" s="51">
        <f t="shared" ref="L259:L285" si="38">MAX(0,MIN(IF(I259="",EOMONTH(DATE(YEAR($L$1),MONTH($L$1),1),0),I259),EOMONTH(DATE(YEAR($L$1),MONTH($L$1),1),0))-MAX(H259,DATE(YEAR($L$1),MONTH($L$1),1))+1)</f>
        <v>30</v>
      </c>
      <c r="M259" s="52">
        <f t="shared" ref="M259:M285" si="39">MAX(0,MIN(IF(I259="",EOMONTH(DATE(YEAR($M$1),MONTH($M$1),1),0),I259),EOMONTH(DATE(YEAR($M$1),MONTH($M$1),1),0))-MAX(H259,DATE(YEAR($M$1),MONTH($M$1),1))+1)</f>
        <v>31</v>
      </c>
      <c r="N259" s="51">
        <f t="shared" ref="N259:N322" si="40">MAX(0,MIN(IF(I259="",EOMONTH(DATE(YEAR($N$1),MONTH($N$1),1),0),I259),EOMONTH(DATE(YEAR($N$1),MONTH($N$1),1),0))-MAX(H259,DATE(YEAR($N$1),MONTH($N$1),1))+1)</f>
        <v>31</v>
      </c>
      <c r="O259" s="51">
        <f t="shared" ref="O259:O285" si="41">MAX(0,MIN(IF(I259="",EOMONTH(DATE(YEAR($O$1),MONTH($O$1),1),0),I259),EOMONTH(DATE(YEAR($O$1),MONTH($O$1),1),0))-MAX(H259,DATE(YEAR($O$1),MONTH($O$1),1))+1)</f>
        <v>30</v>
      </c>
      <c r="P259" s="51">
        <f t="shared" ref="P259:P285" si="42">MAX(0,MIN(IF(I259="",EOMONTH(DATE(YEAR($P$1),MONTH($P$1),1),0),I259),EOMONTH(DATE(YEAR($P$1),MONTH($P$1),1),0))-MAX(H259,DATE(YEAR($P$1),MONTH($P$1),1))+1)</f>
        <v>31</v>
      </c>
      <c r="Q259" s="51">
        <f t="shared" ref="Q259:Q285" si="43">MAX(0,MIN(IF(I259="",EOMONTH(DATE(YEAR($Q$1),MONTH($Q$1),1),0),I259),EOMONTH(DATE(YEAR($Q$1),MONTH($Q$1),1),0))-MAX(H259,DATE(YEAR($Q$1),MONTH($Q$1),1))+1)</f>
        <v>30</v>
      </c>
      <c r="R259" s="51">
        <f t="shared" ref="R259:R285" si="44">MAX(0,MIN(IF(I259="",EOMONTH(DATE(YEAR($R$1),MONTH($R$1),1),0),I259),EOMONTH(DATE(YEAR($R$1),MONTH($R$1),1),0))-MAX(H259,DATE(YEAR($R$1),MONTH($R$1),1))+1)</f>
        <v>31</v>
      </c>
      <c r="S259" s="53">
        <f>IF(G259="事业部",LOOKUP(M259,基础设置!$T$2:$T$6,基础设置!$U$2:$U$6),IF(G259="总部",LOOKUP(M259,基础设置!$T$8:$T$13,基础设置!$V$8:$V$13),IF(G259="拓展部",LOOKUP(M259,基础设置!$T$8:$T$13,基础设置!$W$8:$W$13),5000)))</f>
        <v>4</v>
      </c>
    </row>
    <row r="260" spans="1:19" x14ac:dyDescent="0.15">
      <c r="A260" s="57">
        <v>259</v>
      </c>
      <c r="B260" s="7" t="s">
        <v>18</v>
      </c>
      <c r="C260" s="7" t="s">
        <v>369</v>
      </c>
      <c r="D260" s="7" t="s">
        <v>30</v>
      </c>
      <c r="E260" s="7" t="s">
        <v>370</v>
      </c>
      <c r="F260" s="7" t="s">
        <v>96</v>
      </c>
      <c r="G260" s="50" t="s">
        <v>9</v>
      </c>
      <c r="H260" s="8">
        <v>44249</v>
      </c>
      <c r="I260" s="60"/>
      <c r="J260" s="51">
        <f t="shared" si="36"/>
        <v>30</v>
      </c>
      <c r="K260" s="51">
        <f t="shared" si="37"/>
        <v>31</v>
      </c>
      <c r="L260" s="51">
        <f t="shared" si="38"/>
        <v>30</v>
      </c>
      <c r="M260" s="52">
        <f t="shared" si="39"/>
        <v>31</v>
      </c>
      <c r="N260" s="51">
        <f t="shared" si="40"/>
        <v>31</v>
      </c>
      <c r="O260" s="51">
        <f t="shared" si="41"/>
        <v>30</v>
      </c>
      <c r="P260" s="51">
        <f t="shared" si="42"/>
        <v>31</v>
      </c>
      <c r="Q260" s="51">
        <f t="shared" si="43"/>
        <v>30</v>
      </c>
      <c r="R260" s="51">
        <f t="shared" si="44"/>
        <v>31</v>
      </c>
      <c r="S260" s="53">
        <f>IF(G260="事业部",LOOKUP(M260,基础设置!$T$2:$T$6,基础设置!$U$2:$U$6),IF(G260="总部",LOOKUP(M260,基础设置!$T$8:$T$13,基础设置!$V$8:$V$13),IF(G260="拓展部",LOOKUP(M260,基础设置!$T$8:$T$13,基础设置!$W$8:$W$13),5000)))</f>
        <v>4</v>
      </c>
    </row>
    <row r="261" spans="1:19" x14ac:dyDescent="0.15">
      <c r="A261" s="57">
        <v>260</v>
      </c>
      <c r="B261" s="7" t="s">
        <v>18</v>
      </c>
      <c r="C261" s="7" t="s">
        <v>369</v>
      </c>
      <c r="D261" s="7" t="s">
        <v>30</v>
      </c>
      <c r="E261" s="7" t="s">
        <v>371</v>
      </c>
      <c r="F261" s="7" t="s">
        <v>96</v>
      </c>
      <c r="G261" s="50" t="s">
        <v>9</v>
      </c>
      <c r="H261" s="8">
        <v>45131</v>
      </c>
      <c r="I261" s="60"/>
      <c r="J261" s="51">
        <f t="shared" si="36"/>
        <v>30</v>
      </c>
      <c r="K261" s="51">
        <f t="shared" si="37"/>
        <v>31</v>
      </c>
      <c r="L261" s="51">
        <f t="shared" si="38"/>
        <v>30</v>
      </c>
      <c r="M261" s="52">
        <f t="shared" si="39"/>
        <v>31</v>
      </c>
      <c r="N261" s="51">
        <f t="shared" si="40"/>
        <v>31</v>
      </c>
      <c r="O261" s="51">
        <f t="shared" si="41"/>
        <v>30</v>
      </c>
      <c r="P261" s="51">
        <f t="shared" si="42"/>
        <v>31</v>
      </c>
      <c r="Q261" s="51">
        <f t="shared" si="43"/>
        <v>30</v>
      </c>
      <c r="R261" s="51">
        <f t="shared" si="44"/>
        <v>31</v>
      </c>
      <c r="S261" s="53">
        <f>IF(G261="事业部",LOOKUP(M261,基础设置!$T$2:$T$6,基础设置!$U$2:$U$6),IF(G261="总部",LOOKUP(M261,基础设置!$T$8:$T$13,基础设置!$V$8:$V$13),IF(G261="拓展部",LOOKUP(M261,基础设置!$T$8:$T$13,基础设置!$W$8:$W$13),5000)))</f>
        <v>4</v>
      </c>
    </row>
    <row r="262" spans="1:19" x14ac:dyDescent="0.15">
      <c r="A262" s="57">
        <v>261</v>
      </c>
      <c r="B262" s="7" t="s">
        <v>18</v>
      </c>
      <c r="C262" s="7" t="s">
        <v>372</v>
      </c>
      <c r="D262" s="7" t="s">
        <v>30</v>
      </c>
      <c r="E262" s="7" t="s">
        <v>373</v>
      </c>
      <c r="F262" s="7" t="s">
        <v>96</v>
      </c>
      <c r="G262" s="50" t="s">
        <v>18</v>
      </c>
      <c r="H262" s="8">
        <v>40956</v>
      </c>
      <c r="I262" s="60"/>
      <c r="J262" s="51">
        <f t="shared" si="36"/>
        <v>30</v>
      </c>
      <c r="K262" s="51">
        <f t="shared" si="37"/>
        <v>31</v>
      </c>
      <c r="L262" s="51">
        <f t="shared" si="38"/>
        <v>30</v>
      </c>
      <c r="M262" s="52">
        <f t="shared" si="39"/>
        <v>31</v>
      </c>
      <c r="N262" s="51">
        <f t="shared" si="40"/>
        <v>31</v>
      </c>
      <c r="O262" s="51">
        <f t="shared" si="41"/>
        <v>30</v>
      </c>
      <c r="P262" s="51">
        <f t="shared" si="42"/>
        <v>31</v>
      </c>
      <c r="Q262" s="51">
        <f t="shared" si="43"/>
        <v>30</v>
      </c>
      <c r="R262" s="51">
        <f t="shared" si="44"/>
        <v>31</v>
      </c>
      <c r="S262" s="53">
        <f>IF(G262="事业部",LOOKUP(M262,基础设置!$T$2:$T$6,基础设置!$U$2:$U$6),IF(G262="总部",LOOKUP(M262,基础设置!$T$8:$T$13,基础设置!$V$8:$V$13),IF(G262="拓展部",LOOKUP(M262,基础设置!$T$8:$T$13,基础设置!$W$8:$W$13),5000)))</f>
        <v>5</v>
      </c>
    </row>
    <row r="263" spans="1:19" x14ac:dyDescent="0.15">
      <c r="A263" s="57">
        <v>262</v>
      </c>
      <c r="B263" s="7" t="s">
        <v>18</v>
      </c>
      <c r="C263" s="7" t="s">
        <v>372</v>
      </c>
      <c r="D263" s="7" t="s">
        <v>30</v>
      </c>
      <c r="E263" s="7" t="s">
        <v>374</v>
      </c>
      <c r="F263" s="7" t="s">
        <v>96</v>
      </c>
      <c r="G263" s="50" t="s">
        <v>18</v>
      </c>
      <c r="H263" s="8">
        <v>44694</v>
      </c>
      <c r="I263" s="60"/>
      <c r="J263" s="51">
        <f t="shared" si="36"/>
        <v>30</v>
      </c>
      <c r="K263" s="51">
        <f t="shared" si="37"/>
        <v>31</v>
      </c>
      <c r="L263" s="51">
        <f t="shared" si="38"/>
        <v>30</v>
      </c>
      <c r="M263" s="52">
        <f t="shared" si="39"/>
        <v>31</v>
      </c>
      <c r="N263" s="51">
        <f t="shared" si="40"/>
        <v>31</v>
      </c>
      <c r="O263" s="51">
        <f t="shared" si="41"/>
        <v>30</v>
      </c>
      <c r="P263" s="51">
        <f t="shared" si="42"/>
        <v>31</v>
      </c>
      <c r="Q263" s="51">
        <f t="shared" si="43"/>
        <v>30</v>
      </c>
      <c r="R263" s="51">
        <f t="shared" si="44"/>
        <v>31</v>
      </c>
      <c r="S263" s="53">
        <f>IF(G263="事业部",LOOKUP(M263,基础设置!$T$2:$T$6,基础设置!$U$2:$U$6),IF(G263="总部",LOOKUP(M263,基础设置!$T$8:$T$13,基础设置!$V$8:$V$13),IF(G263="拓展部",LOOKUP(M263,基础设置!$T$8:$T$13,基础设置!$W$8:$W$13),5000)))</f>
        <v>5</v>
      </c>
    </row>
    <row r="264" spans="1:19" x14ac:dyDescent="0.15">
      <c r="A264" s="57">
        <v>263</v>
      </c>
      <c r="B264" s="7" t="s">
        <v>18</v>
      </c>
      <c r="C264" s="7" t="s">
        <v>375</v>
      </c>
      <c r="D264" s="7" t="s">
        <v>30</v>
      </c>
      <c r="E264" s="7" t="s">
        <v>376</v>
      </c>
      <c r="F264" s="7" t="s">
        <v>96</v>
      </c>
      <c r="G264" s="50" t="s">
        <v>18</v>
      </c>
      <c r="H264" s="8">
        <v>45104</v>
      </c>
      <c r="I264" s="60"/>
      <c r="J264" s="51">
        <f t="shared" si="36"/>
        <v>30</v>
      </c>
      <c r="K264" s="51">
        <f t="shared" si="37"/>
        <v>31</v>
      </c>
      <c r="L264" s="51">
        <f t="shared" si="38"/>
        <v>30</v>
      </c>
      <c r="M264" s="52">
        <f t="shared" si="39"/>
        <v>31</v>
      </c>
      <c r="N264" s="51">
        <f t="shared" si="40"/>
        <v>31</v>
      </c>
      <c r="O264" s="51">
        <f t="shared" si="41"/>
        <v>30</v>
      </c>
      <c r="P264" s="51">
        <f t="shared" si="42"/>
        <v>31</v>
      </c>
      <c r="Q264" s="51">
        <f t="shared" si="43"/>
        <v>30</v>
      </c>
      <c r="R264" s="51">
        <f t="shared" si="44"/>
        <v>31</v>
      </c>
      <c r="S264" s="53">
        <f>IF(G264="事业部",LOOKUP(M264,基础设置!$T$2:$T$6,基础设置!$U$2:$U$6),IF(G264="总部",LOOKUP(M264,基础设置!$T$8:$T$13,基础设置!$V$8:$V$13),IF(G264="拓展部",LOOKUP(M264,基础设置!$T$8:$T$13,基础设置!$W$8:$W$13),5000)))</f>
        <v>5</v>
      </c>
    </row>
    <row r="265" spans="1:19" x14ac:dyDescent="0.15">
      <c r="A265" s="57">
        <v>264</v>
      </c>
      <c r="B265" s="7" t="s">
        <v>18</v>
      </c>
      <c r="C265" s="7" t="s">
        <v>375</v>
      </c>
      <c r="D265" s="7" t="s">
        <v>30</v>
      </c>
      <c r="E265" s="7" t="s">
        <v>377</v>
      </c>
      <c r="F265" s="7" t="s">
        <v>96</v>
      </c>
      <c r="G265" s="50" t="s">
        <v>18</v>
      </c>
      <c r="H265" s="8">
        <v>43908</v>
      </c>
      <c r="I265" s="60"/>
      <c r="J265" s="51">
        <f t="shared" si="36"/>
        <v>30</v>
      </c>
      <c r="K265" s="51">
        <f t="shared" si="37"/>
        <v>31</v>
      </c>
      <c r="L265" s="51">
        <f t="shared" si="38"/>
        <v>30</v>
      </c>
      <c r="M265" s="52">
        <f t="shared" si="39"/>
        <v>31</v>
      </c>
      <c r="N265" s="51">
        <f t="shared" si="40"/>
        <v>31</v>
      </c>
      <c r="O265" s="51">
        <f t="shared" si="41"/>
        <v>30</v>
      </c>
      <c r="P265" s="51">
        <f t="shared" si="42"/>
        <v>31</v>
      </c>
      <c r="Q265" s="51">
        <f t="shared" si="43"/>
        <v>30</v>
      </c>
      <c r="R265" s="51">
        <f t="shared" si="44"/>
        <v>31</v>
      </c>
      <c r="S265" s="53">
        <f>IF(G265="事业部",LOOKUP(M265,基础设置!$T$2:$T$6,基础设置!$U$2:$U$6),IF(G265="总部",LOOKUP(M265,基础设置!$T$8:$T$13,基础设置!$V$8:$V$13),IF(G265="拓展部",LOOKUP(M265,基础设置!$T$8:$T$13,基础设置!$W$8:$W$13),5000)))</f>
        <v>5</v>
      </c>
    </row>
    <row r="266" spans="1:19" x14ac:dyDescent="0.15">
      <c r="A266" s="57">
        <v>265</v>
      </c>
      <c r="B266" s="7" t="s">
        <v>18</v>
      </c>
      <c r="C266" s="7" t="s">
        <v>375</v>
      </c>
      <c r="D266" s="7" t="s">
        <v>30</v>
      </c>
      <c r="E266" s="7" t="s">
        <v>378</v>
      </c>
      <c r="F266" s="7" t="s">
        <v>96</v>
      </c>
      <c r="G266" s="50" t="s">
        <v>18</v>
      </c>
      <c r="H266" s="8">
        <v>45460</v>
      </c>
      <c r="I266" s="60"/>
      <c r="J266" s="51">
        <f t="shared" si="36"/>
        <v>30</v>
      </c>
      <c r="K266" s="51">
        <f t="shared" si="37"/>
        <v>31</v>
      </c>
      <c r="L266" s="51">
        <f t="shared" si="38"/>
        <v>30</v>
      </c>
      <c r="M266" s="52">
        <f t="shared" si="39"/>
        <v>31</v>
      </c>
      <c r="N266" s="51">
        <f t="shared" si="40"/>
        <v>31</v>
      </c>
      <c r="O266" s="51">
        <f t="shared" si="41"/>
        <v>30</v>
      </c>
      <c r="P266" s="51">
        <f t="shared" si="42"/>
        <v>31</v>
      </c>
      <c r="Q266" s="51">
        <f t="shared" si="43"/>
        <v>30</v>
      </c>
      <c r="R266" s="51">
        <f t="shared" si="44"/>
        <v>31</v>
      </c>
      <c r="S266" s="53">
        <f>IF(G266="事业部",LOOKUP(M266,基础设置!$T$2:$T$6,基础设置!$U$2:$U$6),IF(G266="总部",LOOKUP(M266,基础设置!$T$8:$T$13,基础设置!$V$8:$V$13),IF(G266="拓展部",LOOKUP(M266,基础设置!$T$8:$T$13,基础设置!$W$8:$W$13),5000)))</f>
        <v>5</v>
      </c>
    </row>
    <row r="267" spans="1:19" x14ac:dyDescent="0.15">
      <c r="A267" s="57">
        <v>266</v>
      </c>
      <c r="B267" s="7" t="s">
        <v>18</v>
      </c>
      <c r="C267" s="7" t="s">
        <v>375</v>
      </c>
      <c r="D267" s="7" t="s">
        <v>30</v>
      </c>
      <c r="E267" s="7" t="s">
        <v>379</v>
      </c>
      <c r="F267" s="7" t="s">
        <v>96</v>
      </c>
      <c r="G267" s="50" t="s">
        <v>18</v>
      </c>
      <c r="H267" s="8">
        <v>45698</v>
      </c>
      <c r="I267" s="60"/>
      <c r="J267" s="51">
        <f t="shared" si="36"/>
        <v>30</v>
      </c>
      <c r="K267" s="51">
        <f t="shared" si="37"/>
        <v>31</v>
      </c>
      <c r="L267" s="51">
        <f t="shared" si="38"/>
        <v>30</v>
      </c>
      <c r="M267" s="52">
        <f t="shared" si="39"/>
        <v>31</v>
      </c>
      <c r="N267" s="51">
        <f t="shared" si="40"/>
        <v>31</v>
      </c>
      <c r="O267" s="51">
        <f t="shared" si="41"/>
        <v>30</v>
      </c>
      <c r="P267" s="51">
        <f t="shared" si="42"/>
        <v>31</v>
      </c>
      <c r="Q267" s="51">
        <f t="shared" si="43"/>
        <v>30</v>
      </c>
      <c r="R267" s="51">
        <f t="shared" si="44"/>
        <v>31</v>
      </c>
      <c r="S267" s="53">
        <f>IF(G267="事业部",LOOKUP(M267,基础设置!$T$2:$T$6,基础设置!$U$2:$U$6),IF(G267="总部",LOOKUP(M267,基础设置!$T$8:$T$13,基础设置!$V$8:$V$13),IF(G267="拓展部",LOOKUP(M267,基础设置!$T$8:$T$13,基础设置!$W$8:$W$13),5000)))</f>
        <v>5</v>
      </c>
    </row>
    <row r="268" spans="1:19" x14ac:dyDescent="0.15">
      <c r="A268" s="57">
        <v>267</v>
      </c>
      <c r="B268" s="7" t="s">
        <v>24</v>
      </c>
      <c r="C268" s="7" t="s">
        <v>42</v>
      </c>
      <c r="D268" s="7" t="s">
        <v>30</v>
      </c>
      <c r="E268" s="7" t="s">
        <v>380</v>
      </c>
      <c r="F268" s="7" t="s">
        <v>96</v>
      </c>
      <c r="G268" s="50" t="s">
        <v>9</v>
      </c>
      <c r="H268" s="8">
        <v>41978</v>
      </c>
      <c r="I268" s="60"/>
      <c r="J268" s="51">
        <f t="shared" si="36"/>
        <v>30</v>
      </c>
      <c r="K268" s="51">
        <f t="shared" si="37"/>
        <v>31</v>
      </c>
      <c r="L268" s="51">
        <f t="shared" si="38"/>
        <v>30</v>
      </c>
      <c r="M268" s="52">
        <f t="shared" si="39"/>
        <v>31</v>
      </c>
      <c r="N268" s="51">
        <f t="shared" si="40"/>
        <v>31</v>
      </c>
      <c r="O268" s="51">
        <f t="shared" si="41"/>
        <v>30</v>
      </c>
      <c r="P268" s="51">
        <f t="shared" si="42"/>
        <v>31</v>
      </c>
      <c r="Q268" s="51">
        <f t="shared" si="43"/>
        <v>30</v>
      </c>
      <c r="R268" s="51">
        <f t="shared" si="44"/>
        <v>31</v>
      </c>
      <c r="S268" s="53">
        <f>IF(G268="事业部",LOOKUP(M268,基础设置!$T$2:$T$6,基础设置!$U$2:$U$6),IF(G268="总部",LOOKUP(M268,基础设置!$T$8:$T$13,基础设置!$V$8:$V$13),IF(G268="拓展部",LOOKUP(M268,基础设置!$T$8:$T$13,基础设置!$W$8:$W$13),5000)))</f>
        <v>4</v>
      </c>
    </row>
    <row r="269" spans="1:19" x14ac:dyDescent="0.15">
      <c r="A269" s="57">
        <v>268</v>
      </c>
      <c r="B269" s="7" t="s">
        <v>24</v>
      </c>
      <c r="C269" s="7" t="s">
        <v>381</v>
      </c>
      <c r="D269" s="7" t="s">
        <v>30</v>
      </c>
      <c r="E269" s="7" t="s">
        <v>382</v>
      </c>
      <c r="F269" s="7" t="s">
        <v>96</v>
      </c>
      <c r="G269" s="50" t="s">
        <v>9</v>
      </c>
      <c r="H269" s="8">
        <v>45193</v>
      </c>
      <c r="I269" s="60"/>
      <c r="J269" s="51">
        <f t="shared" si="36"/>
        <v>30</v>
      </c>
      <c r="K269" s="51">
        <f t="shared" si="37"/>
        <v>31</v>
      </c>
      <c r="L269" s="51">
        <f t="shared" si="38"/>
        <v>30</v>
      </c>
      <c r="M269" s="52">
        <f t="shared" si="39"/>
        <v>31</v>
      </c>
      <c r="N269" s="51">
        <f t="shared" si="40"/>
        <v>31</v>
      </c>
      <c r="O269" s="51">
        <f t="shared" si="41"/>
        <v>30</v>
      </c>
      <c r="P269" s="51">
        <f t="shared" si="42"/>
        <v>31</v>
      </c>
      <c r="Q269" s="51">
        <f t="shared" si="43"/>
        <v>30</v>
      </c>
      <c r="R269" s="51">
        <f t="shared" si="44"/>
        <v>31</v>
      </c>
      <c r="S269" s="53">
        <f>IF(G269="事业部",LOOKUP(M269,基础设置!$T$2:$T$6,基础设置!$U$2:$U$6),IF(G269="总部",LOOKUP(M269,基础设置!$T$8:$T$13,基础设置!$V$8:$V$13),IF(G269="拓展部",LOOKUP(M269,基础设置!$T$8:$T$13,基础设置!$W$8:$W$13),5000)))</f>
        <v>4</v>
      </c>
    </row>
    <row r="270" spans="1:19" x14ac:dyDescent="0.15">
      <c r="A270" s="57">
        <v>269</v>
      </c>
      <c r="B270" s="7" t="s">
        <v>24</v>
      </c>
      <c r="C270" s="7" t="s">
        <v>383</v>
      </c>
      <c r="D270" s="7" t="s">
        <v>30</v>
      </c>
      <c r="E270" s="7" t="s">
        <v>384</v>
      </c>
      <c r="F270" s="7" t="s">
        <v>96</v>
      </c>
      <c r="G270" s="50" t="s">
        <v>9</v>
      </c>
      <c r="H270" s="8">
        <v>44256</v>
      </c>
      <c r="I270" s="60"/>
      <c r="J270" s="51">
        <f t="shared" si="36"/>
        <v>30</v>
      </c>
      <c r="K270" s="51">
        <f t="shared" si="37"/>
        <v>31</v>
      </c>
      <c r="L270" s="51">
        <f t="shared" si="38"/>
        <v>30</v>
      </c>
      <c r="M270" s="52">
        <f t="shared" si="39"/>
        <v>31</v>
      </c>
      <c r="N270" s="51">
        <f t="shared" si="40"/>
        <v>31</v>
      </c>
      <c r="O270" s="51">
        <f t="shared" si="41"/>
        <v>30</v>
      </c>
      <c r="P270" s="51">
        <f t="shared" si="42"/>
        <v>31</v>
      </c>
      <c r="Q270" s="51">
        <f t="shared" si="43"/>
        <v>30</v>
      </c>
      <c r="R270" s="51">
        <f t="shared" si="44"/>
        <v>31</v>
      </c>
      <c r="S270" s="53">
        <f>IF(G270="事业部",LOOKUP(M270,基础设置!$T$2:$T$6,基础设置!$U$2:$U$6),IF(G270="总部",LOOKUP(M270,基础设置!$T$8:$T$13,基础设置!$V$8:$V$13),IF(G270="拓展部",LOOKUP(M270,基础设置!$T$8:$T$13,基础设置!$W$8:$W$13),5000)))</f>
        <v>4</v>
      </c>
    </row>
    <row r="271" spans="1:19" x14ac:dyDescent="0.15">
      <c r="A271" s="57">
        <v>270</v>
      </c>
      <c r="B271" s="7" t="s">
        <v>24</v>
      </c>
      <c r="C271" s="7" t="s">
        <v>381</v>
      </c>
      <c r="D271" s="7" t="s">
        <v>30</v>
      </c>
      <c r="E271" s="7" t="s">
        <v>385</v>
      </c>
      <c r="F271" s="7" t="s">
        <v>96</v>
      </c>
      <c r="G271" s="50" t="s">
        <v>9</v>
      </c>
      <c r="H271" s="8">
        <v>44753</v>
      </c>
      <c r="I271" s="60"/>
      <c r="J271" s="51">
        <f t="shared" si="36"/>
        <v>30</v>
      </c>
      <c r="K271" s="51">
        <f t="shared" si="37"/>
        <v>31</v>
      </c>
      <c r="L271" s="51">
        <f t="shared" si="38"/>
        <v>30</v>
      </c>
      <c r="M271" s="52">
        <f t="shared" si="39"/>
        <v>31</v>
      </c>
      <c r="N271" s="51">
        <f t="shared" si="40"/>
        <v>31</v>
      </c>
      <c r="O271" s="51">
        <f t="shared" si="41"/>
        <v>30</v>
      </c>
      <c r="P271" s="51">
        <f t="shared" si="42"/>
        <v>31</v>
      </c>
      <c r="Q271" s="51">
        <f t="shared" si="43"/>
        <v>30</v>
      </c>
      <c r="R271" s="51">
        <f t="shared" si="44"/>
        <v>31</v>
      </c>
      <c r="S271" s="53">
        <f>IF(G271="事业部",LOOKUP(M271,基础设置!$T$2:$T$6,基础设置!$U$2:$U$6),IF(G271="总部",LOOKUP(M271,基础设置!$T$8:$T$13,基础设置!$V$8:$V$13),IF(G271="拓展部",LOOKUP(M271,基础设置!$T$8:$T$13,基础设置!$W$8:$W$13),5000)))</f>
        <v>4</v>
      </c>
    </row>
    <row r="272" spans="1:19" x14ac:dyDescent="0.15">
      <c r="A272" s="57">
        <v>271</v>
      </c>
      <c r="B272" s="7" t="s">
        <v>24</v>
      </c>
      <c r="C272" s="7" t="s">
        <v>383</v>
      </c>
      <c r="D272" s="7" t="s">
        <v>30</v>
      </c>
      <c r="E272" s="7" t="s">
        <v>386</v>
      </c>
      <c r="F272" s="7" t="s">
        <v>36</v>
      </c>
      <c r="G272" s="50" t="s">
        <v>9</v>
      </c>
      <c r="H272" s="8">
        <v>45343</v>
      </c>
      <c r="I272" s="8">
        <v>45838</v>
      </c>
      <c r="J272" s="51">
        <f t="shared" si="36"/>
        <v>30</v>
      </c>
      <c r="K272" s="51">
        <f t="shared" si="37"/>
        <v>31</v>
      </c>
      <c r="L272" s="51">
        <f t="shared" si="38"/>
        <v>30</v>
      </c>
      <c r="M272" s="52">
        <f t="shared" si="39"/>
        <v>0</v>
      </c>
      <c r="N272" s="51">
        <f t="shared" si="40"/>
        <v>0</v>
      </c>
      <c r="O272" s="51">
        <f t="shared" si="41"/>
        <v>0</v>
      </c>
      <c r="P272" s="51">
        <f t="shared" si="42"/>
        <v>0</v>
      </c>
      <c r="Q272" s="51">
        <f t="shared" si="43"/>
        <v>0</v>
      </c>
      <c r="R272" s="51">
        <f t="shared" si="44"/>
        <v>0</v>
      </c>
      <c r="S272" s="53">
        <f>IF(G272="事业部",LOOKUP(M272,基础设置!$T$2:$T$6,基础设置!$U$2:$U$6),IF(G272="总部",LOOKUP(M272,基础设置!$T$8:$T$13,基础设置!$V$8:$V$13),IF(G272="拓展部",LOOKUP(M272,基础设置!$T$8:$T$13,基础设置!$W$8:$W$13),5000)))</f>
        <v>0</v>
      </c>
    </row>
    <row r="273" spans="1:20" x14ac:dyDescent="0.15">
      <c r="A273" s="57">
        <v>272</v>
      </c>
      <c r="B273" s="7" t="s">
        <v>24</v>
      </c>
      <c r="C273" s="7" t="s">
        <v>383</v>
      </c>
      <c r="D273" s="7" t="s">
        <v>30</v>
      </c>
      <c r="E273" s="7" t="s">
        <v>387</v>
      </c>
      <c r="F273" s="7" t="s">
        <v>96</v>
      </c>
      <c r="G273" s="50" t="s">
        <v>9</v>
      </c>
      <c r="H273" s="8">
        <v>45460</v>
      </c>
      <c r="I273" s="60"/>
      <c r="J273" s="51">
        <f t="shared" si="36"/>
        <v>30</v>
      </c>
      <c r="K273" s="51">
        <f t="shared" si="37"/>
        <v>31</v>
      </c>
      <c r="L273" s="51">
        <f t="shared" si="38"/>
        <v>30</v>
      </c>
      <c r="M273" s="52">
        <f t="shared" si="39"/>
        <v>31</v>
      </c>
      <c r="N273" s="51">
        <f t="shared" si="40"/>
        <v>31</v>
      </c>
      <c r="O273" s="51">
        <f t="shared" si="41"/>
        <v>30</v>
      </c>
      <c r="P273" s="51">
        <f t="shared" si="42"/>
        <v>31</v>
      </c>
      <c r="Q273" s="51">
        <f t="shared" si="43"/>
        <v>30</v>
      </c>
      <c r="R273" s="51">
        <f t="shared" si="44"/>
        <v>31</v>
      </c>
      <c r="S273" s="53">
        <f>IF(G273="事业部",LOOKUP(M273,基础设置!$T$2:$T$6,基础设置!$U$2:$U$6),IF(G273="总部",LOOKUP(M273,基础设置!$T$8:$T$13,基础设置!$V$8:$V$13),IF(G273="拓展部",LOOKUP(M273,基础设置!$T$8:$T$13,基础设置!$W$8:$W$13),5000)))</f>
        <v>4</v>
      </c>
    </row>
    <row r="274" spans="1:20" x14ac:dyDescent="0.15">
      <c r="A274" s="57">
        <v>273</v>
      </c>
      <c r="B274" s="7" t="s">
        <v>24</v>
      </c>
      <c r="C274" s="7" t="s">
        <v>383</v>
      </c>
      <c r="D274" s="7" t="s">
        <v>30</v>
      </c>
      <c r="E274" s="7" t="s">
        <v>388</v>
      </c>
      <c r="F274" s="7" t="s">
        <v>96</v>
      </c>
      <c r="G274" s="50" t="s">
        <v>9</v>
      </c>
      <c r="H274" s="8">
        <v>45478</v>
      </c>
      <c r="I274" s="60"/>
      <c r="J274" s="51">
        <f t="shared" si="36"/>
        <v>30</v>
      </c>
      <c r="K274" s="51">
        <f t="shared" si="37"/>
        <v>31</v>
      </c>
      <c r="L274" s="51">
        <f t="shared" si="38"/>
        <v>30</v>
      </c>
      <c r="M274" s="52">
        <f t="shared" si="39"/>
        <v>31</v>
      </c>
      <c r="N274" s="51">
        <f t="shared" si="40"/>
        <v>31</v>
      </c>
      <c r="O274" s="51">
        <f t="shared" si="41"/>
        <v>30</v>
      </c>
      <c r="P274" s="51">
        <f t="shared" si="42"/>
        <v>31</v>
      </c>
      <c r="Q274" s="51">
        <f t="shared" si="43"/>
        <v>30</v>
      </c>
      <c r="R274" s="51">
        <f t="shared" si="44"/>
        <v>31</v>
      </c>
      <c r="S274" s="53">
        <f>IF(G274="事业部",LOOKUP(M274,基础设置!$T$2:$T$6,基础设置!$U$2:$U$6),IF(G274="总部",LOOKUP(M274,基础设置!$T$8:$T$13,基础设置!$V$8:$V$13),IF(G274="拓展部",LOOKUP(M274,基础设置!$T$8:$T$13,基础设置!$W$8:$W$13),5000)))</f>
        <v>4</v>
      </c>
    </row>
    <row r="275" spans="1:20" x14ac:dyDescent="0.15">
      <c r="A275" s="57">
        <v>274</v>
      </c>
      <c r="B275" s="7" t="s">
        <v>24</v>
      </c>
      <c r="C275" s="7" t="s">
        <v>383</v>
      </c>
      <c r="D275" s="7" t="s">
        <v>30</v>
      </c>
      <c r="E275" s="7" t="s">
        <v>389</v>
      </c>
      <c r="F275" s="7" t="s">
        <v>96</v>
      </c>
      <c r="G275" s="50" t="s">
        <v>9</v>
      </c>
      <c r="H275" s="8">
        <v>45525</v>
      </c>
      <c r="I275" s="60"/>
      <c r="J275" s="51">
        <f t="shared" si="36"/>
        <v>30</v>
      </c>
      <c r="K275" s="51">
        <f t="shared" si="37"/>
        <v>31</v>
      </c>
      <c r="L275" s="51">
        <f t="shared" si="38"/>
        <v>30</v>
      </c>
      <c r="M275" s="52">
        <f t="shared" si="39"/>
        <v>31</v>
      </c>
      <c r="N275" s="51">
        <f t="shared" si="40"/>
        <v>31</v>
      </c>
      <c r="O275" s="51">
        <f t="shared" si="41"/>
        <v>30</v>
      </c>
      <c r="P275" s="51">
        <f t="shared" si="42"/>
        <v>31</v>
      </c>
      <c r="Q275" s="51">
        <f t="shared" si="43"/>
        <v>30</v>
      </c>
      <c r="R275" s="51">
        <f t="shared" si="44"/>
        <v>31</v>
      </c>
      <c r="S275" s="53">
        <f>IF(G275="事业部",LOOKUP(M275,基础设置!$T$2:$T$6,基础设置!$U$2:$U$6),IF(G275="总部",LOOKUP(M275,基础设置!$T$8:$T$13,基础设置!$V$8:$V$13),IF(G275="拓展部",LOOKUP(M275,基础设置!$T$8:$T$13,基础设置!$W$8:$W$13),5000)))</f>
        <v>4</v>
      </c>
    </row>
    <row r="276" spans="1:20" x14ac:dyDescent="0.15">
      <c r="A276" s="57">
        <v>275</v>
      </c>
      <c r="B276" s="7" t="s">
        <v>33</v>
      </c>
      <c r="C276" s="7" t="s">
        <v>42</v>
      </c>
      <c r="D276" s="7" t="s">
        <v>30</v>
      </c>
      <c r="E276" s="7" t="s">
        <v>390</v>
      </c>
      <c r="F276" s="7" t="s">
        <v>96</v>
      </c>
      <c r="G276" s="50" t="s">
        <v>9</v>
      </c>
      <c r="H276" s="8">
        <v>44199</v>
      </c>
      <c r="I276" s="60"/>
      <c r="J276" s="51">
        <f t="shared" si="36"/>
        <v>30</v>
      </c>
      <c r="K276" s="51">
        <f t="shared" si="37"/>
        <v>31</v>
      </c>
      <c r="L276" s="51">
        <f t="shared" si="38"/>
        <v>30</v>
      </c>
      <c r="M276" s="52">
        <f t="shared" si="39"/>
        <v>31</v>
      </c>
      <c r="N276" s="51">
        <f t="shared" si="40"/>
        <v>31</v>
      </c>
      <c r="O276" s="51">
        <f t="shared" si="41"/>
        <v>30</v>
      </c>
      <c r="P276" s="51">
        <f t="shared" si="42"/>
        <v>31</v>
      </c>
      <c r="Q276" s="51">
        <f t="shared" si="43"/>
        <v>30</v>
      </c>
      <c r="R276" s="51">
        <f t="shared" si="44"/>
        <v>31</v>
      </c>
      <c r="S276" s="53">
        <f>IF(G276="事业部",LOOKUP(M276,基础设置!$T$2:$T$6,基础设置!$U$2:$U$6),IF(G276="总部",LOOKUP(M276,基础设置!$T$8:$T$13,基础设置!$V$8:$V$13),IF(G276="拓展部",LOOKUP(M276,基础设置!$T$8:$T$13,基础设置!$W$8:$W$13),5000)))</f>
        <v>4</v>
      </c>
    </row>
    <row r="277" spans="1:20" x14ac:dyDescent="0.15">
      <c r="A277" s="57">
        <v>276</v>
      </c>
      <c r="B277" s="7" t="s">
        <v>33</v>
      </c>
      <c r="C277" s="7" t="s">
        <v>383</v>
      </c>
      <c r="D277" s="7" t="s">
        <v>30</v>
      </c>
      <c r="E277" s="7" t="s">
        <v>391</v>
      </c>
      <c r="F277" s="7" t="s">
        <v>96</v>
      </c>
      <c r="G277" s="50" t="s">
        <v>9</v>
      </c>
      <c r="H277" s="8">
        <v>44543</v>
      </c>
      <c r="I277" s="60"/>
      <c r="J277" s="51">
        <f t="shared" si="36"/>
        <v>30</v>
      </c>
      <c r="K277" s="51">
        <f t="shared" si="37"/>
        <v>31</v>
      </c>
      <c r="L277" s="51">
        <f t="shared" si="38"/>
        <v>30</v>
      </c>
      <c r="M277" s="52">
        <f t="shared" si="39"/>
        <v>31</v>
      </c>
      <c r="N277" s="51">
        <f t="shared" si="40"/>
        <v>31</v>
      </c>
      <c r="O277" s="51">
        <f t="shared" si="41"/>
        <v>30</v>
      </c>
      <c r="P277" s="51">
        <f t="shared" si="42"/>
        <v>31</v>
      </c>
      <c r="Q277" s="51">
        <f t="shared" si="43"/>
        <v>30</v>
      </c>
      <c r="R277" s="51">
        <f t="shared" si="44"/>
        <v>31</v>
      </c>
      <c r="S277" s="53">
        <f>IF(G277="事业部",LOOKUP(M277,基础设置!$T$2:$T$6,基础设置!$U$2:$U$6),IF(G277="总部",LOOKUP(M277,基础设置!$T$8:$T$13,基础设置!$V$8:$V$13),IF(G277="拓展部",LOOKUP(M277,基础设置!$T$8:$T$13,基础设置!$W$8:$W$13),5000)))</f>
        <v>4</v>
      </c>
    </row>
    <row r="278" spans="1:20" x14ac:dyDescent="0.15">
      <c r="A278" s="57">
        <v>277</v>
      </c>
      <c r="B278" s="7" t="s">
        <v>33</v>
      </c>
      <c r="C278" s="7" t="s">
        <v>383</v>
      </c>
      <c r="D278" s="7" t="s">
        <v>30</v>
      </c>
      <c r="E278" s="7" t="s">
        <v>392</v>
      </c>
      <c r="F278" s="7" t="s">
        <v>96</v>
      </c>
      <c r="G278" s="50" t="s">
        <v>9</v>
      </c>
      <c r="H278" s="8">
        <v>45049</v>
      </c>
      <c r="I278" s="60"/>
      <c r="J278" s="51">
        <f t="shared" si="36"/>
        <v>30</v>
      </c>
      <c r="K278" s="51">
        <f t="shared" si="37"/>
        <v>31</v>
      </c>
      <c r="L278" s="51">
        <f t="shared" si="38"/>
        <v>30</v>
      </c>
      <c r="M278" s="52">
        <f t="shared" si="39"/>
        <v>31</v>
      </c>
      <c r="N278" s="51">
        <f t="shared" si="40"/>
        <v>31</v>
      </c>
      <c r="O278" s="51">
        <f t="shared" si="41"/>
        <v>30</v>
      </c>
      <c r="P278" s="51">
        <f t="shared" si="42"/>
        <v>31</v>
      </c>
      <c r="Q278" s="51">
        <f t="shared" si="43"/>
        <v>30</v>
      </c>
      <c r="R278" s="51">
        <f t="shared" si="44"/>
        <v>31</v>
      </c>
      <c r="S278" s="53">
        <f>IF(G278="事业部",LOOKUP(M278,基础设置!$T$2:$T$6,基础设置!$U$2:$U$6),IF(G278="总部",LOOKUP(M278,基础设置!$T$8:$T$13,基础设置!$V$8:$V$13),IF(G278="拓展部",LOOKUP(M278,基础设置!$T$8:$T$13,基础设置!$W$8:$W$13),5000)))</f>
        <v>4</v>
      </c>
    </row>
    <row r="279" spans="1:20" x14ac:dyDescent="0.15">
      <c r="A279" s="57">
        <v>278</v>
      </c>
      <c r="B279" s="7" t="s">
        <v>33</v>
      </c>
      <c r="C279" s="7" t="s">
        <v>383</v>
      </c>
      <c r="D279" s="7" t="s">
        <v>30</v>
      </c>
      <c r="E279" s="7" t="s">
        <v>393</v>
      </c>
      <c r="F279" s="7" t="s">
        <v>96</v>
      </c>
      <c r="G279" s="50" t="s">
        <v>9</v>
      </c>
      <c r="H279" s="8">
        <v>45344</v>
      </c>
      <c r="I279" s="60"/>
      <c r="J279" s="51">
        <f t="shared" si="36"/>
        <v>30</v>
      </c>
      <c r="K279" s="51">
        <f t="shared" si="37"/>
        <v>31</v>
      </c>
      <c r="L279" s="51">
        <f t="shared" si="38"/>
        <v>30</v>
      </c>
      <c r="M279" s="52">
        <f t="shared" si="39"/>
        <v>31</v>
      </c>
      <c r="N279" s="51">
        <f t="shared" si="40"/>
        <v>31</v>
      </c>
      <c r="O279" s="51">
        <f t="shared" si="41"/>
        <v>30</v>
      </c>
      <c r="P279" s="51">
        <f t="shared" si="42"/>
        <v>31</v>
      </c>
      <c r="Q279" s="51">
        <f t="shared" si="43"/>
        <v>30</v>
      </c>
      <c r="R279" s="51">
        <f t="shared" si="44"/>
        <v>31</v>
      </c>
      <c r="S279" s="53">
        <f>IF(G279="事业部",LOOKUP(M279,基础设置!$T$2:$T$6,基础设置!$U$2:$U$6),IF(G279="总部",LOOKUP(M279,基础设置!$T$8:$T$13,基础设置!$V$8:$V$13),IF(G279="拓展部",LOOKUP(M279,基础设置!$T$8:$T$13,基础设置!$W$8:$W$13),5000)))</f>
        <v>4</v>
      </c>
    </row>
    <row r="280" spans="1:20" x14ac:dyDescent="0.15">
      <c r="A280" s="57">
        <v>279</v>
      </c>
      <c r="B280" s="7" t="s">
        <v>33</v>
      </c>
      <c r="C280" s="7" t="s">
        <v>383</v>
      </c>
      <c r="D280" s="7" t="s">
        <v>30</v>
      </c>
      <c r="E280" s="7" t="s">
        <v>394</v>
      </c>
      <c r="F280" s="7" t="s">
        <v>96</v>
      </c>
      <c r="G280" s="50" t="s">
        <v>9</v>
      </c>
      <c r="H280" s="8">
        <v>45136</v>
      </c>
      <c r="I280" s="60"/>
      <c r="J280" s="51">
        <f t="shared" si="36"/>
        <v>30</v>
      </c>
      <c r="K280" s="51">
        <f t="shared" si="37"/>
        <v>31</v>
      </c>
      <c r="L280" s="51">
        <f t="shared" si="38"/>
        <v>30</v>
      </c>
      <c r="M280" s="52">
        <f t="shared" si="39"/>
        <v>31</v>
      </c>
      <c r="N280" s="51">
        <f t="shared" si="40"/>
        <v>31</v>
      </c>
      <c r="O280" s="51">
        <f t="shared" si="41"/>
        <v>30</v>
      </c>
      <c r="P280" s="51">
        <f t="shared" si="42"/>
        <v>31</v>
      </c>
      <c r="Q280" s="51">
        <f t="shared" si="43"/>
        <v>30</v>
      </c>
      <c r="R280" s="51">
        <f t="shared" si="44"/>
        <v>31</v>
      </c>
      <c r="S280" s="53">
        <f>IF(G280="事业部",LOOKUP(M280,基础设置!$T$2:$T$6,基础设置!$U$2:$U$6),IF(G280="总部",LOOKUP(M280,基础设置!$T$8:$T$13,基础设置!$V$8:$V$13),IF(G280="拓展部",LOOKUP(M280,基础设置!$T$8:$T$13,基础设置!$W$8:$W$13),5000)))</f>
        <v>4</v>
      </c>
    </row>
    <row r="281" spans="1:20" x14ac:dyDescent="0.15">
      <c r="A281" s="57">
        <v>280</v>
      </c>
      <c r="B281" s="7" t="s">
        <v>33</v>
      </c>
      <c r="C281" s="7" t="s">
        <v>383</v>
      </c>
      <c r="D281" s="7" t="s">
        <v>30</v>
      </c>
      <c r="E281" s="7" t="s">
        <v>395</v>
      </c>
      <c r="F281" s="7" t="s">
        <v>96</v>
      </c>
      <c r="G281" s="50" t="s">
        <v>9</v>
      </c>
      <c r="H281" s="8">
        <v>45524</v>
      </c>
      <c r="I281" s="60"/>
      <c r="J281" s="51">
        <f t="shared" si="36"/>
        <v>30</v>
      </c>
      <c r="K281" s="51">
        <f t="shared" si="37"/>
        <v>31</v>
      </c>
      <c r="L281" s="51">
        <f t="shared" si="38"/>
        <v>30</v>
      </c>
      <c r="M281" s="52">
        <f t="shared" si="39"/>
        <v>31</v>
      </c>
      <c r="N281" s="51">
        <f t="shared" si="40"/>
        <v>31</v>
      </c>
      <c r="O281" s="51">
        <f t="shared" si="41"/>
        <v>30</v>
      </c>
      <c r="P281" s="51">
        <f t="shared" si="42"/>
        <v>31</v>
      </c>
      <c r="Q281" s="51">
        <f t="shared" si="43"/>
        <v>30</v>
      </c>
      <c r="R281" s="51">
        <f t="shared" si="44"/>
        <v>31</v>
      </c>
      <c r="S281" s="53">
        <f>IF(G281="事业部",LOOKUP(M281,基础设置!$T$2:$T$6,基础设置!$U$2:$U$6),IF(G281="总部",LOOKUP(M281,基础设置!$T$8:$T$13,基础设置!$V$8:$V$13),IF(G281="拓展部",LOOKUP(M281,基础设置!$T$8:$T$13,基础设置!$W$8:$W$13),5000)))</f>
        <v>4</v>
      </c>
    </row>
    <row r="282" spans="1:20" x14ac:dyDescent="0.15">
      <c r="A282" s="57">
        <v>281</v>
      </c>
      <c r="B282" s="7" t="s">
        <v>18</v>
      </c>
      <c r="C282" s="7" t="s">
        <v>396</v>
      </c>
      <c r="E282" s="7" t="s">
        <v>397</v>
      </c>
      <c r="F282" s="7" t="s">
        <v>96</v>
      </c>
      <c r="G282" s="50" t="s">
        <v>9</v>
      </c>
      <c r="J282" s="51">
        <f t="shared" si="36"/>
        <v>30</v>
      </c>
      <c r="K282" s="51">
        <f t="shared" si="37"/>
        <v>31</v>
      </c>
      <c r="L282" s="51">
        <f t="shared" si="38"/>
        <v>30</v>
      </c>
      <c r="M282" s="52">
        <f t="shared" si="39"/>
        <v>31</v>
      </c>
      <c r="N282" s="51">
        <f t="shared" si="40"/>
        <v>31</v>
      </c>
      <c r="O282" s="51">
        <f t="shared" si="41"/>
        <v>30</v>
      </c>
      <c r="P282" s="51">
        <f t="shared" si="42"/>
        <v>31</v>
      </c>
      <c r="Q282" s="51">
        <f t="shared" si="43"/>
        <v>30</v>
      </c>
      <c r="R282" s="51">
        <f t="shared" si="44"/>
        <v>31</v>
      </c>
      <c r="S282" s="53">
        <f>IF(G282="事业部",LOOKUP(M282,基础设置!$T$2:$T$6,基础设置!$U$2:$U$6),IF(G282="总部",LOOKUP(M282,基础设置!$T$8:$T$13,基础设置!$V$8:$V$13),IF(G282="拓展部",LOOKUP(M282,基础设置!$T$8:$T$13,基础设置!$W$8:$W$13),5000)))</f>
        <v>4</v>
      </c>
      <c r="T282" s="53">
        <f>150*4</f>
        <v>600</v>
      </c>
    </row>
    <row r="283" spans="1:20" x14ac:dyDescent="0.15">
      <c r="A283" s="57">
        <v>282</v>
      </c>
      <c r="B283" s="7" t="s">
        <v>59</v>
      </c>
      <c r="C283" s="7" t="s">
        <v>396</v>
      </c>
      <c r="E283" s="7" t="s">
        <v>398</v>
      </c>
      <c r="F283" s="7" t="s">
        <v>96</v>
      </c>
      <c r="G283" s="50" t="s">
        <v>9</v>
      </c>
      <c r="J283" s="51">
        <f t="shared" si="36"/>
        <v>30</v>
      </c>
      <c r="K283" s="51">
        <f t="shared" si="37"/>
        <v>31</v>
      </c>
      <c r="L283" s="51">
        <f t="shared" si="38"/>
        <v>30</v>
      </c>
      <c r="M283" s="52">
        <f t="shared" si="39"/>
        <v>31</v>
      </c>
      <c r="N283" s="51">
        <f t="shared" si="40"/>
        <v>31</v>
      </c>
      <c r="O283" s="51">
        <f t="shared" si="41"/>
        <v>30</v>
      </c>
      <c r="P283" s="51">
        <f t="shared" si="42"/>
        <v>31</v>
      </c>
      <c r="Q283" s="51">
        <f t="shared" si="43"/>
        <v>30</v>
      </c>
      <c r="R283" s="51">
        <f t="shared" si="44"/>
        <v>31</v>
      </c>
      <c r="S283" s="53">
        <f>IF(G283="事业部",LOOKUP(M283,基础设置!$T$2:$T$6,基础设置!$U$2:$U$6),IF(G283="总部",LOOKUP(M283,基础设置!$T$8:$T$13,基础设置!$V$8:$V$13),IF(G283="拓展部",LOOKUP(M283,基础设置!$T$8:$T$13,基础设置!$W$8:$W$13),5000)))</f>
        <v>4</v>
      </c>
      <c r="T283" s="53">
        <f>1400/31*31</f>
        <v>1400</v>
      </c>
    </row>
    <row r="284" spans="1:20" x14ac:dyDescent="0.15">
      <c r="A284" s="57">
        <v>283</v>
      </c>
      <c r="B284" s="57" t="s">
        <v>55</v>
      </c>
      <c r="C284" s="7" t="s">
        <v>396</v>
      </c>
      <c r="E284" s="7" t="s">
        <v>399</v>
      </c>
      <c r="F284" s="7" t="s">
        <v>96</v>
      </c>
      <c r="G284" s="50" t="s">
        <v>9</v>
      </c>
      <c r="J284" s="51">
        <f t="shared" si="36"/>
        <v>30</v>
      </c>
      <c r="K284" s="51">
        <f t="shared" si="37"/>
        <v>31</v>
      </c>
      <c r="L284" s="51">
        <f t="shared" si="38"/>
        <v>30</v>
      </c>
      <c r="M284" s="52">
        <f t="shared" si="39"/>
        <v>31</v>
      </c>
      <c r="N284" s="51">
        <f t="shared" si="40"/>
        <v>31</v>
      </c>
      <c r="O284" s="51">
        <f t="shared" si="41"/>
        <v>30</v>
      </c>
      <c r="P284" s="51">
        <f t="shared" si="42"/>
        <v>31</v>
      </c>
      <c r="Q284" s="51">
        <f t="shared" si="43"/>
        <v>30</v>
      </c>
      <c r="R284" s="51">
        <f t="shared" si="44"/>
        <v>31</v>
      </c>
      <c r="S284" s="53">
        <f>IF(G284="事业部",LOOKUP(M284,基础设置!$T$2:$T$6,基础设置!$U$2:$U$6),IF(G284="总部",LOOKUP(M284,基础设置!$T$8:$T$13,基础设置!$V$8:$V$13),IF(G284="拓展部",LOOKUP(M284,基础设置!$T$8:$T$13,基础设置!$W$8:$W$13),5000)))</f>
        <v>4</v>
      </c>
      <c r="T284" s="53">
        <f>1000/31*31</f>
        <v>1000</v>
      </c>
    </row>
    <row r="285" spans="1:20" x14ac:dyDescent="0.15">
      <c r="A285" s="57">
        <v>284</v>
      </c>
      <c r="B285" s="7">
        <v>468</v>
      </c>
      <c r="C285" s="7" t="s">
        <v>396</v>
      </c>
      <c r="E285" s="7" t="s">
        <v>399</v>
      </c>
      <c r="F285" s="7" t="s">
        <v>96</v>
      </c>
      <c r="G285" s="50" t="s">
        <v>9</v>
      </c>
      <c r="J285" s="51">
        <f t="shared" si="36"/>
        <v>30</v>
      </c>
      <c r="K285" s="51">
        <f t="shared" si="37"/>
        <v>31</v>
      </c>
      <c r="L285" s="51">
        <f t="shared" si="38"/>
        <v>30</v>
      </c>
      <c r="M285" s="52">
        <f t="shared" si="39"/>
        <v>31</v>
      </c>
      <c r="N285" s="51">
        <f t="shared" si="40"/>
        <v>31</v>
      </c>
      <c r="O285" s="51">
        <f t="shared" si="41"/>
        <v>30</v>
      </c>
      <c r="P285" s="51">
        <f t="shared" si="42"/>
        <v>31</v>
      </c>
      <c r="Q285" s="51">
        <f t="shared" si="43"/>
        <v>30</v>
      </c>
      <c r="R285" s="51">
        <f t="shared" si="44"/>
        <v>31</v>
      </c>
      <c r="S285" s="53">
        <f>IF(G285="事业部",LOOKUP(M285,基础设置!$T$2:$T$6,基础设置!$U$2:$U$6),IF(G285="总部",LOOKUP(M285,基础设置!$T$8:$T$13,基础设置!$V$8:$V$13),IF(G285="拓展部",LOOKUP(M285,基础设置!$T$8:$T$13,基础设置!$W$8:$W$13),5000)))</f>
        <v>4</v>
      </c>
      <c r="T285" s="53">
        <f>1200/31*31</f>
        <v>1200</v>
      </c>
    </row>
    <row r="286" spans="1:20" x14ac:dyDescent="0.15">
      <c r="A286" s="57">
        <v>285</v>
      </c>
      <c r="B286" s="7" t="s">
        <v>48</v>
      </c>
      <c r="C286" s="7" t="s">
        <v>396</v>
      </c>
      <c r="E286" s="7" t="s">
        <v>400</v>
      </c>
      <c r="F286" s="7" t="s">
        <v>96</v>
      </c>
      <c r="G286" s="50" t="s">
        <v>9</v>
      </c>
      <c r="J286" s="51">
        <f t="shared" ref="J286:J314" si="45">MAX(0,MIN(IF(I286="",EOMONTH(DATE(YEAR($J$1),MONTH($J$1),1),0),I286),EOMONTH(DATE(YEAR($J$1),MONTH($J$1),1),0))-MAX(H286,DATE(YEAR($J$1),MONTH($J$1),1))+1)</f>
        <v>30</v>
      </c>
      <c r="K286" s="51">
        <f t="shared" ref="K286:K314" si="46">MAX(0,MIN(IF(I286="",EOMONTH(DATE(YEAR($K$1),MONTH($K$1),1),0),I286),EOMONTH(DATE(YEAR($K$1),MONTH($K$1),1),0))-MAX(H286,DATE(YEAR($K$1),MONTH($K$1),1))+1)</f>
        <v>31</v>
      </c>
      <c r="L286" s="51">
        <f t="shared" ref="L286:L314" si="47">MAX(0,MIN(IF(I286="",EOMONTH(DATE(YEAR($L$1),MONTH($L$1),1),0),I286),EOMONTH(DATE(YEAR($L$1),MONTH($L$1),1),0))-MAX(H286,DATE(YEAR($L$1),MONTH($L$1),1))+1)</f>
        <v>30</v>
      </c>
      <c r="M286" s="52">
        <f t="shared" ref="M286:M309" si="48">MAX(0,MIN(IF(I286="",EOMONTH(DATE(YEAR($M$1),MONTH($M$1),1),0),I286),EOMONTH(DATE(YEAR($M$1),MONTH($M$1),1),0))-MAX(H286,DATE(YEAR($M$1),MONTH($M$1),1))+1)</f>
        <v>31</v>
      </c>
      <c r="N286" s="51">
        <f t="shared" si="40"/>
        <v>31</v>
      </c>
      <c r="O286" s="51">
        <f t="shared" ref="O286:O314" si="49">MAX(0,MIN(IF(I286="",EOMONTH(DATE(YEAR($O$1),MONTH($O$1),1),0),I286),EOMONTH(DATE(YEAR($O$1),MONTH($O$1),1),0))-MAX(H286,DATE(YEAR($O$1),MONTH($O$1),1))+1)</f>
        <v>30</v>
      </c>
      <c r="P286" s="51">
        <f t="shared" ref="P286:P314" si="50">MAX(0,MIN(IF(I286="",EOMONTH(DATE(YEAR($P$1),MONTH($P$1),1),0),I286),EOMONTH(DATE(YEAR($P$1),MONTH($P$1),1),0))-MAX(H286,DATE(YEAR($P$1),MONTH($P$1),1))+1)</f>
        <v>31</v>
      </c>
      <c r="Q286" s="51">
        <f t="shared" ref="Q286:Q314" si="51">MAX(0,MIN(IF(I286="",EOMONTH(DATE(YEAR($Q$1),MONTH($Q$1),1),0),I286),EOMONTH(DATE(YEAR($Q$1),MONTH($Q$1),1),0))-MAX(H286,DATE(YEAR($Q$1),MONTH($Q$1),1))+1)</f>
        <v>30</v>
      </c>
      <c r="R286" s="51">
        <f t="shared" ref="R286:R314" si="52">MAX(0,MIN(IF(I286="",EOMONTH(DATE(YEAR($R$1),MONTH($R$1),1),0),I286),EOMONTH(DATE(YEAR($R$1),MONTH($R$1),1),0))-MAX(H286,DATE(YEAR($R$1),MONTH($R$1),1))+1)</f>
        <v>31</v>
      </c>
      <c r="S286" s="53">
        <f>IF(G286="事业部",LOOKUP(M286,基础设置!$T$2:$T$6,基础设置!$U$2:$U$6),IF(G286="总部",LOOKUP(M286,基础设置!$T$8:$T$13,基础设置!$V$8:$V$13),IF(G286="拓展部",LOOKUP(M286,基础设置!$T$8:$T$13,基础设置!$W$8:$W$13),5000)))</f>
        <v>4</v>
      </c>
      <c r="T286" s="53">
        <f>3200/31*31</f>
        <v>3200</v>
      </c>
    </row>
    <row r="287" spans="1:20" x14ac:dyDescent="0.15">
      <c r="A287" s="57">
        <v>286</v>
      </c>
      <c r="B287" s="7" t="s">
        <v>31</v>
      </c>
      <c r="C287" s="7" t="s">
        <v>396</v>
      </c>
      <c r="E287" s="7" t="s">
        <v>401</v>
      </c>
      <c r="F287" s="7" t="s">
        <v>96</v>
      </c>
      <c r="G287" s="50" t="s">
        <v>9</v>
      </c>
      <c r="J287" s="51">
        <f t="shared" si="45"/>
        <v>30</v>
      </c>
      <c r="K287" s="51">
        <f t="shared" si="46"/>
        <v>31</v>
      </c>
      <c r="L287" s="51">
        <f t="shared" si="47"/>
        <v>30</v>
      </c>
      <c r="M287" s="52">
        <f t="shared" si="48"/>
        <v>31</v>
      </c>
      <c r="N287" s="51">
        <f t="shared" si="40"/>
        <v>31</v>
      </c>
      <c r="O287" s="51">
        <f t="shared" si="49"/>
        <v>30</v>
      </c>
      <c r="P287" s="51">
        <f t="shared" si="50"/>
        <v>31</v>
      </c>
      <c r="Q287" s="51">
        <f t="shared" si="51"/>
        <v>30</v>
      </c>
      <c r="R287" s="51">
        <f t="shared" si="52"/>
        <v>31</v>
      </c>
      <c r="S287" s="53">
        <f>IF(G287="事业部",LOOKUP(M287,基础设置!$T$2:$T$6,基础设置!$U$2:$U$6),IF(G287="总部",LOOKUP(M287,基础设置!$T$8:$T$13,基础设置!$V$8:$V$13),IF(G287="拓展部",LOOKUP(M287,基础设置!$T$8:$T$13,基础设置!$W$8:$W$13),5000)))</f>
        <v>4</v>
      </c>
      <c r="T287" s="53">
        <f>3200/31*31</f>
        <v>3200</v>
      </c>
    </row>
    <row r="288" spans="1:20" x14ac:dyDescent="0.15">
      <c r="A288" s="57">
        <v>287</v>
      </c>
      <c r="B288" s="7" t="s">
        <v>38</v>
      </c>
      <c r="C288" s="7" t="s">
        <v>396</v>
      </c>
      <c r="E288" s="7" t="s">
        <v>402</v>
      </c>
      <c r="F288" s="7" t="s">
        <v>96</v>
      </c>
      <c r="G288" s="50" t="s">
        <v>9</v>
      </c>
      <c r="I288" s="8">
        <v>45828</v>
      </c>
      <c r="J288" s="51">
        <f t="shared" si="45"/>
        <v>30</v>
      </c>
      <c r="K288" s="51">
        <f t="shared" si="46"/>
        <v>31</v>
      </c>
      <c r="L288" s="51">
        <f t="shared" si="47"/>
        <v>20</v>
      </c>
      <c r="M288" s="52">
        <f t="shared" si="48"/>
        <v>0</v>
      </c>
      <c r="N288" s="51">
        <f t="shared" si="40"/>
        <v>0</v>
      </c>
      <c r="O288" s="51">
        <f t="shared" si="49"/>
        <v>0</v>
      </c>
      <c r="P288" s="51">
        <f t="shared" si="50"/>
        <v>0</v>
      </c>
      <c r="Q288" s="51">
        <f t="shared" si="51"/>
        <v>0</v>
      </c>
      <c r="R288" s="51">
        <f t="shared" si="52"/>
        <v>0</v>
      </c>
      <c r="S288" s="53">
        <f>IF(G288="事业部",LOOKUP(M288,基础设置!$T$2:$T$6,基础设置!$U$2:$U$6),IF(G288="总部",LOOKUP(M288,基础设置!$T$8:$T$13,基础设置!$V$8:$V$13),IF(G288="拓展部",LOOKUP(M288,基础设置!$T$8:$T$13,基础设置!$W$8:$W$13),5000)))</f>
        <v>0</v>
      </c>
    </row>
    <row r="289" spans="1:20" x14ac:dyDescent="0.15">
      <c r="A289" s="57">
        <v>288</v>
      </c>
      <c r="B289" s="7" t="s">
        <v>43</v>
      </c>
      <c r="C289" s="7" t="s">
        <v>396</v>
      </c>
      <c r="E289" s="7" t="s">
        <v>403</v>
      </c>
      <c r="F289" s="7" t="s">
        <v>96</v>
      </c>
      <c r="G289" s="50" t="s">
        <v>9</v>
      </c>
      <c r="J289" s="51">
        <f t="shared" si="45"/>
        <v>30</v>
      </c>
      <c r="K289" s="51">
        <f t="shared" si="46"/>
        <v>31</v>
      </c>
      <c r="L289" s="51">
        <f t="shared" si="47"/>
        <v>30</v>
      </c>
      <c r="M289" s="52">
        <f t="shared" si="48"/>
        <v>31</v>
      </c>
      <c r="N289" s="51">
        <f t="shared" si="40"/>
        <v>31</v>
      </c>
      <c r="O289" s="51">
        <f t="shared" si="49"/>
        <v>30</v>
      </c>
      <c r="P289" s="51">
        <f t="shared" si="50"/>
        <v>31</v>
      </c>
      <c r="Q289" s="51">
        <f t="shared" si="51"/>
        <v>30</v>
      </c>
      <c r="R289" s="51">
        <f t="shared" si="52"/>
        <v>31</v>
      </c>
      <c r="S289" s="53">
        <f>IF(G289="事业部",LOOKUP(M289,基础设置!$T$2:$T$6,基础设置!$U$2:$U$6),IF(G289="总部",LOOKUP(M289,基础设置!$T$8:$T$13,基础设置!$V$8:$V$13),IF(G289="拓展部",LOOKUP(M289,基础设置!$T$8:$T$13,基础设置!$W$8:$W$13),5000)))</f>
        <v>4</v>
      </c>
      <c r="T289" s="53">
        <f>1200/31*31</f>
        <v>1200</v>
      </c>
    </row>
    <row r="290" spans="1:20" x14ac:dyDescent="0.15">
      <c r="A290" s="57">
        <v>289</v>
      </c>
      <c r="B290" s="7" t="s">
        <v>57</v>
      </c>
      <c r="C290" s="7" t="s">
        <v>396</v>
      </c>
      <c r="E290" s="7" t="s">
        <v>404</v>
      </c>
      <c r="F290" s="7" t="s">
        <v>96</v>
      </c>
      <c r="G290" s="50" t="s">
        <v>9</v>
      </c>
      <c r="J290" s="51">
        <f t="shared" si="45"/>
        <v>30</v>
      </c>
      <c r="K290" s="51">
        <f t="shared" si="46"/>
        <v>31</v>
      </c>
      <c r="L290" s="51">
        <f t="shared" si="47"/>
        <v>30</v>
      </c>
      <c r="M290" s="52">
        <f t="shared" si="48"/>
        <v>31</v>
      </c>
      <c r="N290" s="51">
        <f t="shared" si="40"/>
        <v>31</v>
      </c>
      <c r="O290" s="51">
        <f t="shared" si="49"/>
        <v>30</v>
      </c>
      <c r="P290" s="51">
        <f t="shared" si="50"/>
        <v>31</v>
      </c>
      <c r="Q290" s="51">
        <f t="shared" si="51"/>
        <v>30</v>
      </c>
      <c r="R290" s="51">
        <f t="shared" si="52"/>
        <v>31</v>
      </c>
      <c r="S290" s="53">
        <f>IF(G290="事业部",LOOKUP(M290,基础设置!$T$2:$T$6,基础设置!$U$2:$U$6),IF(G290="总部",LOOKUP(M290,基础设置!$T$8:$T$13,基础设置!$V$8:$V$13),IF(G290="拓展部",LOOKUP(M290,基础设置!$T$8:$T$13,基础设置!$W$8:$W$13),5000)))</f>
        <v>4</v>
      </c>
      <c r="T290" s="53">
        <f>1200/31*31</f>
        <v>1200</v>
      </c>
    </row>
    <row r="291" spans="1:20" x14ac:dyDescent="0.15">
      <c r="A291" s="57">
        <v>290</v>
      </c>
      <c r="B291" s="7" t="s">
        <v>67</v>
      </c>
      <c r="C291" s="7" t="s">
        <v>396</v>
      </c>
      <c r="E291" s="7" t="s">
        <v>405</v>
      </c>
      <c r="F291" s="7" t="s">
        <v>96</v>
      </c>
      <c r="G291" s="50" t="s">
        <v>9</v>
      </c>
      <c r="J291" s="51">
        <f t="shared" si="45"/>
        <v>30</v>
      </c>
      <c r="K291" s="51">
        <f t="shared" si="46"/>
        <v>31</v>
      </c>
      <c r="L291" s="51">
        <f t="shared" si="47"/>
        <v>30</v>
      </c>
      <c r="M291" s="52">
        <f t="shared" si="48"/>
        <v>31</v>
      </c>
      <c r="N291" s="51">
        <f t="shared" si="40"/>
        <v>31</v>
      </c>
      <c r="O291" s="51">
        <f t="shared" si="49"/>
        <v>30</v>
      </c>
      <c r="P291" s="51">
        <f t="shared" si="50"/>
        <v>31</v>
      </c>
      <c r="Q291" s="51">
        <f t="shared" si="51"/>
        <v>30</v>
      </c>
      <c r="R291" s="51">
        <f t="shared" si="52"/>
        <v>31</v>
      </c>
      <c r="S291" s="53">
        <f>IF(G291="事业部",LOOKUP(M291,基础设置!$T$2:$T$6,基础设置!$U$2:$U$6),IF(G291="总部",LOOKUP(M291,基础设置!$T$8:$T$13,基础设置!$V$8:$V$13),IF(G291="拓展部",LOOKUP(M291,基础设置!$T$8:$T$13,基础设置!$W$8:$W$13),5000)))</f>
        <v>4</v>
      </c>
      <c r="T291" s="53">
        <f>1300/31*31</f>
        <v>1300</v>
      </c>
    </row>
    <row r="292" spans="1:20" x14ac:dyDescent="0.15">
      <c r="A292" s="57">
        <v>291</v>
      </c>
      <c r="B292" s="7" t="s">
        <v>81</v>
      </c>
      <c r="C292" s="7" t="s">
        <v>396</v>
      </c>
      <c r="E292" s="7" t="s">
        <v>406</v>
      </c>
      <c r="F292" s="7" t="s">
        <v>96</v>
      </c>
      <c r="G292" s="50" t="s">
        <v>9</v>
      </c>
      <c r="J292" s="51">
        <f t="shared" si="45"/>
        <v>30</v>
      </c>
      <c r="K292" s="51">
        <f t="shared" si="46"/>
        <v>31</v>
      </c>
      <c r="L292" s="51">
        <f t="shared" si="47"/>
        <v>30</v>
      </c>
      <c r="M292" s="52">
        <f t="shared" si="48"/>
        <v>31</v>
      </c>
      <c r="N292" s="51">
        <f t="shared" si="40"/>
        <v>31</v>
      </c>
      <c r="O292" s="51">
        <f t="shared" si="49"/>
        <v>30</v>
      </c>
      <c r="P292" s="51">
        <f t="shared" si="50"/>
        <v>31</v>
      </c>
      <c r="Q292" s="51">
        <f t="shared" si="51"/>
        <v>30</v>
      </c>
      <c r="R292" s="51">
        <f t="shared" si="52"/>
        <v>31</v>
      </c>
      <c r="S292" s="53">
        <f>IF(G292="事业部",LOOKUP(M292,基础设置!$T$2:$T$6,基础设置!$U$2:$U$6),IF(G292="总部",LOOKUP(M292,基础设置!$T$8:$T$13,基础设置!$V$8:$V$13),IF(G292="拓展部",LOOKUP(M292,基础设置!$T$8:$T$13,基础设置!$W$8:$W$13),5000)))</f>
        <v>4</v>
      </c>
      <c r="T292" s="53">
        <v>1000</v>
      </c>
    </row>
    <row r="293" spans="1:20" x14ac:dyDescent="0.15">
      <c r="A293" s="57">
        <v>292</v>
      </c>
      <c r="B293" s="7" t="s">
        <v>63</v>
      </c>
      <c r="C293" s="7" t="s">
        <v>396</v>
      </c>
      <c r="E293" s="7" t="s">
        <v>407</v>
      </c>
      <c r="F293" s="7" t="s">
        <v>96</v>
      </c>
      <c r="G293" s="50" t="s">
        <v>9</v>
      </c>
      <c r="J293" s="51">
        <f t="shared" si="45"/>
        <v>30</v>
      </c>
      <c r="K293" s="51">
        <f t="shared" si="46"/>
        <v>31</v>
      </c>
      <c r="L293" s="51">
        <f t="shared" si="47"/>
        <v>30</v>
      </c>
      <c r="M293" s="52">
        <f t="shared" si="48"/>
        <v>31</v>
      </c>
      <c r="N293" s="51">
        <f t="shared" si="40"/>
        <v>31</v>
      </c>
      <c r="O293" s="51">
        <f t="shared" si="49"/>
        <v>30</v>
      </c>
      <c r="P293" s="51">
        <f t="shared" si="50"/>
        <v>31</v>
      </c>
      <c r="Q293" s="51">
        <f t="shared" si="51"/>
        <v>30</v>
      </c>
      <c r="R293" s="51">
        <f t="shared" si="52"/>
        <v>31</v>
      </c>
      <c r="S293" s="53">
        <f>IF(G293="事业部",LOOKUP(M293,基础设置!$T$2:$T$6,基础设置!$U$2:$U$6),IF(G293="总部",LOOKUP(M293,基础设置!$T$8:$T$13,基础设置!$V$8:$V$13),IF(G293="拓展部",LOOKUP(M293,基础设置!$T$8:$T$13,基础设置!$W$8:$W$13),5000)))</f>
        <v>4</v>
      </c>
      <c r="T293" s="53">
        <f>40*8</f>
        <v>320</v>
      </c>
    </row>
    <row r="294" spans="1:20" x14ac:dyDescent="0.15">
      <c r="A294" s="57">
        <v>293</v>
      </c>
      <c r="B294" s="7" t="s">
        <v>68</v>
      </c>
      <c r="C294" s="7" t="s">
        <v>396</v>
      </c>
      <c r="E294" s="7" t="s">
        <v>408</v>
      </c>
      <c r="F294" s="7" t="s">
        <v>96</v>
      </c>
      <c r="G294" s="50" t="s">
        <v>9</v>
      </c>
      <c r="J294" s="51">
        <f t="shared" si="45"/>
        <v>30</v>
      </c>
      <c r="K294" s="51">
        <f t="shared" si="46"/>
        <v>31</v>
      </c>
      <c r="L294" s="51">
        <f t="shared" si="47"/>
        <v>30</v>
      </c>
      <c r="M294" s="52">
        <f t="shared" si="48"/>
        <v>31</v>
      </c>
      <c r="N294" s="51">
        <f t="shared" si="40"/>
        <v>31</v>
      </c>
      <c r="O294" s="51">
        <f t="shared" si="49"/>
        <v>30</v>
      </c>
      <c r="P294" s="51">
        <f t="shared" si="50"/>
        <v>31</v>
      </c>
      <c r="Q294" s="51">
        <f t="shared" si="51"/>
        <v>30</v>
      </c>
      <c r="R294" s="51">
        <f t="shared" si="52"/>
        <v>31</v>
      </c>
      <c r="S294" s="53">
        <f>IF(G294="事业部",LOOKUP(M294,基础设置!$T$2:$T$6,基础设置!$U$2:$U$6),IF(G294="总部",LOOKUP(M294,基础设置!$T$8:$T$13,基础设置!$V$8:$V$13),IF(G294="拓展部",LOOKUP(M294,基础设置!$T$8:$T$13,基础设置!$W$8:$W$13),5000)))</f>
        <v>4</v>
      </c>
      <c r="T294" s="53">
        <f>3000/31*30</f>
        <v>2903.22580645161</v>
      </c>
    </row>
    <row r="295" spans="1:20" x14ac:dyDescent="0.15">
      <c r="A295" s="57">
        <v>294</v>
      </c>
      <c r="B295" s="7" t="s">
        <v>70</v>
      </c>
      <c r="C295" s="7" t="s">
        <v>396</v>
      </c>
      <c r="E295" s="7" t="s">
        <v>409</v>
      </c>
      <c r="F295" s="7" t="s">
        <v>96</v>
      </c>
      <c r="G295" s="50" t="s">
        <v>9</v>
      </c>
      <c r="J295" s="51">
        <f t="shared" si="45"/>
        <v>30</v>
      </c>
      <c r="K295" s="51">
        <f t="shared" si="46"/>
        <v>31</v>
      </c>
      <c r="L295" s="51">
        <f t="shared" si="47"/>
        <v>30</v>
      </c>
      <c r="M295" s="52">
        <f t="shared" si="48"/>
        <v>31</v>
      </c>
      <c r="N295" s="51">
        <f t="shared" si="40"/>
        <v>31</v>
      </c>
      <c r="O295" s="51">
        <f t="shared" si="49"/>
        <v>30</v>
      </c>
      <c r="P295" s="51">
        <f t="shared" si="50"/>
        <v>31</v>
      </c>
      <c r="Q295" s="51">
        <f t="shared" si="51"/>
        <v>30</v>
      </c>
      <c r="R295" s="51">
        <f t="shared" si="52"/>
        <v>31</v>
      </c>
      <c r="S295" s="53">
        <f>IF(G295="事业部",LOOKUP(M295,基础设置!$T$2:$T$6,基础设置!$U$2:$U$6),IF(G295="总部",LOOKUP(M295,基础设置!$T$8:$T$13,基础设置!$V$8:$V$13),IF(G295="拓展部",LOOKUP(M295,基础设置!$T$8:$T$13,基础设置!$W$8:$W$13),5000)))</f>
        <v>4</v>
      </c>
      <c r="T295" s="53">
        <f>1200/31*31</f>
        <v>1200</v>
      </c>
    </row>
    <row r="296" spans="1:20" x14ac:dyDescent="0.15">
      <c r="A296" s="57">
        <v>295</v>
      </c>
      <c r="B296" s="7" t="s">
        <v>69</v>
      </c>
      <c r="C296" s="7" t="s">
        <v>396</v>
      </c>
      <c r="E296" s="7" t="s">
        <v>410</v>
      </c>
      <c r="F296" s="7" t="s">
        <v>96</v>
      </c>
      <c r="G296" s="50" t="s">
        <v>9</v>
      </c>
      <c r="J296" s="51">
        <f t="shared" si="45"/>
        <v>30</v>
      </c>
      <c r="K296" s="51">
        <f t="shared" si="46"/>
        <v>31</v>
      </c>
      <c r="L296" s="51">
        <f t="shared" si="47"/>
        <v>30</v>
      </c>
      <c r="M296" s="52">
        <f t="shared" si="48"/>
        <v>31</v>
      </c>
      <c r="N296" s="51">
        <f t="shared" si="40"/>
        <v>31</v>
      </c>
      <c r="O296" s="51">
        <f t="shared" si="49"/>
        <v>30</v>
      </c>
      <c r="P296" s="51">
        <f t="shared" si="50"/>
        <v>31</v>
      </c>
      <c r="Q296" s="51">
        <f t="shared" si="51"/>
        <v>30</v>
      </c>
      <c r="R296" s="51">
        <f t="shared" si="52"/>
        <v>31</v>
      </c>
      <c r="S296" s="53">
        <f>IF(G296="事业部",LOOKUP(M296,基础设置!$T$2:$T$6,基础设置!$U$2:$U$6),IF(G296="总部",LOOKUP(M296,基础设置!$T$8:$T$13,基础设置!$V$8:$V$13),IF(G296="拓展部",LOOKUP(M296,基础设置!$T$8:$T$13,基础设置!$W$8:$W$13),5000)))</f>
        <v>4</v>
      </c>
      <c r="T296" s="53">
        <f>1300/31*31</f>
        <v>1300</v>
      </c>
    </row>
    <row r="297" spans="1:20" x14ac:dyDescent="0.15">
      <c r="A297" s="57">
        <v>296</v>
      </c>
      <c r="B297" s="7" t="s">
        <v>71</v>
      </c>
      <c r="C297" s="7" t="s">
        <v>396</v>
      </c>
      <c r="E297" s="7" t="s">
        <v>411</v>
      </c>
      <c r="F297" s="7" t="s">
        <v>96</v>
      </c>
      <c r="G297" s="50" t="s">
        <v>9</v>
      </c>
      <c r="J297" s="51">
        <f t="shared" si="45"/>
        <v>30</v>
      </c>
      <c r="K297" s="51">
        <f t="shared" si="46"/>
        <v>31</v>
      </c>
      <c r="L297" s="51">
        <f t="shared" si="47"/>
        <v>30</v>
      </c>
      <c r="M297" s="52">
        <f t="shared" si="48"/>
        <v>31</v>
      </c>
      <c r="N297" s="51">
        <f t="shared" si="40"/>
        <v>31</v>
      </c>
      <c r="O297" s="51">
        <f t="shared" si="49"/>
        <v>30</v>
      </c>
      <c r="P297" s="51">
        <f t="shared" si="50"/>
        <v>31</v>
      </c>
      <c r="Q297" s="51">
        <f t="shared" si="51"/>
        <v>30</v>
      </c>
      <c r="R297" s="51">
        <f t="shared" si="52"/>
        <v>31</v>
      </c>
      <c r="S297" s="53">
        <f>IF(G297="事业部",LOOKUP(M297,基础设置!$T$2:$T$6,基础设置!$U$2:$U$6),IF(G297="总部",LOOKUP(M297,基础设置!$T$8:$T$13,基础设置!$V$8:$V$13),IF(G297="拓展部",LOOKUP(M297,基础设置!$T$8:$T$13,基础设置!$W$8:$W$13),5000)))</f>
        <v>4</v>
      </c>
      <c r="T297" s="53">
        <f>1200/31*31</f>
        <v>1200</v>
      </c>
    </row>
    <row r="298" spans="1:20" x14ac:dyDescent="0.15">
      <c r="A298" s="57">
        <v>297</v>
      </c>
      <c r="B298" s="7" t="s">
        <v>73</v>
      </c>
      <c r="C298" s="7" t="s">
        <v>396</v>
      </c>
      <c r="E298" s="7" t="s">
        <v>412</v>
      </c>
      <c r="F298" s="7" t="s">
        <v>96</v>
      </c>
      <c r="G298" s="50" t="s">
        <v>9</v>
      </c>
      <c r="J298" s="51">
        <f t="shared" si="45"/>
        <v>30</v>
      </c>
      <c r="K298" s="51">
        <f t="shared" si="46"/>
        <v>31</v>
      </c>
      <c r="L298" s="51">
        <f t="shared" si="47"/>
        <v>30</v>
      </c>
      <c r="M298" s="52">
        <f t="shared" si="48"/>
        <v>31</v>
      </c>
      <c r="N298" s="51">
        <f t="shared" si="40"/>
        <v>31</v>
      </c>
      <c r="O298" s="51">
        <f t="shared" si="49"/>
        <v>30</v>
      </c>
      <c r="P298" s="51">
        <f t="shared" si="50"/>
        <v>31</v>
      </c>
      <c r="Q298" s="51">
        <f t="shared" si="51"/>
        <v>30</v>
      </c>
      <c r="R298" s="51">
        <f t="shared" si="52"/>
        <v>31</v>
      </c>
      <c r="S298" s="53">
        <f>IF(G298="事业部",LOOKUP(M298,基础设置!$T$2:$T$6,基础设置!$U$2:$U$6),IF(G298="总部",LOOKUP(M298,基础设置!$T$8:$T$13,基础设置!$V$8:$V$13),IF(G298="拓展部",LOOKUP(M298,基础设置!$T$8:$T$13,基础设置!$W$8:$W$13),5000)))</f>
        <v>4</v>
      </c>
      <c r="T298" s="53">
        <f>1200/31*31</f>
        <v>1200</v>
      </c>
    </row>
    <row r="299" spans="1:20" x14ac:dyDescent="0.15">
      <c r="A299" s="57">
        <v>298</v>
      </c>
      <c r="B299" s="7" t="s">
        <v>53</v>
      </c>
      <c r="C299" s="7" t="s">
        <v>396</v>
      </c>
      <c r="E299" s="7" t="s">
        <v>413</v>
      </c>
      <c r="F299" s="7" t="s">
        <v>96</v>
      </c>
      <c r="G299" s="50" t="s">
        <v>9</v>
      </c>
      <c r="J299" s="51">
        <f t="shared" si="45"/>
        <v>30</v>
      </c>
      <c r="K299" s="51">
        <f t="shared" si="46"/>
        <v>31</v>
      </c>
      <c r="L299" s="51">
        <f t="shared" si="47"/>
        <v>30</v>
      </c>
      <c r="M299" s="52">
        <f t="shared" si="48"/>
        <v>31</v>
      </c>
      <c r="N299" s="51">
        <f t="shared" si="40"/>
        <v>31</v>
      </c>
      <c r="O299" s="51">
        <f t="shared" si="49"/>
        <v>30</v>
      </c>
      <c r="P299" s="51">
        <f t="shared" si="50"/>
        <v>31</v>
      </c>
      <c r="Q299" s="51">
        <f t="shared" si="51"/>
        <v>30</v>
      </c>
      <c r="R299" s="51">
        <f t="shared" si="52"/>
        <v>31</v>
      </c>
      <c r="S299" s="53">
        <f>IF(G299="事业部",LOOKUP(M299,基础设置!$T$2:$T$6,基础设置!$U$2:$U$6),IF(G299="总部",LOOKUP(M299,基础设置!$T$8:$T$13,基础设置!$V$8:$V$13),IF(G299="拓展部",LOOKUP(M299,基础设置!$T$8:$T$13,基础设置!$W$8:$W$13),5000)))</f>
        <v>4</v>
      </c>
      <c r="T299" s="53">
        <f>1400/31*31</f>
        <v>1400</v>
      </c>
    </row>
    <row r="300" spans="1:20" x14ac:dyDescent="0.15">
      <c r="A300" s="57">
        <v>299</v>
      </c>
      <c r="B300" s="7" t="s">
        <v>72</v>
      </c>
      <c r="C300" s="7" t="s">
        <v>396</v>
      </c>
      <c r="E300" s="7" t="s">
        <v>414</v>
      </c>
      <c r="F300" s="7" t="s">
        <v>96</v>
      </c>
      <c r="G300" s="50" t="s">
        <v>9</v>
      </c>
      <c r="J300" s="51">
        <f t="shared" si="45"/>
        <v>30</v>
      </c>
      <c r="K300" s="51">
        <f t="shared" si="46"/>
        <v>31</v>
      </c>
      <c r="L300" s="51">
        <f t="shared" si="47"/>
        <v>30</v>
      </c>
      <c r="M300" s="52">
        <f t="shared" si="48"/>
        <v>31</v>
      </c>
      <c r="N300" s="51">
        <f t="shared" si="40"/>
        <v>31</v>
      </c>
      <c r="O300" s="51">
        <f t="shared" si="49"/>
        <v>30</v>
      </c>
      <c r="P300" s="51">
        <f t="shared" si="50"/>
        <v>31</v>
      </c>
      <c r="Q300" s="51">
        <f t="shared" si="51"/>
        <v>30</v>
      </c>
      <c r="R300" s="51">
        <f t="shared" si="52"/>
        <v>31</v>
      </c>
      <c r="S300" s="53">
        <f>IF(G300="事业部",LOOKUP(M300,基础设置!$T$2:$T$6,基础设置!$U$2:$U$6),IF(G300="总部",LOOKUP(M300,基础设置!$T$8:$T$13,基础设置!$V$8:$V$13),IF(G300="拓展部",LOOKUP(M300,基础设置!$T$8:$T$13,基础设置!$W$8:$W$13),5000)))</f>
        <v>4</v>
      </c>
      <c r="T300" s="53">
        <f>1500/31*31</f>
        <v>1500</v>
      </c>
    </row>
    <row r="301" spans="1:20" x14ac:dyDescent="0.15">
      <c r="A301" s="57">
        <v>300</v>
      </c>
      <c r="B301" s="7" t="s">
        <v>74</v>
      </c>
      <c r="C301" s="7" t="s">
        <v>396</v>
      </c>
      <c r="E301" s="7" t="s">
        <v>415</v>
      </c>
      <c r="F301" s="7" t="s">
        <v>96</v>
      </c>
      <c r="G301" s="50" t="s">
        <v>9</v>
      </c>
      <c r="J301" s="51">
        <f t="shared" si="45"/>
        <v>30</v>
      </c>
      <c r="K301" s="51">
        <f t="shared" si="46"/>
        <v>31</v>
      </c>
      <c r="L301" s="51">
        <f t="shared" si="47"/>
        <v>30</v>
      </c>
      <c r="M301" s="52">
        <f t="shared" si="48"/>
        <v>31</v>
      </c>
      <c r="N301" s="51">
        <f t="shared" si="40"/>
        <v>31</v>
      </c>
      <c r="O301" s="51">
        <f t="shared" si="49"/>
        <v>30</v>
      </c>
      <c r="P301" s="51">
        <f t="shared" si="50"/>
        <v>31</v>
      </c>
      <c r="Q301" s="51">
        <f t="shared" si="51"/>
        <v>30</v>
      </c>
      <c r="R301" s="51">
        <f t="shared" si="52"/>
        <v>31</v>
      </c>
      <c r="S301" s="53">
        <f>IF(G301="事业部",LOOKUP(M301,基础设置!$T$2:$T$6,基础设置!$U$2:$U$6),IF(G301="总部",LOOKUP(M301,基础设置!$T$8:$T$13,基础设置!$V$8:$V$13),IF(G301="拓展部",LOOKUP(M301,基础设置!$T$8:$T$13,基础设置!$W$8:$W$13),5000)))</f>
        <v>4</v>
      </c>
      <c r="T301" s="53">
        <f>1400/31*31</f>
        <v>1400</v>
      </c>
    </row>
    <row r="302" spans="1:20" x14ac:dyDescent="0.15">
      <c r="A302" s="57">
        <v>301</v>
      </c>
      <c r="B302" s="7" t="s">
        <v>22</v>
      </c>
      <c r="C302" s="7" t="s">
        <v>396</v>
      </c>
      <c r="E302" s="7" t="s">
        <v>416</v>
      </c>
      <c r="F302" s="7" t="s">
        <v>96</v>
      </c>
      <c r="G302" s="50" t="s">
        <v>9</v>
      </c>
      <c r="J302" s="51">
        <f t="shared" si="45"/>
        <v>30</v>
      </c>
      <c r="K302" s="51">
        <f t="shared" si="46"/>
        <v>31</v>
      </c>
      <c r="L302" s="51">
        <f t="shared" si="47"/>
        <v>30</v>
      </c>
      <c r="M302" s="52">
        <f t="shared" si="48"/>
        <v>31</v>
      </c>
      <c r="N302" s="51">
        <f t="shared" si="40"/>
        <v>31</v>
      </c>
      <c r="O302" s="51">
        <f t="shared" si="49"/>
        <v>30</v>
      </c>
      <c r="P302" s="51">
        <f t="shared" si="50"/>
        <v>31</v>
      </c>
      <c r="Q302" s="51">
        <f t="shared" si="51"/>
        <v>30</v>
      </c>
      <c r="R302" s="51">
        <f t="shared" si="52"/>
        <v>31</v>
      </c>
      <c r="S302" s="53">
        <f>IF(G302="事业部",LOOKUP(M302,基础设置!$T$2:$T$6,基础设置!$U$2:$U$6),IF(G302="总部",LOOKUP(M302,基础设置!$T$8:$T$13,基础设置!$V$8:$V$13),IF(G302="拓展部",LOOKUP(M302,基础设置!$T$8:$T$13,基础设置!$W$8:$W$13),5000)))</f>
        <v>4</v>
      </c>
      <c r="T302" s="53">
        <f>1300/31*31</f>
        <v>1300</v>
      </c>
    </row>
    <row r="303" spans="1:20" x14ac:dyDescent="0.15">
      <c r="A303" s="57">
        <v>302</v>
      </c>
      <c r="B303" s="7" t="s">
        <v>76</v>
      </c>
      <c r="C303" s="7" t="s">
        <v>396</v>
      </c>
      <c r="E303" s="7" t="s">
        <v>417</v>
      </c>
      <c r="F303" s="7" t="s">
        <v>96</v>
      </c>
      <c r="G303" s="50" t="s">
        <v>9</v>
      </c>
      <c r="J303" s="51">
        <f t="shared" si="45"/>
        <v>30</v>
      </c>
      <c r="K303" s="51">
        <f t="shared" si="46"/>
        <v>31</v>
      </c>
      <c r="L303" s="51">
        <f t="shared" si="47"/>
        <v>30</v>
      </c>
      <c r="M303" s="52">
        <f t="shared" si="48"/>
        <v>31</v>
      </c>
      <c r="N303" s="51">
        <f t="shared" si="40"/>
        <v>31</v>
      </c>
      <c r="O303" s="51">
        <f t="shared" si="49"/>
        <v>30</v>
      </c>
      <c r="P303" s="51">
        <f t="shared" si="50"/>
        <v>31</v>
      </c>
      <c r="Q303" s="51">
        <f t="shared" si="51"/>
        <v>30</v>
      </c>
      <c r="R303" s="51">
        <f t="shared" si="52"/>
        <v>31</v>
      </c>
      <c r="S303" s="53">
        <f>IF(G303="事业部",LOOKUP(M303,基础设置!$T$2:$T$6,基础设置!$U$2:$U$6),IF(G303="总部",LOOKUP(M303,基础设置!$T$8:$T$13,基础设置!$V$8:$V$13),IF(G303="拓展部",LOOKUP(M303,基础设置!$T$8:$T$13,基础设置!$W$8:$W$13),5000)))</f>
        <v>4</v>
      </c>
      <c r="T303" s="53">
        <f>1200/31*31</f>
        <v>1200</v>
      </c>
    </row>
    <row r="304" spans="1:20" x14ac:dyDescent="0.15">
      <c r="A304" s="57">
        <v>303</v>
      </c>
      <c r="B304" s="7" t="s">
        <v>77</v>
      </c>
      <c r="C304" s="7" t="s">
        <v>396</v>
      </c>
      <c r="E304" s="7" t="s">
        <v>418</v>
      </c>
      <c r="F304" s="7" t="s">
        <v>96</v>
      </c>
      <c r="G304" s="50" t="s">
        <v>9</v>
      </c>
      <c r="J304" s="51">
        <f t="shared" si="45"/>
        <v>30</v>
      </c>
      <c r="K304" s="51">
        <f t="shared" si="46"/>
        <v>31</v>
      </c>
      <c r="L304" s="51">
        <f t="shared" si="47"/>
        <v>30</v>
      </c>
      <c r="M304" s="52">
        <f t="shared" si="48"/>
        <v>31</v>
      </c>
      <c r="N304" s="51">
        <f t="shared" si="40"/>
        <v>31</v>
      </c>
      <c r="O304" s="51">
        <f t="shared" si="49"/>
        <v>30</v>
      </c>
      <c r="P304" s="51">
        <f t="shared" si="50"/>
        <v>31</v>
      </c>
      <c r="Q304" s="51">
        <f t="shared" si="51"/>
        <v>30</v>
      </c>
      <c r="R304" s="51">
        <f t="shared" si="52"/>
        <v>31</v>
      </c>
      <c r="S304" s="53">
        <f>IF(G304="事业部",LOOKUP(M304,基础设置!$T$2:$T$6,基础设置!$U$2:$U$6),IF(G304="总部",LOOKUP(M304,基础设置!$T$8:$T$13,基础设置!$V$8:$V$13),IF(G304="拓展部",LOOKUP(M304,基础设置!$T$8:$T$13,基础设置!$W$8:$W$13),5000)))</f>
        <v>4</v>
      </c>
      <c r="T304" s="53">
        <f>1100/31*31</f>
        <v>1100</v>
      </c>
    </row>
    <row r="305" spans="1:20" x14ac:dyDescent="0.15">
      <c r="A305" s="57">
        <v>304</v>
      </c>
      <c r="B305" s="7" t="s">
        <v>78</v>
      </c>
      <c r="C305" s="7" t="s">
        <v>396</v>
      </c>
      <c r="E305" s="7" t="s">
        <v>419</v>
      </c>
      <c r="F305" s="7" t="s">
        <v>96</v>
      </c>
      <c r="G305" s="50" t="s">
        <v>9</v>
      </c>
      <c r="J305" s="51">
        <f t="shared" si="45"/>
        <v>30</v>
      </c>
      <c r="K305" s="51">
        <f t="shared" si="46"/>
        <v>31</v>
      </c>
      <c r="L305" s="51">
        <f t="shared" si="47"/>
        <v>30</v>
      </c>
      <c r="M305" s="52">
        <f t="shared" si="48"/>
        <v>31</v>
      </c>
      <c r="N305" s="51">
        <f t="shared" si="40"/>
        <v>31</v>
      </c>
      <c r="O305" s="51">
        <f t="shared" si="49"/>
        <v>30</v>
      </c>
      <c r="P305" s="51">
        <f t="shared" si="50"/>
        <v>31</v>
      </c>
      <c r="Q305" s="51">
        <f t="shared" si="51"/>
        <v>30</v>
      </c>
      <c r="R305" s="51">
        <f t="shared" si="52"/>
        <v>31</v>
      </c>
      <c r="S305" s="53">
        <f>IF(G305="事业部",LOOKUP(M305,基础设置!$T$2:$T$6,基础设置!$U$2:$U$6),IF(G305="总部",LOOKUP(M305,基础设置!$T$8:$T$13,基础设置!$V$8:$V$13),IF(G305="拓展部",LOOKUP(M305,基础设置!$T$8:$T$13,基础设置!$W$8:$W$13),5000)))</f>
        <v>4</v>
      </c>
      <c r="T305" s="53">
        <f>1400/31*31</f>
        <v>1400</v>
      </c>
    </row>
    <row r="306" spans="1:20" x14ac:dyDescent="0.15">
      <c r="A306" s="57">
        <v>305</v>
      </c>
      <c r="B306" s="7" t="s">
        <v>75</v>
      </c>
      <c r="C306" s="7" t="s">
        <v>396</v>
      </c>
      <c r="E306" s="7" t="s">
        <v>420</v>
      </c>
      <c r="F306" s="7" t="s">
        <v>96</v>
      </c>
      <c r="G306" s="50" t="s">
        <v>9</v>
      </c>
      <c r="J306" s="51">
        <f t="shared" si="45"/>
        <v>30</v>
      </c>
      <c r="K306" s="51">
        <f t="shared" si="46"/>
        <v>31</v>
      </c>
      <c r="L306" s="51">
        <f t="shared" si="47"/>
        <v>30</v>
      </c>
      <c r="M306" s="52">
        <f t="shared" si="48"/>
        <v>31</v>
      </c>
      <c r="N306" s="51">
        <f t="shared" si="40"/>
        <v>31</v>
      </c>
      <c r="O306" s="51">
        <f t="shared" si="49"/>
        <v>30</v>
      </c>
      <c r="P306" s="51">
        <f t="shared" si="50"/>
        <v>31</v>
      </c>
      <c r="Q306" s="51">
        <f t="shared" si="51"/>
        <v>30</v>
      </c>
      <c r="R306" s="51">
        <f t="shared" si="52"/>
        <v>31</v>
      </c>
      <c r="S306" s="53">
        <f>IF(G306="事业部",LOOKUP(M306,基础设置!$T$2:$T$6,基础设置!$U$2:$U$6),IF(G306="总部",LOOKUP(M306,基础设置!$T$8:$T$13,基础设置!$V$8:$V$13),IF(G306="拓展部",LOOKUP(M306,基础设置!$T$8:$T$13,基础设置!$W$8:$W$13),5000)))</f>
        <v>4</v>
      </c>
      <c r="T306" s="53">
        <f>1600/31*28</f>
        <v>1445.16129032258</v>
      </c>
    </row>
    <row r="307" spans="1:20" x14ac:dyDescent="0.15">
      <c r="A307" s="57">
        <v>306</v>
      </c>
      <c r="B307" s="7" t="s">
        <v>65</v>
      </c>
      <c r="C307" s="7" t="s">
        <v>396</v>
      </c>
      <c r="E307" s="7" t="s">
        <v>421</v>
      </c>
      <c r="F307" s="7" t="s">
        <v>96</v>
      </c>
      <c r="G307" s="50" t="s">
        <v>9</v>
      </c>
      <c r="H307" s="63"/>
      <c r="I307" s="63"/>
      <c r="J307" s="51">
        <f t="shared" si="45"/>
        <v>30</v>
      </c>
      <c r="K307" s="51">
        <f t="shared" si="46"/>
        <v>31</v>
      </c>
      <c r="L307" s="51">
        <f t="shared" si="47"/>
        <v>30</v>
      </c>
      <c r="M307" s="52">
        <f t="shared" si="48"/>
        <v>31</v>
      </c>
      <c r="N307" s="51">
        <f t="shared" si="40"/>
        <v>31</v>
      </c>
      <c r="O307" s="51">
        <f t="shared" si="49"/>
        <v>30</v>
      </c>
      <c r="P307" s="51">
        <f t="shared" si="50"/>
        <v>31</v>
      </c>
      <c r="Q307" s="51">
        <f t="shared" si="51"/>
        <v>30</v>
      </c>
      <c r="R307" s="51">
        <f t="shared" si="52"/>
        <v>31</v>
      </c>
      <c r="S307" s="53">
        <f>IF(G307="事业部",LOOKUP(M307,基础设置!$T$2:$T$6,基础设置!$U$2:$U$6),IF(G307="总部",LOOKUP(M307,基础设置!$T$8:$T$13,基础设置!$V$8:$V$13),IF(G307="拓展部",LOOKUP(M307,基础设置!$T$8:$T$13,基础设置!$W$8:$W$13),5000)))</f>
        <v>4</v>
      </c>
      <c r="T307" s="53">
        <f>1200/31*31</f>
        <v>1200</v>
      </c>
    </row>
    <row r="308" spans="1:20" x14ac:dyDescent="0.15">
      <c r="A308" s="57">
        <v>307</v>
      </c>
      <c r="B308" s="7" t="s">
        <v>79</v>
      </c>
      <c r="C308" s="7" t="s">
        <v>396</v>
      </c>
      <c r="E308" s="7" t="s">
        <v>422</v>
      </c>
      <c r="F308" s="7" t="s">
        <v>96</v>
      </c>
      <c r="G308" s="50" t="s">
        <v>9</v>
      </c>
      <c r="H308" s="63"/>
      <c r="I308" s="63"/>
      <c r="J308" s="51">
        <f t="shared" si="45"/>
        <v>30</v>
      </c>
      <c r="K308" s="51">
        <f t="shared" si="46"/>
        <v>31</v>
      </c>
      <c r="L308" s="51">
        <f t="shared" si="47"/>
        <v>30</v>
      </c>
      <c r="M308" s="52">
        <f t="shared" si="48"/>
        <v>31</v>
      </c>
      <c r="N308" s="51">
        <f t="shared" si="40"/>
        <v>31</v>
      </c>
      <c r="O308" s="51">
        <f t="shared" si="49"/>
        <v>30</v>
      </c>
      <c r="P308" s="51">
        <f t="shared" si="50"/>
        <v>31</v>
      </c>
      <c r="Q308" s="51">
        <f t="shared" si="51"/>
        <v>30</v>
      </c>
      <c r="R308" s="51">
        <f t="shared" si="52"/>
        <v>31</v>
      </c>
      <c r="S308" s="53">
        <f>IF(G308="事业部",LOOKUP(M308,基础设置!$T$2:$T$6,基础设置!$U$2:$U$6),IF(G308="总部",LOOKUP(M308,基础设置!$T$8:$T$13,基础设置!$V$8:$V$13),IF(G308="拓展部",LOOKUP(M308,基础设置!$T$8:$T$13,基础设置!$W$8:$W$13),5000)))</f>
        <v>4</v>
      </c>
      <c r="T308" s="53">
        <f>1200/31*30</f>
        <v>1161.2903225806499</v>
      </c>
    </row>
    <row r="309" spans="1:20" x14ac:dyDescent="0.15">
      <c r="A309" s="57">
        <v>308</v>
      </c>
      <c r="B309" s="7" t="s">
        <v>80</v>
      </c>
      <c r="C309" s="7" t="s">
        <v>396</v>
      </c>
      <c r="E309" s="7" t="s">
        <v>423</v>
      </c>
      <c r="F309" s="7" t="s">
        <v>96</v>
      </c>
      <c r="G309" s="50" t="s">
        <v>9</v>
      </c>
      <c r="H309" s="63"/>
      <c r="I309" s="63"/>
      <c r="J309" s="51">
        <f t="shared" si="45"/>
        <v>30</v>
      </c>
      <c r="K309" s="51">
        <f t="shared" si="46"/>
        <v>31</v>
      </c>
      <c r="L309" s="51">
        <f t="shared" si="47"/>
        <v>30</v>
      </c>
      <c r="M309" s="52">
        <f t="shared" si="48"/>
        <v>31</v>
      </c>
      <c r="N309" s="51">
        <f t="shared" si="40"/>
        <v>31</v>
      </c>
      <c r="O309" s="51">
        <f t="shared" si="49"/>
        <v>30</v>
      </c>
      <c r="P309" s="51">
        <f t="shared" si="50"/>
        <v>31</v>
      </c>
      <c r="Q309" s="51">
        <f t="shared" si="51"/>
        <v>30</v>
      </c>
      <c r="R309" s="51">
        <f t="shared" si="52"/>
        <v>31</v>
      </c>
      <c r="S309" s="53">
        <f>IF(G309="事业部",LOOKUP(M309,基础设置!$T$2:$T$6,基础设置!$U$2:$U$6),IF(G309="总部",LOOKUP(M309,基础设置!$T$8:$T$13,基础设置!$V$8:$V$13),IF(G309="拓展部",LOOKUP(M309,基础设置!$T$8:$T$13,基础设置!$W$8:$W$13),5000)))</f>
        <v>4</v>
      </c>
      <c r="T309" s="53">
        <f>1100/31*30</f>
        <v>1064.5161290322601</v>
      </c>
    </row>
    <row r="310" spans="1:20" x14ac:dyDescent="0.15">
      <c r="A310" s="57">
        <v>309</v>
      </c>
      <c r="B310" s="7" t="s">
        <v>61</v>
      </c>
      <c r="C310" s="7" t="s">
        <v>396</v>
      </c>
      <c r="E310" s="7" t="s">
        <v>424</v>
      </c>
      <c r="F310" s="7" t="s">
        <v>96</v>
      </c>
      <c r="G310" s="50" t="s">
        <v>9</v>
      </c>
      <c r="H310" s="63"/>
      <c r="I310" s="63"/>
      <c r="J310" s="51">
        <f t="shared" si="45"/>
        <v>30</v>
      </c>
      <c r="K310" s="51">
        <f t="shared" si="46"/>
        <v>31</v>
      </c>
      <c r="L310" s="51">
        <f t="shared" si="47"/>
        <v>30</v>
      </c>
      <c r="M310" s="52">
        <f t="shared" ref="M310:M328" si="53">MAX(0,MIN(IF(I310="",EOMONTH(DATE(YEAR($M$1),MONTH($M$1),1),0),I310),EOMONTH(DATE(YEAR($M$1),MONTH($M$1),1),0))-MAX(H310,DATE(YEAR($M$1),MONTH($M$1),1))+1)</f>
        <v>31</v>
      </c>
      <c r="N310" s="51">
        <f t="shared" si="40"/>
        <v>31</v>
      </c>
      <c r="O310" s="51">
        <f t="shared" si="49"/>
        <v>30</v>
      </c>
      <c r="P310" s="51">
        <f t="shared" si="50"/>
        <v>31</v>
      </c>
      <c r="Q310" s="51">
        <f t="shared" si="51"/>
        <v>30</v>
      </c>
      <c r="R310" s="51">
        <f t="shared" si="52"/>
        <v>31</v>
      </c>
      <c r="S310" s="53">
        <f>IF(G310="事业部",LOOKUP(M310,基础设置!$T$2:$T$6,基础设置!$U$2:$U$6),IF(G310="总部",LOOKUP(M310,基础设置!$T$8:$T$13,基础设置!$V$8:$V$13),IF(G310="拓展部",LOOKUP(M310,基础设置!$T$8:$T$13,基础设置!$W$8:$W$13),5000)))</f>
        <v>4</v>
      </c>
      <c r="T310" s="53">
        <f>1300/31*31</f>
        <v>1300</v>
      </c>
    </row>
    <row r="311" spans="1:20" x14ac:dyDescent="0.15">
      <c r="A311" s="57">
        <v>310</v>
      </c>
      <c r="B311" s="7" t="s">
        <v>82</v>
      </c>
      <c r="C311" s="7" t="s">
        <v>396</v>
      </c>
      <c r="D311" s="64"/>
      <c r="E311" s="7" t="s">
        <v>425</v>
      </c>
      <c r="F311" s="7" t="s">
        <v>96</v>
      </c>
      <c r="G311" s="50" t="s">
        <v>9</v>
      </c>
      <c r="H311" s="63">
        <v>45814</v>
      </c>
      <c r="I311" s="63"/>
      <c r="J311" s="51">
        <f t="shared" si="45"/>
        <v>0</v>
      </c>
      <c r="K311" s="51">
        <f t="shared" si="46"/>
        <v>0</v>
      </c>
      <c r="L311" s="51">
        <f t="shared" si="47"/>
        <v>25</v>
      </c>
      <c r="M311" s="52">
        <f t="shared" si="53"/>
        <v>31</v>
      </c>
      <c r="N311" s="51">
        <f t="shared" si="40"/>
        <v>31</v>
      </c>
      <c r="O311" s="51">
        <f t="shared" si="49"/>
        <v>30</v>
      </c>
      <c r="P311" s="51">
        <f t="shared" si="50"/>
        <v>31</v>
      </c>
      <c r="Q311" s="51">
        <f t="shared" si="51"/>
        <v>30</v>
      </c>
      <c r="R311" s="51">
        <f t="shared" si="52"/>
        <v>31</v>
      </c>
      <c r="S311" s="53">
        <f>IF(G311="事业部",LOOKUP(M311,基础设置!$T$2:$T$6,基础设置!$U$2:$U$6),IF(G311="总部",LOOKUP(M311,基础设置!$T$8:$T$13,基础设置!$V$8:$V$13),IF(G311="拓展部",LOOKUP(M311,基础设置!$T$8:$T$13,基础设置!$W$8:$W$13),5000)))</f>
        <v>4</v>
      </c>
      <c r="T311" s="53">
        <f>1200/31*31</f>
        <v>1200</v>
      </c>
    </row>
    <row r="312" spans="1:20" x14ac:dyDescent="0.15">
      <c r="A312" s="57">
        <v>311</v>
      </c>
      <c r="B312" s="7" t="s">
        <v>38</v>
      </c>
      <c r="C312" s="7" t="s">
        <v>396</v>
      </c>
      <c r="E312" s="7" t="s">
        <v>426</v>
      </c>
      <c r="F312" s="7" t="s">
        <v>96</v>
      </c>
      <c r="G312" s="50" t="s">
        <v>9</v>
      </c>
      <c r="H312" s="8"/>
      <c r="I312" s="8"/>
      <c r="J312" s="51">
        <f t="shared" si="45"/>
        <v>30</v>
      </c>
      <c r="K312" s="51">
        <f t="shared" si="46"/>
        <v>31</v>
      </c>
      <c r="L312" s="51">
        <f t="shared" si="47"/>
        <v>30</v>
      </c>
      <c r="M312" s="52">
        <f t="shared" si="53"/>
        <v>31</v>
      </c>
      <c r="N312" s="51">
        <f t="shared" si="40"/>
        <v>31</v>
      </c>
      <c r="O312" s="51">
        <f t="shared" si="49"/>
        <v>30</v>
      </c>
      <c r="P312" s="51">
        <f t="shared" si="50"/>
        <v>31</v>
      </c>
      <c r="Q312" s="51">
        <f t="shared" si="51"/>
        <v>30</v>
      </c>
      <c r="R312" s="51">
        <f t="shared" si="52"/>
        <v>31</v>
      </c>
      <c r="S312" s="53">
        <f>IF(G312="事业部",LOOKUP(M312,基础设置!$T$2:$T$6,基础设置!$U$2:$U$6),IF(G312="总部",LOOKUP(M312,基础设置!$T$8:$T$13,基础设置!$V$8:$V$13),IF(G312="拓展部",LOOKUP(M312,基础设置!$T$8:$T$13,基础设置!$W$8:$W$13),5000)))</f>
        <v>4</v>
      </c>
      <c r="T312" s="53">
        <f>3000/31*31</f>
        <v>3000</v>
      </c>
    </row>
    <row r="313" spans="1:20" x14ac:dyDescent="0.15">
      <c r="A313" s="57">
        <v>312</v>
      </c>
      <c r="B313" s="57" t="s">
        <v>78</v>
      </c>
      <c r="C313" s="7" t="s">
        <v>35</v>
      </c>
      <c r="D313" s="7" t="s">
        <v>21</v>
      </c>
      <c r="E313" s="57" t="s">
        <v>427</v>
      </c>
      <c r="F313" s="7" t="s">
        <v>96</v>
      </c>
      <c r="G313" s="50" t="s">
        <v>9</v>
      </c>
      <c r="H313" s="8">
        <v>45828</v>
      </c>
      <c r="J313" s="51">
        <f t="shared" si="45"/>
        <v>0</v>
      </c>
      <c r="K313" s="51">
        <f t="shared" si="46"/>
        <v>0</v>
      </c>
      <c r="L313" s="51">
        <f t="shared" si="47"/>
        <v>11</v>
      </c>
      <c r="M313" s="52">
        <f t="shared" si="53"/>
        <v>31</v>
      </c>
      <c r="N313" s="51">
        <f t="shared" si="40"/>
        <v>31</v>
      </c>
      <c r="O313" s="51">
        <f t="shared" si="49"/>
        <v>30</v>
      </c>
      <c r="P313" s="51">
        <f t="shared" si="50"/>
        <v>31</v>
      </c>
      <c r="Q313" s="51">
        <f t="shared" si="51"/>
        <v>30</v>
      </c>
      <c r="R313" s="51">
        <f t="shared" si="52"/>
        <v>31</v>
      </c>
      <c r="S313" s="53">
        <f>IF(G313="事业部",LOOKUP(M313,基础设置!$T$2:$T$6,基础设置!$U$2:$U$6),IF(G313="总部",LOOKUP(M313,基础设置!$T$8:$T$13,基础设置!$V$8:$V$13),IF(G313="拓展部",LOOKUP(M313,基础设置!$T$8:$T$13,基础设置!$W$8:$W$13),5000)))</f>
        <v>4</v>
      </c>
    </row>
    <row r="314" spans="1:20" x14ac:dyDescent="0.15">
      <c r="A314" s="57">
        <v>313</v>
      </c>
      <c r="B314" s="57" t="s">
        <v>59</v>
      </c>
      <c r="C314" s="7" t="s">
        <v>35</v>
      </c>
      <c r="D314" s="7" t="s">
        <v>21</v>
      </c>
      <c r="E314" s="57" t="s">
        <v>428</v>
      </c>
      <c r="F314" s="7" t="s">
        <v>96</v>
      </c>
      <c r="G314" s="50" t="s">
        <v>9</v>
      </c>
      <c r="H314" s="8">
        <v>45841</v>
      </c>
      <c r="J314" s="51">
        <f t="shared" si="45"/>
        <v>0</v>
      </c>
      <c r="K314" s="51">
        <f t="shared" si="46"/>
        <v>0</v>
      </c>
      <c r="L314" s="51">
        <f t="shared" si="47"/>
        <v>0</v>
      </c>
      <c r="M314" s="52">
        <f t="shared" si="53"/>
        <v>29</v>
      </c>
      <c r="N314" s="51">
        <f t="shared" si="40"/>
        <v>31</v>
      </c>
      <c r="O314" s="51">
        <f t="shared" si="49"/>
        <v>30</v>
      </c>
      <c r="P314" s="51">
        <f t="shared" si="50"/>
        <v>31</v>
      </c>
      <c r="Q314" s="51">
        <f t="shared" si="51"/>
        <v>30</v>
      </c>
      <c r="R314" s="51">
        <f t="shared" si="52"/>
        <v>31</v>
      </c>
      <c r="S314" s="53">
        <f>IF(G314="事业部",LOOKUP(M314,基础设置!$T$2:$T$6,基础设置!$U$2:$U$6),IF(G314="总部",LOOKUP(M314,基础设置!$T$8:$T$13,基础设置!$V$8:$V$13),IF(G314="拓展部",LOOKUP(M314,基础设置!$T$8:$T$13,基础设置!$W$8:$W$13),5000)))</f>
        <v>4</v>
      </c>
    </row>
    <row r="315" spans="1:20" x14ac:dyDescent="0.15">
      <c r="A315" s="57">
        <v>314</v>
      </c>
      <c r="B315" s="57" t="s">
        <v>67</v>
      </c>
      <c r="C315" s="7" t="s">
        <v>97</v>
      </c>
      <c r="D315" s="7" t="s">
        <v>21</v>
      </c>
      <c r="E315" s="57" t="s">
        <v>429</v>
      </c>
      <c r="F315" s="7" t="s">
        <v>96</v>
      </c>
      <c r="G315" s="50" t="s">
        <v>9</v>
      </c>
      <c r="H315" s="8">
        <v>45847</v>
      </c>
      <c r="J315" s="51">
        <f>MAX(0,MIN(IF(I314="",EOMONTH(DATE(YEAR($J$1),MONTH($J$1),1),0),I314),EOMONTH(DATE(YEAR($J$1),MONTH($J$1),1),0))-MAX(H314,DATE(YEAR($J$1),MONTH($J$1),1))+1)</f>
        <v>0</v>
      </c>
      <c r="K315" s="51">
        <f>MAX(0,MIN(IF(I314="",EOMONTH(DATE(YEAR($K$1),MONTH($K$1),1),0),I314),EOMONTH(DATE(YEAR($K$1),MONTH($K$1),1),0))-MAX(H314,DATE(YEAR($K$1),MONTH($K$1),1))+1)</f>
        <v>0</v>
      </c>
      <c r="L315" s="51">
        <f>MAX(0,MIN(IF(I314="",EOMONTH(DATE(YEAR($L$1),MONTH($L$1),1),0),I314),EOMONTH(DATE(YEAR($L$1),MONTH($L$1),1),0))-MAX(H314,DATE(YEAR($L$1),MONTH($L$1),1))+1)</f>
        <v>0</v>
      </c>
      <c r="M315" s="52">
        <f t="shared" si="53"/>
        <v>23</v>
      </c>
      <c r="N315" s="51">
        <f t="shared" si="40"/>
        <v>31</v>
      </c>
      <c r="O315" s="51">
        <f>MAX(0,MIN(IF(I314="",EOMONTH(DATE(YEAR($O$1),MONTH($O$1),1),0),I314),EOMONTH(DATE(YEAR($O$1),MONTH($O$1),1),0))-MAX(H314,DATE(YEAR($O$1),MONTH($O$1),1))+1)</f>
        <v>30</v>
      </c>
      <c r="P315" s="51">
        <f>MAX(0,MIN(IF(I314="",EOMONTH(DATE(YEAR($P$1),MONTH($P$1),1),0),I314),EOMONTH(DATE(YEAR($P$1),MONTH($P$1),1),0))-MAX(H314,DATE(YEAR($P$1),MONTH($P$1),1))+1)</f>
        <v>31</v>
      </c>
      <c r="Q315" s="51">
        <f>MAX(0,MIN(IF(I314="",EOMONTH(DATE(YEAR($Q$1),MONTH($Q$1),1),0),I314),EOMONTH(DATE(YEAR($Q$1),MONTH($Q$1),1),0))-MAX(H314,DATE(YEAR($Q$1),MONTH($Q$1),1))+1)</f>
        <v>30</v>
      </c>
      <c r="R315" s="51">
        <f>MAX(0,MIN(IF(I314="",EOMONTH(DATE(YEAR($R$1),MONTH($R$1),1),0),I314),EOMONTH(DATE(YEAR($R$1),MONTH($R$1),1),0))-MAX(H314,DATE(YEAR($R$1),MONTH($R$1),1))+1)</f>
        <v>31</v>
      </c>
      <c r="S315" s="53">
        <f>IF(G315="事业部",LOOKUP(M315,基础设置!$T$2:$T$6,基础设置!$U$2:$U$6),IF(G315="总部",LOOKUP(M315,基础设置!$T$8:$T$13,基础设置!$V$8:$V$13),IF(G315="拓展部",LOOKUP(M315,基础设置!$T$8:$T$13,基础设置!$W$8:$W$13),5000)))</f>
        <v>3</v>
      </c>
      <c r="T315" s="53">
        <f>3500/31*16</f>
        <v>1806.4516129032299</v>
      </c>
    </row>
    <row r="316" spans="1:20" x14ac:dyDescent="0.15">
      <c r="A316" s="57">
        <v>315</v>
      </c>
      <c r="B316" s="57" t="s">
        <v>69</v>
      </c>
      <c r="C316" s="7" t="s">
        <v>35</v>
      </c>
      <c r="D316" s="7" t="s">
        <v>21</v>
      </c>
      <c r="E316" s="57" t="s">
        <v>430</v>
      </c>
      <c r="F316" s="7" t="s">
        <v>96</v>
      </c>
      <c r="G316" s="50" t="s">
        <v>9</v>
      </c>
      <c r="H316" s="8">
        <v>45849</v>
      </c>
      <c r="J316" s="51">
        <f>MAX(0,MIN(IF(I315="",EOMONTH(DATE(YEAR($J$1),MONTH($J$1),1),0),I315),EOMONTH(DATE(YEAR($J$1),MONTH($J$1),1),0))-MAX(H315,DATE(YEAR($J$1),MONTH($J$1),1))+1)</f>
        <v>0</v>
      </c>
      <c r="K316" s="51">
        <f>MAX(0,MIN(IF(I315="",EOMONTH(DATE(YEAR($K$1),MONTH($K$1),1),0),I315),EOMONTH(DATE(YEAR($K$1),MONTH($K$1),1),0))-MAX(H315,DATE(YEAR($K$1),MONTH($K$1),1))+1)</f>
        <v>0</v>
      </c>
      <c r="L316" s="51">
        <f>MAX(0,MIN(IF(I315="",EOMONTH(DATE(YEAR($L$1),MONTH($L$1),1),0),I315),EOMONTH(DATE(YEAR($L$1),MONTH($L$1),1),0))-MAX(H315,DATE(YEAR($L$1),MONTH($L$1),1))+1)</f>
        <v>0</v>
      </c>
      <c r="M316" s="52">
        <f t="shared" si="53"/>
        <v>21</v>
      </c>
      <c r="N316" s="51">
        <f t="shared" si="40"/>
        <v>31</v>
      </c>
      <c r="O316" s="51">
        <f>MAX(0,MIN(IF(I315="",EOMONTH(DATE(YEAR($O$1),MONTH($O$1),1),0),I315),EOMONTH(DATE(YEAR($O$1),MONTH($O$1),1),0))-MAX(H315,DATE(YEAR($O$1),MONTH($O$1),1))+1)</f>
        <v>30</v>
      </c>
      <c r="P316" s="51">
        <f>MAX(0,MIN(IF(I315="",EOMONTH(DATE(YEAR($P$1),MONTH($P$1),1),0),I315),EOMONTH(DATE(YEAR($P$1),MONTH($P$1),1),0))-MAX(H315,DATE(YEAR($P$1),MONTH($P$1),1))+1)</f>
        <v>31</v>
      </c>
      <c r="Q316" s="51">
        <f>MAX(0,MIN(IF(I315="",EOMONTH(DATE(YEAR($Q$1),MONTH($Q$1),1),0),I315),EOMONTH(DATE(YEAR($Q$1),MONTH($Q$1),1),0))-MAX(H315,DATE(YEAR($Q$1),MONTH($Q$1),1))+1)</f>
        <v>30</v>
      </c>
      <c r="R316" s="51">
        <f>MAX(0,MIN(IF(I315="",EOMONTH(DATE(YEAR($R$1),MONTH($R$1),1),0),I315),EOMONTH(DATE(YEAR($R$1),MONTH($R$1),1),0))-MAX(H315,DATE(YEAR($R$1),MONTH($R$1),1))+1)</f>
        <v>31</v>
      </c>
      <c r="S316" s="53">
        <f>IF(G316="事业部",LOOKUP(M316,基础设置!$T$2:$T$6,基础设置!$U$2:$U$6),IF(G316="总部",LOOKUP(M316,基础设置!$T$8:$T$13,基础设置!$V$8:$V$13),IF(G316="拓展部",LOOKUP(M316,基础设置!$T$8:$T$13,基础设置!$W$8:$W$13),5000)))</f>
        <v>3</v>
      </c>
    </row>
    <row r="317" spans="1:20" x14ac:dyDescent="0.15">
      <c r="A317" s="57">
        <v>316</v>
      </c>
      <c r="B317" s="57" t="s">
        <v>65</v>
      </c>
      <c r="C317" s="7" t="s">
        <v>35</v>
      </c>
      <c r="D317" s="7" t="s">
        <v>21</v>
      </c>
      <c r="E317" s="57" t="s">
        <v>431</v>
      </c>
      <c r="F317" s="7" t="s">
        <v>96</v>
      </c>
      <c r="G317" s="50" t="s">
        <v>9</v>
      </c>
      <c r="H317" s="8">
        <v>45850</v>
      </c>
      <c r="J317" s="51">
        <f t="shared" ref="J317:J328" si="54">MAX(0,MIN(IF(I314="",EOMONTH(DATE(YEAR($J$1),MONTH($J$1),1),0),I314),EOMONTH(DATE(YEAR($J$1),MONTH($J$1),1),0))-MAX(H314,DATE(YEAR($J$1),MONTH($J$1),1))+1)</f>
        <v>0</v>
      </c>
      <c r="K317" s="51">
        <f t="shared" ref="K317:K328" si="55">MAX(0,MIN(IF(I314="",EOMONTH(DATE(YEAR($K$1),MONTH($K$1),1),0),I314),EOMONTH(DATE(YEAR($K$1),MONTH($K$1),1),0))-MAX(H314,DATE(YEAR($K$1),MONTH($K$1),1))+1)</f>
        <v>0</v>
      </c>
      <c r="L317" s="51">
        <f t="shared" ref="L317:L328" si="56">MAX(0,MIN(IF(I314="",EOMONTH(DATE(YEAR($L$1),MONTH($L$1),1),0),I314),EOMONTH(DATE(YEAR($L$1),MONTH($L$1),1),0))-MAX(H314,DATE(YEAR($L$1),MONTH($L$1),1))+1)</f>
        <v>0</v>
      </c>
      <c r="M317" s="52">
        <f t="shared" si="53"/>
        <v>20</v>
      </c>
      <c r="N317" s="51">
        <f t="shared" si="40"/>
        <v>31</v>
      </c>
      <c r="O317" s="51">
        <f t="shared" ref="O317:O328" si="57">MAX(0,MIN(IF(I314="",EOMONTH(DATE(YEAR($O$1),MONTH($O$1),1),0),I314),EOMONTH(DATE(YEAR($O$1),MONTH($O$1),1),0))-MAX(H314,DATE(YEAR($O$1),MONTH($O$1),1))+1)</f>
        <v>30</v>
      </c>
      <c r="P317" s="51">
        <f t="shared" ref="P317:P328" si="58">MAX(0,MIN(IF(I314="",EOMONTH(DATE(YEAR($P$1),MONTH($P$1),1),0),I314),EOMONTH(DATE(YEAR($P$1),MONTH($P$1),1),0))-MAX(H314,DATE(YEAR($P$1),MONTH($P$1),1))+1)</f>
        <v>31</v>
      </c>
      <c r="Q317" s="51">
        <f t="shared" ref="Q317:Q328" si="59">MAX(0,MIN(IF(I314="",EOMONTH(DATE(YEAR($Q$1),MONTH($Q$1),1),0),I314),EOMONTH(DATE(YEAR($Q$1),MONTH($Q$1),1),0))-MAX(H314,DATE(YEAR($Q$1),MONTH($Q$1),1))+1)</f>
        <v>30</v>
      </c>
      <c r="R317" s="51">
        <f t="shared" ref="R317:R328" si="60">MAX(0,MIN(IF(I314="",EOMONTH(DATE(YEAR($R$1),MONTH($R$1),1),0),I314),EOMONTH(DATE(YEAR($R$1),MONTH($R$1),1),0))-MAX(H314,DATE(YEAR($R$1),MONTH($R$1),1))+1)</f>
        <v>31</v>
      </c>
      <c r="S317" s="53">
        <f>IF(G317="事业部",LOOKUP(M317,基础设置!$T$2:$T$6,基础设置!$U$2:$U$6),IF(G317="总部",LOOKUP(M317,基础设置!$T$8:$T$13,基础设置!$V$8:$V$13),IF(G317="拓展部",LOOKUP(M317,基础设置!$T$8:$T$13,基础设置!$W$8:$W$13),5000)))</f>
        <v>2</v>
      </c>
    </row>
    <row r="318" spans="1:20" x14ac:dyDescent="0.15">
      <c r="A318" s="57">
        <v>317</v>
      </c>
      <c r="B318" s="57" t="s">
        <v>33</v>
      </c>
      <c r="C318" s="7" t="s">
        <v>383</v>
      </c>
      <c r="D318" s="7" t="s">
        <v>30</v>
      </c>
      <c r="E318" s="57" t="s">
        <v>432</v>
      </c>
      <c r="F318" s="7" t="s">
        <v>36</v>
      </c>
      <c r="G318" s="50" t="s">
        <v>9</v>
      </c>
      <c r="H318" s="8">
        <v>45852</v>
      </c>
      <c r="I318" s="8">
        <v>45866</v>
      </c>
      <c r="J318" s="51">
        <f t="shared" si="54"/>
        <v>0</v>
      </c>
      <c r="K318" s="51">
        <f t="shared" si="55"/>
        <v>0</v>
      </c>
      <c r="L318" s="51">
        <f t="shared" si="56"/>
        <v>0</v>
      </c>
      <c r="M318" s="52">
        <f t="shared" si="53"/>
        <v>15</v>
      </c>
      <c r="N318" s="51">
        <f t="shared" si="40"/>
        <v>0</v>
      </c>
      <c r="O318" s="51">
        <f t="shared" si="57"/>
        <v>30</v>
      </c>
      <c r="P318" s="51">
        <f t="shared" si="58"/>
        <v>31</v>
      </c>
      <c r="Q318" s="51">
        <f t="shared" si="59"/>
        <v>30</v>
      </c>
      <c r="R318" s="51">
        <f t="shared" si="60"/>
        <v>31</v>
      </c>
      <c r="S318" s="53">
        <f>IF(G318="事业部",LOOKUP(M318,基础设置!$T$2:$T$6,基础设置!$U$2:$U$6),IF(G318="总部",LOOKUP(M318,基础设置!$T$8:$T$13,基础设置!$V$8:$V$13),IF(G318="拓展部",LOOKUP(M318,基础设置!$T$8:$T$13,基础设置!$W$8:$W$13),5000)))</f>
        <v>2</v>
      </c>
    </row>
    <row r="319" spans="1:20" x14ac:dyDescent="0.15">
      <c r="A319" s="57">
        <v>318</v>
      </c>
      <c r="B319" s="57" t="s">
        <v>38</v>
      </c>
      <c r="C319" s="7" t="s">
        <v>35</v>
      </c>
      <c r="D319" s="7" t="s">
        <v>21</v>
      </c>
      <c r="E319" s="57" t="s">
        <v>433</v>
      </c>
      <c r="F319" s="7" t="s">
        <v>96</v>
      </c>
      <c r="G319" s="50" t="s">
        <v>9</v>
      </c>
      <c r="H319" s="8">
        <v>45852</v>
      </c>
      <c r="J319" s="51">
        <f t="shared" si="54"/>
        <v>0</v>
      </c>
      <c r="K319" s="51">
        <f t="shared" si="55"/>
        <v>0</v>
      </c>
      <c r="L319" s="51">
        <f t="shared" si="56"/>
        <v>0</v>
      </c>
      <c r="M319" s="52">
        <f t="shared" si="53"/>
        <v>18</v>
      </c>
      <c r="N319" s="51">
        <f t="shared" si="40"/>
        <v>31</v>
      </c>
      <c r="O319" s="51">
        <f t="shared" si="57"/>
        <v>30</v>
      </c>
      <c r="P319" s="51">
        <f t="shared" si="58"/>
        <v>31</v>
      </c>
      <c r="Q319" s="51">
        <f t="shared" si="59"/>
        <v>30</v>
      </c>
      <c r="R319" s="51">
        <f t="shared" si="60"/>
        <v>31</v>
      </c>
      <c r="S319" s="53">
        <f>IF(G319="事业部",LOOKUP(M319,基础设置!$T$2:$T$6,基础设置!$U$2:$U$6),IF(G319="总部",LOOKUP(M319,基础设置!$T$8:$T$13,基础设置!$V$8:$V$13),IF(G319="拓展部",LOOKUP(M319,基础设置!$T$8:$T$13,基础设置!$W$8:$W$13),5000)))</f>
        <v>2</v>
      </c>
    </row>
    <row r="320" spans="1:20" x14ac:dyDescent="0.15">
      <c r="A320" s="57">
        <v>319</v>
      </c>
      <c r="B320" s="57" t="s">
        <v>69</v>
      </c>
      <c r="C320" s="7" t="s">
        <v>35</v>
      </c>
      <c r="D320" s="7" t="s">
        <v>21</v>
      </c>
      <c r="E320" s="57" t="s">
        <v>434</v>
      </c>
      <c r="F320" s="7" t="s">
        <v>96</v>
      </c>
      <c r="G320" s="50" t="s">
        <v>9</v>
      </c>
      <c r="H320" s="8">
        <v>45852</v>
      </c>
      <c r="J320" s="51">
        <f t="shared" si="54"/>
        <v>0</v>
      </c>
      <c r="K320" s="51">
        <f t="shared" si="55"/>
        <v>0</v>
      </c>
      <c r="L320" s="51">
        <f t="shared" si="56"/>
        <v>0</v>
      </c>
      <c r="M320" s="52">
        <f t="shared" si="53"/>
        <v>18</v>
      </c>
      <c r="N320" s="51">
        <f t="shared" si="40"/>
        <v>31</v>
      </c>
      <c r="O320" s="51">
        <f t="shared" si="57"/>
        <v>30</v>
      </c>
      <c r="P320" s="51">
        <f t="shared" si="58"/>
        <v>31</v>
      </c>
      <c r="Q320" s="51">
        <f t="shared" si="59"/>
        <v>30</v>
      </c>
      <c r="R320" s="51">
        <f t="shared" si="60"/>
        <v>31</v>
      </c>
      <c r="S320" s="53">
        <f>IF(G320="事业部",LOOKUP(M320,基础设置!$T$2:$T$6,基础设置!$U$2:$U$6),IF(G320="总部",LOOKUP(M320,基础设置!$T$8:$T$13,基础设置!$V$8:$V$13),IF(G320="拓展部",LOOKUP(M320,基础设置!$T$8:$T$13,基础设置!$W$8:$W$13),5000)))</f>
        <v>2</v>
      </c>
    </row>
    <row r="321" spans="1:21" x14ac:dyDescent="0.15">
      <c r="A321" s="57">
        <v>320</v>
      </c>
      <c r="B321" s="57" t="s">
        <v>18</v>
      </c>
      <c r="C321" s="7" t="s">
        <v>375</v>
      </c>
      <c r="D321" s="7" t="s">
        <v>30</v>
      </c>
      <c r="E321" s="57" t="s">
        <v>435</v>
      </c>
      <c r="F321" s="7" t="s">
        <v>96</v>
      </c>
      <c r="G321" s="50" t="s">
        <v>18</v>
      </c>
      <c r="H321" s="8">
        <v>45852</v>
      </c>
      <c r="J321" s="51">
        <f t="shared" si="54"/>
        <v>0</v>
      </c>
      <c r="K321" s="51">
        <f t="shared" si="55"/>
        <v>0</v>
      </c>
      <c r="L321" s="51">
        <f t="shared" si="56"/>
        <v>0</v>
      </c>
      <c r="M321" s="52">
        <f t="shared" si="53"/>
        <v>18</v>
      </c>
      <c r="N321" s="51">
        <f t="shared" si="40"/>
        <v>31</v>
      </c>
      <c r="O321" s="51">
        <f t="shared" si="57"/>
        <v>0</v>
      </c>
      <c r="P321" s="51">
        <f t="shared" si="58"/>
        <v>0</v>
      </c>
      <c r="Q321" s="51">
        <f t="shared" si="59"/>
        <v>0</v>
      </c>
      <c r="R321" s="51">
        <f t="shared" si="60"/>
        <v>0</v>
      </c>
      <c r="S321" s="53">
        <f>IF(G321="事业部",LOOKUP(M321,基础设置!$T$2:$T$6,基础设置!$U$2:$U$6),IF(G321="总部",LOOKUP(M321,基础设置!$T$8:$T$13,基础设置!$V$8:$V$13),IF(G321="拓展部",LOOKUP(M321,基础设置!$T$8:$T$13,基础设置!$W$8:$W$13),5000)))</f>
        <v>3</v>
      </c>
      <c r="T321" s="53">
        <f>7000/31*11</f>
        <v>2483.8709677419401</v>
      </c>
    </row>
    <row r="322" spans="1:21" x14ac:dyDescent="0.15">
      <c r="A322" s="57">
        <v>321</v>
      </c>
      <c r="B322" s="57" t="s">
        <v>81</v>
      </c>
      <c r="C322" s="7" t="s">
        <v>35</v>
      </c>
      <c r="D322" s="7" t="s">
        <v>21</v>
      </c>
      <c r="E322" s="57" t="s">
        <v>436</v>
      </c>
      <c r="F322" s="7" t="s">
        <v>96</v>
      </c>
      <c r="G322" s="50" t="s">
        <v>9</v>
      </c>
      <c r="H322" s="8">
        <v>45853</v>
      </c>
      <c r="J322" s="51">
        <f t="shared" si="54"/>
        <v>0</v>
      </c>
      <c r="K322" s="51">
        <f t="shared" si="55"/>
        <v>0</v>
      </c>
      <c r="L322" s="51">
        <f t="shared" si="56"/>
        <v>0</v>
      </c>
      <c r="M322" s="52">
        <f t="shared" si="53"/>
        <v>17</v>
      </c>
      <c r="N322" s="51">
        <f t="shared" si="40"/>
        <v>31</v>
      </c>
      <c r="O322" s="51">
        <f t="shared" si="57"/>
        <v>30</v>
      </c>
      <c r="P322" s="51">
        <f t="shared" si="58"/>
        <v>31</v>
      </c>
      <c r="Q322" s="51">
        <f t="shared" si="59"/>
        <v>30</v>
      </c>
      <c r="R322" s="51">
        <f t="shared" si="60"/>
        <v>31</v>
      </c>
      <c r="S322" s="53">
        <f>IF(G322="事业部",LOOKUP(M322,基础设置!$T$2:$T$6,基础设置!$U$2:$U$6),IF(G322="总部",LOOKUP(M322,基础设置!$T$8:$T$13,基础设置!$V$8:$V$13),IF(G322="拓展部",LOOKUP(M322,基础设置!$T$8:$T$13,基础设置!$W$8:$W$13),5000)))</f>
        <v>2</v>
      </c>
    </row>
    <row r="323" spans="1:21" x14ac:dyDescent="0.15">
      <c r="A323" s="57">
        <v>322</v>
      </c>
      <c r="B323" s="7" t="s">
        <v>61</v>
      </c>
      <c r="C323" s="7" t="s">
        <v>35</v>
      </c>
      <c r="D323" s="7" t="s">
        <v>21</v>
      </c>
      <c r="E323" s="57" t="s">
        <v>437</v>
      </c>
      <c r="F323" s="7" t="s">
        <v>36</v>
      </c>
      <c r="G323" s="50" t="s">
        <v>9</v>
      </c>
      <c r="H323" s="8">
        <v>45853</v>
      </c>
      <c r="I323" s="8">
        <v>45869</v>
      </c>
      <c r="J323" s="51">
        <f t="shared" si="54"/>
        <v>0</v>
      </c>
      <c r="K323" s="51">
        <f t="shared" si="55"/>
        <v>0</v>
      </c>
      <c r="L323" s="51">
        <f t="shared" si="56"/>
        <v>0</v>
      </c>
      <c r="M323" s="52">
        <f t="shared" si="53"/>
        <v>17</v>
      </c>
      <c r="N323" s="51">
        <f t="shared" ref="N323:N338" si="61">MAX(0,MIN(IF(I323="",EOMONTH(DATE(YEAR($N$1),MONTH($N$1),1),0),I323),EOMONTH(DATE(YEAR($N$1),MONTH($N$1),1),0))-MAX(H323,DATE(YEAR($N$1),MONTH($N$1),1))+1)</f>
        <v>0</v>
      </c>
      <c r="O323" s="51">
        <f t="shared" si="57"/>
        <v>30</v>
      </c>
      <c r="P323" s="51">
        <f t="shared" si="58"/>
        <v>31</v>
      </c>
      <c r="Q323" s="51">
        <f t="shared" si="59"/>
        <v>30</v>
      </c>
      <c r="R323" s="51">
        <f t="shared" si="60"/>
        <v>31</v>
      </c>
      <c r="S323" s="53">
        <f>IF(G323="事业部",LOOKUP(M323,基础设置!$T$2:$T$6,基础设置!$U$2:$U$6),IF(G323="总部",LOOKUP(M323,基础设置!$T$8:$T$13,基础设置!$V$8:$V$13),IF(G323="拓展部",LOOKUP(M323,基础设置!$T$8:$T$13,基础设置!$W$8:$W$13),5000)))</f>
        <v>2</v>
      </c>
    </row>
    <row r="324" spans="1:21" x14ac:dyDescent="0.15">
      <c r="A324" s="57">
        <v>323</v>
      </c>
      <c r="B324" s="7" t="s">
        <v>68</v>
      </c>
      <c r="C324" s="7" t="s">
        <v>46</v>
      </c>
      <c r="D324" s="7" t="s">
        <v>30</v>
      </c>
      <c r="E324" s="7" t="s">
        <v>438</v>
      </c>
      <c r="F324" s="7" t="s">
        <v>96</v>
      </c>
      <c r="G324" s="50" t="s">
        <v>9</v>
      </c>
      <c r="H324" s="8">
        <v>45854</v>
      </c>
      <c r="J324" s="51">
        <f t="shared" si="54"/>
        <v>0</v>
      </c>
      <c r="K324" s="51">
        <f t="shared" si="55"/>
        <v>0</v>
      </c>
      <c r="L324" s="51">
        <f t="shared" si="56"/>
        <v>0</v>
      </c>
      <c r="M324" s="52">
        <f t="shared" si="53"/>
        <v>16</v>
      </c>
      <c r="N324" s="51">
        <f t="shared" si="61"/>
        <v>31</v>
      </c>
      <c r="O324" s="51">
        <f t="shared" si="57"/>
        <v>30</v>
      </c>
      <c r="P324" s="51">
        <f t="shared" si="58"/>
        <v>31</v>
      </c>
      <c r="Q324" s="51">
        <f t="shared" si="59"/>
        <v>30</v>
      </c>
      <c r="R324" s="51">
        <f t="shared" si="60"/>
        <v>31</v>
      </c>
      <c r="S324" s="53">
        <f>IF(G324="事业部",LOOKUP(M324,基础设置!$T$2:$T$6,基础设置!$U$2:$U$6),IF(G324="总部",LOOKUP(M324,基础设置!$T$8:$T$13,基础设置!$V$8:$V$13),IF(G324="拓展部",LOOKUP(M324,基础设置!$T$8:$T$13,基础设置!$W$8:$W$13),5000)))</f>
        <v>2</v>
      </c>
    </row>
    <row r="325" spans="1:21" x14ac:dyDescent="0.15">
      <c r="A325" s="57">
        <v>324</v>
      </c>
      <c r="B325" s="7" t="s">
        <v>24</v>
      </c>
      <c r="C325" s="7" t="s">
        <v>383</v>
      </c>
      <c r="D325" s="7" t="s">
        <v>30</v>
      </c>
      <c r="E325" s="7" t="s">
        <v>439</v>
      </c>
      <c r="F325" s="7" t="s">
        <v>96</v>
      </c>
      <c r="G325" s="50" t="s">
        <v>9</v>
      </c>
      <c r="H325" s="8">
        <v>45853</v>
      </c>
      <c r="J325" s="51">
        <f t="shared" si="54"/>
        <v>0</v>
      </c>
      <c r="K325" s="51">
        <f t="shared" si="55"/>
        <v>0</v>
      </c>
      <c r="L325" s="51">
        <f t="shared" si="56"/>
        <v>0</v>
      </c>
      <c r="M325" s="52">
        <f t="shared" si="53"/>
        <v>17</v>
      </c>
      <c r="N325" s="51">
        <f t="shared" si="61"/>
        <v>31</v>
      </c>
      <c r="O325" s="51">
        <f t="shared" si="57"/>
        <v>30</v>
      </c>
      <c r="P325" s="51">
        <f t="shared" si="58"/>
        <v>31</v>
      </c>
      <c r="Q325" s="51">
        <f t="shared" si="59"/>
        <v>30</v>
      </c>
      <c r="R325" s="51">
        <f t="shared" si="60"/>
        <v>31</v>
      </c>
      <c r="S325" s="53">
        <f>IF(G325="事业部",LOOKUP(M325,基础设置!$T$2:$T$6,基础设置!$U$2:$U$6),IF(G325="总部",LOOKUP(M325,基础设置!$T$8:$T$13,基础设置!$V$8:$V$13),IF(G325="拓展部",LOOKUP(M325,基础设置!$T$8:$T$13,基础设置!$W$8:$W$13),5000)))</f>
        <v>2</v>
      </c>
      <c r="T325" s="53">
        <f>5500/31*10</f>
        <v>1774.1935483871</v>
      </c>
    </row>
    <row r="326" spans="1:21" x14ac:dyDescent="0.15">
      <c r="A326" s="57">
        <v>325</v>
      </c>
      <c r="B326" s="7" t="s">
        <v>24</v>
      </c>
      <c r="C326" s="7" t="s">
        <v>383</v>
      </c>
      <c r="D326" s="7" t="s">
        <v>30</v>
      </c>
      <c r="E326" s="7" t="s">
        <v>440</v>
      </c>
      <c r="F326" s="7" t="s">
        <v>96</v>
      </c>
      <c r="G326" s="50" t="s">
        <v>9</v>
      </c>
      <c r="H326" s="8">
        <v>45841</v>
      </c>
      <c r="I326" s="8">
        <v>45875</v>
      </c>
      <c r="J326" s="51">
        <f t="shared" si="54"/>
        <v>0</v>
      </c>
      <c r="K326" s="51">
        <f t="shared" si="55"/>
        <v>0</v>
      </c>
      <c r="L326" s="51">
        <f t="shared" si="56"/>
        <v>0</v>
      </c>
      <c r="M326" s="52">
        <f t="shared" si="53"/>
        <v>29</v>
      </c>
      <c r="N326" s="51">
        <f t="shared" si="61"/>
        <v>6</v>
      </c>
      <c r="O326" s="51">
        <f t="shared" si="57"/>
        <v>0</v>
      </c>
      <c r="P326" s="51">
        <f t="shared" si="58"/>
        <v>0</v>
      </c>
      <c r="Q326" s="51">
        <f t="shared" si="59"/>
        <v>0</v>
      </c>
      <c r="R326" s="51">
        <f t="shared" si="60"/>
        <v>0</v>
      </c>
      <c r="S326" s="53">
        <f>IF(G326="事业部",LOOKUP(M326,基础设置!$T$2:$T$6,基础设置!$U$2:$U$6),IF(G326="总部",LOOKUP(M326,基础设置!$T$8:$T$13,基础设置!$V$8:$V$13),IF(G326="拓展部",LOOKUP(M326,基础设置!$T$8:$T$13,基础设置!$W$8:$W$13),5000)))</f>
        <v>4</v>
      </c>
    </row>
    <row r="327" spans="1:21" x14ac:dyDescent="0.15">
      <c r="A327" s="57">
        <v>326</v>
      </c>
      <c r="B327" s="7" t="s">
        <v>33</v>
      </c>
      <c r="C327" s="7" t="s">
        <v>383</v>
      </c>
      <c r="D327" s="7" t="s">
        <v>30</v>
      </c>
      <c r="E327" s="7" t="s">
        <v>441</v>
      </c>
      <c r="F327" s="7" t="s">
        <v>96</v>
      </c>
      <c r="G327" s="50" t="s">
        <v>9</v>
      </c>
      <c r="H327" s="8">
        <v>45858</v>
      </c>
      <c r="J327" s="51">
        <f t="shared" si="54"/>
        <v>0</v>
      </c>
      <c r="K327" s="51">
        <f t="shared" si="55"/>
        <v>0</v>
      </c>
      <c r="L327" s="51">
        <f t="shared" si="56"/>
        <v>0</v>
      </c>
      <c r="M327" s="52">
        <f t="shared" si="53"/>
        <v>12</v>
      </c>
      <c r="N327" s="51">
        <f t="shared" si="61"/>
        <v>31</v>
      </c>
      <c r="O327" s="51">
        <f t="shared" si="57"/>
        <v>30</v>
      </c>
      <c r="P327" s="51">
        <f t="shared" si="58"/>
        <v>31</v>
      </c>
      <c r="Q327" s="51">
        <f t="shared" si="59"/>
        <v>30</v>
      </c>
      <c r="R327" s="51">
        <f t="shared" si="60"/>
        <v>31</v>
      </c>
      <c r="S327" s="53">
        <f>IF(G327="事业部",LOOKUP(M327,基础设置!$T$2:$T$6,基础设置!$U$2:$U$6),IF(G327="总部",LOOKUP(M327,基础设置!$T$8:$T$13,基础设置!$V$8:$V$13),IF(G327="拓展部",LOOKUP(M327,基础设置!$T$8:$T$13,基础设置!$W$8:$W$13),5000)))</f>
        <v>1</v>
      </c>
      <c r="T327" s="53">
        <f>7000/31*5</f>
        <v>1129.03225806452</v>
      </c>
      <c r="U327" s="54" t="s">
        <v>259</v>
      </c>
    </row>
    <row r="328" spans="1:21" ht="16.5" x14ac:dyDescent="0.15">
      <c r="A328" s="57">
        <v>327</v>
      </c>
      <c r="B328" s="7" t="s">
        <v>24</v>
      </c>
      <c r="C328" s="7" t="s">
        <v>383</v>
      </c>
      <c r="D328" s="7" t="s">
        <v>30</v>
      </c>
      <c r="E328" s="65" t="s">
        <v>442</v>
      </c>
      <c r="F328" s="7" t="s">
        <v>96</v>
      </c>
      <c r="G328" s="50" t="s">
        <v>9</v>
      </c>
      <c r="H328" s="8">
        <v>45853</v>
      </c>
      <c r="J328" s="51">
        <f t="shared" si="54"/>
        <v>0</v>
      </c>
      <c r="K328" s="51">
        <f t="shared" si="55"/>
        <v>0</v>
      </c>
      <c r="L328" s="51">
        <f t="shared" si="56"/>
        <v>0</v>
      </c>
      <c r="M328" s="52">
        <f t="shared" si="53"/>
        <v>17</v>
      </c>
      <c r="N328" s="51">
        <f t="shared" si="61"/>
        <v>31</v>
      </c>
      <c r="O328" s="51">
        <f t="shared" si="57"/>
        <v>30</v>
      </c>
      <c r="P328" s="51">
        <f t="shared" si="58"/>
        <v>31</v>
      </c>
      <c r="Q328" s="51">
        <f t="shared" si="59"/>
        <v>30</v>
      </c>
      <c r="R328" s="51">
        <f t="shared" si="60"/>
        <v>31</v>
      </c>
      <c r="S328" s="53">
        <f>IF(G328="事业部",LOOKUP(M328,基础设置!$T$2:$T$6,基础设置!$U$2:$U$6),IF(G328="总部",LOOKUP(M328,基础设置!$T$8:$T$13,基础设置!$V$8:$V$13),IF(G328="拓展部",LOOKUP(M328,基础设置!$T$8:$T$13,基础设置!$W$8:$W$13),5000)))</f>
        <v>2</v>
      </c>
      <c r="T328" s="53">
        <f>7000/31*10</f>
        <v>2258.0645161290299</v>
      </c>
    </row>
    <row r="329" spans="1:21" ht="16.5" x14ac:dyDescent="0.15">
      <c r="A329" s="57">
        <v>328</v>
      </c>
      <c r="B329" s="7" t="s">
        <v>53</v>
      </c>
      <c r="C329" s="7" t="s">
        <v>35</v>
      </c>
      <c r="D329" s="7" t="s">
        <v>21</v>
      </c>
      <c r="E329" s="65" t="s">
        <v>443</v>
      </c>
      <c r="F329" s="7" t="s">
        <v>96</v>
      </c>
      <c r="G329" s="50" t="s">
        <v>9</v>
      </c>
      <c r="H329" s="8">
        <v>45857</v>
      </c>
      <c r="J329" s="51">
        <f t="shared" ref="J329:J336" si="62">MAX(0,MIN(IF(I326="",EOMONTH(DATE(YEAR($J$1),MONTH($J$1),1),0),I326),EOMONTH(DATE(YEAR($J$1),MONTH($J$1),1),0))-MAX(H326,DATE(YEAR($J$1),MONTH($J$1),1))+1)</f>
        <v>0</v>
      </c>
      <c r="K329" s="51">
        <f t="shared" ref="K329:K336" si="63">MAX(0,MIN(IF(I326="",EOMONTH(DATE(YEAR($K$1),MONTH($K$1),1),0),I326),EOMONTH(DATE(YEAR($K$1),MONTH($K$1),1),0))-MAX(H326,DATE(YEAR($K$1),MONTH($K$1),1))+1)</f>
        <v>0</v>
      </c>
      <c r="L329" s="51">
        <f t="shared" ref="L329:L336" si="64">MAX(0,MIN(IF(I326="",EOMONTH(DATE(YEAR($L$1),MONTH($L$1),1),0),I326),EOMONTH(DATE(YEAR($L$1),MONTH($L$1),1),0))-MAX(H326,DATE(YEAR($L$1),MONTH($L$1),1))+1)</f>
        <v>0</v>
      </c>
      <c r="M329" s="52">
        <f t="shared" ref="M329:M336" si="65">MAX(0,MIN(IF(I329="",EOMONTH(DATE(YEAR($M$1),MONTH($M$1),1),0),I329),EOMONTH(DATE(YEAR($M$1),MONTH($M$1),1),0))-MAX(H329,DATE(YEAR($M$1),MONTH($M$1),1))+1)</f>
        <v>13</v>
      </c>
      <c r="N329" s="51">
        <f t="shared" si="61"/>
        <v>31</v>
      </c>
      <c r="O329" s="51">
        <f t="shared" ref="O329:O336" si="66">MAX(0,MIN(IF(I326="",EOMONTH(DATE(YEAR($O$1),MONTH($O$1),1),0),I326),EOMONTH(DATE(YEAR($O$1),MONTH($O$1),1),0))-MAX(H326,DATE(YEAR($O$1),MONTH($O$1),1))+1)</f>
        <v>0</v>
      </c>
      <c r="P329" s="51">
        <f t="shared" ref="P329:P336" si="67">MAX(0,MIN(IF(I326="",EOMONTH(DATE(YEAR($P$1),MONTH($P$1),1),0),I326),EOMONTH(DATE(YEAR($P$1),MONTH($P$1),1),0))-MAX(H326,DATE(YEAR($P$1),MONTH($P$1),1))+1)</f>
        <v>0</v>
      </c>
      <c r="Q329" s="51">
        <f t="shared" ref="Q329:Q336" si="68">MAX(0,MIN(IF(I326="",EOMONTH(DATE(YEAR($Q$1),MONTH($Q$1),1),0),I326),EOMONTH(DATE(YEAR($Q$1),MONTH($Q$1),1),0))-MAX(H326,DATE(YEAR($Q$1),MONTH($Q$1),1))+1)</f>
        <v>0</v>
      </c>
      <c r="R329" s="51">
        <f t="shared" ref="R329:R336" si="69">MAX(0,MIN(IF(I326="",EOMONTH(DATE(YEAR($R$1),MONTH($R$1),1),0),I326),EOMONTH(DATE(YEAR($R$1),MONTH($R$1),1),0))-MAX(H326,DATE(YEAR($R$1),MONTH($R$1),1))+1)</f>
        <v>0</v>
      </c>
      <c r="S329" s="53">
        <f>IF(G329="事业部",LOOKUP(M329,基础设置!$T$2:$T$6,基础设置!$U$2:$U$6),IF(G329="总部",LOOKUP(M329,基础设置!$T$8:$T$13,基础设置!$V$8:$V$13),IF(G329="拓展部",LOOKUP(M329,基础设置!$T$8:$T$13,基础设置!$W$8:$W$13),5000)))</f>
        <v>1</v>
      </c>
    </row>
    <row r="330" spans="1:21" ht="16.5" x14ac:dyDescent="0.15">
      <c r="A330" s="57">
        <v>329</v>
      </c>
      <c r="B330" s="7" t="s">
        <v>72</v>
      </c>
      <c r="C330" s="7" t="s">
        <v>35</v>
      </c>
      <c r="D330" s="7" t="s">
        <v>21</v>
      </c>
      <c r="E330" s="65" t="s">
        <v>444</v>
      </c>
      <c r="F330" s="7" t="s">
        <v>96</v>
      </c>
      <c r="G330" s="50" t="s">
        <v>9</v>
      </c>
      <c r="H330" s="8">
        <v>45858</v>
      </c>
      <c r="J330" s="51">
        <f t="shared" si="62"/>
        <v>0</v>
      </c>
      <c r="K330" s="51">
        <f t="shared" si="63"/>
        <v>0</v>
      </c>
      <c r="L330" s="51">
        <f t="shared" si="64"/>
        <v>0</v>
      </c>
      <c r="M330" s="52">
        <f t="shared" si="65"/>
        <v>12</v>
      </c>
      <c r="N330" s="51">
        <f t="shared" si="61"/>
        <v>31</v>
      </c>
      <c r="O330" s="51">
        <f t="shared" si="66"/>
        <v>30</v>
      </c>
      <c r="P330" s="51">
        <f t="shared" si="67"/>
        <v>31</v>
      </c>
      <c r="Q330" s="51">
        <f t="shared" si="68"/>
        <v>30</v>
      </c>
      <c r="R330" s="51">
        <f t="shared" si="69"/>
        <v>31</v>
      </c>
      <c r="S330" s="53">
        <f>IF(G330="事业部",LOOKUP(M330,基础设置!$T$2:$T$6,基础设置!$U$2:$U$6),IF(G330="总部",LOOKUP(M330,基础设置!$T$8:$T$13,基础设置!$V$8:$V$13),IF(G330="拓展部",LOOKUP(M330,基础设置!$T$8:$T$13,基础设置!$W$8:$W$13),5000)))</f>
        <v>1</v>
      </c>
      <c r="U330" s="54" t="s">
        <v>259</v>
      </c>
    </row>
    <row r="331" spans="1:21" ht="16.5" x14ac:dyDescent="0.15">
      <c r="A331" s="57">
        <v>330</v>
      </c>
      <c r="B331" s="7" t="s">
        <v>57</v>
      </c>
      <c r="C331" s="7" t="s">
        <v>35</v>
      </c>
      <c r="D331" s="7" t="s">
        <v>21</v>
      </c>
      <c r="E331" s="65" t="s">
        <v>445</v>
      </c>
      <c r="F331" s="7" t="s">
        <v>96</v>
      </c>
      <c r="G331" s="50" t="s">
        <v>9</v>
      </c>
      <c r="H331" s="8">
        <v>45858</v>
      </c>
      <c r="J331" s="51">
        <f t="shared" si="62"/>
        <v>0</v>
      </c>
      <c r="K331" s="51">
        <f t="shared" si="63"/>
        <v>0</v>
      </c>
      <c r="L331" s="51">
        <f t="shared" si="64"/>
        <v>0</v>
      </c>
      <c r="M331" s="52">
        <f t="shared" si="65"/>
        <v>12</v>
      </c>
      <c r="N331" s="51">
        <f t="shared" si="61"/>
        <v>31</v>
      </c>
      <c r="O331" s="51">
        <f t="shared" si="66"/>
        <v>30</v>
      </c>
      <c r="P331" s="51">
        <f t="shared" si="67"/>
        <v>31</v>
      </c>
      <c r="Q331" s="51">
        <f t="shared" si="68"/>
        <v>30</v>
      </c>
      <c r="R331" s="51">
        <f t="shared" si="69"/>
        <v>31</v>
      </c>
      <c r="S331" s="53">
        <f>IF(G331="事业部",LOOKUP(M331,基础设置!$T$2:$T$6,基础设置!$U$2:$U$6),IF(G331="总部",LOOKUP(M331,基础设置!$T$8:$T$13,基础设置!$V$8:$V$13),IF(G331="拓展部",LOOKUP(M331,基础设置!$T$8:$T$13,基础设置!$W$8:$W$13),5000)))</f>
        <v>1</v>
      </c>
      <c r="U331" s="54" t="s">
        <v>259</v>
      </c>
    </row>
    <row r="332" spans="1:21" ht="16.5" x14ac:dyDescent="0.15">
      <c r="A332" s="57">
        <v>331</v>
      </c>
      <c r="B332" s="65" t="s">
        <v>65</v>
      </c>
      <c r="C332" s="7" t="s">
        <v>35</v>
      </c>
      <c r="D332" s="7" t="s">
        <v>21</v>
      </c>
      <c r="E332" s="65" t="s">
        <v>446</v>
      </c>
      <c r="F332" s="7" t="s">
        <v>96</v>
      </c>
      <c r="G332" s="50" t="s">
        <v>9</v>
      </c>
      <c r="H332" s="8">
        <v>45861</v>
      </c>
      <c r="J332" s="51">
        <f t="shared" si="62"/>
        <v>0</v>
      </c>
      <c r="K332" s="51">
        <f t="shared" si="63"/>
        <v>0</v>
      </c>
      <c r="L332" s="51">
        <f t="shared" si="64"/>
        <v>0</v>
      </c>
      <c r="M332" s="52">
        <f t="shared" si="65"/>
        <v>9</v>
      </c>
      <c r="N332" s="51">
        <f t="shared" si="61"/>
        <v>31</v>
      </c>
      <c r="O332" s="51">
        <f t="shared" si="66"/>
        <v>30</v>
      </c>
      <c r="P332" s="51">
        <f t="shared" si="67"/>
        <v>31</v>
      </c>
      <c r="Q332" s="51">
        <f t="shared" si="68"/>
        <v>30</v>
      </c>
      <c r="R332" s="51">
        <f t="shared" si="69"/>
        <v>31</v>
      </c>
      <c r="S332" s="53">
        <f>IF(G332="事业部",LOOKUP(M332,基础设置!$T$2:$T$6,基础设置!$U$2:$U$6),IF(G332="总部",LOOKUP(M332,基础设置!$T$8:$T$13,基础设置!$V$8:$V$13),IF(G332="拓展部",LOOKUP(M332,基础设置!$T$8:$T$13,基础设置!$W$8:$W$13),5000)))</f>
        <v>1</v>
      </c>
      <c r="U332" s="54" t="s">
        <v>259</v>
      </c>
    </row>
    <row r="333" spans="1:21" ht="16.5" x14ac:dyDescent="0.15">
      <c r="A333" s="57">
        <v>332</v>
      </c>
      <c r="B333" s="65" t="s">
        <v>80</v>
      </c>
      <c r="C333" s="7" t="s">
        <v>35</v>
      </c>
      <c r="D333" s="7" t="s">
        <v>21</v>
      </c>
      <c r="E333" s="65" t="s">
        <v>447</v>
      </c>
      <c r="F333" s="7" t="s">
        <v>96</v>
      </c>
      <c r="G333" s="50" t="s">
        <v>9</v>
      </c>
      <c r="H333" s="8">
        <v>45861</v>
      </c>
      <c r="J333" s="51">
        <f t="shared" si="62"/>
        <v>0</v>
      </c>
      <c r="K333" s="51">
        <f t="shared" si="63"/>
        <v>0</v>
      </c>
      <c r="L333" s="51">
        <f t="shared" si="64"/>
        <v>0</v>
      </c>
      <c r="M333" s="52">
        <f t="shared" si="65"/>
        <v>9</v>
      </c>
      <c r="N333" s="51">
        <f t="shared" si="61"/>
        <v>31</v>
      </c>
      <c r="O333" s="51">
        <f t="shared" si="66"/>
        <v>30</v>
      </c>
      <c r="P333" s="51">
        <f t="shared" si="67"/>
        <v>31</v>
      </c>
      <c r="Q333" s="51">
        <f t="shared" si="68"/>
        <v>30</v>
      </c>
      <c r="R333" s="51">
        <f t="shared" si="69"/>
        <v>31</v>
      </c>
      <c r="S333" s="53">
        <f>IF(G333="事业部",LOOKUP(M333,基础设置!$T$2:$T$6,基础设置!$U$2:$U$6),IF(G333="总部",LOOKUP(M333,基础设置!$T$8:$T$13,基础设置!$V$8:$V$13),IF(G333="拓展部",LOOKUP(M333,基础设置!$T$8:$T$13,基础设置!$W$8:$W$13),5000)))</f>
        <v>1</v>
      </c>
      <c r="U333" s="54" t="s">
        <v>259</v>
      </c>
    </row>
    <row r="334" spans="1:21" ht="16.5" x14ac:dyDescent="0.15">
      <c r="A334" s="57">
        <v>333</v>
      </c>
      <c r="B334" s="7" t="s">
        <v>53</v>
      </c>
      <c r="C334" s="7" t="s">
        <v>35</v>
      </c>
      <c r="D334" s="7" t="s">
        <v>21</v>
      </c>
      <c r="E334" s="65" t="s">
        <v>448</v>
      </c>
      <c r="F334" s="7" t="s">
        <v>96</v>
      </c>
      <c r="G334" s="50" t="s">
        <v>9</v>
      </c>
      <c r="H334" s="8">
        <v>45861</v>
      </c>
      <c r="J334" s="51">
        <f t="shared" si="62"/>
        <v>0</v>
      </c>
      <c r="K334" s="51">
        <f t="shared" si="63"/>
        <v>0</v>
      </c>
      <c r="L334" s="51">
        <f t="shared" si="64"/>
        <v>0</v>
      </c>
      <c r="M334" s="52">
        <f t="shared" si="65"/>
        <v>9</v>
      </c>
      <c r="N334" s="51">
        <f t="shared" si="61"/>
        <v>31</v>
      </c>
      <c r="O334" s="51">
        <f t="shared" si="66"/>
        <v>30</v>
      </c>
      <c r="P334" s="51">
        <f t="shared" si="67"/>
        <v>31</v>
      </c>
      <c r="Q334" s="51">
        <f t="shared" si="68"/>
        <v>30</v>
      </c>
      <c r="R334" s="51">
        <f t="shared" si="69"/>
        <v>31</v>
      </c>
      <c r="S334" s="53">
        <f>IF(G334="事业部",LOOKUP(M334,基础设置!$T$2:$T$6,基础设置!$U$2:$U$6),IF(G334="总部",LOOKUP(M334,基础设置!$T$8:$T$13,基础设置!$V$8:$V$13),IF(G334="拓展部",LOOKUP(M334,基础设置!$T$8:$T$13,基础设置!$W$8:$W$13),5000)))</f>
        <v>1</v>
      </c>
      <c r="U334" s="54" t="s">
        <v>259</v>
      </c>
    </row>
    <row r="335" spans="1:21" ht="16.5" x14ac:dyDescent="0.15">
      <c r="A335" s="57">
        <v>334</v>
      </c>
      <c r="B335" s="65" t="s">
        <v>76</v>
      </c>
      <c r="C335" s="7" t="s">
        <v>35</v>
      </c>
      <c r="D335" s="7" t="s">
        <v>21</v>
      </c>
      <c r="E335" s="65" t="s">
        <v>449</v>
      </c>
      <c r="F335" s="7" t="s">
        <v>96</v>
      </c>
      <c r="G335" s="50" t="s">
        <v>9</v>
      </c>
      <c r="H335" s="8">
        <v>45862</v>
      </c>
      <c r="J335" s="51">
        <f t="shared" si="62"/>
        <v>0</v>
      </c>
      <c r="K335" s="51">
        <f t="shared" si="63"/>
        <v>0</v>
      </c>
      <c r="L335" s="51">
        <f t="shared" si="64"/>
        <v>0</v>
      </c>
      <c r="M335" s="52">
        <f t="shared" si="65"/>
        <v>8</v>
      </c>
      <c r="N335" s="51">
        <f t="shared" si="61"/>
        <v>31</v>
      </c>
      <c r="O335" s="51">
        <f t="shared" si="66"/>
        <v>30</v>
      </c>
      <c r="P335" s="51">
        <f t="shared" si="67"/>
        <v>31</v>
      </c>
      <c r="Q335" s="51">
        <f t="shared" si="68"/>
        <v>30</v>
      </c>
      <c r="R335" s="51">
        <f t="shared" si="69"/>
        <v>31</v>
      </c>
      <c r="S335" s="53">
        <f>IF(G335="事业部",LOOKUP(M335,基础设置!$T$2:$T$6,基础设置!$U$2:$U$6),IF(G335="总部",LOOKUP(M335,基础设置!$T$8:$T$13,基础设置!$V$8:$V$13),IF(G335="拓展部",LOOKUP(M335,基础设置!$T$8:$T$13,基础设置!$W$8:$W$13),5000)))</f>
        <v>1</v>
      </c>
      <c r="U335" s="54" t="s">
        <v>259</v>
      </c>
    </row>
    <row r="336" spans="1:21" ht="16.5" x14ac:dyDescent="0.15">
      <c r="A336" s="57">
        <v>335</v>
      </c>
      <c r="B336" s="65" t="s">
        <v>59</v>
      </c>
      <c r="C336" s="7" t="s">
        <v>35</v>
      </c>
      <c r="D336" s="7" t="s">
        <v>21</v>
      </c>
      <c r="E336" s="65" t="s">
        <v>450</v>
      </c>
      <c r="F336" s="7" t="s">
        <v>96</v>
      </c>
      <c r="G336" s="50" t="s">
        <v>9</v>
      </c>
      <c r="H336" s="8">
        <v>45866</v>
      </c>
      <c r="J336" s="51">
        <f t="shared" si="62"/>
        <v>0</v>
      </c>
      <c r="K336" s="51">
        <f t="shared" si="63"/>
        <v>0</v>
      </c>
      <c r="L336" s="51">
        <f t="shared" si="64"/>
        <v>0</v>
      </c>
      <c r="M336" s="52">
        <f t="shared" si="65"/>
        <v>4</v>
      </c>
      <c r="N336" s="51">
        <f t="shared" si="61"/>
        <v>31</v>
      </c>
      <c r="O336" s="51">
        <f t="shared" si="66"/>
        <v>30</v>
      </c>
      <c r="P336" s="51">
        <f t="shared" si="67"/>
        <v>31</v>
      </c>
      <c r="Q336" s="51">
        <f t="shared" si="68"/>
        <v>30</v>
      </c>
      <c r="R336" s="51">
        <f t="shared" si="69"/>
        <v>31</v>
      </c>
      <c r="S336" s="53">
        <f>IF(G336="事业部",LOOKUP(M336,基础设置!$T$2:$T$6,基础设置!$U$2:$U$6),IF(G336="总部",LOOKUP(M336,基础设置!$T$8:$T$13,基础设置!$V$8:$V$13),IF(G336="拓展部",LOOKUP(M336,基础设置!$T$8:$T$13,基础设置!$W$8:$W$13),5000)))</f>
        <v>0</v>
      </c>
      <c r="U336" s="54" t="s">
        <v>259</v>
      </c>
    </row>
    <row r="337" spans="1:21" ht="16.5" x14ac:dyDescent="0.15">
      <c r="A337" s="57">
        <v>337</v>
      </c>
      <c r="B337" s="65" t="s">
        <v>81</v>
      </c>
      <c r="C337" s="7" t="s">
        <v>35</v>
      </c>
      <c r="D337" s="7" t="s">
        <v>21</v>
      </c>
      <c r="E337" s="65" t="s">
        <v>451</v>
      </c>
      <c r="F337" s="7" t="s">
        <v>96</v>
      </c>
      <c r="G337" s="50" t="s">
        <v>9</v>
      </c>
      <c r="H337" s="8">
        <v>45863</v>
      </c>
      <c r="J337" s="51">
        <f>MAX(0,MIN(IF(I335="",EOMONTH(DATE(YEAR($J$1),MONTH($J$1),1),0),I335),EOMONTH(DATE(YEAR($J$1),MONTH($J$1),1),0))-MAX(H335,DATE(YEAR($J$1),MONTH($J$1),1))+1)</f>
        <v>0</v>
      </c>
      <c r="K337" s="51">
        <f>MAX(0,MIN(IF(I335="",EOMONTH(DATE(YEAR($K$1),MONTH($K$1),1),0),I335),EOMONTH(DATE(YEAR($K$1),MONTH($K$1),1),0))-MAX(H335,DATE(YEAR($K$1),MONTH($K$1),1))+1)</f>
        <v>0</v>
      </c>
      <c r="L337" s="51">
        <f>MAX(0,MIN(IF(I335="",EOMONTH(DATE(YEAR($L$1),MONTH($L$1),1),0),I335),EOMONTH(DATE(YEAR($L$1),MONTH($L$1),1),0))-MAX(H335,DATE(YEAR($L$1),MONTH($L$1),1))+1)</f>
        <v>0</v>
      </c>
      <c r="M337" s="52">
        <f>MAX(0,MIN(IF(I337="",EOMONTH(DATE(YEAR($M$1),MONTH($M$1),1),0),I337),EOMONTH(DATE(YEAR($M$1),MONTH($M$1),1),0))-MAX(H337,DATE(YEAR($M$1),MONTH($M$1),1))+1)</f>
        <v>7</v>
      </c>
      <c r="N337" s="51">
        <f t="shared" si="61"/>
        <v>31</v>
      </c>
      <c r="O337" s="51">
        <f>MAX(0,MIN(IF(I335="",EOMONTH(DATE(YEAR($O$1),MONTH($O$1),1),0),I335),EOMONTH(DATE(YEAR($O$1),MONTH($O$1),1),0))-MAX(H335,DATE(YEAR($O$1),MONTH($O$1),1))+1)</f>
        <v>30</v>
      </c>
      <c r="P337" s="51">
        <f>MAX(0,MIN(IF(I335="",EOMONTH(DATE(YEAR($P$1),MONTH($P$1),1),0),I335),EOMONTH(DATE(YEAR($P$1),MONTH($P$1),1),0))-MAX(H335,DATE(YEAR($P$1),MONTH($P$1),1))+1)</f>
        <v>31</v>
      </c>
      <c r="Q337" s="51">
        <f>MAX(0,MIN(IF(I335="",EOMONTH(DATE(YEAR($Q$1),MONTH($Q$1),1),0),I335),EOMONTH(DATE(YEAR($Q$1),MONTH($Q$1),1),0))-MAX(H335,DATE(YEAR($Q$1),MONTH($Q$1),1))+1)</f>
        <v>30</v>
      </c>
      <c r="R337" s="51">
        <f>MAX(0,MIN(IF(I335="",EOMONTH(DATE(YEAR($R$1),MONTH($R$1),1),0),I335),EOMONTH(DATE(YEAR($R$1),MONTH($R$1),1),0))-MAX(H335,DATE(YEAR($R$1),MONTH($R$1),1))+1)</f>
        <v>31</v>
      </c>
      <c r="S337" s="53">
        <f>IF(G337="事业部",LOOKUP(M337,基础设置!$T$2:$T$6,基础设置!$U$2:$U$6),IF(G337="总部",LOOKUP(M337,基础设置!$T$8:$T$13,基础设置!$V$8:$V$13),IF(G337="拓展部",LOOKUP(M337,基础设置!$T$8:$T$13,基础设置!$W$8:$W$13),5000)))</f>
        <v>1</v>
      </c>
      <c r="U337" s="54" t="s">
        <v>259</v>
      </c>
    </row>
    <row r="338" spans="1:21" ht="16.5" x14ac:dyDescent="0.15">
      <c r="A338" s="57">
        <v>338</v>
      </c>
      <c r="B338" s="65" t="s">
        <v>76</v>
      </c>
      <c r="C338" s="7" t="s">
        <v>35</v>
      </c>
      <c r="D338" s="7" t="s">
        <v>21</v>
      </c>
      <c r="E338" s="65" t="s">
        <v>452</v>
      </c>
      <c r="F338" s="7" t="s">
        <v>96</v>
      </c>
      <c r="G338" s="50" t="s">
        <v>9</v>
      </c>
      <c r="H338" s="8">
        <v>45865</v>
      </c>
      <c r="J338" s="51">
        <f>MAX(0,MIN(IF(I336="",EOMONTH(DATE(YEAR($J$1),MONTH($J$1),1),0),I336),EOMONTH(DATE(YEAR($J$1),MONTH($J$1),1),0))-MAX(H336,DATE(YEAR($J$1),MONTH($J$1),1))+1)</f>
        <v>0</v>
      </c>
      <c r="K338" s="51">
        <f>MAX(0,MIN(IF(I336="",EOMONTH(DATE(YEAR($K$1),MONTH($K$1),1),0),I336),EOMONTH(DATE(YEAR($K$1),MONTH($K$1),1),0))-MAX(H336,DATE(YEAR($K$1),MONTH($K$1),1))+1)</f>
        <v>0</v>
      </c>
      <c r="L338" s="51">
        <f>MAX(0,MIN(IF(I336="",EOMONTH(DATE(YEAR($L$1),MONTH($L$1),1),0),I336),EOMONTH(DATE(YEAR($L$1),MONTH($L$1),1),0))-MAX(H336,DATE(YEAR($L$1),MONTH($L$1),1))+1)</f>
        <v>0</v>
      </c>
      <c r="M338" s="52">
        <f>MAX(0,MIN(IF(I338="",EOMONTH(DATE(YEAR($M$1),MONTH($M$1),1),0),I338),EOMONTH(DATE(YEAR($M$1),MONTH($M$1),1),0))-MAX(H338,DATE(YEAR($M$1),MONTH($M$1),1))+1)</f>
        <v>5</v>
      </c>
      <c r="N338" s="51">
        <f t="shared" si="61"/>
        <v>31</v>
      </c>
      <c r="O338" s="51">
        <f>MAX(0,MIN(IF(I336="",EOMONTH(DATE(YEAR($O$1),MONTH($O$1),1),0),I336),EOMONTH(DATE(YEAR($O$1),MONTH($O$1),1),0))-MAX(H336,DATE(YEAR($O$1),MONTH($O$1),1))+1)</f>
        <v>30</v>
      </c>
      <c r="P338" s="51">
        <f>MAX(0,MIN(IF(I336="",EOMONTH(DATE(YEAR($P$1),MONTH($P$1),1),0),I336),EOMONTH(DATE(YEAR($P$1),MONTH($P$1),1),0))-MAX(H336,DATE(YEAR($P$1),MONTH($P$1),1))+1)</f>
        <v>31</v>
      </c>
      <c r="Q338" s="51">
        <f>MAX(0,MIN(IF(I336="",EOMONTH(DATE(YEAR($Q$1),MONTH($Q$1),1),0),I336),EOMONTH(DATE(YEAR($Q$1),MONTH($Q$1),1),0))-MAX(H336,DATE(YEAR($Q$1),MONTH($Q$1),1))+1)</f>
        <v>30</v>
      </c>
      <c r="R338" s="51">
        <f>MAX(0,MIN(IF(I336="",EOMONTH(DATE(YEAR($R$1),MONTH($R$1),1),0),I336),EOMONTH(DATE(YEAR($R$1),MONTH($R$1),1),0))-MAX(H336,DATE(YEAR($R$1),MONTH($R$1),1))+1)</f>
        <v>31</v>
      </c>
      <c r="S338" s="53">
        <f>IF(G338="事业部",LOOKUP(M338,基础设置!$T$2:$T$6,基础设置!$U$2:$U$6),IF(G338="总部",LOOKUP(M338,基础设置!$T$8:$T$13,基础设置!$V$8:$V$13),IF(G338="拓展部",LOOKUP(M338,基础设置!$T$8:$T$13,基础设置!$W$8:$W$13),5000)))</f>
        <v>0</v>
      </c>
      <c r="U338" s="54" t="s">
        <v>259</v>
      </c>
    </row>
    <row r="339" spans="1:21" x14ac:dyDescent="0.15">
      <c r="A339" s="57">
        <v>339</v>
      </c>
      <c r="B339" s="66" t="s">
        <v>81</v>
      </c>
      <c r="C339" s="66" t="s">
        <v>35</v>
      </c>
      <c r="D339" s="7" t="s">
        <v>21</v>
      </c>
      <c r="E339" s="66" t="s">
        <v>453</v>
      </c>
      <c r="F339" s="67" t="s">
        <v>36</v>
      </c>
      <c r="G339" s="50" t="s">
        <v>9</v>
      </c>
      <c r="H339" s="68">
        <v>45845</v>
      </c>
      <c r="I339" s="8">
        <v>45853</v>
      </c>
      <c r="M339" s="52">
        <f>MAX(0,MIN(IF(I339="",EOMONTH(DATE(YEAR($M$1),MONTH($M$1),1),0),I339),EOMONTH(DATE(YEAR($M$1),MONTH($M$1),1),0))-MAX(H339,DATE(YEAR($M$1),MONTH($M$1),1))+1)</f>
        <v>9</v>
      </c>
      <c r="N339" s="51">
        <f>MAX(0,MIN(IF(I339="",EOMONTH(DATE(YEAR($N$1),MONTH($N$1),1),0),I339),EOMONTH(DATE(YEAR($N$1),MONTH($N$1),1),0))-MAX(H339,DATE(YEAR($N$1),MONTH($N$1),1))+1)</f>
        <v>0</v>
      </c>
    </row>
    <row r="340" spans="1:21" ht="16.5" x14ac:dyDescent="0.15">
      <c r="A340" s="69"/>
      <c r="B340" s="65"/>
      <c r="C340" s="65"/>
      <c r="D340" s="65"/>
      <c r="E340" s="65"/>
      <c r="F340" s="70"/>
      <c r="G340" s="71"/>
    </row>
    <row r="341" spans="1:21" ht="16.5" x14ac:dyDescent="0.15">
      <c r="A341" s="69"/>
      <c r="B341" s="65"/>
      <c r="C341" s="65"/>
      <c r="D341" s="65"/>
      <c r="E341" s="65"/>
      <c r="F341" s="70"/>
      <c r="G341" s="71"/>
    </row>
    <row r="342" spans="1:21" ht="16.5" x14ac:dyDescent="0.15">
      <c r="A342" s="69"/>
      <c r="B342" s="72"/>
      <c r="C342" s="72"/>
      <c r="D342" s="72"/>
      <c r="E342" s="72"/>
      <c r="F342" s="70"/>
      <c r="G342" s="71"/>
    </row>
    <row r="343" spans="1:21" ht="17.25" x14ac:dyDescent="0.15">
      <c r="A343" s="69"/>
      <c r="B343" s="73"/>
      <c r="C343" s="73"/>
      <c r="D343" s="65"/>
      <c r="E343" s="65"/>
      <c r="F343" s="70"/>
      <c r="G343" s="71"/>
    </row>
    <row r="344" spans="1:21" ht="17.25" x14ac:dyDescent="0.15">
      <c r="A344" s="69"/>
      <c r="B344" s="73"/>
      <c r="C344" s="73"/>
      <c r="D344" s="65"/>
      <c r="E344" s="65"/>
      <c r="F344" s="70"/>
      <c r="G344" s="71"/>
    </row>
    <row r="345" spans="1:21" x14ac:dyDescent="0.15">
      <c r="B345" s="74"/>
      <c r="C345" s="74"/>
      <c r="D345" s="74"/>
      <c r="E345" s="74"/>
      <c r="F345" s="74"/>
    </row>
  </sheetData>
  <sheetProtection formatCells="0" formatColumns="0" formatRows="0" insertColumns="0" insertRows="0" insertHyperlinks="0" deleteColumns="0" deleteRows="0" sort="0" autoFilter="0" pivotTables="0"/>
  <autoFilter ref="A1:W339" xr:uid="{00000000-0009-0000-0000-000002000000}"/>
  <phoneticPr fontId="4" type="noConversion"/>
  <conditionalFormatting sqref="E328:E338 E339:F1048576">
    <cfRule type="duplicateValues" dxfId="2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47"/>
  <sheetViews>
    <sheetView workbookViewId="0">
      <selection activeCell="E28" sqref="E28"/>
    </sheetView>
  </sheetViews>
  <sheetFormatPr defaultColWidth="9" defaultRowHeight="14.25" x14ac:dyDescent="0.15"/>
  <cols>
    <col min="1" max="1" width="9" style="38"/>
    <col min="2" max="2" width="14.125" style="38" customWidth="1"/>
    <col min="3" max="3" width="13.75" style="38" customWidth="1"/>
    <col min="4" max="4" width="9.25" style="19" customWidth="1"/>
    <col min="5" max="5" width="11.125" style="19" customWidth="1"/>
    <col min="6" max="6" width="9.5" style="39" customWidth="1"/>
    <col min="7" max="7" width="15.375" style="38" customWidth="1"/>
    <col min="8" max="8" width="11.5" style="38" customWidth="1"/>
    <col min="9" max="9" width="17.75" style="40" customWidth="1"/>
    <col min="10" max="10" width="10" style="40" customWidth="1"/>
    <col min="11" max="11" width="8.125" style="40" customWidth="1"/>
    <col min="12" max="12" width="8" style="40" customWidth="1"/>
    <col min="13" max="14" width="10.125" style="41" customWidth="1"/>
    <col min="15" max="15" width="9" style="38" bestFit="1" customWidth="1"/>
    <col min="16" max="16" width="24" style="38" customWidth="1"/>
    <col min="17" max="17" width="7.25" style="38" customWidth="1"/>
    <col min="18" max="16384" width="9" style="38"/>
  </cols>
  <sheetData>
    <row r="1" spans="1:19" x14ac:dyDescent="0.15">
      <c r="A1" s="7" t="s">
        <v>85</v>
      </c>
      <c r="B1" s="7" t="s">
        <v>454</v>
      </c>
      <c r="C1" s="7" t="s">
        <v>455</v>
      </c>
      <c r="D1" s="7" t="s">
        <v>10</v>
      </c>
      <c r="E1" s="7" t="s">
        <v>456</v>
      </c>
      <c r="F1" s="42" t="s">
        <v>457</v>
      </c>
      <c r="G1" s="7" t="s">
        <v>12</v>
      </c>
      <c r="H1" s="7" t="s">
        <v>458</v>
      </c>
      <c r="I1" s="40" t="s">
        <v>459</v>
      </c>
      <c r="J1" s="40" t="s">
        <v>460</v>
      </c>
      <c r="K1" s="40" t="s">
        <v>461</v>
      </c>
      <c r="L1" s="40" t="s">
        <v>6</v>
      </c>
      <c r="M1" s="41" t="s">
        <v>3</v>
      </c>
      <c r="O1" s="38" t="s">
        <v>462</v>
      </c>
      <c r="P1" s="38" t="s">
        <v>463</v>
      </c>
      <c r="Q1" s="38" t="s">
        <v>464</v>
      </c>
      <c r="S1" s="49" t="s">
        <v>465</v>
      </c>
    </row>
    <row r="2" spans="1:19" x14ac:dyDescent="0.15">
      <c r="A2" s="43" t="s">
        <v>427</v>
      </c>
      <c r="B2" s="44">
        <v>45846</v>
      </c>
      <c r="C2" s="44">
        <v>45847</v>
      </c>
      <c r="D2" s="43" t="s">
        <v>25</v>
      </c>
      <c r="E2" s="43" t="s">
        <v>78</v>
      </c>
      <c r="F2" s="45">
        <f t="shared" ref="F2:F3" si="0">C2-B2+1</f>
        <v>2</v>
      </c>
      <c r="G2" s="43" t="s">
        <v>27</v>
      </c>
      <c r="H2" s="43"/>
      <c r="I2" s="40">
        <f t="shared" ref="I2:I46" si="1">SUMIFS(F:F,A:A,A2,K:K,$S$1)</f>
        <v>31</v>
      </c>
      <c r="J2" s="40" t="str">
        <f>IF(_xlfn.XLOOKUP(A2,'①7月-花名册'!E:E,'①7月-花名册'!M:M,0)-I2=0,"完整",_xlfn.XLOOKUP(A2,'①7月-花名册'!E:E,'①7月-花名册'!M:M,0)-I2)</f>
        <v>完整</v>
      </c>
      <c r="K2" s="40" t="str">
        <f t="shared" ref="K2:K19" si="2">MONTH(B2)&amp;"月"</f>
        <v>7月</v>
      </c>
      <c r="L2" s="40">
        <f>IFERROR(IFERROR(_xlfn.XLOOKUP(G2,基础设置!K:K,基础设置!L:L,0),0)*F2,0)</f>
        <v>120</v>
      </c>
      <c r="M2" s="41">
        <f>IF(_xlfn.XLOOKUP(G2,基础设置!K:K,基础设置!L:L,0)="保底",_xlfn.XLOOKUP(A2,'①7月-花名册'!E:E,'①7月-花名册'!T:T,0),0)</f>
        <v>0</v>
      </c>
    </row>
    <row r="3" spans="1:19" x14ac:dyDescent="0.15">
      <c r="A3" s="43" t="s">
        <v>427</v>
      </c>
      <c r="B3" s="44">
        <v>45848</v>
      </c>
      <c r="C3" s="44">
        <v>45869</v>
      </c>
      <c r="D3" s="43" t="s">
        <v>29</v>
      </c>
      <c r="E3" s="43" t="s">
        <v>78</v>
      </c>
      <c r="F3" s="45">
        <f t="shared" si="0"/>
        <v>22</v>
      </c>
      <c r="G3" s="43" t="s">
        <v>56</v>
      </c>
      <c r="H3" s="43"/>
      <c r="I3" s="40">
        <f t="shared" si="1"/>
        <v>31</v>
      </c>
      <c r="J3" s="40" t="str">
        <f>IF(_xlfn.XLOOKUP(A3,'①7月-花名册'!E:E,'①7月-花名册'!M:M,0)-I3=0,"完整",_xlfn.XLOOKUP(A3,'①7月-花名册'!E:E,'①7月-花名册'!M:M,0)-I3)</f>
        <v>完整</v>
      </c>
      <c r="K3" s="40" t="str">
        <f t="shared" si="2"/>
        <v>7月</v>
      </c>
      <c r="L3" s="40">
        <f>IFERROR(IFERROR(_xlfn.XLOOKUP(G3,基础设置!K:K,基础设置!L:L,0),0)*F3,0)</f>
        <v>0</v>
      </c>
      <c r="M3" s="41">
        <f>IF(_xlfn.XLOOKUP(G3,基础设置!K:K,基础设置!L:L,0)="保底",_xlfn.XLOOKUP(A3,'①7月-花名册'!E:E,'①7月-花名册'!T:T,0),0)</f>
        <v>0</v>
      </c>
    </row>
    <row r="4" spans="1:19" x14ac:dyDescent="0.15">
      <c r="A4" s="7" t="s">
        <v>443</v>
      </c>
      <c r="B4" s="8">
        <v>45857</v>
      </c>
      <c r="C4" s="8">
        <v>45869</v>
      </c>
      <c r="D4" s="7" t="s">
        <v>25</v>
      </c>
      <c r="E4" s="7" t="s">
        <v>53</v>
      </c>
      <c r="F4" s="42">
        <f t="shared" ref="F4:F36" si="3">C4-B4+1</f>
        <v>13</v>
      </c>
      <c r="G4" s="7" t="s">
        <v>27</v>
      </c>
      <c r="H4" s="7"/>
      <c r="I4" s="40">
        <f t="shared" si="1"/>
        <v>13</v>
      </c>
      <c r="J4" s="40" t="str">
        <f>IF(_xlfn.XLOOKUP(A4,'①7月-花名册'!E:E,'①7月-花名册'!M:M,0)-I4=0,"完整",_xlfn.XLOOKUP(A4,'①7月-花名册'!E:E,'①7月-花名册'!M:M,0)-I4)</f>
        <v>完整</v>
      </c>
      <c r="K4" s="40" t="str">
        <f t="shared" si="2"/>
        <v>7月</v>
      </c>
      <c r="L4" s="40">
        <f>IFERROR(IFERROR(_xlfn.XLOOKUP(G4,基础设置!K:K,基础设置!L:L,0),0)*F4,0)</f>
        <v>780</v>
      </c>
      <c r="M4" s="41">
        <f>IF(_xlfn.XLOOKUP(G4,基础设置!K:K,基础设置!L:L,0)="保底",_xlfn.XLOOKUP(A4,'①7月-花名册'!E:E,'①7月-花名册'!T:T,0),0)</f>
        <v>0</v>
      </c>
    </row>
    <row r="5" spans="1:19" s="37" customFormat="1" x14ac:dyDescent="0.15">
      <c r="A5" s="7" t="s">
        <v>428</v>
      </c>
      <c r="B5" s="8">
        <v>45841</v>
      </c>
      <c r="C5" s="8">
        <v>45851</v>
      </c>
      <c r="D5" s="7" t="s">
        <v>25</v>
      </c>
      <c r="E5" s="7" t="s">
        <v>59</v>
      </c>
      <c r="F5" s="42">
        <f t="shared" si="3"/>
        <v>11</v>
      </c>
      <c r="G5" s="7" t="s">
        <v>27</v>
      </c>
      <c r="H5" s="7"/>
      <c r="I5" s="40">
        <f t="shared" si="1"/>
        <v>29</v>
      </c>
      <c r="J5" s="40" t="str">
        <f>IF(_xlfn.XLOOKUP(A5,'①7月-花名册'!E:E,'①7月-花名册'!M:M,0)-I5=0,"完整",_xlfn.XLOOKUP(A5,'①7月-花名册'!E:E,'①7月-花名册'!M:M,0)-I5)</f>
        <v>完整</v>
      </c>
      <c r="K5" s="40" t="str">
        <f t="shared" si="2"/>
        <v>7月</v>
      </c>
      <c r="L5" s="40">
        <f>IFERROR(IFERROR(_xlfn.XLOOKUP(G5,基础设置!K:K,基础设置!L:L,0),0)*F5,0)</f>
        <v>660</v>
      </c>
      <c r="M5" s="41">
        <f>IF(_xlfn.XLOOKUP(G5,基础设置!K:K,基础设置!L:L,0)="保底",_xlfn.XLOOKUP(A5,'①7月-花名册'!E:E,'①7月-花名册'!T:T,0),0)</f>
        <v>0</v>
      </c>
      <c r="N5" s="41"/>
    </row>
    <row r="6" spans="1:19" s="37" customFormat="1" x14ac:dyDescent="0.15">
      <c r="A6" s="7" t="s">
        <v>428</v>
      </c>
      <c r="B6" s="8">
        <v>45852</v>
      </c>
      <c r="C6" s="8">
        <v>45869</v>
      </c>
      <c r="D6" s="7" t="s">
        <v>29</v>
      </c>
      <c r="E6" s="7" t="s">
        <v>59</v>
      </c>
      <c r="F6" s="42">
        <f t="shared" si="3"/>
        <v>18</v>
      </c>
      <c r="G6" s="7" t="s">
        <v>56</v>
      </c>
      <c r="H6" s="7"/>
      <c r="I6" s="40">
        <f t="shared" si="1"/>
        <v>29</v>
      </c>
      <c r="J6" s="40" t="str">
        <f>IF(_xlfn.XLOOKUP(A6,'①7月-花名册'!E:E,'①7月-花名册'!M:M,0)-I6=0,"完整",_xlfn.XLOOKUP(A6,'①7月-花名册'!E:E,'①7月-花名册'!M:M,0)-I6)</f>
        <v>完整</v>
      </c>
      <c r="K6" s="40" t="str">
        <f t="shared" si="2"/>
        <v>7月</v>
      </c>
      <c r="L6" s="40">
        <f>IFERROR(IFERROR(_xlfn.XLOOKUP(G6,基础设置!K:K,基础设置!L:L,0),0)*F6,0)</f>
        <v>0</v>
      </c>
      <c r="M6" s="41">
        <f>IF(_xlfn.XLOOKUP(G6,基础设置!K:K,基础设置!L:L,0)="保底",_xlfn.XLOOKUP(A6,'①7月-花名册'!E:E,'①7月-花名册'!T:T,0),0)</f>
        <v>0</v>
      </c>
      <c r="N6" s="41"/>
    </row>
    <row r="7" spans="1:19" x14ac:dyDescent="0.15">
      <c r="A7" s="7" t="s">
        <v>430</v>
      </c>
      <c r="B7" s="8">
        <v>45849</v>
      </c>
      <c r="C7" s="8">
        <v>45856</v>
      </c>
      <c r="D7" s="7" t="s">
        <v>25</v>
      </c>
      <c r="E7" s="7" t="s">
        <v>69</v>
      </c>
      <c r="F7" s="42">
        <f t="shared" si="3"/>
        <v>8</v>
      </c>
      <c r="G7" s="7" t="s">
        <v>27</v>
      </c>
      <c r="H7" s="7"/>
      <c r="I7" s="40">
        <f t="shared" si="1"/>
        <v>21</v>
      </c>
      <c r="J7" s="40" t="str">
        <f>IF(_xlfn.XLOOKUP(A7,'①7月-花名册'!E:E,'①7月-花名册'!M:M,0)-I7=0,"完整",_xlfn.XLOOKUP(A7,'①7月-花名册'!E:E,'①7月-花名册'!M:M,0)-I7)</f>
        <v>完整</v>
      </c>
      <c r="K7" s="40" t="str">
        <f t="shared" si="2"/>
        <v>7月</v>
      </c>
      <c r="L7" s="40">
        <f>IFERROR(IFERROR(_xlfn.XLOOKUP(G7,基础设置!K:K,基础设置!L:L,0),0)*F7,0)</f>
        <v>480</v>
      </c>
      <c r="M7" s="41">
        <f>IF(_xlfn.XLOOKUP(G7,基础设置!K:K,基础设置!L:L,0)="保底",_xlfn.XLOOKUP(A7,'①7月-花名册'!E:E,'①7月-花名册'!T:T,0),0)</f>
        <v>0</v>
      </c>
    </row>
    <row r="8" spans="1:19" x14ac:dyDescent="0.15">
      <c r="A8" s="7" t="s">
        <v>430</v>
      </c>
      <c r="B8" s="8">
        <v>45857</v>
      </c>
      <c r="C8" s="8">
        <v>45869</v>
      </c>
      <c r="D8" s="7" t="s">
        <v>29</v>
      </c>
      <c r="E8" s="7" t="s">
        <v>69</v>
      </c>
      <c r="F8" s="42">
        <f t="shared" si="3"/>
        <v>13</v>
      </c>
      <c r="G8" s="7" t="s">
        <v>56</v>
      </c>
      <c r="H8" s="7"/>
      <c r="I8" s="40">
        <f t="shared" si="1"/>
        <v>21</v>
      </c>
      <c r="J8" s="40" t="str">
        <f>IF(_xlfn.XLOOKUP(A8,'①7月-花名册'!E:E,'①7月-花名册'!M:M,0)-I8=0,"完整",_xlfn.XLOOKUP(A8,'①7月-花名册'!E:E,'①7月-花名册'!M:M,0)-I8)</f>
        <v>完整</v>
      </c>
      <c r="K8" s="40" t="str">
        <f t="shared" si="2"/>
        <v>7月</v>
      </c>
      <c r="L8" s="40">
        <f>IFERROR(IFERROR(_xlfn.XLOOKUP(G8,基础设置!K:K,基础设置!L:L,0),0)*F8,0)</f>
        <v>0</v>
      </c>
      <c r="M8" s="41">
        <f>IF(_xlfn.XLOOKUP(G8,基础设置!K:K,基础设置!L:L,0)="保底",_xlfn.XLOOKUP(A8,'①7月-花名册'!E:E,'①7月-花名册'!T:T,0),0)</f>
        <v>0</v>
      </c>
    </row>
    <row r="9" spans="1:19" x14ac:dyDescent="0.15">
      <c r="A9" s="7" t="s">
        <v>431</v>
      </c>
      <c r="B9" s="8">
        <v>45850</v>
      </c>
      <c r="C9" s="8">
        <v>45854</v>
      </c>
      <c r="D9" s="7" t="s">
        <v>25</v>
      </c>
      <c r="E9" s="7" t="s">
        <v>65</v>
      </c>
      <c r="F9" s="42">
        <f t="shared" si="3"/>
        <v>5</v>
      </c>
      <c r="G9" s="7" t="s">
        <v>27</v>
      </c>
      <c r="H9" s="7">
        <f>40*5</f>
        <v>200</v>
      </c>
      <c r="I9" s="40">
        <f t="shared" si="1"/>
        <v>20</v>
      </c>
      <c r="J9" s="40" t="str">
        <f>IF(_xlfn.XLOOKUP(A9,'①7月-花名册'!E:E,'①7月-花名册'!M:M,0)-I9=0,"完整",_xlfn.XLOOKUP(A9,'①7月-花名册'!E:E,'①7月-花名册'!M:M,0)-I9)</f>
        <v>完整</v>
      </c>
      <c r="K9" s="40" t="str">
        <f t="shared" si="2"/>
        <v>7月</v>
      </c>
      <c r="L9" s="40">
        <f>IFERROR(IFERROR(_xlfn.XLOOKUP(G9,基础设置!K:K,基础设置!L:L,0),0)*F9,0)</f>
        <v>300</v>
      </c>
      <c r="M9" s="41">
        <f>IF(_xlfn.XLOOKUP(G9,基础设置!K:K,基础设置!L:L,0)="保底",_xlfn.XLOOKUP(A9,'①7月-花名册'!E:E,'①7月-花名册'!T:T,0),0)</f>
        <v>0</v>
      </c>
    </row>
    <row r="10" spans="1:19" x14ac:dyDescent="0.15">
      <c r="A10" s="7" t="s">
        <v>431</v>
      </c>
      <c r="B10" s="8">
        <v>45855</v>
      </c>
      <c r="C10" s="8">
        <v>45869</v>
      </c>
      <c r="D10" s="7" t="s">
        <v>29</v>
      </c>
      <c r="E10" s="7" t="s">
        <v>65</v>
      </c>
      <c r="F10" s="42">
        <f t="shared" si="3"/>
        <v>15</v>
      </c>
      <c r="G10" s="7" t="s">
        <v>56</v>
      </c>
      <c r="H10" s="7"/>
      <c r="I10" s="40">
        <f t="shared" si="1"/>
        <v>20</v>
      </c>
      <c r="J10" s="40" t="str">
        <f>IF(_xlfn.XLOOKUP(A10,'①7月-花名册'!E:E,'①7月-花名册'!M:M,0)-I10=0,"完整",_xlfn.XLOOKUP(A10,'①7月-花名册'!E:E,'①7月-花名册'!M:M,0)-I10)</f>
        <v>完整</v>
      </c>
      <c r="K10" s="40" t="str">
        <f t="shared" si="2"/>
        <v>7月</v>
      </c>
      <c r="L10" s="40">
        <f>IFERROR(IFERROR(_xlfn.XLOOKUP(G10,基础设置!K:K,基础设置!L:L,0),0)*F10,0)</f>
        <v>0</v>
      </c>
      <c r="M10" s="41">
        <f>IF(_xlfn.XLOOKUP(G10,基础设置!K:K,基础设置!L:L,0)="保底",_xlfn.XLOOKUP(A10,'①7月-花名册'!E:E,'①7月-花名册'!T:T,0),0)</f>
        <v>0</v>
      </c>
    </row>
    <row r="11" spans="1:19" x14ac:dyDescent="0.15">
      <c r="A11" s="7" t="s">
        <v>432</v>
      </c>
      <c r="B11" s="8">
        <v>45852</v>
      </c>
      <c r="C11" s="8">
        <v>45858</v>
      </c>
      <c r="D11" s="7" t="s">
        <v>25</v>
      </c>
      <c r="E11" s="7" t="s">
        <v>33</v>
      </c>
      <c r="F11" s="42">
        <f t="shared" si="3"/>
        <v>7</v>
      </c>
      <c r="G11" s="7" t="s">
        <v>41</v>
      </c>
      <c r="H11" s="7"/>
      <c r="I11" s="40">
        <f t="shared" si="1"/>
        <v>15</v>
      </c>
      <c r="J11" s="40" t="str">
        <f>IF(_xlfn.XLOOKUP(A11,'①7月-花名册'!E:E,'①7月-花名册'!M:M,0)-I11=0,"完整",_xlfn.XLOOKUP(A11,'①7月-花名册'!E:E,'①7月-花名册'!M:M,0)-I11)</f>
        <v>完整</v>
      </c>
      <c r="K11" s="40" t="str">
        <f t="shared" si="2"/>
        <v>7月</v>
      </c>
      <c r="L11" s="40">
        <f>IFERROR(IFERROR(_xlfn.XLOOKUP(G11,基础设置!K:K,基础设置!L:L,0),0)*F11,0)</f>
        <v>560</v>
      </c>
      <c r="M11" s="41">
        <f>IF(_xlfn.XLOOKUP(G11,基础设置!K:K,基础设置!L:L,0)="保底",_xlfn.XLOOKUP(A11,'①7月-花名册'!E:E,'①7月-花名册'!T:T,0),0)</f>
        <v>0</v>
      </c>
    </row>
    <row r="12" spans="1:19" x14ac:dyDescent="0.15">
      <c r="A12" s="7" t="s">
        <v>432</v>
      </c>
      <c r="B12" s="8">
        <v>45859</v>
      </c>
      <c r="C12" s="8">
        <v>45866</v>
      </c>
      <c r="D12" s="7" t="s">
        <v>45</v>
      </c>
      <c r="E12" s="7" t="s">
        <v>33</v>
      </c>
      <c r="F12" s="42">
        <f t="shared" si="3"/>
        <v>8</v>
      </c>
      <c r="G12" s="7" t="s">
        <v>56</v>
      </c>
      <c r="H12" s="7"/>
      <c r="I12" s="40">
        <f t="shared" si="1"/>
        <v>15</v>
      </c>
      <c r="J12" s="40" t="str">
        <f>IF(_xlfn.XLOOKUP(A12,'①7月-花名册'!E:E,'①7月-花名册'!M:M,0)-I12=0,"完整",_xlfn.XLOOKUP(A12,'①7月-花名册'!E:E,'①7月-花名册'!M:M,0)-I12)</f>
        <v>完整</v>
      </c>
      <c r="K12" s="40" t="str">
        <f t="shared" si="2"/>
        <v>7月</v>
      </c>
      <c r="L12" s="40">
        <f>IFERROR(IFERROR(_xlfn.XLOOKUP(G12,基础设置!K:K,基础设置!L:L,0),0)*F12,0)</f>
        <v>0</v>
      </c>
      <c r="M12" s="41">
        <f>IF(_xlfn.XLOOKUP(G12,基础设置!K:K,基础设置!L:L,0)="保底",_xlfn.XLOOKUP(A12,'①7月-花名册'!E:E,'①7月-花名册'!T:T,0),0)</f>
        <v>0</v>
      </c>
    </row>
    <row r="13" spans="1:19" x14ac:dyDescent="0.15">
      <c r="A13" s="7" t="s">
        <v>439</v>
      </c>
      <c r="B13" s="8">
        <v>45853</v>
      </c>
      <c r="C13" s="8">
        <v>45859</v>
      </c>
      <c r="D13" s="7" t="s">
        <v>25</v>
      </c>
      <c r="E13" s="7" t="s">
        <v>24</v>
      </c>
      <c r="F13" s="42">
        <f t="shared" si="3"/>
        <v>7</v>
      </c>
      <c r="G13" s="7" t="s">
        <v>41</v>
      </c>
      <c r="H13" s="7"/>
      <c r="I13" s="40">
        <f t="shared" si="1"/>
        <v>17</v>
      </c>
      <c r="J13" s="40" t="str">
        <f>IF(_xlfn.XLOOKUP(A13,'①7月-花名册'!E:E,'①7月-花名册'!M:M,0)-I13=0,"完整",_xlfn.XLOOKUP(A13,'①7月-花名册'!E:E,'①7月-花名册'!M:M,0)-I13)</f>
        <v>完整</v>
      </c>
      <c r="K13" s="40" t="str">
        <f t="shared" si="2"/>
        <v>7月</v>
      </c>
      <c r="L13" s="40">
        <f>IFERROR(IFERROR(_xlfn.XLOOKUP(G13,基础设置!K:K,基础设置!L:L,0),0)*F13,0)</f>
        <v>560</v>
      </c>
      <c r="M13" s="41">
        <f>IF(_xlfn.XLOOKUP(G13,基础设置!K:K,基础设置!L:L,0)="保底",_xlfn.XLOOKUP(A13,'①7月-花名册'!E:E,'①7月-花名册'!T:T,0),0)</f>
        <v>0</v>
      </c>
    </row>
    <row r="14" spans="1:19" x14ac:dyDescent="0.15">
      <c r="A14" s="7" t="s">
        <v>439</v>
      </c>
      <c r="B14" s="8">
        <v>45860</v>
      </c>
      <c r="C14" s="8">
        <v>45869</v>
      </c>
      <c r="D14" s="7" t="s">
        <v>45</v>
      </c>
      <c r="E14" s="7" t="s">
        <v>24</v>
      </c>
      <c r="F14" s="42">
        <f t="shared" si="3"/>
        <v>10</v>
      </c>
      <c r="G14" s="7" t="s">
        <v>62</v>
      </c>
      <c r="H14" s="7"/>
      <c r="I14" s="40">
        <f t="shared" si="1"/>
        <v>17</v>
      </c>
      <c r="J14" s="40" t="str">
        <f>IF(_xlfn.XLOOKUP(A14,'①7月-花名册'!E:E,'①7月-花名册'!M:M,0)-I14=0,"完整",_xlfn.XLOOKUP(A14,'①7月-花名册'!E:E,'①7月-花名册'!M:M,0)-I14)</f>
        <v>完整</v>
      </c>
      <c r="K14" s="40" t="str">
        <f t="shared" si="2"/>
        <v>7月</v>
      </c>
      <c r="L14" s="40">
        <f>IFERROR(IFERROR(_xlfn.XLOOKUP(G14,基础设置!K:K,基础设置!L:L,0),0)*F14,0)</f>
        <v>0</v>
      </c>
      <c r="M14" s="41">
        <f>IF(_xlfn.XLOOKUP(G14,基础设置!K:K,基础设置!L:L,0)="保底",_xlfn.XLOOKUP(A14,'①7月-花名册'!E:E,'①7月-花名册'!T:T,0),0)</f>
        <v>0</v>
      </c>
    </row>
    <row r="15" spans="1:19" x14ac:dyDescent="0.15">
      <c r="A15" s="7" t="s">
        <v>433</v>
      </c>
      <c r="B15" s="8">
        <v>45852</v>
      </c>
      <c r="C15" s="8">
        <v>45860</v>
      </c>
      <c r="D15" s="7" t="s">
        <v>25</v>
      </c>
      <c r="E15" s="7" t="s">
        <v>38</v>
      </c>
      <c r="F15" s="42">
        <f t="shared" si="3"/>
        <v>9</v>
      </c>
      <c r="G15" s="7" t="s">
        <v>27</v>
      </c>
      <c r="H15" s="7"/>
      <c r="I15" s="40">
        <f t="shared" si="1"/>
        <v>18</v>
      </c>
      <c r="J15" s="40" t="str">
        <f>IF(_xlfn.XLOOKUP(A15,'①7月-花名册'!E:E,'①7月-花名册'!M:M,0)-I15=0,"完整",_xlfn.XLOOKUP(A15,'①7月-花名册'!E:E,'①7月-花名册'!M:M,0)-I15)</f>
        <v>完整</v>
      </c>
      <c r="K15" s="40" t="str">
        <f t="shared" si="2"/>
        <v>7月</v>
      </c>
      <c r="L15" s="40">
        <f>IFERROR(IFERROR(_xlfn.XLOOKUP(G15,基础设置!K:K,基础设置!L:L,0),0)*F15,0)</f>
        <v>540</v>
      </c>
      <c r="M15" s="41">
        <f>IF(_xlfn.XLOOKUP(G15,基础设置!K:K,基础设置!L:L,0)="保底",_xlfn.XLOOKUP(A15,'①7月-花名册'!E:E,'①7月-花名册'!T:T,0),0)</f>
        <v>0</v>
      </c>
    </row>
    <row r="16" spans="1:19" x14ac:dyDescent="0.15">
      <c r="A16" s="7" t="s">
        <v>433</v>
      </c>
      <c r="B16" s="8">
        <v>45861</v>
      </c>
      <c r="C16" s="8">
        <v>45869</v>
      </c>
      <c r="D16" s="7" t="s">
        <v>29</v>
      </c>
      <c r="E16" s="7" t="s">
        <v>38</v>
      </c>
      <c r="F16" s="42">
        <f t="shared" si="3"/>
        <v>9</v>
      </c>
      <c r="G16" s="7" t="s">
        <v>56</v>
      </c>
      <c r="H16" s="7"/>
      <c r="I16" s="40">
        <f t="shared" si="1"/>
        <v>18</v>
      </c>
      <c r="J16" s="40" t="str">
        <f>IF(_xlfn.XLOOKUP(A16,'①7月-花名册'!E:E,'①7月-花名册'!M:M,0)-I16=0,"完整",_xlfn.XLOOKUP(A16,'①7月-花名册'!E:E,'①7月-花名册'!M:M,0)-I16)</f>
        <v>完整</v>
      </c>
      <c r="K16" s="40" t="str">
        <f t="shared" si="2"/>
        <v>7月</v>
      </c>
      <c r="L16" s="40">
        <f>IFERROR(IFERROR(_xlfn.XLOOKUP(G16,基础设置!K:K,基础设置!L:L,0),0)*F16,0)</f>
        <v>0</v>
      </c>
      <c r="M16" s="41">
        <f>IF(_xlfn.XLOOKUP(G16,基础设置!K:K,基础设置!L:L,0)="保底",_xlfn.XLOOKUP(A16,'①7月-花名册'!E:E,'①7月-花名册'!T:T,0),0)</f>
        <v>0</v>
      </c>
    </row>
    <row r="17" spans="1:13" x14ac:dyDescent="0.15">
      <c r="A17" s="7" t="s">
        <v>434</v>
      </c>
      <c r="B17" s="8">
        <v>45852</v>
      </c>
      <c r="C17" s="8">
        <v>45861</v>
      </c>
      <c r="D17" s="7" t="s">
        <v>25</v>
      </c>
      <c r="E17" s="7" t="s">
        <v>69</v>
      </c>
      <c r="F17" s="42">
        <f t="shared" si="3"/>
        <v>10</v>
      </c>
      <c r="G17" s="7" t="s">
        <v>27</v>
      </c>
      <c r="H17" s="7"/>
      <c r="I17" s="40">
        <f t="shared" si="1"/>
        <v>18</v>
      </c>
      <c r="J17" s="40" t="str">
        <f>IF(_xlfn.XLOOKUP(A17,'①7月-花名册'!E:E,'①7月-花名册'!M:M,0)-I17=0,"完整",_xlfn.XLOOKUP(A17,'①7月-花名册'!E:E,'①7月-花名册'!M:M,0)-I17)</f>
        <v>完整</v>
      </c>
      <c r="K17" s="40" t="str">
        <f t="shared" si="2"/>
        <v>7月</v>
      </c>
      <c r="L17" s="40">
        <f>IFERROR(IFERROR(_xlfn.XLOOKUP(G17,基础设置!K:K,基础设置!L:L,0),0)*F17,0)</f>
        <v>600</v>
      </c>
      <c r="M17" s="41">
        <f>IF(_xlfn.XLOOKUP(G17,基础设置!K:K,基础设置!L:L,0)="保底",_xlfn.XLOOKUP(A17,'①7月-花名册'!E:E,'①7月-花名册'!T:T,0),0)</f>
        <v>0</v>
      </c>
    </row>
    <row r="18" spans="1:13" x14ac:dyDescent="0.15">
      <c r="A18" s="7" t="s">
        <v>434</v>
      </c>
      <c r="B18" s="8">
        <v>45862</v>
      </c>
      <c r="C18" s="8">
        <v>45869</v>
      </c>
      <c r="D18" s="7" t="s">
        <v>29</v>
      </c>
      <c r="E18" s="7" t="s">
        <v>69</v>
      </c>
      <c r="F18" s="42">
        <f t="shared" si="3"/>
        <v>8</v>
      </c>
      <c r="G18" s="7" t="s">
        <v>56</v>
      </c>
      <c r="H18" s="7"/>
      <c r="I18" s="40">
        <f t="shared" si="1"/>
        <v>18</v>
      </c>
      <c r="J18" s="40" t="str">
        <f>IF(_xlfn.XLOOKUP(A18,'①7月-花名册'!E:E,'①7月-花名册'!M:M,0)-I18=0,"完整",_xlfn.XLOOKUP(A18,'①7月-花名册'!E:E,'①7月-花名册'!M:M,0)-I18)</f>
        <v>完整</v>
      </c>
      <c r="K18" s="40" t="str">
        <f t="shared" si="2"/>
        <v>7月</v>
      </c>
      <c r="L18" s="40">
        <f>IFERROR(IFERROR(_xlfn.XLOOKUP(G18,基础设置!K:K,基础设置!L:L,0),0)*F18,0)</f>
        <v>0</v>
      </c>
      <c r="M18" s="41">
        <f>IF(_xlfn.XLOOKUP(G18,基础设置!K:K,基础设置!L:L,0)="保底",_xlfn.XLOOKUP(A18,'①7月-花名册'!E:E,'①7月-花名册'!T:T,0),0)</f>
        <v>0</v>
      </c>
    </row>
    <row r="19" spans="1:13" x14ac:dyDescent="0.15">
      <c r="A19" s="7" t="s">
        <v>435</v>
      </c>
      <c r="B19" s="8">
        <v>45852</v>
      </c>
      <c r="C19" s="8">
        <v>45858</v>
      </c>
      <c r="D19" s="7" t="s">
        <v>25</v>
      </c>
      <c r="E19" s="7" t="s">
        <v>18</v>
      </c>
      <c r="F19" s="42">
        <f t="shared" si="3"/>
        <v>7</v>
      </c>
      <c r="G19" s="7" t="s">
        <v>41</v>
      </c>
      <c r="H19" s="7"/>
      <c r="I19" s="40">
        <f t="shared" si="1"/>
        <v>18</v>
      </c>
      <c r="J19" s="40" t="str">
        <f>IF(_xlfn.XLOOKUP(A19,'①7月-花名册'!E:E,'①7月-花名册'!M:M,0)-I19=0,"完整",_xlfn.XLOOKUP(A19,'①7月-花名册'!E:E,'①7月-花名册'!M:M,0)-I19)</f>
        <v>完整</v>
      </c>
      <c r="K19" s="40" t="str">
        <f t="shared" si="2"/>
        <v>7月</v>
      </c>
      <c r="L19" s="40">
        <f>IFERROR(IFERROR(_xlfn.XLOOKUP(G19,基础设置!K:K,基础设置!L:L,0),0)*F19,0)</f>
        <v>560</v>
      </c>
      <c r="M19" s="41">
        <f>IF(_xlfn.XLOOKUP(G19,基础设置!K:K,基础设置!L:L,0)="保底",_xlfn.XLOOKUP(A19,'①7月-花名册'!E:E,'①7月-花名册'!T:T,0),0)</f>
        <v>0</v>
      </c>
    </row>
    <row r="20" spans="1:13" x14ac:dyDescent="0.15">
      <c r="A20" s="7" t="s">
        <v>435</v>
      </c>
      <c r="B20" s="8">
        <v>45859</v>
      </c>
      <c r="C20" s="8">
        <v>45869</v>
      </c>
      <c r="D20" s="7" t="s">
        <v>29</v>
      </c>
      <c r="E20" s="7" t="s">
        <v>18</v>
      </c>
      <c r="F20" s="42">
        <f t="shared" si="3"/>
        <v>11</v>
      </c>
      <c r="G20" s="7" t="s">
        <v>56</v>
      </c>
      <c r="H20" s="7"/>
      <c r="I20" s="40">
        <f t="shared" si="1"/>
        <v>18</v>
      </c>
      <c r="J20" s="40" t="str">
        <f>IF(_xlfn.XLOOKUP(A20,'①7月-花名册'!E:E,'①7月-花名册'!M:M,0)-I20=0,"完整",_xlfn.XLOOKUP(A20,'①7月-花名册'!E:E,'①7月-花名册'!M:M,0)-I20)</f>
        <v>完整</v>
      </c>
      <c r="K20" s="40" t="str">
        <f t="shared" ref="K20:K36" si="4">MONTH(B20)&amp;"月"</f>
        <v>7月</v>
      </c>
      <c r="L20" s="40">
        <f>IFERROR(IFERROR(_xlfn.XLOOKUP(G20,基础设置!K:K,基础设置!L:L,0),0)*F20,0)</f>
        <v>0</v>
      </c>
      <c r="M20" s="41">
        <f>IF(_xlfn.XLOOKUP(G20,基础设置!K:K,基础设置!L:L,0)="保底",_xlfn.XLOOKUP(A20,'①7月-花名册'!E:E,'①7月-花名册'!T:T,0),0)</f>
        <v>0</v>
      </c>
    </row>
    <row r="21" spans="1:13" x14ac:dyDescent="0.15">
      <c r="A21" s="7" t="s">
        <v>436</v>
      </c>
      <c r="B21" s="8">
        <v>45853</v>
      </c>
      <c r="C21" s="8">
        <v>45859</v>
      </c>
      <c r="D21" s="7" t="s">
        <v>25</v>
      </c>
      <c r="E21" s="7" t="s">
        <v>81</v>
      </c>
      <c r="F21" s="42">
        <f t="shared" si="3"/>
        <v>7</v>
      </c>
      <c r="G21" s="7" t="s">
        <v>27</v>
      </c>
      <c r="H21" s="7">
        <f>40*6</f>
        <v>240</v>
      </c>
      <c r="I21" s="40">
        <f t="shared" si="1"/>
        <v>17</v>
      </c>
      <c r="J21" s="40" t="str">
        <f>IF(_xlfn.XLOOKUP(A21,'①7月-花名册'!E:E,'①7月-花名册'!M:M,0)-I21=0,"完整",_xlfn.XLOOKUP(A21,'①7月-花名册'!E:E,'①7月-花名册'!M:M,0)-I21)</f>
        <v>完整</v>
      </c>
      <c r="K21" s="40" t="str">
        <f t="shared" si="4"/>
        <v>7月</v>
      </c>
      <c r="L21" s="40">
        <f>IFERROR(IFERROR(_xlfn.XLOOKUP(G21,基础设置!K:K,基础设置!L:L,0),0)*F21,0)</f>
        <v>420</v>
      </c>
      <c r="M21" s="41">
        <f>IF(_xlfn.XLOOKUP(G21,基础设置!K:K,基础设置!L:L,0)="保底",_xlfn.XLOOKUP(A21,'①7月-花名册'!E:E,'①7月-花名册'!T:T,0),0)</f>
        <v>0</v>
      </c>
    </row>
    <row r="22" spans="1:13" x14ac:dyDescent="0.15">
      <c r="A22" s="7" t="s">
        <v>436</v>
      </c>
      <c r="B22" s="8">
        <v>45860</v>
      </c>
      <c r="C22" s="8">
        <v>45869</v>
      </c>
      <c r="D22" s="7" t="s">
        <v>29</v>
      </c>
      <c r="E22" s="7" t="s">
        <v>81</v>
      </c>
      <c r="F22" s="42">
        <f t="shared" si="3"/>
        <v>10</v>
      </c>
      <c r="G22" s="7" t="s">
        <v>56</v>
      </c>
      <c r="H22" s="7"/>
      <c r="I22" s="40">
        <f t="shared" si="1"/>
        <v>17</v>
      </c>
      <c r="J22" s="40" t="str">
        <f>IF(_xlfn.XLOOKUP(A22,'①7月-花名册'!E:E,'①7月-花名册'!M:M,0)-I22=0,"完整",_xlfn.XLOOKUP(A22,'①7月-花名册'!E:E,'①7月-花名册'!M:M,0)-I22)</f>
        <v>完整</v>
      </c>
      <c r="K22" s="40" t="str">
        <f t="shared" si="4"/>
        <v>7月</v>
      </c>
      <c r="L22" s="40">
        <f>IFERROR(IFERROR(_xlfn.XLOOKUP(G22,基础设置!K:K,基础设置!L:L,0),0)*F22,0)</f>
        <v>0</v>
      </c>
      <c r="M22" s="41">
        <f>IF(_xlfn.XLOOKUP(G22,基础设置!K:K,基础设置!L:L,0)="保底",_xlfn.XLOOKUP(A22,'①7月-花名册'!E:E,'①7月-花名册'!T:T,0),0)</f>
        <v>0</v>
      </c>
    </row>
    <row r="23" spans="1:13" x14ac:dyDescent="0.15">
      <c r="A23" s="46" t="s">
        <v>437</v>
      </c>
      <c r="B23" s="44">
        <v>45860</v>
      </c>
      <c r="C23" s="44">
        <v>45869</v>
      </c>
      <c r="D23" s="43" t="s">
        <v>29</v>
      </c>
      <c r="E23" s="43" t="s">
        <v>61</v>
      </c>
      <c r="F23" s="45">
        <f t="shared" si="3"/>
        <v>10</v>
      </c>
      <c r="G23" s="43" t="s">
        <v>56</v>
      </c>
      <c r="H23" s="43"/>
      <c r="I23" s="40">
        <f t="shared" si="1"/>
        <v>17</v>
      </c>
      <c r="J23" s="40" t="str">
        <f>IF(_xlfn.XLOOKUP(A23,'①7月-花名册'!E:E,'①7月-花名册'!M:M,0)-I23=0,"完整",_xlfn.XLOOKUP(A23,'①7月-花名册'!E:E,'①7月-花名册'!M:M,0)-I23)</f>
        <v>完整</v>
      </c>
      <c r="K23" s="40" t="str">
        <f t="shared" si="4"/>
        <v>7月</v>
      </c>
      <c r="L23" s="40">
        <f>IFERROR(IFERROR(_xlfn.XLOOKUP(G23,基础设置!K:K,基础设置!L:L,0),0)*F23,0)</f>
        <v>0</v>
      </c>
      <c r="M23" s="41">
        <f>IF(_xlfn.XLOOKUP(G23,基础设置!K:K,基础设置!L:L,0)="保底",_xlfn.XLOOKUP(A23,'①7月-花名册'!E:E,'①7月-花名册'!T:T,0),0)</f>
        <v>0</v>
      </c>
    </row>
    <row r="24" spans="1:13" x14ac:dyDescent="0.15">
      <c r="A24" s="7" t="s">
        <v>451</v>
      </c>
      <c r="B24" s="8">
        <v>45863</v>
      </c>
      <c r="C24" s="8">
        <v>45869</v>
      </c>
      <c r="D24" s="7" t="s">
        <v>25</v>
      </c>
      <c r="E24" s="7" t="s">
        <v>81</v>
      </c>
      <c r="F24" s="42">
        <f t="shared" si="3"/>
        <v>7</v>
      </c>
      <c r="G24" s="7" t="s">
        <v>27</v>
      </c>
      <c r="H24" s="7"/>
      <c r="I24" s="40">
        <f t="shared" si="1"/>
        <v>7</v>
      </c>
      <c r="J24" s="40" t="str">
        <f>IF(_xlfn.XLOOKUP(A24,'①7月-花名册'!E:E,'①7月-花名册'!M:M,0)-I24=0,"完整",_xlfn.XLOOKUP(A24,'①7月-花名册'!E:E,'①7月-花名册'!M:M,0)-I24)</f>
        <v>完整</v>
      </c>
      <c r="K24" s="40" t="str">
        <f t="shared" si="4"/>
        <v>7月</v>
      </c>
      <c r="L24" s="40">
        <f>IFERROR(IFERROR(_xlfn.XLOOKUP(G24,基础设置!K:K,基础设置!L:L,0),0)*F24,0)</f>
        <v>420</v>
      </c>
      <c r="M24" s="41">
        <f>IF(_xlfn.XLOOKUP(G24,基础设置!K:K,基础设置!L:L,0)="保底",_xlfn.XLOOKUP(A24,'①7月-花名册'!E:E,'①7月-花名册'!T:T,0),0)</f>
        <v>0</v>
      </c>
    </row>
    <row r="25" spans="1:13" x14ac:dyDescent="0.15">
      <c r="A25" s="7" t="s">
        <v>452</v>
      </c>
      <c r="B25" s="8">
        <v>45865</v>
      </c>
      <c r="C25" s="8">
        <v>45869</v>
      </c>
      <c r="D25" s="7" t="s">
        <v>25</v>
      </c>
      <c r="E25" s="7" t="s">
        <v>76</v>
      </c>
      <c r="F25" s="42">
        <f t="shared" si="3"/>
        <v>5</v>
      </c>
      <c r="G25" s="7" t="s">
        <v>27</v>
      </c>
      <c r="H25" s="7"/>
      <c r="I25" s="40">
        <f t="shared" si="1"/>
        <v>5</v>
      </c>
      <c r="J25" s="40" t="str">
        <f>IF(_xlfn.XLOOKUP(A25,'①7月-花名册'!E:E,'①7月-花名册'!M:M,0)-I25=0,"完整",_xlfn.XLOOKUP(A25,'①7月-花名册'!E:E,'①7月-花名册'!M:M,0)-I25)</f>
        <v>完整</v>
      </c>
      <c r="K25" s="40" t="str">
        <f t="shared" si="4"/>
        <v>7月</v>
      </c>
      <c r="L25" s="40">
        <f>IFERROR(IFERROR(_xlfn.XLOOKUP(G25,基础设置!K:K,基础设置!L:L,0),0)*F25,0)</f>
        <v>300</v>
      </c>
      <c r="M25" s="41">
        <f>IF(_xlfn.XLOOKUP(G25,基础设置!K:K,基础设置!L:L,0)="保底",_xlfn.XLOOKUP(A25,'①7月-花名册'!E:E,'①7月-花名册'!T:T,0),0)</f>
        <v>0</v>
      </c>
    </row>
    <row r="26" spans="1:13" x14ac:dyDescent="0.15">
      <c r="A26" s="7" t="s">
        <v>429</v>
      </c>
      <c r="B26" s="8">
        <v>45847</v>
      </c>
      <c r="C26" s="8">
        <v>45853</v>
      </c>
      <c r="D26" s="7" t="s">
        <v>25</v>
      </c>
      <c r="E26" s="7" t="s">
        <v>67</v>
      </c>
      <c r="F26" s="42">
        <f t="shared" si="3"/>
        <v>7</v>
      </c>
      <c r="G26" s="7" t="s">
        <v>27</v>
      </c>
      <c r="H26" s="7"/>
      <c r="I26" s="40">
        <f t="shared" si="1"/>
        <v>23</v>
      </c>
      <c r="J26" s="40" t="str">
        <f>IF(_xlfn.XLOOKUP(A26,'①7月-花名册'!E:E,'①7月-花名册'!M:M,0)-I26=0,"完整",_xlfn.XLOOKUP(A26,'①7月-花名册'!E:E,'①7月-花名册'!M:M,0)-I26)</f>
        <v>完整</v>
      </c>
      <c r="K26" s="40" t="str">
        <f t="shared" si="4"/>
        <v>7月</v>
      </c>
      <c r="L26" s="40">
        <f>IFERROR(IFERROR(_xlfn.XLOOKUP(G26,基础设置!K:K,基础设置!L:L,0),0)*F26,0)</f>
        <v>420</v>
      </c>
      <c r="M26" s="41">
        <f>IF(_xlfn.XLOOKUP(G26,基础设置!K:K,基础设置!L:L,0)="保底",_xlfn.XLOOKUP(A26,'①7月-花名册'!E:E,'①7月-花名册'!T:T,0),0)</f>
        <v>0</v>
      </c>
    </row>
    <row r="27" spans="1:13" x14ac:dyDescent="0.15">
      <c r="A27" s="7" t="s">
        <v>429</v>
      </c>
      <c r="B27" s="8">
        <v>45854</v>
      </c>
      <c r="C27" s="8">
        <v>45869</v>
      </c>
      <c r="D27" s="7" t="s">
        <v>29</v>
      </c>
      <c r="E27" s="7" t="s">
        <v>67</v>
      </c>
      <c r="F27" s="42">
        <f t="shared" si="3"/>
        <v>16</v>
      </c>
      <c r="G27" s="7" t="s">
        <v>56</v>
      </c>
      <c r="H27" s="7"/>
      <c r="I27" s="40">
        <f t="shared" si="1"/>
        <v>23</v>
      </c>
      <c r="J27" s="40" t="str">
        <f>IF(_xlfn.XLOOKUP(A27,'①7月-花名册'!E:E,'①7月-花名册'!M:M,0)-I27=0,"完整",_xlfn.XLOOKUP(A27,'①7月-花名册'!E:E,'①7月-花名册'!M:M,0)-I27)</f>
        <v>完整</v>
      </c>
      <c r="K27" s="40" t="str">
        <f t="shared" si="4"/>
        <v>7月</v>
      </c>
      <c r="L27" s="40">
        <f>IFERROR(IFERROR(_xlfn.XLOOKUP(G27,基础设置!K:K,基础设置!L:L,0),0)*F27,0)</f>
        <v>0</v>
      </c>
      <c r="M27" s="41">
        <f>IF(_xlfn.XLOOKUP(G27,基础设置!K:K,基础设置!L:L,0)="保底",_xlfn.XLOOKUP(A27,'①7月-花名册'!E:E,'①7月-花名册'!T:T,0),0)</f>
        <v>0</v>
      </c>
    </row>
    <row r="28" spans="1:13" x14ac:dyDescent="0.15">
      <c r="A28" s="7" t="s">
        <v>442</v>
      </c>
      <c r="B28" s="8">
        <v>45853</v>
      </c>
      <c r="C28" s="8">
        <v>45859</v>
      </c>
      <c r="D28" s="7" t="s">
        <v>25</v>
      </c>
      <c r="E28" s="7" t="s">
        <v>24</v>
      </c>
      <c r="F28" s="42">
        <f t="shared" si="3"/>
        <v>7</v>
      </c>
      <c r="G28" s="7" t="s">
        <v>41</v>
      </c>
      <c r="H28" s="7"/>
      <c r="I28" s="40">
        <f t="shared" si="1"/>
        <v>17</v>
      </c>
      <c r="J28" s="40" t="str">
        <f>IF(_xlfn.XLOOKUP(A28,'①7月-花名册'!E:E,'①7月-花名册'!M:M,0)-I28=0,"完整",_xlfn.XLOOKUP(A28,'①7月-花名册'!E:E,'①7月-花名册'!M:M,0)-I28)</f>
        <v>完整</v>
      </c>
      <c r="K28" s="40" t="str">
        <f t="shared" si="4"/>
        <v>7月</v>
      </c>
      <c r="L28" s="40">
        <f>IFERROR(IFERROR(_xlfn.XLOOKUP(G28,基础设置!K:K,基础设置!L:L,0),0)*F28,0)</f>
        <v>560</v>
      </c>
      <c r="M28" s="41">
        <f>IF(_xlfn.XLOOKUP(G28,基础设置!K:K,基础设置!L:L,0)="保底",_xlfn.XLOOKUP(A28,'①7月-花名册'!E:E,'①7月-花名册'!T:T,0),0)</f>
        <v>0</v>
      </c>
    </row>
    <row r="29" spans="1:13" x14ac:dyDescent="0.15">
      <c r="A29" s="7" t="s">
        <v>442</v>
      </c>
      <c r="B29" s="8">
        <v>45860</v>
      </c>
      <c r="C29" s="8">
        <v>45869</v>
      </c>
      <c r="D29" s="7" t="s">
        <v>45</v>
      </c>
      <c r="E29" s="7" t="s">
        <v>24</v>
      </c>
      <c r="F29" s="42">
        <f t="shared" si="3"/>
        <v>10</v>
      </c>
      <c r="G29" s="7" t="s">
        <v>62</v>
      </c>
      <c r="H29" s="7"/>
      <c r="I29" s="40">
        <f t="shared" si="1"/>
        <v>17</v>
      </c>
      <c r="J29" s="40" t="str">
        <f>IF(_xlfn.XLOOKUP(A29,'①7月-花名册'!E:E,'①7月-花名册'!M:M,0)-I29=0,"完整",_xlfn.XLOOKUP(A29,'①7月-花名册'!E:E,'①7月-花名册'!M:M,0)-I29)</f>
        <v>完整</v>
      </c>
      <c r="K29" s="40" t="str">
        <f t="shared" si="4"/>
        <v>7月</v>
      </c>
      <c r="L29" s="40">
        <f>IFERROR(IFERROR(_xlfn.XLOOKUP(G29,基础设置!K:K,基础设置!L:L,0),0)*F29,0)</f>
        <v>0</v>
      </c>
      <c r="M29" s="41">
        <f>IF(_xlfn.XLOOKUP(G29,基础设置!K:K,基础设置!L:L,0)="保底",_xlfn.XLOOKUP(A29,'①7月-花名册'!E:E,'①7月-花名册'!T:T,0),0)</f>
        <v>0</v>
      </c>
    </row>
    <row r="30" spans="1:13" x14ac:dyDescent="0.15">
      <c r="A30" s="43" t="s">
        <v>441</v>
      </c>
      <c r="B30" s="44">
        <v>45858</v>
      </c>
      <c r="C30" s="44">
        <v>45864</v>
      </c>
      <c r="D30" s="43" t="s">
        <v>25</v>
      </c>
      <c r="E30" s="43" t="s">
        <v>33</v>
      </c>
      <c r="F30" s="45">
        <f t="shared" si="3"/>
        <v>7</v>
      </c>
      <c r="G30" s="43" t="s">
        <v>41</v>
      </c>
      <c r="H30" s="43"/>
      <c r="I30" s="40">
        <f t="shared" si="1"/>
        <v>12</v>
      </c>
      <c r="J30" s="40" t="str">
        <f>IF(_xlfn.XLOOKUP(A30,'①7月-花名册'!E:E,'①7月-花名册'!M:M,0)-I30=0,"完整",_xlfn.XLOOKUP(A30,'①7月-花名册'!E:E,'①7月-花名册'!M:M,0)-I30)</f>
        <v>完整</v>
      </c>
      <c r="K30" s="40" t="str">
        <f t="shared" si="4"/>
        <v>7月</v>
      </c>
      <c r="L30" s="40">
        <f>IFERROR(IFERROR(_xlfn.XLOOKUP(G30,基础设置!K:K,基础设置!L:L,0),0)*F30,0)</f>
        <v>560</v>
      </c>
      <c r="M30" s="41">
        <f>IF(_xlfn.XLOOKUP(G30,基础设置!K:K,基础设置!L:L,0)="保底",_xlfn.XLOOKUP(A30,'①7月-花名册'!E:E,'①7月-花名册'!T:T,0),0)</f>
        <v>0</v>
      </c>
    </row>
    <row r="31" spans="1:13" x14ac:dyDescent="0.15">
      <c r="A31" s="7" t="s">
        <v>161</v>
      </c>
      <c r="B31" s="8">
        <v>45870</v>
      </c>
      <c r="C31" s="8">
        <v>45871</v>
      </c>
      <c r="D31" s="7" t="s">
        <v>29</v>
      </c>
      <c r="E31" s="7" t="s">
        <v>53</v>
      </c>
      <c r="F31" s="42">
        <f t="shared" si="3"/>
        <v>2</v>
      </c>
      <c r="G31" s="7" t="s">
        <v>60</v>
      </c>
      <c r="H31" s="7"/>
      <c r="I31" s="40">
        <f t="shared" si="1"/>
        <v>0</v>
      </c>
      <c r="J31" s="40">
        <f>IF(_xlfn.XLOOKUP(A31,'①7月-花名册'!E:E,'①7月-花名册'!M:M,0)-I31=0,"完整",_xlfn.XLOOKUP(A31,'①7月-花名册'!E:E,'①7月-花名册'!M:M,0)-I31)</f>
        <v>31</v>
      </c>
      <c r="K31" s="40" t="str">
        <f t="shared" si="4"/>
        <v>8月</v>
      </c>
      <c r="L31" s="40">
        <f>IFERROR(IFERROR(_xlfn.XLOOKUP(G31,基础设置!K:K,基础设置!L:L,0),0)*F31,0)</f>
        <v>200</v>
      </c>
      <c r="M31" s="41">
        <f>IF(_xlfn.XLOOKUP(G31,基础设置!K:K,基础设置!L:L,0)="保底",_xlfn.XLOOKUP(A25,'①7月-花名册'!E:E,'①7月-花名册'!T:T,0),0)</f>
        <v>0</v>
      </c>
    </row>
    <row r="32" spans="1:13" x14ac:dyDescent="0.15">
      <c r="A32" s="7" t="s">
        <v>427</v>
      </c>
      <c r="B32" s="8">
        <v>45837</v>
      </c>
      <c r="C32" s="8">
        <v>45838</v>
      </c>
      <c r="D32" s="7" t="s">
        <v>25</v>
      </c>
      <c r="E32" s="7" t="s">
        <v>78</v>
      </c>
      <c r="F32" s="42">
        <f t="shared" si="3"/>
        <v>2</v>
      </c>
      <c r="G32" s="7" t="s">
        <v>58</v>
      </c>
      <c r="H32" s="7"/>
      <c r="I32" s="40">
        <f t="shared" si="1"/>
        <v>31</v>
      </c>
      <c r="J32" s="40" t="str">
        <f>IF(_xlfn.XLOOKUP(A32,'①7月-花名册'!E:E,'①7月-花名册'!M:M,0)-I32=0,"完整",_xlfn.XLOOKUP(A32,'①7月-花名册'!E:E,'①7月-花名册'!M:M,0)-I32)</f>
        <v>完整</v>
      </c>
      <c r="K32" s="40" t="str">
        <f t="shared" si="4"/>
        <v>6月</v>
      </c>
      <c r="L32" s="40">
        <f>IFERROR(IFERROR(_xlfn.XLOOKUP(G32,基础设置!K:K,基础设置!L:L,0),0)*F32,0)</f>
        <v>0</v>
      </c>
      <c r="M32" s="41">
        <f>IF(_xlfn.XLOOKUP(G32,基础设置!K:K,基础设置!L:L,0)="保底",_xlfn.XLOOKUP(A32,'①7月-花名册'!E:E,'①7月-花名册'!T:T,0),0)</f>
        <v>0</v>
      </c>
    </row>
    <row r="33" spans="1:15" x14ac:dyDescent="0.15">
      <c r="A33" s="7" t="s">
        <v>427</v>
      </c>
      <c r="B33" s="8">
        <v>45839</v>
      </c>
      <c r="C33" s="8">
        <v>45845</v>
      </c>
      <c r="D33" s="7" t="s">
        <v>29</v>
      </c>
      <c r="E33" s="7" t="s">
        <v>78</v>
      </c>
      <c r="F33" s="42">
        <f t="shared" si="3"/>
        <v>7</v>
      </c>
      <c r="G33" s="7" t="s">
        <v>58</v>
      </c>
      <c r="H33" s="7"/>
      <c r="I33" s="40">
        <f t="shared" si="1"/>
        <v>31</v>
      </c>
      <c r="J33" s="40" t="str">
        <f>IF(_xlfn.XLOOKUP(A33,'①7月-花名册'!E:E,'①7月-花名册'!M:M,0)-I33=0,"完整",_xlfn.XLOOKUP(A33,'①7月-花名册'!E:E,'①7月-花名册'!M:M,0)-I33)</f>
        <v>完整</v>
      </c>
      <c r="K33" s="40" t="str">
        <f t="shared" si="4"/>
        <v>7月</v>
      </c>
      <c r="L33" s="40">
        <f>IFERROR(IFERROR(_xlfn.XLOOKUP(G33,基础设置!K:K,基础设置!L:L,0),0)*F33,0)</f>
        <v>0</v>
      </c>
      <c r="M33" s="41">
        <f>IF(_xlfn.XLOOKUP(G33,基础设置!K:K,基础设置!L:L,0)="保底",_xlfn.XLOOKUP(A33,'①7月-花名册'!E:E,'①7月-花名册'!T:T,0),0)</f>
        <v>0</v>
      </c>
    </row>
    <row r="34" spans="1:15" x14ac:dyDescent="0.15">
      <c r="A34" s="46" t="s">
        <v>437</v>
      </c>
      <c r="B34" s="44">
        <v>45853</v>
      </c>
      <c r="C34" s="44">
        <v>45859</v>
      </c>
      <c r="D34" s="43" t="s">
        <v>29</v>
      </c>
      <c r="E34" s="43" t="s">
        <v>61</v>
      </c>
      <c r="F34" s="45">
        <f t="shared" ref="F34:F35" si="5">C34-B34+1</f>
        <v>7</v>
      </c>
      <c r="G34" s="43" t="s">
        <v>58</v>
      </c>
      <c r="H34" s="43"/>
      <c r="I34" s="40">
        <f t="shared" si="1"/>
        <v>17</v>
      </c>
      <c r="J34" s="40" t="str">
        <f>IF(_xlfn.XLOOKUP(A34,'①7月-花名册'!E:E,'①7月-花名册'!M:M,0)-I34=0,"完整",_xlfn.XLOOKUP(A34,'①7月-花名册'!E:E,'①7月-花名册'!M:M,0)-I34)</f>
        <v>完整</v>
      </c>
      <c r="K34" s="40" t="str">
        <f t="shared" ref="K34:K35" si="6">MONTH(B34)&amp;"月"</f>
        <v>7月</v>
      </c>
      <c r="L34" s="40">
        <f>IFERROR(IFERROR(_xlfn.XLOOKUP(G34,基础设置!K:K,基础设置!L:L,0),0)*F34,0)</f>
        <v>0</v>
      </c>
      <c r="M34" s="41">
        <f>IF(_xlfn.XLOOKUP(G34,基础设置!K:K,基础设置!L:L,0)="保底",_xlfn.XLOOKUP(A34,'①7月-花名册'!E:E,'①7月-花名册'!T:T,0),0)</f>
        <v>0</v>
      </c>
    </row>
    <row r="35" spans="1:15" x14ac:dyDescent="0.15">
      <c r="A35" s="43" t="s">
        <v>441</v>
      </c>
      <c r="B35" s="44">
        <v>45865</v>
      </c>
      <c r="C35" s="44">
        <v>45869</v>
      </c>
      <c r="D35" s="43" t="s">
        <v>25</v>
      </c>
      <c r="E35" s="43" t="s">
        <v>33</v>
      </c>
      <c r="F35" s="45">
        <f t="shared" si="5"/>
        <v>5</v>
      </c>
      <c r="G35" s="43" t="s">
        <v>62</v>
      </c>
      <c r="H35" s="43"/>
      <c r="I35" s="40">
        <f t="shared" si="1"/>
        <v>12</v>
      </c>
      <c r="J35" s="40" t="str">
        <f>IF(_xlfn.XLOOKUP(A35,'①7月-花名册'!E:E,'①7月-花名册'!M:M,0)-I35=0,"完整",_xlfn.XLOOKUP(A35,'①7月-花名册'!E:E,'①7月-花名册'!M:M,0)-I35)</f>
        <v>完整</v>
      </c>
      <c r="K35" s="40" t="str">
        <f t="shared" si="6"/>
        <v>7月</v>
      </c>
      <c r="L35" s="40">
        <f>IFERROR(IFERROR(_xlfn.XLOOKUP(G35,基础设置!K:K,基础设置!L:L,0),0)*F35,0)</f>
        <v>0</v>
      </c>
      <c r="M35" s="41">
        <f>IF(_xlfn.XLOOKUP(G35,基础设置!K:K,基础设置!L:L,0)="保底",_xlfn.XLOOKUP(A35,'①7月-花名册'!E:E,'①7月-花名册'!T:T,0),0)</f>
        <v>0</v>
      </c>
    </row>
    <row r="36" spans="1:15" x14ac:dyDescent="0.15">
      <c r="A36" s="7" t="s">
        <v>440</v>
      </c>
      <c r="B36" s="8">
        <v>45870</v>
      </c>
      <c r="C36" s="8">
        <v>45875</v>
      </c>
      <c r="D36" s="7" t="s">
        <v>45</v>
      </c>
      <c r="E36" s="7" t="s">
        <v>24</v>
      </c>
      <c r="F36" s="42">
        <f t="shared" si="3"/>
        <v>6</v>
      </c>
      <c r="G36" s="7" t="s">
        <v>56</v>
      </c>
      <c r="H36" s="7"/>
      <c r="I36" s="40">
        <f t="shared" si="1"/>
        <v>0</v>
      </c>
      <c r="J36" s="40">
        <f>IF(_xlfn.XLOOKUP(A36,'①7月-花名册'!E:E,'①7月-花名册'!M:M,0)-I36=0,"完整",_xlfn.XLOOKUP(A36,'①7月-花名册'!E:E,'①7月-花名册'!M:M,0)-I36)</f>
        <v>29</v>
      </c>
      <c r="K36" s="40" t="str">
        <f t="shared" si="4"/>
        <v>8月</v>
      </c>
      <c r="L36" s="40">
        <f>IFERROR(IFERROR(_xlfn.XLOOKUP(G36,基础设置!K:K,基础设置!L:L,0),0)*F36,0)</f>
        <v>0</v>
      </c>
      <c r="M36" s="41">
        <f>IF(_xlfn.XLOOKUP(G36,基础设置!K:K,基础设置!L:L,0)="保底",_xlfn.XLOOKUP(A36,'①7月-花名册'!E:E,'①7月-花名册'!T:T,0),0)</f>
        <v>0</v>
      </c>
    </row>
    <row r="37" spans="1:15" x14ac:dyDescent="0.15">
      <c r="A37" s="7" t="s">
        <v>444</v>
      </c>
      <c r="B37" s="8">
        <v>45858</v>
      </c>
      <c r="C37" s="8">
        <v>45869</v>
      </c>
      <c r="D37" s="7" t="s">
        <v>25</v>
      </c>
      <c r="E37" s="7" t="s">
        <v>72</v>
      </c>
      <c r="F37" s="42">
        <f t="shared" ref="F37:F46" si="7">C37-B37+1</f>
        <v>12</v>
      </c>
      <c r="G37" s="7" t="s">
        <v>27</v>
      </c>
      <c r="H37" s="47"/>
      <c r="I37" s="40">
        <f t="shared" si="1"/>
        <v>12</v>
      </c>
      <c r="J37" s="40" t="str">
        <f>IF(_xlfn.XLOOKUP(A37,'①7月-花名册'!E:E,'①7月-花名册'!M:M,0)-I37=0,"完整",_xlfn.XLOOKUP(A37,'①7月-花名册'!E:E,'①7月-花名册'!M:M,0)-I37)</f>
        <v>完整</v>
      </c>
      <c r="K37" s="40" t="str">
        <f>MONTH(B37)&amp;"月"</f>
        <v>7月</v>
      </c>
      <c r="L37" s="40">
        <f>IFERROR(IFERROR(_xlfn.XLOOKUP(G37,基础设置!K:K,基础设置!L:L,0),0)*F37,0)</f>
        <v>720</v>
      </c>
      <c r="M37" s="41">
        <f>IF(_xlfn.XLOOKUP(G37,基础设置!K:K,基础设置!L:L,0)="保底",_xlfn.XLOOKUP(A37,'①7月-花名册'!E:E,'①7月-花名册'!T:T,0),0)</f>
        <v>0</v>
      </c>
    </row>
    <row r="38" spans="1:15" x14ac:dyDescent="0.15">
      <c r="A38" s="7" t="s">
        <v>445</v>
      </c>
      <c r="B38" s="8">
        <v>45858</v>
      </c>
      <c r="C38" s="8">
        <v>45869</v>
      </c>
      <c r="D38" s="7" t="s">
        <v>25</v>
      </c>
      <c r="E38" s="7" t="s">
        <v>57</v>
      </c>
      <c r="F38" s="42">
        <f t="shared" si="7"/>
        <v>12</v>
      </c>
      <c r="G38" s="7" t="s">
        <v>27</v>
      </c>
      <c r="H38" s="47"/>
      <c r="I38" s="40">
        <f t="shared" si="1"/>
        <v>12</v>
      </c>
      <c r="J38" s="40" t="str">
        <f>IF(_xlfn.XLOOKUP(A38,'①7月-花名册'!E:E,'①7月-花名册'!M:M,0)-I38=0,"完整",_xlfn.XLOOKUP(A38,'①7月-花名册'!E:E,'①7月-花名册'!M:M,0)-I38)</f>
        <v>完整</v>
      </c>
      <c r="K38" s="40" t="str">
        <f>MONTH(B38)&amp;"月"</f>
        <v>7月</v>
      </c>
      <c r="L38" s="40">
        <f>IFERROR(IFERROR(_xlfn.XLOOKUP(G38,基础设置!K:K,基础设置!L:L,0),0)*F38,0)</f>
        <v>720</v>
      </c>
      <c r="M38" s="41">
        <f>IF(_xlfn.XLOOKUP(G38,基础设置!K:K,基础设置!L:L,0)="保底",_xlfn.XLOOKUP(A38,'①7月-花名册'!E:E,'①7月-花名册'!T:T,0),0)</f>
        <v>0</v>
      </c>
    </row>
    <row r="39" spans="1:15" x14ac:dyDescent="0.15">
      <c r="A39" s="7" t="s">
        <v>446</v>
      </c>
      <c r="B39" s="8">
        <v>45861</v>
      </c>
      <c r="C39" s="8">
        <v>45869</v>
      </c>
      <c r="D39" s="7" t="s">
        <v>25</v>
      </c>
      <c r="E39" s="7" t="s">
        <v>65</v>
      </c>
      <c r="F39" s="42">
        <f t="shared" si="7"/>
        <v>9</v>
      </c>
      <c r="G39" s="7" t="s">
        <v>27</v>
      </c>
      <c r="H39" s="47"/>
      <c r="I39" s="40">
        <f t="shared" si="1"/>
        <v>9</v>
      </c>
      <c r="J39" s="40" t="str">
        <f>IF(_xlfn.XLOOKUP(A39,'①7月-花名册'!E:E,'①7月-花名册'!M:M,0)-I39=0,"完整",_xlfn.XLOOKUP(A39,'①7月-花名册'!E:E,'①7月-花名册'!M:M,0)-I39)</f>
        <v>完整</v>
      </c>
      <c r="K39" s="40" t="str">
        <f>MONTH(B39)&amp;"月"</f>
        <v>7月</v>
      </c>
      <c r="L39" s="40">
        <f>IFERROR(IFERROR(_xlfn.XLOOKUP(G39,基础设置!K:K,基础设置!L:L,0),0)*F39,0)</f>
        <v>540</v>
      </c>
      <c r="M39" s="41">
        <f>IF(_xlfn.XLOOKUP(G39,基础设置!K:K,基础设置!L:L,0)="保底",_xlfn.XLOOKUP(A39,'①7月-花名册'!E:E,'①7月-花名册'!T:T,0),0)</f>
        <v>0</v>
      </c>
    </row>
    <row r="40" spans="1:15" x14ac:dyDescent="0.15">
      <c r="A40" s="7" t="s">
        <v>447</v>
      </c>
      <c r="B40" s="8">
        <v>45861</v>
      </c>
      <c r="C40" s="8">
        <v>45869</v>
      </c>
      <c r="D40" s="7" t="s">
        <v>25</v>
      </c>
      <c r="E40" s="7" t="s">
        <v>80</v>
      </c>
      <c r="F40" s="42">
        <f t="shared" si="7"/>
        <v>9</v>
      </c>
      <c r="G40" s="7" t="s">
        <v>27</v>
      </c>
      <c r="H40" s="47"/>
      <c r="I40" s="40">
        <f t="shared" si="1"/>
        <v>9</v>
      </c>
      <c r="J40" s="40" t="str">
        <f>IF(_xlfn.XLOOKUP(A40,'①7月-花名册'!E:E,'①7月-花名册'!M:M,0)-I40=0,"完整",_xlfn.XLOOKUP(A40,'①7月-花名册'!E:E,'①7月-花名册'!M:M,0)-I40)</f>
        <v>完整</v>
      </c>
      <c r="K40" s="40" t="str">
        <f>MONTH(B40)&amp;"月"</f>
        <v>7月</v>
      </c>
      <c r="L40" s="40">
        <f>IFERROR(IFERROR(_xlfn.XLOOKUP(G40,基础设置!K:K,基础设置!L:L,0),0)*F40,0)</f>
        <v>540</v>
      </c>
      <c r="M40" s="41">
        <f>IF(_xlfn.XLOOKUP(G40,基础设置!K:K,基础设置!L:L,0)="保底",_xlfn.XLOOKUP(A40,'①7月-花名册'!E:E,'①7月-花名册'!T:T,0),0)</f>
        <v>0</v>
      </c>
    </row>
    <row r="41" spans="1:15" x14ac:dyDescent="0.15">
      <c r="A41" s="7" t="s">
        <v>448</v>
      </c>
      <c r="B41" s="8">
        <v>45861</v>
      </c>
      <c r="C41" s="8">
        <v>45869</v>
      </c>
      <c r="D41" s="7" t="s">
        <v>25</v>
      </c>
      <c r="E41" s="7" t="s">
        <v>53</v>
      </c>
      <c r="F41" s="42">
        <f t="shared" si="7"/>
        <v>9</v>
      </c>
      <c r="G41" s="7" t="s">
        <v>27</v>
      </c>
      <c r="H41" s="47"/>
      <c r="I41" s="40">
        <f t="shared" si="1"/>
        <v>9</v>
      </c>
      <c r="J41" s="40" t="str">
        <f>IF(_xlfn.XLOOKUP(A41,'①7月-花名册'!E:E,'①7月-花名册'!M:M,0)-I41=0,"完整",_xlfn.XLOOKUP(A41,'①7月-花名册'!E:E,'①7月-花名册'!M:M,0)-I41)</f>
        <v>完整</v>
      </c>
      <c r="K41" s="40" t="str">
        <f t="shared" ref="K41:K44" si="8">MONTH(B41)&amp;"月"</f>
        <v>7月</v>
      </c>
      <c r="L41" s="40">
        <f>IFERROR(IFERROR(_xlfn.XLOOKUP(G41,基础设置!K:K,基础设置!L:L,0),0)*F41,0)</f>
        <v>540</v>
      </c>
      <c r="M41" s="41">
        <f>IF(_xlfn.XLOOKUP(G41,基础设置!K:K,基础设置!L:L,0)="保底",_xlfn.XLOOKUP(A41,'①7月-花名册'!E:E,'①7月-花名册'!T:T,0),0)</f>
        <v>0</v>
      </c>
    </row>
    <row r="42" spans="1:15" x14ac:dyDescent="0.15">
      <c r="A42" s="7" t="s">
        <v>449</v>
      </c>
      <c r="B42" s="8">
        <v>45862</v>
      </c>
      <c r="C42" s="8">
        <v>45869</v>
      </c>
      <c r="D42" s="7" t="s">
        <v>25</v>
      </c>
      <c r="E42" s="7" t="s">
        <v>76</v>
      </c>
      <c r="F42" s="42">
        <f t="shared" si="7"/>
        <v>8</v>
      </c>
      <c r="G42" s="7" t="s">
        <v>27</v>
      </c>
      <c r="H42" s="47"/>
      <c r="I42" s="40">
        <f t="shared" si="1"/>
        <v>8</v>
      </c>
      <c r="J42" s="40" t="str">
        <f>IF(_xlfn.XLOOKUP(A42,'①7月-花名册'!E:E,'①7月-花名册'!M:M,0)-I42=0,"完整",_xlfn.XLOOKUP(A42,'①7月-花名册'!E:E,'①7月-花名册'!M:M,0)-I42)</f>
        <v>完整</v>
      </c>
      <c r="K42" s="40" t="str">
        <f t="shared" si="8"/>
        <v>7月</v>
      </c>
      <c r="L42" s="40">
        <f>IFERROR(IFERROR(_xlfn.XLOOKUP(G42,基础设置!K:K,基础设置!L:L,0),0)*F42,0)</f>
        <v>480</v>
      </c>
      <c r="M42" s="41">
        <f>IF(_xlfn.XLOOKUP(G42,基础设置!K:K,基础设置!L:L,0)="保底",_xlfn.XLOOKUP(A42,'①7月-花名册'!E:E,'①7月-花名册'!T:T,0),0)</f>
        <v>0</v>
      </c>
    </row>
    <row r="43" spans="1:15" x14ac:dyDescent="0.15">
      <c r="A43" s="7" t="s">
        <v>450</v>
      </c>
      <c r="B43" s="8">
        <v>45866</v>
      </c>
      <c r="C43" s="8">
        <v>45869</v>
      </c>
      <c r="D43" s="7" t="s">
        <v>25</v>
      </c>
      <c r="E43" s="7" t="s">
        <v>59</v>
      </c>
      <c r="F43" s="42">
        <f t="shared" si="7"/>
        <v>4</v>
      </c>
      <c r="G43" s="7" t="s">
        <v>27</v>
      </c>
      <c r="H43" s="47"/>
      <c r="I43" s="40">
        <f t="shared" si="1"/>
        <v>4</v>
      </c>
      <c r="J43" s="40" t="str">
        <f>IF(_xlfn.XLOOKUP(A43,'①7月-花名册'!E:E,'①7月-花名册'!M:M,0)-I43=0,"完整",_xlfn.XLOOKUP(A43,'①7月-花名册'!E:E,'①7月-花名册'!M:M,0)-I43)</f>
        <v>完整</v>
      </c>
      <c r="K43" s="40" t="str">
        <f t="shared" si="8"/>
        <v>7月</v>
      </c>
      <c r="L43" s="40">
        <f>IFERROR(IFERROR(_xlfn.XLOOKUP(G43,基础设置!K:K,基础设置!L:L,0),0)*F43,0)</f>
        <v>240</v>
      </c>
      <c r="M43" s="41">
        <f>IF(_xlfn.XLOOKUP(G43,基础设置!K:K,基础设置!L:L,0)="保底",_xlfn.XLOOKUP(A43,'①7月-花名册'!E:E,'①7月-花名册'!T:T,0),0)</f>
        <v>0</v>
      </c>
    </row>
    <row r="44" spans="1:15" x14ac:dyDescent="0.15">
      <c r="A44" s="7" t="s">
        <v>453</v>
      </c>
      <c r="B44" s="48">
        <v>45845</v>
      </c>
      <c r="C44" s="8">
        <v>45850</v>
      </c>
      <c r="D44" s="7" t="s">
        <v>25</v>
      </c>
      <c r="E44" s="7" t="s">
        <v>81</v>
      </c>
      <c r="F44" s="42">
        <f t="shared" si="7"/>
        <v>6</v>
      </c>
      <c r="G44" s="7" t="s">
        <v>58</v>
      </c>
      <c r="H44" s="7"/>
      <c r="I44" s="40">
        <f t="shared" si="1"/>
        <v>9</v>
      </c>
      <c r="J44" s="40" t="str">
        <f>IF(_xlfn.XLOOKUP(A44,'①7月-花名册'!E:E,'①7月-花名册'!M:M,0)-I44=0,"完整",_xlfn.XLOOKUP(A44,'①7月-花名册'!E:E,'①7月-花名册'!M:M,0)-I44)</f>
        <v>完整</v>
      </c>
      <c r="K44" s="40" t="str">
        <f t="shared" si="8"/>
        <v>7月</v>
      </c>
      <c r="L44" s="40">
        <f>IFERROR(IFERROR(_xlfn.XLOOKUP(G44,基础设置!K:K,基础设置!L:L,0),0)*F44,0)</f>
        <v>0</v>
      </c>
      <c r="M44" s="41">
        <f>IF(_xlfn.XLOOKUP(G44,基础设置!K:K,基础设置!L:L,0)="保底",_xlfn.XLOOKUP(A44,'①7月-花名册'!E:E,'①7月-花名册'!T:T,0),0)</f>
        <v>0</v>
      </c>
      <c r="O44" s="38" t="s">
        <v>515</v>
      </c>
    </row>
    <row r="45" spans="1:15" x14ac:dyDescent="0.15">
      <c r="A45" s="7" t="s">
        <v>453</v>
      </c>
      <c r="B45" s="8">
        <v>45851</v>
      </c>
      <c r="C45" s="8">
        <v>45853</v>
      </c>
      <c r="D45" s="7" t="s">
        <v>29</v>
      </c>
      <c r="E45" s="7" t="s">
        <v>81</v>
      </c>
      <c r="F45" s="42">
        <f t="shared" si="7"/>
        <v>3</v>
      </c>
      <c r="G45" s="7" t="s">
        <v>58</v>
      </c>
      <c r="H45" s="7"/>
      <c r="I45" s="40">
        <f t="shared" si="1"/>
        <v>9</v>
      </c>
      <c r="J45" s="40" t="str">
        <f>IF(_xlfn.XLOOKUP(A45,'①7月-花名册'!E:E,'①7月-花名册'!M:M,0)-I45=0,"完整",_xlfn.XLOOKUP(A45,'①7月-花名册'!E:E,'①7月-花名册'!M:M,0)-I45)</f>
        <v>完整</v>
      </c>
      <c r="K45" s="40" t="str">
        <f>MONTH(B45)&amp;"月"</f>
        <v>7月</v>
      </c>
      <c r="L45" s="40">
        <f>IFERROR(IFERROR(_xlfn.XLOOKUP(G45,基础设置!K:K,基础设置!L:L,0),0)*F45,0)</f>
        <v>0</v>
      </c>
      <c r="M45" s="41">
        <f>IF(_xlfn.XLOOKUP(G45,基础设置!K:K,基础设置!L:L,0)="保底",_xlfn.XLOOKUP(A45,'①7月-花名册'!E:E,'①7月-花名册'!T:T,0),0)</f>
        <v>0</v>
      </c>
      <c r="O45" s="38" t="s">
        <v>515</v>
      </c>
    </row>
    <row r="46" spans="1:15" x14ac:dyDescent="0.15">
      <c r="A46" s="7" t="s">
        <v>309</v>
      </c>
      <c r="B46" s="8">
        <v>45839</v>
      </c>
      <c r="C46" s="8">
        <v>45839</v>
      </c>
      <c r="D46" s="7" t="s">
        <v>29</v>
      </c>
      <c r="E46" s="7" t="s">
        <v>78</v>
      </c>
      <c r="F46" s="42">
        <f t="shared" si="7"/>
        <v>1</v>
      </c>
      <c r="G46" s="7" t="s">
        <v>58</v>
      </c>
      <c r="H46" s="47"/>
      <c r="I46" s="40">
        <f t="shared" si="1"/>
        <v>1</v>
      </c>
      <c r="J46" s="40" t="str">
        <f>IF(_xlfn.XLOOKUP(A46,'①7月-花名册'!E:E,'①7月-花名册'!M:M,0)-I46=0,"完整",_xlfn.XLOOKUP(A46,'①7月-花名册'!E:E,'①7月-花名册'!M:M,0)-I46)</f>
        <v>完整</v>
      </c>
      <c r="K46" s="40" t="str">
        <f>MONTH(B46)&amp;"月"</f>
        <v>7月</v>
      </c>
      <c r="L46" s="40">
        <f>IFERROR(IFERROR(_xlfn.XLOOKUP(G46,基础设置!K:K,基础设置!L:L,0),0)*F46,0)</f>
        <v>0</v>
      </c>
      <c r="M46" s="41">
        <f>IF(_xlfn.XLOOKUP(G46,基础设置!K:K,基础设置!L:L,0)="保底",_xlfn.XLOOKUP(A46,'①7月-花名册'!E:E,'①7月-花名册'!T:T,0),0)</f>
        <v>0</v>
      </c>
    </row>
    <row r="47" spans="1:15" x14ac:dyDescent="0.15">
      <c r="A47" s="38" t="s">
        <v>258</v>
      </c>
    </row>
  </sheetData>
  <sheetProtection formatCells="0" formatColumns="0" formatRows="0" insertColumns="0" insertRows="0" insertHyperlinks="0" deleteColumns="0" deleteRows="0" sort="0" autoFilter="0" pivotTables="0"/>
  <autoFilter ref="A1:M46" xr:uid="{00000000-0009-0000-0000-000003000000}"/>
  <phoneticPr fontId="4" type="noConversion"/>
  <conditionalFormatting sqref="A43:A44">
    <cfRule type="duplicateValues" dxfId="1" priority="1"/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300-000000000000}">
          <x14:formula1>
            <xm:f>'①7月-花名册'!$E:$E</xm:f>
          </x14:formula1>
          <xm:sqref>A1:A30 A32:A1048576</xm:sqref>
        </x14:dataValidation>
        <x14:dataValidation type="list" allowBlank="1" showInputMessage="1" showErrorMessage="1" xr:uid="{00000000-0002-0000-0300-000002000000}">
          <x14:formula1>
            <xm:f>基础设置!$E:$E</xm:f>
          </x14:formula1>
          <xm:sqref>E1:E30 E32:E1048576</xm:sqref>
        </x14:dataValidation>
        <x14:dataValidation type="list" allowBlank="1" showInputMessage="1" showErrorMessage="1" xr:uid="{00000000-0002-0000-0300-000001000000}">
          <x14:formula1>
            <xm:f>基础设置!$I:$I</xm:f>
          </x14:formula1>
          <xm:sqref>D1:D1048576</xm:sqref>
        </x14:dataValidation>
        <x14:dataValidation type="list" allowBlank="1" showInputMessage="1" showErrorMessage="1" xr:uid="{00000000-0002-0000-0300-000003000000}">
          <x14:formula1>
            <xm:f>基础设置!$K:$K</xm:f>
          </x14:formula1>
          <xm:sqref>G1:G1048576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EE0000"/>
  </sheetPr>
  <dimension ref="A1:AQ328"/>
  <sheetViews>
    <sheetView workbookViewId="0">
      <pane xSplit="6" ySplit="3" topLeftCell="G49" activePane="bottomRight" state="frozen"/>
      <selection pane="topRight"/>
      <selection pane="bottomLeft"/>
      <selection pane="bottomRight" activeCell="Y26" sqref="Y26"/>
    </sheetView>
  </sheetViews>
  <sheetFormatPr defaultColWidth="9" defaultRowHeight="13.5" x14ac:dyDescent="0.15"/>
  <cols>
    <col min="1" max="1" width="8.25" style="11" customWidth="1"/>
    <col min="2" max="2" width="9.75" style="11" customWidth="1"/>
    <col min="3" max="3" width="11" style="11" customWidth="1"/>
    <col min="4" max="4" width="8.25" style="11" customWidth="1"/>
    <col min="5" max="5" width="11" style="11" customWidth="1"/>
    <col min="6" max="6" width="12.375" style="11" customWidth="1"/>
    <col min="7" max="7" width="11" style="11" bestFit="1" customWidth="1"/>
    <col min="8" max="8" width="11" style="11" customWidth="1"/>
    <col min="9" max="9" width="16.75" style="11" customWidth="1"/>
    <col min="10" max="10" width="9.625" style="14" customWidth="1"/>
    <col min="11" max="15" width="8.25" style="14" customWidth="1"/>
    <col min="16" max="16" width="8.25" style="15" customWidth="1"/>
    <col min="17" max="17" width="12" style="15" customWidth="1"/>
    <col min="18" max="18" width="8.25" style="15" customWidth="1"/>
    <col min="19" max="19" width="9.25" style="15" customWidth="1"/>
    <col min="20" max="23" width="11" style="15" customWidth="1"/>
    <col min="24" max="24" width="8.25" style="14" customWidth="1"/>
    <col min="25" max="25" width="8.875" style="14" customWidth="1"/>
    <col min="26" max="26" width="8.25" style="14" customWidth="1"/>
    <col min="27" max="27" width="11" style="14" customWidth="1"/>
    <col min="28" max="28" width="12.375" style="16" customWidth="1"/>
    <col min="29" max="29" width="8.25" style="16" customWidth="1"/>
    <col min="30" max="30" width="9.625" style="16" customWidth="1"/>
    <col min="31" max="31" width="11" style="16" customWidth="1"/>
    <col min="32" max="32" width="7" style="16" customWidth="1"/>
    <col min="33" max="33" width="11" style="16" bestFit="1" customWidth="1"/>
    <col min="34" max="34" width="15.875" style="17" customWidth="1"/>
    <col min="35" max="36" width="8.25" style="15" customWidth="1"/>
    <col min="37" max="38" width="11" style="15" customWidth="1"/>
    <col min="39" max="40" width="11" style="18" customWidth="1"/>
    <col min="41" max="41" width="8.5" style="18" customWidth="1"/>
    <col min="42" max="43" width="13.25" style="18" customWidth="1"/>
    <col min="44" max="16384" width="9" style="16"/>
  </cols>
  <sheetData>
    <row r="1" spans="1:43" s="11" customFormat="1" x14ac:dyDescent="0.15">
      <c r="A1" s="11" t="s">
        <v>465</v>
      </c>
      <c r="B1" s="11">
        <v>2025</v>
      </c>
      <c r="C1" s="11">
        <v>7</v>
      </c>
      <c r="D1" s="20"/>
      <c r="G1" s="11" t="s">
        <v>466</v>
      </c>
      <c r="J1" s="15"/>
      <c r="K1" s="15"/>
      <c r="L1" s="15"/>
      <c r="M1" s="15"/>
      <c r="N1" s="15"/>
      <c r="O1" s="15"/>
      <c r="P1" s="15" t="s">
        <v>467</v>
      </c>
      <c r="Q1" s="15" t="s">
        <v>468</v>
      </c>
      <c r="R1" s="15"/>
      <c r="S1" s="25"/>
      <c r="T1" s="15"/>
      <c r="U1" s="15" t="s">
        <v>469</v>
      </c>
      <c r="V1" s="15" t="s">
        <v>470</v>
      </c>
      <c r="W1" s="15"/>
      <c r="AH1" s="17"/>
      <c r="AI1" s="15"/>
      <c r="AJ1" s="15"/>
      <c r="AK1" s="15"/>
      <c r="AL1" s="15"/>
      <c r="AM1" s="18"/>
      <c r="AN1" s="18"/>
      <c r="AO1" s="18"/>
      <c r="AP1" s="18" t="s">
        <v>471</v>
      </c>
      <c r="AQ1" s="18"/>
    </row>
    <row r="2" spans="1:43" x14ac:dyDescent="0.15">
      <c r="J2" s="14" t="s">
        <v>472</v>
      </c>
      <c r="K2" s="14" t="s">
        <v>473</v>
      </c>
      <c r="P2" s="15" t="s">
        <v>474</v>
      </c>
      <c r="Q2" s="15" t="s">
        <v>475</v>
      </c>
      <c r="S2" s="25"/>
      <c r="V2" s="15" t="b">
        <f>AND(X4=0,Y4=0,AH4=0)</f>
        <v>0</v>
      </c>
      <c r="X2" s="16"/>
      <c r="Y2" s="16"/>
      <c r="Z2" s="16"/>
      <c r="AA2" s="16"/>
      <c r="AI2" s="15" t="s">
        <v>465</v>
      </c>
      <c r="AJ2" s="15" t="s">
        <v>465</v>
      </c>
      <c r="AK2" s="15" t="s">
        <v>476</v>
      </c>
      <c r="AL2" s="15" t="s">
        <v>477</v>
      </c>
      <c r="AM2" s="18" t="s">
        <v>516</v>
      </c>
      <c r="AN2" s="18" t="s">
        <v>476</v>
      </c>
      <c r="AO2" s="18" t="s">
        <v>476</v>
      </c>
      <c r="AP2" s="18" t="s">
        <v>465</v>
      </c>
    </row>
    <row r="3" spans="1:43" s="12" customFormat="1" x14ac:dyDescent="0.15">
      <c r="A3" s="21" t="str" cm="1">
        <f t="array" ref="A3:F326">_xlfn._xlws.FILTER('①7月-花名册'!B:G,'①7月-花名册'!M:M&gt;0)</f>
        <v>店名</v>
      </c>
      <c r="B3" s="21" t="str">
        <v>职位</v>
      </c>
      <c r="C3" s="21" t="str">
        <v>岗位分类</v>
      </c>
      <c r="D3" s="21" t="str">
        <v>姓名</v>
      </c>
      <c r="E3" s="21" t="str">
        <v>在职情况</v>
      </c>
      <c r="F3" s="21" t="str">
        <v>岗位分类②</v>
      </c>
      <c r="G3" s="21" t="s">
        <v>478</v>
      </c>
      <c r="H3" s="21" t="s">
        <v>479</v>
      </c>
      <c r="I3" s="21" t="s">
        <v>480</v>
      </c>
      <c r="J3" s="22" t="s">
        <v>481</v>
      </c>
      <c r="K3" s="23" t="s">
        <v>482</v>
      </c>
      <c r="L3" s="23" t="s">
        <v>4</v>
      </c>
      <c r="M3" s="23" t="s">
        <v>483</v>
      </c>
      <c r="N3" s="23" t="s">
        <v>484</v>
      </c>
      <c r="O3" s="23" t="s">
        <v>485</v>
      </c>
      <c r="P3" s="22" t="s">
        <v>486</v>
      </c>
      <c r="Q3" s="22" t="s">
        <v>487</v>
      </c>
      <c r="R3" s="22" t="s">
        <v>488</v>
      </c>
      <c r="S3" s="22" t="s">
        <v>489</v>
      </c>
      <c r="T3" s="22" t="s">
        <v>490</v>
      </c>
      <c r="U3" s="22" t="s">
        <v>491</v>
      </c>
      <c r="V3" s="22" t="s">
        <v>492</v>
      </c>
      <c r="W3" s="22" t="s">
        <v>493</v>
      </c>
      <c r="X3" s="23" t="s">
        <v>1</v>
      </c>
      <c r="Y3" s="23" t="s">
        <v>2</v>
      </c>
      <c r="Z3" s="23" t="s">
        <v>494</v>
      </c>
      <c r="AA3" s="23" t="s">
        <v>495</v>
      </c>
      <c r="AB3" s="23" t="s">
        <v>496</v>
      </c>
      <c r="AC3" s="23" t="s">
        <v>497</v>
      </c>
      <c r="AD3" s="23" t="s">
        <v>498</v>
      </c>
      <c r="AE3" s="23" t="s">
        <v>499</v>
      </c>
      <c r="AF3" s="23" t="s">
        <v>500</v>
      </c>
      <c r="AG3" s="23" t="s">
        <v>501</v>
      </c>
      <c r="AH3" s="29" t="s">
        <v>502</v>
      </c>
      <c r="AI3" s="22" t="s">
        <v>503</v>
      </c>
      <c r="AJ3" s="22" t="s">
        <v>504</v>
      </c>
      <c r="AK3" s="22" t="s">
        <v>505</v>
      </c>
      <c r="AL3" s="22" t="s">
        <v>506</v>
      </c>
      <c r="AM3" s="30" t="s">
        <v>507</v>
      </c>
      <c r="AN3" s="30" t="s">
        <v>508</v>
      </c>
      <c r="AO3" s="30" t="s">
        <v>509</v>
      </c>
      <c r="AP3" s="30" t="s">
        <v>510</v>
      </c>
      <c r="AQ3" s="30" t="s">
        <v>514</v>
      </c>
    </row>
    <row r="4" spans="1:43" x14ac:dyDescent="0.15">
      <c r="A4" s="11" t="str">
        <v>华润</v>
      </c>
      <c r="B4" s="11" t="str">
        <v>店长</v>
      </c>
      <c r="C4" s="11" t="str">
        <v>B</v>
      </c>
      <c r="D4" s="11" t="str">
        <v>易春梅</v>
      </c>
      <c r="E4" s="11" t="str">
        <v>在职</v>
      </c>
      <c r="F4" s="11" t="str">
        <v>事业部</v>
      </c>
      <c r="G4" s="11">
        <f>_xlfn.XLOOKUP(D4,'①7月-花名册'!E:E,'①7月-花名册'!U:U,0)</f>
        <v>0</v>
      </c>
      <c r="H4" s="11">
        <f>_xlfn.XLOOKUP(D4,'①7月-花名册'!E:E,'①7月-花名册'!M:M,0)</f>
        <v>31</v>
      </c>
      <c r="I4" s="11">
        <f>_xlfn.XLOOKUP(D4,'①7月-花名册'!E:E,'①7月-花名册'!S:S,0)</f>
        <v>4</v>
      </c>
      <c r="J4" s="14">
        <f>SUM(K4:O4)</f>
        <v>5</v>
      </c>
      <c r="K4" s="24">
        <v>4</v>
      </c>
      <c r="L4" s="24"/>
      <c r="M4" s="24">
        <v>1</v>
      </c>
      <c r="N4" s="24"/>
      <c r="O4" s="24"/>
      <c r="P4" s="15">
        <f>H4-SUM(K4:O4)</f>
        <v>26</v>
      </c>
      <c r="Q4" s="15">
        <f>P4+K4+O4+N4+M4</f>
        <v>31</v>
      </c>
      <c r="R4" s="15">
        <f>IF(F4="事业部",LOOKUP(Q4,基础设置!$T$2:$T$6,基础设置!$U$2:$U$6),IF(F4="总部",LOOKUP(Q4,基础设置!$T$8:$T$13,基础设置!$V$8:$V$13),IF(F4="拓展部",LOOKUP(Q4,基础设置!$T$8:$T$13,基础设置!$W$8:$W$13),2000)))</f>
        <v>4</v>
      </c>
      <c r="S4" s="15">
        <f>K4+M4+N4+O4+P4</f>
        <v>31</v>
      </c>
      <c r="T4" s="15">
        <f>IF(K4-R4&lt;0,0,K4-R4)</f>
        <v>0</v>
      </c>
      <c r="U4" s="15">
        <f>T4+L4</f>
        <v>0</v>
      </c>
      <c r="V4" s="15">
        <f t="shared" ref="V4:V67" si="0">IF(AND(E4="离职",H4&lt;=26),0,IF(AND(X4=0,Y4=0,AH4=0),IF(B4="保洁",0,IF(R4-K4&lt;0,0,R4-K4)),0))</f>
        <v>0</v>
      </c>
      <c r="W4" s="15">
        <f>V4*20</f>
        <v>0</v>
      </c>
      <c r="X4" s="26">
        <v>20</v>
      </c>
      <c r="Y4" s="26"/>
      <c r="Z4" s="26"/>
      <c r="AA4" s="26"/>
      <c r="AB4" s="27"/>
      <c r="AC4" s="27"/>
      <c r="AD4" s="27"/>
      <c r="AE4" s="27"/>
      <c r="AF4" s="27"/>
      <c r="AG4" s="27"/>
      <c r="AH4" s="17">
        <f>_xlfn.XLOOKUP(D4,'①7月-花名册'!E:E,'①7月-花名册'!T:T,0)</f>
        <v>0</v>
      </c>
      <c r="AI4" s="15">
        <f>SUMIFS('7月运营'!$L:$L,'7月运营'!$A:$A,D4,'7月运营'!$K:$K,$A$1)</f>
        <v>0</v>
      </c>
      <c r="AJ4" s="15">
        <f>SUMIFS('7月运营'!H:H,'7月运营'!$A:$A,D4,'7月运营'!$K:$K,$A$1)</f>
        <v>0</v>
      </c>
      <c r="AK4" s="15">
        <f>SUMIFS(上月未发人员明细!I:I,上月未发人员明细!J:J,$AK$2,上月未发人员明细!A:A,D4)</f>
        <v>0</v>
      </c>
      <c r="AL4" s="15">
        <f>SUMIFS('7月运营'!L:L,'7月运营'!$A:$A,D4,'7月运营'!$K:$K,$AL$2)</f>
        <v>0</v>
      </c>
      <c r="AM4" s="18">
        <f>SUMIFS('7月运营'!$F:$F,'7月运营'!$A:$A,D4,'7月运营'!$K:$K,'②7月-汇总'!$AM$2,'7月运营'!$G:$G,"岗位核算")</f>
        <v>0</v>
      </c>
      <c r="AN4" s="18">
        <f>SUMIFS('7月运营'!$F:$F,'7月运营'!$A:$A,D4,'7月运营'!$K:$K,$AN$2,'7月运营'!$G:$G,"岗位核算")</f>
        <v>0</v>
      </c>
      <c r="AO4" s="18" t="str">
        <f>IF(AN4&lt;&gt;0,"有","")</f>
        <v/>
      </c>
      <c r="AP4" s="18">
        <f t="shared" ref="AP4:AP67" si="1">IF(AM4=0,S4,AM4)</f>
        <v>31</v>
      </c>
      <c r="AQ4" s="18">
        <f>_xlfn.XLOOKUP(D4,'7月运营'!A:A,'7月运营'!G:G,0)</f>
        <v>0</v>
      </c>
    </row>
    <row r="5" spans="1:43" x14ac:dyDescent="0.15">
      <c r="A5" s="11" t="str">
        <v>华润</v>
      </c>
      <c r="B5" s="11" t="str">
        <v>店助</v>
      </c>
      <c r="C5" s="11" t="str">
        <v>A</v>
      </c>
      <c r="D5" s="11" t="str">
        <v>江玲</v>
      </c>
      <c r="E5" s="11" t="str">
        <v>在职</v>
      </c>
      <c r="F5" s="11" t="str">
        <v>事业部</v>
      </c>
      <c r="G5" s="11">
        <f>_xlfn.XLOOKUP(D5,'①7月-花名册'!E:E,'①7月-花名册'!U:U,0)</f>
        <v>0</v>
      </c>
      <c r="H5" s="11">
        <f>_xlfn.XLOOKUP(D5,'①7月-花名册'!E:E,'①7月-花名册'!M:M,0)</f>
        <v>31</v>
      </c>
      <c r="I5" s="11">
        <f>_xlfn.XLOOKUP(D5,'①7月-花名册'!E:E,'①7月-花名册'!S:S,0)</f>
        <v>4</v>
      </c>
      <c r="J5" s="14">
        <f t="shared" ref="J5:J68" si="2">SUM(K5:O5)</f>
        <v>5</v>
      </c>
      <c r="K5" s="23">
        <v>4</v>
      </c>
      <c r="L5" s="23"/>
      <c r="M5" s="23">
        <v>1</v>
      </c>
      <c r="N5" s="23"/>
      <c r="O5" s="23"/>
      <c r="P5" s="15">
        <f t="shared" ref="P5:P68" si="3">H5-SUM(K5:O5)</f>
        <v>26</v>
      </c>
      <c r="Q5" s="15">
        <f t="shared" ref="Q5:Q68" si="4">P5+K5+O5+N5+M5</f>
        <v>31</v>
      </c>
      <c r="R5" s="15">
        <f>IF(F5="事业部",LOOKUP(Q5,基础设置!$T$2:$T$6,基础设置!$U$2:$U$6),IF(F5="总部",LOOKUP(Q5,基础设置!$T$8:$T$13,基础设置!$V$8:$V$13),IF(F5="拓展部",LOOKUP(Q5,基础设置!$T$8:$T$13,基础设置!$W$8:$W$13),2000)))</f>
        <v>4</v>
      </c>
      <c r="S5" s="15">
        <f t="shared" ref="S5:S68" si="5">K5+M5+N5+O5+P5</f>
        <v>31</v>
      </c>
      <c r="T5" s="15">
        <f t="shared" ref="T5:T68" si="6">IF(K5-R5&lt;0,0,K5-R5)</f>
        <v>0</v>
      </c>
      <c r="U5" s="15">
        <f t="shared" ref="U5:U68" si="7">T5+L5</f>
        <v>0</v>
      </c>
      <c r="V5" s="15">
        <f t="shared" si="0"/>
        <v>0</v>
      </c>
      <c r="W5" s="15">
        <f t="shared" ref="W5:W68" si="8">V5*20</f>
        <v>0</v>
      </c>
      <c r="X5" s="26">
        <v>10</v>
      </c>
      <c r="Y5" s="26"/>
      <c r="Z5" s="26"/>
      <c r="AA5" s="26"/>
      <c r="AB5" s="27"/>
      <c r="AC5" s="27"/>
      <c r="AD5" s="27"/>
      <c r="AE5" s="27"/>
      <c r="AF5" s="27"/>
      <c r="AG5" s="27"/>
      <c r="AH5" s="17">
        <f>_xlfn.XLOOKUP(D5,'①7月-花名册'!E:E,'①7月-花名册'!T:T,0)</f>
        <v>0</v>
      </c>
      <c r="AI5" s="15">
        <f>SUMIFS('7月运营'!$L:$L,'7月运营'!$A:$A,D5,'7月运营'!$K:$K,$A$1)</f>
        <v>0</v>
      </c>
      <c r="AJ5" s="15">
        <f>SUMIFS('7月运营'!H:H,'7月运营'!$A:$A,D5,'7月运营'!$K:$K,$A$1)</f>
        <v>0</v>
      </c>
      <c r="AK5" s="15">
        <f>SUMIFS(上月未发人员明细!I:I,上月未发人员明细!J:J,$AK$2,上月未发人员明细!A:A,D5)</f>
        <v>0</v>
      </c>
      <c r="AL5" s="15">
        <f>SUMIFS('7月运营'!L:L,'7月运营'!$A:$A,D5,'7月运营'!$K:$K,$AL$2)</f>
        <v>0</v>
      </c>
      <c r="AM5" s="18">
        <f>SUMIFS('7月运营'!$F:$F,'7月运营'!$A:$A,D5,'7月运营'!$K:$K,'②7月-汇总'!$AM$2,'7月运营'!$G:$G,"岗位核算")</f>
        <v>0</v>
      </c>
      <c r="AN5" s="18">
        <f>SUMIFS('7月运营'!$F:$F,'7月运营'!$A:$A,D5,'7月运营'!$K:$K,$AN$2,'7月运营'!$G:$G,"岗位核算")</f>
        <v>0</v>
      </c>
      <c r="AO5" s="18" t="str">
        <f t="shared" ref="AO5:AO68" si="9">IF(AN5&lt;&gt;0,"有","")</f>
        <v/>
      </c>
      <c r="AP5" s="18">
        <f t="shared" si="1"/>
        <v>31</v>
      </c>
      <c r="AQ5" s="18">
        <f>_xlfn.XLOOKUP(D5,'7月运营'!A:A,'7月运营'!G:G,0)</f>
        <v>0</v>
      </c>
    </row>
    <row r="6" spans="1:43" x14ac:dyDescent="0.15">
      <c r="A6" s="11" t="str">
        <v>华润</v>
      </c>
      <c r="B6" s="11" t="str">
        <v>健康师</v>
      </c>
      <c r="C6" s="11" t="str">
        <v>A</v>
      </c>
      <c r="D6" s="11" t="str">
        <v>王瑞琳</v>
      </c>
      <c r="E6" s="11" t="str">
        <v>在职</v>
      </c>
      <c r="F6" s="11" t="str">
        <v>事业部</v>
      </c>
      <c r="G6" s="11">
        <f>_xlfn.XLOOKUP(D6,'①7月-花名册'!E:E,'①7月-花名册'!U:U,0)</f>
        <v>0</v>
      </c>
      <c r="H6" s="11">
        <f>_xlfn.XLOOKUP(D6,'①7月-花名册'!E:E,'①7月-花名册'!M:M,0)</f>
        <v>31</v>
      </c>
      <c r="I6" s="11">
        <f>_xlfn.XLOOKUP(D6,'①7月-花名册'!E:E,'①7月-花名册'!S:S,0)</f>
        <v>4</v>
      </c>
      <c r="J6" s="14">
        <f t="shared" si="2"/>
        <v>5</v>
      </c>
      <c r="K6" s="23">
        <v>4</v>
      </c>
      <c r="L6" s="23"/>
      <c r="M6" s="23">
        <v>1</v>
      </c>
      <c r="N6" s="23"/>
      <c r="O6" s="23"/>
      <c r="P6" s="15">
        <f t="shared" si="3"/>
        <v>26</v>
      </c>
      <c r="Q6" s="15">
        <f t="shared" si="4"/>
        <v>31</v>
      </c>
      <c r="R6" s="15">
        <f>IF(F6="事业部",LOOKUP(Q6,基础设置!$T$2:$T$6,基础设置!$U$2:$U$6),IF(F6="总部",LOOKUP(Q6,基础设置!$T$8:$T$13,基础设置!$V$8:$V$13),IF(F6="拓展部",LOOKUP(Q6,基础设置!$T$8:$T$13,基础设置!$W$8:$W$13),2000)))</f>
        <v>4</v>
      </c>
      <c r="S6" s="15">
        <f t="shared" si="5"/>
        <v>31</v>
      </c>
      <c r="T6" s="15">
        <f t="shared" si="6"/>
        <v>0</v>
      </c>
      <c r="U6" s="15">
        <f t="shared" si="7"/>
        <v>0</v>
      </c>
      <c r="V6" s="15">
        <f t="shared" si="0"/>
        <v>0</v>
      </c>
      <c r="W6" s="15">
        <f t="shared" si="8"/>
        <v>0</v>
      </c>
      <c r="X6" s="26">
        <v>20</v>
      </c>
      <c r="Y6" s="26"/>
      <c r="Z6" s="26"/>
      <c r="AA6" s="26"/>
      <c r="AB6" s="27"/>
      <c r="AC6" s="27"/>
      <c r="AD6" s="27"/>
      <c r="AE6" s="27"/>
      <c r="AF6" s="27"/>
      <c r="AG6" s="27"/>
      <c r="AH6" s="17">
        <f>_xlfn.XLOOKUP(D6,'①7月-花名册'!E:E,'①7月-花名册'!T:T,0)</f>
        <v>0</v>
      </c>
      <c r="AI6" s="15">
        <f>SUMIFS('7月运营'!$L:$L,'7月运营'!$A:$A,D6,'7月运营'!$K:$K,$A$1)</f>
        <v>0</v>
      </c>
      <c r="AJ6" s="15">
        <f>SUMIFS('7月运营'!H:H,'7月运营'!$A:$A,D6,'7月运营'!$K:$K,$A$1)</f>
        <v>0</v>
      </c>
      <c r="AK6" s="15">
        <f>SUMIFS(上月未发人员明细!I:I,上月未发人员明细!J:J,$AK$2,上月未发人员明细!A:A,D6)</f>
        <v>0</v>
      </c>
      <c r="AL6" s="15">
        <f>SUMIFS('7月运营'!L:L,'7月运营'!$A:$A,D6,'7月运营'!$K:$K,$AL$2)</f>
        <v>0</v>
      </c>
      <c r="AM6" s="18">
        <f>SUMIFS('7月运营'!$F:$F,'7月运营'!$A:$A,D6,'7月运营'!$K:$K,'②7月-汇总'!$AM$2,'7月运营'!$G:$G,"岗位核算")</f>
        <v>0</v>
      </c>
      <c r="AN6" s="18">
        <f>SUMIFS('7月运营'!$F:$F,'7月运营'!$A:$A,D6,'7月运营'!$K:$K,$AN$2,'7月运营'!$G:$G,"岗位核算")</f>
        <v>0</v>
      </c>
      <c r="AO6" s="18" t="str">
        <f t="shared" si="9"/>
        <v/>
      </c>
      <c r="AP6" s="18">
        <f t="shared" si="1"/>
        <v>31</v>
      </c>
      <c r="AQ6" s="18">
        <f>_xlfn.XLOOKUP(D6,'7月运营'!A:A,'7月运营'!G:G,0)</f>
        <v>0</v>
      </c>
    </row>
    <row r="7" spans="1:43" x14ac:dyDescent="0.15">
      <c r="A7" s="11" t="str">
        <v>华润</v>
      </c>
      <c r="B7" s="11" t="str">
        <v>健康师</v>
      </c>
      <c r="C7" s="11" t="str">
        <v>A</v>
      </c>
      <c r="D7" s="11" t="str">
        <v>黄小燕</v>
      </c>
      <c r="E7" s="11" t="str">
        <v>在职</v>
      </c>
      <c r="F7" s="11" t="str">
        <v>事业部</v>
      </c>
      <c r="G7" s="11">
        <f>_xlfn.XLOOKUP(D7,'①7月-花名册'!E:E,'①7月-花名册'!U:U,0)</f>
        <v>0</v>
      </c>
      <c r="H7" s="11">
        <f>_xlfn.XLOOKUP(D7,'①7月-花名册'!E:E,'①7月-花名册'!M:M,0)</f>
        <v>31</v>
      </c>
      <c r="I7" s="11">
        <f>_xlfn.XLOOKUP(D7,'①7月-花名册'!E:E,'①7月-花名册'!S:S,0)</f>
        <v>4</v>
      </c>
      <c r="J7" s="14">
        <f t="shared" si="2"/>
        <v>4</v>
      </c>
      <c r="K7" s="23">
        <v>4</v>
      </c>
      <c r="L7" s="23"/>
      <c r="M7" s="23"/>
      <c r="N7" s="23"/>
      <c r="O7" s="23"/>
      <c r="P7" s="15">
        <f t="shared" si="3"/>
        <v>27</v>
      </c>
      <c r="Q7" s="15">
        <f t="shared" si="4"/>
        <v>31</v>
      </c>
      <c r="R7" s="15">
        <f>IF(F7="事业部",LOOKUP(Q7,基础设置!$T$2:$T$6,基础设置!$U$2:$U$6),IF(F7="总部",LOOKUP(Q7,基础设置!$T$8:$T$13,基础设置!$V$8:$V$13),IF(F7="拓展部",LOOKUP(Q7,基础设置!$T$8:$T$13,基础设置!$W$8:$W$13),2000)))</f>
        <v>4</v>
      </c>
      <c r="S7" s="15">
        <f t="shared" si="5"/>
        <v>31</v>
      </c>
      <c r="T7" s="15">
        <f t="shared" si="6"/>
        <v>0</v>
      </c>
      <c r="U7" s="15">
        <f t="shared" si="7"/>
        <v>0</v>
      </c>
      <c r="V7" s="15">
        <f t="shared" si="0"/>
        <v>0</v>
      </c>
      <c r="W7" s="15">
        <f t="shared" si="8"/>
        <v>0</v>
      </c>
      <c r="X7" s="26"/>
      <c r="Y7" s="26"/>
      <c r="Z7" s="26">
        <v>50</v>
      </c>
      <c r="AA7" s="26"/>
      <c r="AB7" s="27"/>
      <c r="AC7" s="27"/>
      <c r="AD7" s="27"/>
      <c r="AE7" s="27"/>
      <c r="AF7" s="27"/>
      <c r="AG7" s="27"/>
      <c r="AH7" s="17">
        <f>_xlfn.XLOOKUP(D7,'①7月-花名册'!E:E,'①7月-花名册'!T:T,0)</f>
        <v>0</v>
      </c>
      <c r="AI7" s="15">
        <f>SUMIFS('7月运营'!$L:$L,'7月运营'!$A:$A,D7,'7月运营'!$K:$K,$A$1)</f>
        <v>0</v>
      </c>
      <c r="AJ7" s="15">
        <f>SUMIFS('7月运营'!H:H,'7月运营'!$A:$A,D7,'7月运营'!$K:$K,$A$1)</f>
        <v>0</v>
      </c>
      <c r="AK7" s="15">
        <f>SUMIFS(上月未发人员明细!I:I,上月未发人员明细!J:J,$AK$2,上月未发人员明细!A:A,D7)</f>
        <v>0</v>
      </c>
      <c r="AL7" s="15">
        <f>SUMIFS('7月运营'!L:L,'7月运营'!$A:$A,D7,'7月运营'!$K:$K,$AL$2)</f>
        <v>0</v>
      </c>
      <c r="AM7" s="18">
        <f>SUMIFS('7月运营'!$F:$F,'7月运营'!$A:$A,D7,'7月运营'!$K:$K,'②7月-汇总'!$AM$2,'7月运营'!$G:$G,"岗位核算")</f>
        <v>0</v>
      </c>
      <c r="AN7" s="18">
        <f>SUMIFS('7月运营'!$F:$F,'7月运营'!$A:$A,D7,'7月运营'!$K:$K,$AN$2,'7月运营'!$G:$G,"岗位核算")</f>
        <v>0</v>
      </c>
      <c r="AO7" s="18" t="str">
        <f t="shared" si="9"/>
        <v/>
      </c>
      <c r="AP7" s="18">
        <f t="shared" si="1"/>
        <v>31</v>
      </c>
      <c r="AQ7" s="18">
        <f>_xlfn.XLOOKUP(D7,'7月运营'!A:A,'7月运营'!G:G,0)</f>
        <v>0</v>
      </c>
    </row>
    <row r="8" spans="1:43" x14ac:dyDescent="0.15">
      <c r="A8" s="11" t="str">
        <v>华润</v>
      </c>
      <c r="B8" s="11" t="str">
        <v>健康师</v>
      </c>
      <c r="C8" s="11" t="str">
        <v>A</v>
      </c>
      <c r="D8" s="11" t="str">
        <v>赵玉晓</v>
      </c>
      <c r="E8" s="11" t="str">
        <v>在职</v>
      </c>
      <c r="F8" s="11" t="str">
        <v>事业部</v>
      </c>
      <c r="G8" s="11">
        <f>_xlfn.XLOOKUP(D8,'①7月-花名册'!E:E,'①7月-花名册'!U:U,0)</f>
        <v>0</v>
      </c>
      <c r="H8" s="11">
        <f>_xlfn.XLOOKUP(D8,'①7月-花名册'!E:E,'①7月-花名册'!M:M,0)</f>
        <v>31</v>
      </c>
      <c r="I8" s="11">
        <f>_xlfn.XLOOKUP(D8,'①7月-花名册'!E:E,'①7月-花名册'!S:S,0)</f>
        <v>4</v>
      </c>
      <c r="J8" s="14">
        <f t="shared" si="2"/>
        <v>5</v>
      </c>
      <c r="K8" s="23">
        <v>4</v>
      </c>
      <c r="L8" s="23"/>
      <c r="M8" s="23">
        <v>1</v>
      </c>
      <c r="N8" s="23"/>
      <c r="O8" s="23"/>
      <c r="P8" s="15">
        <f t="shared" si="3"/>
        <v>26</v>
      </c>
      <c r="Q8" s="15">
        <f t="shared" si="4"/>
        <v>31</v>
      </c>
      <c r="R8" s="15">
        <f>IF(F8="事业部",LOOKUP(Q8,基础设置!$T$2:$T$6,基础设置!$U$2:$U$6),IF(F8="总部",LOOKUP(Q8,基础设置!$T$8:$T$13,基础设置!$V$8:$V$13),IF(F8="拓展部",LOOKUP(Q8,基础设置!$T$8:$T$13,基础设置!$W$8:$W$13),2000)))</f>
        <v>4</v>
      </c>
      <c r="S8" s="15">
        <f t="shared" si="5"/>
        <v>31</v>
      </c>
      <c r="T8" s="15">
        <f t="shared" si="6"/>
        <v>0</v>
      </c>
      <c r="U8" s="15">
        <f t="shared" si="7"/>
        <v>0</v>
      </c>
      <c r="V8" s="15">
        <f t="shared" si="0"/>
        <v>0</v>
      </c>
      <c r="W8" s="15">
        <f t="shared" si="8"/>
        <v>0</v>
      </c>
      <c r="X8" s="26"/>
      <c r="Y8" s="26"/>
      <c r="Z8" s="26"/>
      <c r="AA8" s="26"/>
      <c r="AB8" s="27"/>
      <c r="AC8" s="27"/>
      <c r="AD8" s="27"/>
      <c r="AE8" s="27"/>
      <c r="AF8" s="27"/>
      <c r="AG8" s="27"/>
      <c r="AH8" s="17">
        <f>_xlfn.XLOOKUP(D8,'①7月-花名册'!E:E,'①7月-花名册'!T:T,0)</f>
        <v>0</v>
      </c>
      <c r="AI8" s="15">
        <f>SUMIFS('7月运营'!$L:$L,'7月运营'!$A:$A,D8,'7月运营'!$K:$K,$A$1)</f>
        <v>0</v>
      </c>
      <c r="AJ8" s="15">
        <f>SUMIFS('7月运营'!H:H,'7月运营'!$A:$A,D8,'7月运营'!$K:$K,$A$1)</f>
        <v>0</v>
      </c>
      <c r="AK8" s="15">
        <f>SUMIFS(上月未发人员明细!I:I,上月未发人员明细!J:J,$AK$2,上月未发人员明细!A:A,D8)</f>
        <v>0</v>
      </c>
      <c r="AL8" s="15">
        <f>SUMIFS('7月运营'!L:L,'7月运营'!$A:$A,D8,'7月运营'!$K:$K,$AL$2)</f>
        <v>0</v>
      </c>
      <c r="AM8" s="18">
        <f>SUMIFS('7月运营'!$F:$F,'7月运营'!$A:$A,D8,'7月运营'!$K:$K,'②7月-汇总'!$AM$2,'7月运营'!$G:$G,"岗位核算")</f>
        <v>0</v>
      </c>
      <c r="AN8" s="18">
        <f>SUMIFS('7月运营'!$F:$F,'7月运营'!$A:$A,D8,'7月运营'!$K:$K,$AN$2,'7月运营'!$G:$G,"岗位核算")</f>
        <v>0</v>
      </c>
      <c r="AO8" s="18" t="str">
        <f t="shared" si="9"/>
        <v/>
      </c>
      <c r="AP8" s="18">
        <f t="shared" si="1"/>
        <v>31</v>
      </c>
      <c r="AQ8" s="18">
        <f>_xlfn.XLOOKUP(D8,'7月运营'!A:A,'7月运营'!G:G,0)</f>
        <v>0</v>
      </c>
    </row>
    <row r="9" spans="1:43" x14ac:dyDescent="0.15">
      <c r="A9" s="11" t="str">
        <v>华润</v>
      </c>
      <c r="B9" s="11" t="str">
        <v>健康师</v>
      </c>
      <c r="C9" s="11" t="str">
        <v>A</v>
      </c>
      <c r="D9" s="11" t="str">
        <v>雷朝霞</v>
      </c>
      <c r="E9" s="11" t="str">
        <v>在职</v>
      </c>
      <c r="F9" s="11" t="str">
        <v>事业部</v>
      </c>
      <c r="G9" s="11">
        <f>_xlfn.XLOOKUP(D9,'①7月-花名册'!E:E,'①7月-花名册'!U:U,0)</f>
        <v>0</v>
      </c>
      <c r="H9" s="11">
        <f>_xlfn.XLOOKUP(D9,'①7月-花名册'!E:E,'①7月-花名册'!M:M,0)</f>
        <v>31</v>
      </c>
      <c r="I9" s="11">
        <f>_xlfn.XLOOKUP(D9,'①7月-花名册'!E:E,'①7月-花名册'!S:S,0)</f>
        <v>4</v>
      </c>
      <c r="J9" s="14">
        <f t="shared" si="2"/>
        <v>4</v>
      </c>
      <c r="K9" s="23">
        <v>4</v>
      </c>
      <c r="L9" s="23"/>
      <c r="M9" s="23"/>
      <c r="N9" s="23"/>
      <c r="O9" s="23"/>
      <c r="P9" s="15">
        <f t="shared" si="3"/>
        <v>27</v>
      </c>
      <c r="Q9" s="15">
        <f t="shared" si="4"/>
        <v>31</v>
      </c>
      <c r="R9" s="15">
        <f>IF(F9="事业部",LOOKUP(Q9,基础设置!$T$2:$T$6,基础设置!$U$2:$U$6),IF(F9="总部",LOOKUP(Q9,基础设置!$T$8:$T$13,基础设置!$V$8:$V$13),IF(F9="拓展部",LOOKUP(Q9,基础设置!$T$8:$T$13,基础设置!$W$8:$W$13),2000)))</f>
        <v>4</v>
      </c>
      <c r="S9" s="15">
        <f t="shared" si="5"/>
        <v>31</v>
      </c>
      <c r="T9" s="15">
        <f t="shared" si="6"/>
        <v>0</v>
      </c>
      <c r="U9" s="15">
        <f t="shared" si="7"/>
        <v>0</v>
      </c>
      <c r="V9" s="15">
        <f t="shared" si="0"/>
        <v>0</v>
      </c>
      <c r="W9" s="15">
        <f t="shared" si="8"/>
        <v>0</v>
      </c>
      <c r="X9" s="26"/>
      <c r="Y9" s="26"/>
      <c r="Z9" s="26"/>
      <c r="AA9" s="26"/>
      <c r="AB9" s="27"/>
      <c r="AC9" s="27">
        <v>100</v>
      </c>
      <c r="AD9" s="27"/>
      <c r="AE9" s="27"/>
      <c r="AF9" s="27"/>
      <c r="AG9" s="27"/>
      <c r="AH9" s="17">
        <f>_xlfn.XLOOKUP(D9,'①7月-花名册'!E:E,'①7月-花名册'!T:T,0)</f>
        <v>4000</v>
      </c>
      <c r="AI9" s="15">
        <f>SUMIFS('7月运营'!$L:$L,'7月运营'!$A:$A,D9,'7月运营'!$K:$K,$A$1)</f>
        <v>0</v>
      </c>
      <c r="AJ9" s="15">
        <f>SUMIFS('7月运营'!H:H,'7月运营'!$A:$A,D9,'7月运营'!$K:$K,$A$1)</f>
        <v>0</v>
      </c>
      <c r="AK9" s="15">
        <f>SUMIFS(上月未发人员明细!I:I,上月未发人员明细!J:J,$AK$2,上月未发人员明细!A:A,D9)</f>
        <v>0</v>
      </c>
      <c r="AL9" s="15">
        <f>SUMIFS('7月运营'!L:L,'7月运营'!$A:$A,D9,'7月运营'!$K:$K,$AL$2)</f>
        <v>0</v>
      </c>
      <c r="AM9" s="18">
        <f>SUMIFS('7月运营'!$F:$F,'7月运营'!$A:$A,D9,'7月运营'!$K:$K,'②7月-汇总'!$AM$2,'7月运营'!$G:$G,"岗位核算")</f>
        <v>0</v>
      </c>
      <c r="AN9" s="18">
        <f>SUMIFS('7月运营'!$F:$F,'7月运营'!$A:$A,D9,'7月运营'!$K:$K,$AN$2,'7月运营'!$G:$G,"岗位核算")</f>
        <v>0</v>
      </c>
      <c r="AO9" s="18" t="str">
        <f t="shared" si="9"/>
        <v/>
      </c>
      <c r="AP9" s="18">
        <f t="shared" si="1"/>
        <v>31</v>
      </c>
      <c r="AQ9" s="18">
        <f>_xlfn.XLOOKUP(D9,'7月运营'!A:A,'7月运营'!G:G,0)</f>
        <v>0</v>
      </c>
    </row>
    <row r="10" spans="1:43" x14ac:dyDescent="0.15">
      <c r="A10" s="11" t="str">
        <v>华润</v>
      </c>
      <c r="B10" s="11" t="str">
        <v>健康师</v>
      </c>
      <c r="C10" s="11" t="str">
        <v>A</v>
      </c>
      <c r="D10" s="11" t="str">
        <v>陈雪莲</v>
      </c>
      <c r="E10" s="11" t="str">
        <v>在职</v>
      </c>
      <c r="F10" s="11" t="str">
        <v>事业部</v>
      </c>
      <c r="G10" s="11">
        <f>_xlfn.XLOOKUP(D10,'①7月-花名册'!E:E,'①7月-花名册'!U:U,0)</f>
        <v>0</v>
      </c>
      <c r="H10" s="11">
        <f>_xlfn.XLOOKUP(D10,'①7月-花名册'!E:E,'①7月-花名册'!M:M,0)</f>
        <v>31</v>
      </c>
      <c r="I10" s="11">
        <f>_xlfn.XLOOKUP(D10,'①7月-花名册'!E:E,'①7月-花名册'!S:S,0)</f>
        <v>4</v>
      </c>
      <c r="J10" s="14">
        <f t="shared" si="2"/>
        <v>4</v>
      </c>
      <c r="K10" s="23">
        <v>4</v>
      </c>
      <c r="L10" s="23"/>
      <c r="M10" s="23"/>
      <c r="N10" s="23"/>
      <c r="O10" s="23"/>
      <c r="P10" s="15">
        <f t="shared" si="3"/>
        <v>27</v>
      </c>
      <c r="Q10" s="15">
        <f t="shared" si="4"/>
        <v>31</v>
      </c>
      <c r="R10" s="15">
        <f>IF(F10="事业部",LOOKUP(Q10,基础设置!$T$2:$T$6,基础设置!$U$2:$U$6),IF(F10="总部",LOOKUP(Q10,基础设置!$T$8:$T$13,基础设置!$V$8:$V$13),IF(F10="拓展部",LOOKUP(Q10,基础设置!$T$8:$T$13,基础设置!$W$8:$W$13),2000)))</f>
        <v>4</v>
      </c>
      <c r="S10" s="15">
        <f t="shared" si="5"/>
        <v>31</v>
      </c>
      <c r="T10" s="15">
        <f t="shared" si="6"/>
        <v>0</v>
      </c>
      <c r="U10" s="15">
        <f t="shared" si="7"/>
        <v>0</v>
      </c>
      <c r="V10" s="15">
        <f t="shared" si="0"/>
        <v>0</v>
      </c>
      <c r="W10" s="15">
        <f t="shared" si="8"/>
        <v>0</v>
      </c>
      <c r="X10" s="26"/>
      <c r="Y10" s="26"/>
      <c r="Z10" s="26"/>
      <c r="AA10" s="26"/>
      <c r="AB10" s="27"/>
      <c r="AC10" s="27"/>
      <c r="AD10" s="27">
        <v>130</v>
      </c>
      <c r="AE10" s="27"/>
      <c r="AF10" s="27"/>
      <c r="AG10" s="27"/>
      <c r="AH10" s="17">
        <f>_xlfn.XLOOKUP(D10,'①7月-花名册'!E:E,'①7月-花名册'!T:T,0)</f>
        <v>5000</v>
      </c>
      <c r="AI10" s="15">
        <f>SUMIFS('7月运营'!$L:$L,'7月运营'!$A:$A,D10,'7月运营'!$K:$K,$A$1)</f>
        <v>0</v>
      </c>
      <c r="AJ10" s="15">
        <f>SUMIFS('7月运营'!H:H,'7月运营'!$A:$A,D10,'7月运营'!$K:$K,$A$1)</f>
        <v>0</v>
      </c>
      <c r="AK10" s="15">
        <f>SUMIFS(上月未发人员明细!I:I,上月未发人员明细!J:J,$AK$2,上月未发人员明细!A:A,D10)</f>
        <v>778</v>
      </c>
      <c r="AL10" s="15">
        <f>SUMIFS('7月运营'!L:L,'7月运营'!$A:$A,D10,'7月运营'!$K:$K,$AL$2)</f>
        <v>0</v>
      </c>
      <c r="AM10" s="18">
        <f>SUMIFS('7月运营'!$F:$F,'7月运营'!$A:$A,D10,'7月运营'!$K:$K,'②7月-汇总'!$AM$2,'7月运营'!$G:$G,"岗位核算")</f>
        <v>0</v>
      </c>
      <c r="AN10" s="18">
        <f>SUMIFS('7月运营'!$F:$F,'7月运营'!$A:$A,D10,'7月运营'!$K:$K,$AN$2,'7月运营'!$G:$G,"岗位核算")</f>
        <v>0</v>
      </c>
      <c r="AO10" s="18" t="str">
        <f t="shared" si="9"/>
        <v/>
      </c>
      <c r="AP10" s="18">
        <f t="shared" si="1"/>
        <v>31</v>
      </c>
      <c r="AQ10" s="18">
        <f>_xlfn.XLOOKUP(D10,'7月运营'!A:A,'7月运营'!G:G,0)</f>
        <v>0</v>
      </c>
    </row>
    <row r="11" spans="1:43" x14ac:dyDescent="0.15">
      <c r="A11" s="11" t="str">
        <v>事业四部</v>
      </c>
      <c r="B11" s="11" t="str">
        <v>总经理</v>
      </c>
      <c r="C11" s="11" t="str">
        <v>B</v>
      </c>
      <c r="D11" s="11" t="str">
        <v>饶秋华</v>
      </c>
      <c r="E11" s="11" t="str">
        <v>在职</v>
      </c>
      <c r="F11" s="11" t="str">
        <v>事业部</v>
      </c>
      <c r="G11" s="11">
        <f>_xlfn.XLOOKUP(D11,'①7月-花名册'!E:E,'①7月-花名册'!U:U,0)</f>
        <v>0</v>
      </c>
      <c r="H11" s="11">
        <f>_xlfn.XLOOKUP(D11,'①7月-花名册'!E:E,'①7月-花名册'!M:M,0)</f>
        <v>31</v>
      </c>
      <c r="I11" s="11">
        <f>_xlfn.XLOOKUP(D11,'①7月-花名册'!E:E,'①7月-花名册'!S:S,0)</f>
        <v>4</v>
      </c>
      <c r="J11" s="14">
        <f t="shared" si="2"/>
        <v>6</v>
      </c>
      <c r="K11" s="23">
        <v>4</v>
      </c>
      <c r="L11" s="23"/>
      <c r="M11" s="23">
        <v>1</v>
      </c>
      <c r="N11" s="23"/>
      <c r="O11" s="23">
        <v>1</v>
      </c>
      <c r="P11" s="15">
        <f t="shared" si="3"/>
        <v>25</v>
      </c>
      <c r="Q11" s="15">
        <f t="shared" si="4"/>
        <v>31</v>
      </c>
      <c r="R11" s="15">
        <f>IF(F11="事业部",LOOKUP(Q11,基础设置!$T$2:$T$6,基础设置!$U$2:$U$6),IF(F11="总部",LOOKUP(Q11,基础设置!$T$8:$T$13,基础设置!$V$8:$V$13),IF(F11="拓展部",LOOKUP(Q11,基础设置!$T$8:$T$13,基础设置!$W$8:$W$13),2000)))</f>
        <v>4</v>
      </c>
      <c r="S11" s="15">
        <f t="shared" si="5"/>
        <v>31</v>
      </c>
      <c r="T11" s="15">
        <f t="shared" si="6"/>
        <v>0</v>
      </c>
      <c r="U11" s="15">
        <f t="shared" si="7"/>
        <v>0</v>
      </c>
      <c r="V11" s="15">
        <f t="shared" si="0"/>
        <v>0</v>
      </c>
      <c r="W11" s="15">
        <f t="shared" si="8"/>
        <v>0</v>
      </c>
      <c r="X11" s="26">
        <v>10</v>
      </c>
      <c r="Y11" s="26"/>
      <c r="Z11" s="26"/>
      <c r="AA11" s="26"/>
      <c r="AB11" s="27"/>
      <c r="AC11" s="27"/>
      <c r="AD11" s="27"/>
      <c r="AE11" s="27"/>
      <c r="AF11" s="27"/>
      <c r="AG11" s="27"/>
      <c r="AH11" s="17">
        <f>_xlfn.XLOOKUP(D11,'①7月-花名册'!E:E,'①7月-花名册'!T:T,0)</f>
        <v>0</v>
      </c>
      <c r="AI11" s="15">
        <f>SUMIFS('7月运营'!$L:$L,'7月运营'!$A:$A,D11,'7月运营'!$K:$K,$A$1)</f>
        <v>0</v>
      </c>
      <c r="AJ11" s="15">
        <f>SUMIFS('7月运营'!H:H,'7月运营'!$A:$A,D11,'7月运营'!$K:$K,$A$1)</f>
        <v>0</v>
      </c>
      <c r="AK11" s="15">
        <f>SUMIFS(上月未发人员明细!I:I,上月未发人员明细!J:J,$AK$2,上月未发人员明细!A:A,D11)</f>
        <v>0</v>
      </c>
      <c r="AL11" s="15">
        <f>SUMIFS('7月运营'!L:L,'7月运营'!$A:$A,D11,'7月运营'!$K:$K,$AL$2)</f>
        <v>0</v>
      </c>
      <c r="AM11" s="18">
        <f>SUMIFS('7月运营'!$F:$F,'7月运营'!$A:$A,D11,'7月运营'!$K:$K,'②7月-汇总'!$AM$2,'7月运营'!$G:$G,"岗位核算")</f>
        <v>0</v>
      </c>
      <c r="AN11" s="18">
        <f>SUMIFS('7月运营'!$F:$F,'7月运营'!$A:$A,D11,'7月运营'!$K:$K,$AN$2,'7月运营'!$G:$G,"岗位核算")</f>
        <v>0</v>
      </c>
      <c r="AO11" s="18" t="str">
        <f t="shared" si="9"/>
        <v/>
      </c>
      <c r="AP11" s="18">
        <f t="shared" si="1"/>
        <v>31</v>
      </c>
      <c r="AQ11" s="18">
        <f>_xlfn.XLOOKUP(D11,'7月运营'!A:A,'7月运营'!G:G,0)</f>
        <v>0</v>
      </c>
    </row>
    <row r="12" spans="1:43" x14ac:dyDescent="0.15">
      <c r="A12" s="11" t="str">
        <v>紫荆</v>
      </c>
      <c r="B12" s="11" t="str">
        <v>店长</v>
      </c>
      <c r="C12" s="11" t="str">
        <v>B</v>
      </c>
      <c r="D12" s="11" t="str">
        <v>莫志英</v>
      </c>
      <c r="E12" s="11" t="str">
        <v>在职</v>
      </c>
      <c r="F12" s="11" t="str">
        <v>事业部</v>
      </c>
      <c r="G12" s="11">
        <f>_xlfn.XLOOKUP(D12,'①7月-花名册'!E:E,'①7月-花名册'!U:U,0)</f>
        <v>0</v>
      </c>
      <c r="H12" s="11">
        <f>_xlfn.XLOOKUP(D12,'①7月-花名册'!E:E,'①7月-花名册'!M:M,0)</f>
        <v>31</v>
      </c>
      <c r="I12" s="11">
        <f>_xlfn.XLOOKUP(D12,'①7月-花名册'!E:E,'①7月-花名册'!S:S,0)</f>
        <v>4</v>
      </c>
      <c r="J12" s="14">
        <f t="shared" si="2"/>
        <v>4</v>
      </c>
      <c r="K12" s="23">
        <v>4</v>
      </c>
      <c r="L12" s="23"/>
      <c r="M12" s="23"/>
      <c r="N12" s="23"/>
      <c r="O12" s="23"/>
      <c r="P12" s="15">
        <f t="shared" si="3"/>
        <v>27</v>
      </c>
      <c r="Q12" s="15">
        <f t="shared" si="4"/>
        <v>31</v>
      </c>
      <c r="R12" s="15">
        <f>IF(F12="事业部",LOOKUP(Q12,基础设置!$T$2:$T$6,基础设置!$U$2:$U$6),IF(F12="总部",LOOKUP(Q12,基础设置!$T$8:$T$13,基础设置!$V$8:$V$13),IF(F12="拓展部",LOOKUP(Q12,基础设置!$T$8:$T$13,基础设置!$W$8:$W$13),2000)))</f>
        <v>4</v>
      </c>
      <c r="S12" s="15">
        <f t="shared" si="5"/>
        <v>31</v>
      </c>
      <c r="T12" s="15">
        <f t="shared" si="6"/>
        <v>0</v>
      </c>
      <c r="U12" s="15">
        <f t="shared" si="7"/>
        <v>0</v>
      </c>
      <c r="V12" s="15">
        <f t="shared" si="0"/>
        <v>0</v>
      </c>
      <c r="W12" s="15">
        <f t="shared" si="8"/>
        <v>0</v>
      </c>
      <c r="X12" s="26"/>
      <c r="Y12" s="26"/>
      <c r="Z12" s="26"/>
      <c r="AA12" s="26"/>
      <c r="AB12" s="27"/>
      <c r="AC12" s="27"/>
      <c r="AD12" s="27"/>
      <c r="AE12" s="27"/>
      <c r="AF12" s="27"/>
      <c r="AG12" s="27"/>
      <c r="AH12" s="17">
        <f>_xlfn.XLOOKUP(D12,'①7月-花名册'!E:E,'①7月-花名册'!T:T,0)</f>
        <v>0</v>
      </c>
      <c r="AI12" s="15">
        <f>SUMIFS('7月运营'!$L:$L,'7月运营'!$A:$A,D12,'7月运营'!$K:$K,$A$1)</f>
        <v>0</v>
      </c>
      <c r="AJ12" s="15">
        <f>SUMIFS('7月运营'!H:H,'7月运营'!$A:$A,D12,'7月运营'!$K:$K,$A$1)</f>
        <v>0</v>
      </c>
      <c r="AK12" s="15">
        <f>SUMIFS(上月未发人员明细!I:I,上月未发人员明细!J:J,$AK$2,上月未发人员明细!A:A,D12)</f>
        <v>0</v>
      </c>
      <c r="AL12" s="15">
        <f>SUMIFS('7月运营'!L:L,'7月运营'!$A:$A,D12,'7月运营'!$K:$K,$AL$2)</f>
        <v>0</v>
      </c>
      <c r="AM12" s="18">
        <f>SUMIFS('7月运营'!$F:$F,'7月运营'!$A:$A,D12,'7月运营'!$K:$K,'②7月-汇总'!$AM$2,'7月运营'!$G:$G,"岗位核算")</f>
        <v>0</v>
      </c>
      <c r="AN12" s="18">
        <f>SUMIFS('7月运营'!$F:$F,'7月运营'!$A:$A,D12,'7月运营'!$K:$K,$AN$2,'7月运营'!$G:$G,"岗位核算")</f>
        <v>0</v>
      </c>
      <c r="AO12" s="18" t="str">
        <f t="shared" si="9"/>
        <v/>
      </c>
      <c r="AP12" s="18">
        <f t="shared" si="1"/>
        <v>31</v>
      </c>
      <c r="AQ12" s="18">
        <f>_xlfn.XLOOKUP(D12,'7月运营'!A:A,'7月运营'!G:G,0)</f>
        <v>0</v>
      </c>
    </row>
    <row r="13" spans="1:43" x14ac:dyDescent="0.15">
      <c r="A13" s="11" t="str">
        <v>紫荆</v>
      </c>
      <c r="B13" s="11" t="str">
        <v>健康师</v>
      </c>
      <c r="C13" s="11" t="str">
        <v>A</v>
      </c>
      <c r="D13" s="11" t="str">
        <v>刘巧艳</v>
      </c>
      <c r="E13" s="11" t="str">
        <v>在职</v>
      </c>
      <c r="F13" s="11" t="str">
        <v>事业部</v>
      </c>
      <c r="G13" s="11">
        <f>_xlfn.XLOOKUP(D13,'①7月-花名册'!E:E,'①7月-花名册'!U:U,0)</f>
        <v>0</v>
      </c>
      <c r="H13" s="11">
        <f>_xlfn.XLOOKUP(D13,'①7月-花名册'!E:E,'①7月-花名册'!M:M,0)</f>
        <v>31</v>
      </c>
      <c r="I13" s="11">
        <f>_xlfn.XLOOKUP(D13,'①7月-花名册'!E:E,'①7月-花名册'!S:S,0)</f>
        <v>4</v>
      </c>
      <c r="J13" s="14">
        <f t="shared" si="2"/>
        <v>4</v>
      </c>
      <c r="K13" s="23">
        <v>4</v>
      </c>
      <c r="L13" s="23"/>
      <c r="M13" s="23"/>
      <c r="N13" s="23"/>
      <c r="O13" s="23"/>
      <c r="P13" s="15">
        <f t="shared" si="3"/>
        <v>27</v>
      </c>
      <c r="Q13" s="15">
        <f t="shared" si="4"/>
        <v>31</v>
      </c>
      <c r="R13" s="15">
        <f>IF(F13="事业部",LOOKUP(Q13,基础设置!$T$2:$T$6,基础设置!$U$2:$U$6),IF(F13="总部",LOOKUP(Q13,基础设置!$T$8:$T$13,基础设置!$V$8:$V$13),IF(F13="拓展部",LOOKUP(Q13,基础设置!$T$8:$T$13,基础设置!$W$8:$W$13),2000)))</f>
        <v>4</v>
      </c>
      <c r="S13" s="15">
        <f t="shared" si="5"/>
        <v>31</v>
      </c>
      <c r="T13" s="15">
        <f t="shared" si="6"/>
        <v>0</v>
      </c>
      <c r="U13" s="15">
        <f t="shared" si="7"/>
        <v>0</v>
      </c>
      <c r="V13" s="15">
        <f t="shared" si="0"/>
        <v>0</v>
      </c>
      <c r="W13" s="15">
        <f t="shared" si="8"/>
        <v>0</v>
      </c>
      <c r="X13" s="26"/>
      <c r="Y13" s="26"/>
      <c r="Z13" s="26"/>
      <c r="AA13" s="26"/>
      <c r="AB13" s="27"/>
      <c r="AC13" s="27"/>
      <c r="AD13" s="27"/>
      <c r="AE13" s="27"/>
      <c r="AF13" s="27"/>
      <c r="AG13" s="27"/>
      <c r="AH13" s="17">
        <f>_xlfn.XLOOKUP(D13,'①7月-花名册'!E:E,'①7月-花名册'!T:T,0)</f>
        <v>0</v>
      </c>
      <c r="AI13" s="15">
        <f>SUMIFS('7月运营'!$L:$L,'7月运营'!$A:$A,D13,'7月运营'!$K:$K,$A$1)</f>
        <v>0</v>
      </c>
      <c r="AJ13" s="15">
        <f>SUMIFS('7月运营'!H:H,'7月运营'!$A:$A,D13,'7月运营'!$K:$K,$A$1)</f>
        <v>0</v>
      </c>
      <c r="AK13" s="15">
        <f>SUMIFS(上月未发人员明细!I:I,上月未发人员明细!J:J,$AK$2,上月未发人员明细!A:A,D13)</f>
        <v>0</v>
      </c>
      <c r="AL13" s="15">
        <f>SUMIFS('7月运营'!L:L,'7月运营'!$A:$A,D13,'7月运营'!$K:$K,$AL$2)</f>
        <v>0</v>
      </c>
      <c r="AM13" s="18">
        <f>SUMIFS('7月运营'!$F:$F,'7月运营'!$A:$A,D13,'7月运营'!$K:$K,'②7月-汇总'!$AM$2,'7月运营'!$G:$G,"岗位核算")</f>
        <v>0</v>
      </c>
      <c r="AN13" s="18">
        <f>SUMIFS('7月运营'!$F:$F,'7月运营'!$A:$A,D13,'7月运营'!$K:$K,$AN$2,'7月运营'!$G:$G,"岗位核算")</f>
        <v>0</v>
      </c>
      <c r="AO13" s="18" t="str">
        <f t="shared" si="9"/>
        <v/>
      </c>
      <c r="AP13" s="18">
        <f t="shared" si="1"/>
        <v>31</v>
      </c>
      <c r="AQ13" s="18">
        <f>_xlfn.XLOOKUP(D13,'7月运营'!A:A,'7月运营'!G:G,0)</f>
        <v>0</v>
      </c>
    </row>
    <row r="14" spans="1:43" x14ac:dyDescent="0.15">
      <c r="A14" s="11" t="str">
        <v>紫荆</v>
      </c>
      <c r="B14" s="11" t="str">
        <v>健康师</v>
      </c>
      <c r="C14" s="11" t="str">
        <v>A</v>
      </c>
      <c r="D14" s="11" t="str">
        <v>康红梅</v>
      </c>
      <c r="E14" s="11" t="str">
        <v>在职</v>
      </c>
      <c r="F14" s="11" t="str">
        <v>事业部</v>
      </c>
      <c r="G14" s="11">
        <f>_xlfn.XLOOKUP(D14,'①7月-花名册'!E:E,'①7月-花名册'!U:U,0)</f>
        <v>0</v>
      </c>
      <c r="H14" s="11">
        <f>_xlfn.XLOOKUP(D14,'①7月-花名册'!E:E,'①7月-花名册'!M:M,0)</f>
        <v>31</v>
      </c>
      <c r="I14" s="11">
        <f>_xlfn.XLOOKUP(D14,'①7月-花名册'!E:E,'①7月-花名册'!S:S,0)</f>
        <v>4</v>
      </c>
      <c r="J14" s="14">
        <f t="shared" si="2"/>
        <v>4</v>
      </c>
      <c r="K14" s="23">
        <v>4</v>
      </c>
      <c r="L14" s="23"/>
      <c r="M14" s="23"/>
      <c r="N14" s="23"/>
      <c r="O14" s="23"/>
      <c r="P14" s="15">
        <f t="shared" si="3"/>
        <v>27</v>
      </c>
      <c r="Q14" s="15">
        <f t="shared" si="4"/>
        <v>31</v>
      </c>
      <c r="R14" s="15">
        <f>IF(F14="事业部",LOOKUP(Q14,基础设置!$T$2:$T$6,基础设置!$U$2:$U$6),IF(F14="总部",LOOKUP(Q14,基础设置!$T$8:$T$13,基础设置!$V$8:$V$13),IF(F14="拓展部",LOOKUP(Q14,基础设置!$T$8:$T$13,基础设置!$W$8:$W$13),2000)))</f>
        <v>4</v>
      </c>
      <c r="S14" s="15">
        <f t="shared" si="5"/>
        <v>31</v>
      </c>
      <c r="T14" s="15">
        <f t="shared" si="6"/>
        <v>0</v>
      </c>
      <c r="U14" s="15">
        <f t="shared" si="7"/>
        <v>0</v>
      </c>
      <c r="V14" s="15">
        <f t="shared" si="0"/>
        <v>0</v>
      </c>
      <c r="W14" s="15">
        <f t="shared" si="8"/>
        <v>0</v>
      </c>
      <c r="X14" s="26"/>
      <c r="Y14" s="26">
        <v>10</v>
      </c>
      <c r="Z14" s="26"/>
      <c r="AA14" s="26"/>
      <c r="AB14" s="27"/>
      <c r="AC14" s="27"/>
      <c r="AD14" s="27"/>
      <c r="AE14" s="27"/>
      <c r="AF14" s="27"/>
      <c r="AG14" s="27"/>
      <c r="AH14" s="17">
        <f>_xlfn.XLOOKUP(D14,'①7月-花名册'!E:E,'①7月-花名册'!T:T,0)</f>
        <v>0</v>
      </c>
      <c r="AI14" s="15">
        <f>SUMIFS('7月运营'!$L:$L,'7月运营'!$A:$A,D14,'7月运营'!$K:$K,$A$1)</f>
        <v>0</v>
      </c>
      <c r="AJ14" s="15">
        <f>SUMIFS('7月运营'!H:H,'7月运营'!$A:$A,D14,'7月运营'!$K:$K,$A$1)</f>
        <v>0</v>
      </c>
      <c r="AK14" s="15">
        <f>SUMIFS(上月未发人员明细!I:I,上月未发人员明细!J:J,$AK$2,上月未发人员明细!A:A,D14)</f>
        <v>0</v>
      </c>
      <c r="AL14" s="15">
        <f>SUMIFS('7月运营'!L:L,'7月运营'!$A:$A,D14,'7月运营'!$K:$K,$AL$2)</f>
        <v>0</v>
      </c>
      <c r="AM14" s="18">
        <f>SUMIFS('7月运营'!$F:$F,'7月运营'!$A:$A,D14,'7月运营'!$K:$K,'②7月-汇总'!$AM$2,'7月运营'!$G:$G,"岗位核算")</f>
        <v>0</v>
      </c>
      <c r="AN14" s="18">
        <f>SUMIFS('7月运营'!$F:$F,'7月运营'!$A:$A,D14,'7月运营'!$K:$K,$AN$2,'7月运营'!$G:$G,"岗位核算")</f>
        <v>0</v>
      </c>
      <c r="AO14" s="18" t="str">
        <f t="shared" si="9"/>
        <v/>
      </c>
      <c r="AP14" s="18">
        <f t="shared" si="1"/>
        <v>31</v>
      </c>
      <c r="AQ14" s="18">
        <f>_xlfn.XLOOKUP(D14,'7月运营'!A:A,'7月运营'!G:G,0)</f>
        <v>0</v>
      </c>
    </row>
    <row r="15" spans="1:43" x14ac:dyDescent="0.15">
      <c r="A15" s="11" t="str">
        <v>紫荆</v>
      </c>
      <c r="B15" s="11" t="str">
        <v>健康师</v>
      </c>
      <c r="C15" s="11" t="str">
        <v>A</v>
      </c>
      <c r="D15" s="11" t="str">
        <v>唐银春</v>
      </c>
      <c r="E15" s="11" t="str">
        <v>在职</v>
      </c>
      <c r="F15" s="11" t="str">
        <v>事业部</v>
      </c>
      <c r="G15" s="11">
        <f>_xlfn.XLOOKUP(D15,'①7月-花名册'!E:E,'①7月-花名册'!U:U,0)</f>
        <v>0</v>
      </c>
      <c r="H15" s="11">
        <f>_xlfn.XLOOKUP(D15,'①7月-花名册'!E:E,'①7月-花名册'!M:M,0)</f>
        <v>31</v>
      </c>
      <c r="I15" s="11">
        <f>_xlfn.XLOOKUP(D15,'①7月-花名册'!E:E,'①7月-花名册'!S:S,0)</f>
        <v>4</v>
      </c>
      <c r="J15" s="14">
        <f t="shared" si="2"/>
        <v>5</v>
      </c>
      <c r="K15" s="23">
        <v>4</v>
      </c>
      <c r="L15" s="23"/>
      <c r="M15" s="23">
        <v>1</v>
      </c>
      <c r="N15" s="23"/>
      <c r="O15" s="23"/>
      <c r="P15" s="15">
        <f t="shared" si="3"/>
        <v>26</v>
      </c>
      <c r="Q15" s="15">
        <f t="shared" si="4"/>
        <v>31</v>
      </c>
      <c r="R15" s="15">
        <f>IF(F15="事业部",LOOKUP(Q15,基础设置!$T$2:$T$6,基础设置!$U$2:$U$6),IF(F15="总部",LOOKUP(Q15,基础设置!$T$8:$T$13,基础设置!$V$8:$V$13),IF(F15="拓展部",LOOKUP(Q15,基础设置!$T$8:$T$13,基础设置!$W$8:$W$13),2000)))</f>
        <v>4</v>
      </c>
      <c r="S15" s="15">
        <f t="shared" si="5"/>
        <v>31</v>
      </c>
      <c r="T15" s="15">
        <f t="shared" si="6"/>
        <v>0</v>
      </c>
      <c r="U15" s="15">
        <f t="shared" si="7"/>
        <v>0</v>
      </c>
      <c r="V15" s="15">
        <f t="shared" si="0"/>
        <v>0</v>
      </c>
      <c r="W15" s="15">
        <f t="shared" si="8"/>
        <v>0</v>
      </c>
      <c r="X15" s="26"/>
      <c r="Y15" s="26">
        <v>10</v>
      </c>
      <c r="Z15" s="26"/>
      <c r="AA15" s="26"/>
      <c r="AB15" s="27"/>
      <c r="AC15" s="27"/>
      <c r="AD15" s="27"/>
      <c r="AE15" s="27"/>
      <c r="AF15" s="27"/>
      <c r="AG15" s="27"/>
      <c r="AH15" s="17">
        <f>_xlfn.XLOOKUP(D15,'①7月-花名册'!E:E,'①7月-花名册'!T:T,0)</f>
        <v>0</v>
      </c>
      <c r="AI15" s="15">
        <f>SUMIFS('7月运营'!$L:$L,'7月运营'!$A:$A,D15,'7月运营'!$K:$K,$A$1)</f>
        <v>0</v>
      </c>
      <c r="AJ15" s="15">
        <f>SUMIFS('7月运营'!H:H,'7月运营'!$A:$A,D15,'7月运营'!$K:$K,$A$1)</f>
        <v>0</v>
      </c>
      <c r="AK15" s="15">
        <f>SUMIFS(上月未发人员明细!I:I,上月未发人员明细!J:J,$AK$2,上月未发人员明细!A:A,D15)</f>
        <v>0</v>
      </c>
      <c r="AL15" s="15">
        <f>SUMIFS('7月运营'!L:L,'7月运营'!$A:$A,D15,'7月运营'!$K:$K,$AL$2)</f>
        <v>0</v>
      </c>
      <c r="AM15" s="18">
        <f>SUMIFS('7月运营'!$F:$F,'7月运营'!$A:$A,D15,'7月运营'!$K:$K,'②7月-汇总'!$AM$2,'7月运营'!$G:$G,"岗位核算")</f>
        <v>0</v>
      </c>
      <c r="AN15" s="18">
        <f>SUMIFS('7月运营'!$F:$F,'7月运营'!$A:$A,D15,'7月运营'!$K:$K,$AN$2,'7月运营'!$G:$G,"岗位核算")</f>
        <v>0</v>
      </c>
      <c r="AO15" s="18" t="str">
        <f t="shared" si="9"/>
        <v/>
      </c>
      <c r="AP15" s="18">
        <f t="shared" si="1"/>
        <v>31</v>
      </c>
      <c r="AQ15" s="18">
        <f>_xlfn.XLOOKUP(D15,'7月运营'!A:A,'7月运营'!G:G,0)</f>
        <v>0</v>
      </c>
    </row>
    <row r="16" spans="1:43" x14ac:dyDescent="0.15">
      <c r="A16" s="11" t="str">
        <v>紫荆</v>
      </c>
      <c r="B16" s="11" t="str">
        <v>健康师</v>
      </c>
      <c r="C16" s="11" t="str">
        <v>A</v>
      </c>
      <c r="D16" s="11" t="str">
        <v>刘晓丽</v>
      </c>
      <c r="E16" s="11" t="str">
        <v>在职</v>
      </c>
      <c r="F16" s="11" t="str">
        <v>事业部</v>
      </c>
      <c r="G16" s="11">
        <f>_xlfn.XLOOKUP(D16,'①7月-花名册'!E:E,'①7月-花名册'!U:U,0)</f>
        <v>0</v>
      </c>
      <c r="H16" s="11">
        <f>_xlfn.XLOOKUP(D16,'①7月-花名册'!E:E,'①7月-花名册'!M:M,0)</f>
        <v>31</v>
      </c>
      <c r="I16" s="11">
        <f>_xlfn.XLOOKUP(D16,'①7月-花名册'!E:E,'①7月-花名册'!S:S,0)</f>
        <v>4</v>
      </c>
      <c r="J16" s="14">
        <f t="shared" si="2"/>
        <v>4</v>
      </c>
      <c r="K16" s="23">
        <v>4</v>
      </c>
      <c r="L16" s="23"/>
      <c r="M16" s="23"/>
      <c r="N16" s="23"/>
      <c r="O16" s="23"/>
      <c r="P16" s="15">
        <f t="shared" si="3"/>
        <v>27</v>
      </c>
      <c r="Q16" s="15">
        <f t="shared" si="4"/>
        <v>31</v>
      </c>
      <c r="R16" s="15">
        <f>IF(F16="事业部",LOOKUP(Q16,基础设置!$T$2:$T$6,基础设置!$U$2:$U$6),IF(F16="总部",LOOKUP(Q16,基础设置!$T$8:$T$13,基础设置!$V$8:$V$13),IF(F16="拓展部",LOOKUP(Q16,基础设置!$T$8:$T$13,基础设置!$W$8:$W$13),2000)))</f>
        <v>4</v>
      </c>
      <c r="S16" s="15">
        <f t="shared" si="5"/>
        <v>31</v>
      </c>
      <c r="T16" s="15">
        <f t="shared" si="6"/>
        <v>0</v>
      </c>
      <c r="U16" s="15">
        <f t="shared" si="7"/>
        <v>0</v>
      </c>
      <c r="V16" s="15">
        <f t="shared" si="0"/>
        <v>0</v>
      </c>
      <c r="W16" s="15">
        <f t="shared" si="8"/>
        <v>0</v>
      </c>
      <c r="X16" s="26">
        <v>10</v>
      </c>
      <c r="Y16" s="26">
        <v>10</v>
      </c>
      <c r="Z16" s="26"/>
      <c r="AA16" s="26"/>
      <c r="AB16" s="27"/>
      <c r="AC16" s="27"/>
      <c r="AD16" s="27"/>
      <c r="AE16" s="27"/>
      <c r="AF16" s="27"/>
      <c r="AG16" s="27"/>
      <c r="AH16" s="17">
        <f>_xlfn.XLOOKUP(D16,'①7月-花名册'!E:E,'①7月-花名册'!T:T,0)</f>
        <v>0</v>
      </c>
      <c r="AI16" s="15">
        <f>SUMIFS('7月运营'!$L:$L,'7月运营'!$A:$A,D16,'7月运营'!$K:$K,$A$1)</f>
        <v>0</v>
      </c>
      <c r="AJ16" s="15">
        <f>SUMIFS('7月运营'!H:H,'7月运营'!$A:$A,D16,'7月运营'!$K:$K,$A$1)</f>
        <v>0</v>
      </c>
      <c r="AK16" s="15">
        <f>SUMIFS(上月未发人员明细!I:I,上月未发人员明细!J:J,$AK$2,上月未发人员明细!A:A,D16)</f>
        <v>0</v>
      </c>
      <c r="AL16" s="15">
        <f>SUMIFS('7月运营'!L:L,'7月运营'!$A:$A,D16,'7月运营'!$K:$K,$AL$2)</f>
        <v>0</v>
      </c>
      <c r="AM16" s="18">
        <f>SUMIFS('7月运营'!$F:$F,'7月运营'!$A:$A,D16,'7月运营'!$K:$K,'②7月-汇总'!$AM$2,'7月运营'!$G:$G,"岗位核算")</f>
        <v>0</v>
      </c>
      <c r="AN16" s="18">
        <f>SUMIFS('7月运营'!$F:$F,'7月运营'!$A:$A,D16,'7月运营'!$K:$K,$AN$2,'7月运营'!$G:$G,"岗位核算")</f>
        <v>0</v>
      </c>
      <c r="AO16" s="18" t="str">
        <f t="shared" si="9"/>
        <v/>
      </c>
      <c r="AP16" s="18">
        <f t="shared" si="1"/>
        <v>31</v>
      </c>
      <c r="AQ16" s="18">
        <f>_xlfn.XLOOKUP(D16,'7月运营'!A:A,'7月运营'!G:G,0)</f>
        <v>0</v>
      </c>
    </row>
    <row r="17" spans="1:43" x14ac:dyDescent="0.15">
      <c r="A17" s="11" t="str">
        <v>紫荆</v>
      </c>
      <c r="B17" s="11" t="str">
        <v>健康师</v>
      </c>
      <c r="C17" s="11" t="str">
        <v>A</v>
      </c>
      <c r="D17" s="11" t="str">
        <v>熊艳</v>
      </c>
      <c r="E17" s="11" t="str">
        <v>在职</v>
      </c>
      <c r="F17" s="11" t="str">
        <v>事业部</v>
      </c>
      <c r="G17" s="11">
        <f>_xlfn.XLOOKUP(D17,'①7月-花名册'!E:E,'①7月-花名册'!U:U,0)</f>
        <v>0</v>
      </c>
      <c r="H17" s="11">
        <f>_xlfn.XLOOKUP(D17,'①7月-花名册'!E:E,'①7月-花名册'!M:M,0)</f>
        <v>31</v>
      </c>
      <c r="I17" s="11">
        <f>_xlfn.XLOOKUP(D17,'①7月-花名册'!E:E,'①7月-花名册'!S:S,0)</f>
        <v>4</v>
      </c>
      <c r="J17" s="14">
        <f t="shared" si="2"/>
        <v>4</v>
      </c>
      <c r="K17" s="23">
        <v>4</v>
      </c>
      <c r="L17" s="23"/>
      <c r="M17" s="23"/>
      <c r="N17" s="23"/>
      <c r="O17" s="23"/>
      <c r="P17" s="15">
        <f t="shared" si="3"/>
        <v>27</v>
      </c>
      <c r="Q17" s="15">
        <f t="shared" si="4"/>
        <v>31</v>
      </c>
      <c r="R17" s="15">
        <f>IF(F17="事业部",LOOKUP(Q17,基础设置!$T$2:$T$6,基础设置!$U$2:$U$6),IF(F17="总部",LOOKUP(Q17,基础设置!$T$8:$T$13,基础设置!$V$8:$V$13),IF(F17="拓展部",LOOKUP(Q17,基础设置!$T$8:$T$13,基础设置!$W$8:$W$13),2000)))</f>
        <v>4</v>
      </c>
      <c r="S17" s="15">
        <f t="shared" si="5"/>
        <v>31</v>
      </c>
      <c r="T17" s="15">
        <f t="shared" si="6"/>
        <v>0</v>
      </c>
      <c r="U17" s="15">
        <f t="shared" si="7"/>
        <v>0</v>
      </c>
      <c r="V17" s="15">
        <f t="shared" si="0"/>
        <v>0</v>
      </c>
      <c r="W17" s="15">
        <f t="shared" si="8"/>
        <v>0</v>
      </c>
      <c r="X17" s="26"/>
      <c r="Y17" s="26"/>
      <c r="Z17" s="26">
        <v>50</v>
      </c>
      <c r="AA17" s="26"/>
      <c r="AB17" s="27"/>
      <c r="AC17" s="27"/>
      <c r="AD17" s="27"/>
      <c r="AE17" s="27"/>
      <c r="AF17" s="27"/>
      <c r="AG17" s="27"/>
      <c r="AH17" s="17">
        <f>_xlfn.XLOOKUP(D17,'①7月-花名册'!E:E,'①7月-花名册'!T:T,0)</f>
        <v>0</v>
      </c>
      <c r="AI17" s="15">
        <f>SUMIFS('7月运营'!$L:$L,'7月运营'!$A:$A,D17,'7月运营'!$K:$K,$A$1)</f>
        <v>0</v>
      </c>
      <c r="AJ17" s="15">
        <f>SUMIFS('7月运营'!H:H,'7月运营'!$A:$A,D17,'7月运营'!$K:$K,$A$1)</f>
        <v>0</v>
      </c>
      <c r="AK17" s="15">
        <f>SUMIFS(上月未发人员明细!I:I,上月未发人员明细!J:J,$AK$2,上月未发人员明细!A:A,D17)</f>
        <v>0</v>
      </c>
      <c r="AL17" s="15">
        <f>SUMIFS('7月运营'!L:L,'7月运营'!$A:$A,D17,'7月运营'!$K:$K,$AL$2)</f>
        <v>0</v>
      </c>
      <c r="AM17" s="18">
        <f>SUMIFS('7月运营'!$F:$F,'7月运营'!$A:$A,D17,'7月运营'!$K:$K,'②7月-汇总'!$AM$2,'7月运营'!$G:$G,"岗位核算")</f>
        <v>0</v>
      </c>
      <c r="AN17" s="18">
        <f>SUMIFS('7月运营'!$F:$F,'7月运营'!$A:$A,D17,'7月运营'!$K:$K,$AN$2,'7月运营'!$G:$G,"岗位核算")</f>
        <v>0</v>
      </c>
      <c r="AO17" s="18" t="str">
        <f t="shared" si="9"/>
        <v/>
      </c>
      <c r="AP17" s="18">
        <f t="shared" si="1"/>
        <v>31</v>
      </c>
      <c r="AQ17" s="18">
        <f>_xlfn.XLOOKUP(D17,'7月运营'!A:A,'7月运营'!G:G,0)</f>
        <v>0</v>
      </c>
    </row>
    <row r="18" spans="1:43" x14ac:dyDescent="0.15">
      <c r="A18" s="11" t="str">
        <v>紫荆</v>
      </c>
      <c r="B18" s="11" t="str">
        <v>健康师</v>
      </c>
      <c r="C18" s="11" t="str">
        <v>A</v>
      </c>
      <c r="D18" s="11" t="str">
        <v>任静</v>
      </c>
      <c r="E18" s="11" t="str">
        <v>在职</v>
      </c>
      <c r="F18" s="11" t="str">
        <v>事业部</v>
      </c>
      <c r="G18" s="11">
        <f>_xlfn.XLOOKUP(D18,'①7月-花名册'!E:E,'①7月-花名册'!U:U,0)</f>
        <v>0</v>
      </c>
      <c r="H18" s="11">
        <f>_xlfn.XLOOKUP(D18,'①7月-花名册'!E:E,'①7月-花名册'!M:M,0)</f>
        <v>31</v>
      </c>
      <c r="I18" s="11">
        <f>_xlfn.XLOOKUP(D18,'①7月-花名册'!E:E,'①7月-花名册'!S:S,0)</f>
        <v>4</v>
      </c>
      <c r="J18" s="14">
        <f t="shared" si="2"/>
        <v>5</v>
      </c>
      <c r="K18" s="23">
        <v>4</v>
      </c>
      <c r="L18" s="23"/>
      <c r="M18" s="23">
        <v>1</v>
      </c>
      <c r="N18" s="23"/>
      <c r="O18" s="23"/>
      <c r="P18" s="15">
        <f t="shared" si="3"/>
        <v>26</v>
      </c>
      <c r="Q18" s="15">
        <f t="shared" si="4"/>
        <v>31</v>
      </c>
      <c r="R18" s="15">
        <f>IF(F18="事业部",LOOKUP(Q18,基础设置!$T$2:$T$6,基础设置!$U$2:$U$6),IF(F18="总部",LOOKUP(Q18,基础设置!$T$8:$T$13,基础设置!$V$8:$V$13),IF(F18="拓展部",LOOKUP(Q18,基础设置!$T$8:$T$13,基础设置!$W$8:$W$13),2000)))</f>
        <v>4</v>
      </c>
      <c r="S18" s="15">
        <f t="shared" si="5"/>
        <v>31</v>
      </c>
      <c r="T18" s="15">
        <f t="shared" si="6"/>
        <v>0</v>
      </c>
      <c r="U18" s="15">
        <f t="shared" si="7"/>
        <v>0</v>
      </c>
      <c r="V18" s="15">
        <f t="shared" si="0"/>
        <v>0</v>
      </c>
      <c r="W18" s="15">
        <f t="shared" si="8"/>
        <v>0</v>
      </c>
      <c r="X18" s="26"/>
      <c r="Y18" s="26">
        <v>10</v>
      </c>
      <c r="Z18" s="26"/>
      <c r="AA18" s="26"/>
      <c r="AB18" s="27"/>
      <c r="AC18" s="27">
        <v>100</v>
      </c>
      <c r="AD18" s="27"/>
      <c r="AE18" s="27"/>
      <c r="AF18" s="27"/>
      <c r="AG18" s="27"/>
      <c r="AH18" s="17">
        <f>_xlfn.XLOOKUP(D18,'①7月-花名册'!E:E,'①7月-花名册'!T:T,0)</f>
        <v>0</v>
      </c>
      <c r="AI18" s="15">
        <f>SUMIFS('7月运营'!$L:$L,'7月运营'!$A:$A,D18,'7月运营'!$K:$K,$A$1)</f>
        <v>0</v>
      </c>
      <c r="AJ18" s="15">
        <f>SUMIFS('7月运营'!H:H,'7月运营'!$A:$A,D18,'7月运营'!$K:$K,$A$1)</f>
        <v>0</v>
      </c>
      <c r="AK18" s="15">
        <f>SUMIFS(上月未发人员明细!I:I,上月未发人员明细!J:J,$AK$2,上月未发人员明细!A:A,D18)</f>
        <v>0</v>
      </c>
      <c r="AL18" s="15">
        <f>SUMIFS('7月运营'!L:L,'7月运营'!$A:$A,D18,'7月运营'!$K:$K,$AL$2)</f>
        <v>0</v>
      </c>
      <c r="AM18" s="18">
        <f>SUMIFS('7月运营'!$F:$F,'7月运营'!$A:$A,D18,'7月运营'!$K:$K,'②7月-汇总'!$AM$2,'7月运营'!$G:$G,"岗位核算")</f>
        <v>0</v>
      </c>
      <c r="AN18" s="18">
        <f>SUMIFS('7月运营'!$F:$F,'7月运营'!$A:$A,D18,'7月运营'!$K:$K,$AN$2,'7月运营'!$G:$G,"岗位核算")</f>
        <v>0</v>
      </c>
      <c r="AO18" s="18" t="str">
        <f t="shared" si="9"/>
        <v/>
      </c>
      <c r="AP18" s="18">
        <f t="shared" si="1"/>
        <v>31</v>
      </c>
      <c r="AQ18" s="18">
        <f>_xlfn.XLOOKUP(D18,'7月运营'!A:A,'7月运营'!G:G,0)</f>
        <v>0</v>
      </c>
    </row>
    <row r="19" spans="1:43" x14ac:dyDescent="0.15">
      <c r="A19" s="11" t="str">
        <v>紫荆</v>
      </c>
      <c r="B19" s="11" t="str">
        <v>店助</v>
      </c>
      <c r="C19" s="11" t="str">
        <v>A</v>
      </c>
      <c r="D19" s="11" t="str">
        <v>吴琴</v>
      </c>
      <c r="E19" s="11" t="str">
        <v>在职</v>
      </c>
      <c r="F19" s="11" t="str">
        <v>事业部</v>
      </c>
      <c r="G19" s="11">
        <f>_xlfn.XLOOKUP(D19,'①7月-花名册'!E:E,'①7月-花名册'!U:U,0)</f>
        <v>0</v>
      </c>
      <c r="H19" s="11">
        <f>_xlfn.XLOOKUP(D19,'①7月-花名册'!E:E,'①7月-花名册'!M:M,0)</f>
        <v>31</v>
      </c>
      <c r="I19" s="11">
        <f>_xlfn.XLOOKUP(D19,'①7月-花名册'!E:E,'①7月-花名册'!S:S,0)</f>
        <v>4</v>
      </c>
      <c r="J19" s="14">
        <f t="shared" si="2"/>
        <v>5</v>
      </c>
      <c r="K19" s="23">
        <v>4</v>
      </c>
      <c r="L19" s="23"/>
      <c r="M19" s="23">
        <v>1</v>
      </c>
      <c r="N19" s="23"/>
      <c r="O19" s="23"/>
      <c r="P19" s="15">
        <f t="shared" si="3"/>
        <v>26</v>
      </c>
      <c r="Q19" s="15">
        <f t="shared" si="4"/>
        <v>31</v>
      </c>
      <c r="R19" s="15">
        <f>IF(F19="事业部",LOOKUP(Q19,基础设置!$T$2:$T$6,基础设置!$U$2:$U$6),IF(F19="总部",LOOKUP(Q19,基础设置!$T$8:$T$13,基础设置!$V$8:$V$13),IF(F19="拓展部",LOOKUP(Q19,基础设置!$T$8:$T$13,基础设置!$W$8:$W$13),2000)))</f>
        <v>4</v>
      </c>
      <c r="S19" s="15">
        <f t="shared" si="5"/>
        <v>31</v>
      </c>
      <c r="T19" s="15">
        <f t="shared" si="6"/>
        <v>0</v>
      </c>
      <c r="U19" s="15">
        <f t="shared" si="7"/>
        <v>0</v>
      </c>
      <c r="V19" s="15">
        <f t="shared" si="0"/>
        <v>0</v>
      </c>
      <c r="W19" s="15">
        <f t="shared" si="8"/>
        <v>0</v>
      </c>
      <c r="X19" s="26"/>
      <c r="Y19" s="26"/>
      <c r="Z19" s="26"/>
      <c r="AA19" s="26"/>
      <c r="AB19" s="27"/>
      <c r="AC19" s="27"/>
      <c r="AD19" s="27"/>
      <c r="AE19" s="27"/>
      <c r="AF19" s="27"/>
      <c r="AG19" s="27"/>
      <c r="AH19" s="17">
        <f>_xlfn.XLOOKUP(D19,'①7月-花名册'!E:E,'①7月-花名册'!T:T,0)</f>
        <v>0</v>
      </c>
      <c r="AI19" s="15">
        <f>SUMIFS('7月运营'!$L:$L,'7月运营'!$A:$A,D19,'7月运营'!$K:$K,$A$1)</f>
        <v>0</v>
      </c>
      <c r="AJ19" s="15">
        <f>SUMIFS('7月运营'!H:H,'7月运营'!$A:$A,D19,'7月运营'!$K:$K,$A$1)</f>
        <v>0</v>
      </c>
      <c r="AK19" s="15">
        <f>SUMIFS(上月未发人员明细!I:I,上月未发人员明细!J:J,$AK$2,上月未发人员明细!A:A,D19)</f>
        <v>0</v>
      </c>
      <c r="AL19" s="15">
        <f>SUMIFS('7月运营'!L:L,'7月运营'!$A:$A,D19,'7月运营'!$K:$K,$AL$2)</f>
        <v>0</v>
      </c>
      <c r="AM19" s="18">
        <f>SUMIFS('7月运营'!$F:$F,'7月运营'!$A:$A,D19,'7月运营'!$K:$K,'②7月-汇总'!$AM$2,'7月运营'!$G:$G,"岗位核算")</f>
        <v>0</v>
      </c>
      <c r="AN19" s="18">
        <f>SUMIFS('7月运营'!$F:$F,'7月运营'!$A:$A,D19,'7月运营'!$K:$K,$AN$2,'7月运营'!$G:$G,"岗位核算")</f>
        <v>0</v>
      </c>
      <c r="AO19" s="18" t="str">
        <f t="shared" si="9"/>
        <v/>
      </c>
      <c r="AP19" s="18">
        <f t="shared" si="1"/>
        <v>31</v>
      </c>
      <c r="AQ19" s="18">
        <f>_xlfn.XLOOKUP(D19,'7月运营'!A:A,'7月运营'!G:G,0)</f>
        <v>0</v>
      </c>
    </row>
    <row r="20" spans="1:43" x14ac:dyDescent="0.15">
      <c r="A20" s="11" t="str">
        <v>紫荆</v>
      </c>
      <c r="B20" s="11" t="str">
        <v>健康师</v>
      </c>
      <c r="C20" s="11" t="str">
        <v>A</v>
      </c>
      <c r="D20" s="11" t="str">
        <v>陈红霞</v>
      </c>
      <c r="E20" s="11" t="str">
        <v>在职</v>
      </c>
      <c r="F20" s="11" t="str">
        <v>事业部</v>
      </c>
      <c r="G20" s="11">
        <f>_xlfn.XLOOKUP(D20,'①7月-花名册'!E:E,'①7月-花名册'!U:U,0)</f>
        <v>0</v>
      </c>
      <c r="H20" s="11">
        <f>_xlfn.XLOOKUP(D20,'①7月-花名册'!E:E,'①7月-花名册'!M:M,0)</f>
        <v>31</v>
      </c>
      <c r="I20" s="11">
        <f>_xlfn.XLOOKUP(D20,'①7月-花名册'!E:E,'①7月-花名册'!S:S,0)</f>
        <v>4</v>
      </c>
      <c r="J20" s="14">
        <f t="shared" si="2"/>
        <v>4</v>
      </c>
      <c r="K20" s="23">
        <v>4</v>
      </c>
      <c r="L20" s="23"/>
      <c r="M20" s="23"/>
      <c r="N20" s="23"/>
      <c r="O20" s="23"/>
      <c r="P20" s="15">
        <f t="shared" si="3"/>
        <v>27</v>
      </c>
      <c r="Q20" s="15">
        <f t="shared" si="4"/>
        <v>31</v>
      </c>
      <c r="R20" s="15">
        <f>IF(F20="事业部",LOOKUP(Q20,基础设置!$T$2:$T$6,基础设置!$U$2:$U$6),IF(F20="总部",LOOKUP(Q20,基础设置!$T$8:$T$13,基础设置!$V$8:$V$13),IF(F20="拓展部",LOOKUP(Q20,基础设置!$T$8:$T$13,基础设置!$W$8:$W$13),2000)))</f>
        <v>4</v>
      </c>
      <c r="S20" s="15">
        <f t="shared" si="5"/>
        <v>31</v>
      </c>
      <c r="T20" s="15">
        <f t="shared" si="6"/>
        <v>0</v>
      </c>
      <c r="U20" s="15">
        <f t="shared" si="7"/>
        <v>0</v>
      </c>
      <c r="V20" s="15">
        <f t="shared" si="0"/>
        <v>0</v>
      </c>
      <c r="W20" s="15">
        <f t="shared" si="8"/>
        <v>0</v>
      </c>
      <c r="X20" s="26"/>
      <c r="Y20" s="26">
        <v>10</v>
      </c>
      <c r="Z20" s="26"/>
      <c r="AA20" s="26"/>
      <c r="AB20" s="27"/>
      <c r="AC20" s="27"/>
      <c r="AD20" s="27"/>
      <c r="AE20" s="27"/>
      <c r="AF20" s="27"/>
      <c r="AG20" s="27"/>
      <c r="AH20" s="17">
        <f>_xlfn.XLOOKUP(D20,'①7月-花名册'!E:E,'①7月-花名册'!T:T,0)</f>
        <v>0</v>
      </c>
      <c r="AI20" s="15">
        <f>SUMIFS('7月运营'!$L:$L,'7月运营'!$A:$A,D20,'7月运营'!$K:$K,$A$1)</f>
        <v>0</v>
      </c>
      <c r="AJ20" s="15">
        <f>SUMIFS('7月运营'!H:H,'7月运营'!$A:$A,D20,'7月运营'!$K:$K,$A$1)</f>
        <v>0</v>
      </c>
      <c r="AK20" s="15">
        <f>SUMIFS(上月未发人员明细!I:I,上月未发人员明细!J:J,$AK$2,上月未发人员明细!A:A,D20)</f>
        <v>0</v>
      </c>
      <c r="AL20" s="15">
        <f>SUMIFS('7月运营'!L:L,'7月运营'!$A:$A,D20,'7月运营'!$K:$K,$AL$2)</f>
        <v>0</v>
      </c>
      <c r="AM20" s="18">
        <f>SUMIFS('7月运营'!$F:$F,'7月运营'!$A:$A,D20,'7月运营'!$K:$K,'②7月-汇总'!$AM$2,'7月运营'!$G:$G,"岗位核算")</f>
        <v>0</v>
      </c>
      <c r="AN20" s="18">
        <f>SUMIFS('7月运营'!$F:$F,'7月运营'!$A:$A,D20,'7月运营'!$K:$K,$AN$2,'7月运营'!$G:$G,"岗位核算")</f>
        <v>0</v>
      </c>
      <c r="AO20" s="18" t="str">
        <f t="shared" si="9"/>
        <v/>
      </c>
      <c r="AP20" s="18">
        <f t="shared" si="1"/>
        <v>31</v>
      </c>
      <c r="AQ20" s="18">
        <f>_xlfn.XLOOKUP(D20,'7月运营'!A:A,'7月运营'!G:G,0)</f>
        <v>0</v>
      </c>
    </row>
    <row r="21" spans="1:43" x14ac:dyDescent="0.15">
      <c r="A21" s="11" t="str">
        <v>紫荆</v>
      </c>
      <c r="B21" s="11" t="str">
        <v>健康师</v>
      </c>
      <c r="C21" s="11" t="str">
        <v>A</v>
      </c>
      <c r="D21" s="11" t="str">
        <v>廖增珍</v>
      </c>
      <c r="E21" s="11" t="str">
        <v>离职</v>
      </c>
      <c r="F21" s="11" t="str">
        <v>事业部</v>
      </c>
      <c r="G21" s="11">
        <f>_xlfn.XLOOKUP(D21,'①7月-花名册'!E:E,'①7月-花名册'!U:U,0)</f>
        <v>0</v>
      </c>
      <c r="H21" s="11">
        <f>_xlfn.XLOOKUP(D21,'①7月-花名册'!E:E,'①7月-花名册'!M:M,0)</f>
        <v>26</v>
      </c>
      <c r="I21" s="11">
        <f>_xlfn.XLOOKUP(D21,'①7月-花名册'!E:E,'①7月-花名册'!S:S,0)</f>
        <v>3</v>
      </c>
      <c r="J21" s="14">
        <f t="shared" si="2"/>
        <v>3</v>
      </c>
      <c r="K21" s="23">
        <v>3</v>
      </c>
      <c r="L21" s="23"/>
      <c r="M21" s="23"/>
      <c r="N21" s="23"/>
      <c r="O21" s="23"/>
      <c r="P21" s="15">
        <f t="shared" si="3"/>
        <v>23</v>
      </c>
      <c r="Q21" s="15">
        <f t="shared" si="4"/>
        <v>26</v>
      </c>
      <c r="R21" s="15">
        <f>IF(F21="事业部",LOOKUP(Q21,基础设置!$T$2:$T$6,基础设置!$U$2:$U$6),IF(F21="总部",LOOKUP(Q21,基础设置!$T$8:$T$13,基础设置!$V$8:$V$13),IF(F21="拓展部",LOOKUP(Q21,基础设置!$T$8:$T$13,基础设置!$W$8:$W$13),2000)))</f>
        <v>3</v>
      </c>
      <c r="S21" s="15">
        <f t="shared" si="5"/>
        <v>26</v>
      </c>
      <c r="T21" s="15">
        <f t="shared" si="6"/>
        <v>0</v>
      </c>
      <c r="U21" s="15">
        <f t="shared" si="7"/>
        <v>0</v>
      </c>
      <c r="V21" s="15">
        <f t="shared" si="0"/>
        <v>0</v>
      </c>
      <c r="W21" s="15">
        <f t="shared" si="8"/>
        <v>0</v>
      </c>
      <c r="X21" s="26"/>
      <c r="Y21" s="26"/>
      <c r="Z21" s="26"/>
      <c r="AA21" s="26"/>
      <c r="AB21" s="27">
        <v>1211</v>
      </c>
      <c r="AC21" s="27"/>
      <c r="AD21" s="27"/>
      <c r="AE21" s="27">
        <v>300</v>
      </c>
      <c r="AF21" s="27"/>
      <c r="AG21" s="27"/>
      <c r="AH21" s="17">
        <f>_xlfn.XLOOKUP(D21,'①7月-花名册'!E:E,'①7月-花名册'!T:T,0)</f>
        <v>0</v>
      </c>
      <c r="AI21" s="15">
        <f>SUMIFS('7月运营'!$L:$L,'7月运营'!$A:$A,D21,'7月运营'!$K:$K,$A$1)</f>
        <v>0</v>
      </c>
      <c r="AJ21" s="15">
        <f>SUMIFS('7月运营'!H:H,'7月运营'!$A:$A,D21,'7月运营'!$K:$K,$A$1)</f>
        <v>0</v>
      </c>
      <c r="AK21" s="15">
        <f>SUMIFS(上月未发人员明细!I:I,上月未发人员明细!J:J,$AK$2,上月未发人员明细!A:A,D21)</f>
        <v>0</v>
      </c>
      <c r="AL21" s="15">
        <f>SUMIFS('7月运营'!L:L,'7月运营'!$A:$A,D21,'7月运营'!$K:$K,$AL$2)</f>
        <v>0</v>
      </c>
      <c r="AM21" s="18">
        <f>SUMIFS('7月运营'!$F:$F,'7月运营'!$A:$A,D21,'7月运营'!$K:$K,'②7月-汇总'!$AM$2,'7月运营'!$G:$G,"岗位核算")</f>
        <v>0</v>
      </c>
      <c r="AN21" s="18">
        <f>SUMIFS('7月运营'!$F:$F,'7月运营'!$A:$A,D21,'7月运营'!$K:$K,$AN$2,'7月运营'!$G:$G,"岗位核算")</f>
        <v>0</v>
      </c>
      <c r="AO21" s="18" t="str">
        <f t="shared" si="9"/>
        <v/>
      </c>
      <c r="AP21" s="18">
        <f t="shared" si="1"/>
        <v>26</v>
      </c>
      <c r="AQ21" s="18">
        <f>_xlfn.XLOOKUP(D21,'7月运营'!A:A,'7月运营'!G:G,0)</f>
        <v>0</v>
      </c>
    </row>
    <row r="22" spans="1:43" x14ac:dyDescent="0.15">
      <c r="A22" s="11" t="str">
        <v>紫荆</v>
      </c>
      <c r="B22" s="11" t="str">
        <v>主任</v>
      </c>
      <c r="C22" s="11" t="str">
        <v>B</v>
      </c>
      <c r="D22" s="11" t="str">
        <v>李春华</v>
      </c>
      <c r="E22" s="11" t="str">
        <v>在职</v>
      </c>
      <c r="F22" s="11" t="str">
        <v>事业部</v>
      </c>
      <c r="G22" s="11">
        <f>_xlfn.XLOOKUP(D22,'①7月-花名册'!E:E,'①7月-花名册'!U:U,0)</f>
        <v>0</v>
      </c>
      <c r="H22" s="11">
        <f>_xlfn.XLOOKUP(D22,'①7月-花名册'!E:E,'①7月-花名册'!M:M,0)</f>
        <v>31</v>
      </c>
      <c r="I22" s="11">
        <f>_xlfn.XLOOKUP(D22,'①7月-花名册'!E:E,'①7月-花名册'!S:S,0)</f>
        <v>4</v>
      </c>
      <c r="J22" s="14">
        <f t="shared" si="2"/>
        <v>4</v>
      </c>
      <c r="K22" s="23">
        <v>4</v>
      </c>
      <c r="L22" s="23"/>
      <c r="M22" s="23"/>
      <c r="N22" s="23"/>
      <c r="O22" s="23"/>
      <c r="P22" s="15">
        <f t="shared" si="3"/>
        <v>27</v>
      </c>
      <c r="Q22" s="15">
        <f t="shared" si="4"/>
        <v>31</v>
      </c>
      <c r="R22" s="15">
        <f>IF(F22="事业部",LOOKUP(Q22,基础设置!$T$2:$T$6,基础设置!$U$2:$U$6),IF(F22="总部",LOOKUP(Q22,基础设置!$T$8:$T$13,基础设置!$V$8:$V$13),IF(F22="拓展部",LOOKUP(Q22,基础设置!$T$8:$T$13,基础设置!$W$8:$W$13),2000)))</f>
        <v>4</v>
      </c>
      <c r="S22" s="15">
        <f t="shared" si="5"/>
        <v>31</v>
      </c>
      <c r="T22" s="15">
        <f t="shared" si="6"/>
        <v>0</v>
      </c>
      <c r="U22" s="15">
        <f t="shared" si="7"/>
        <v>0</v>
      </c>
      <c r="V22" s="15">
        <f t="shared" si="0"/>
        <v>0</v>
      </c>
      <c r="W22" s="15">
        <f t="shared" si="8"/>
        <v>0</v>
      </c>
      <c r="X22" s="26"/>
      <c r="Y22" s="26"/>
      <c r="Z22" s="26">
        <v>50</v>
      </c>
      <c r="AA22" s="26"/>
      <c r="AB22" s="27"/>
      <c r="AC22" s="27"/>
      <c r="AD22" s="27"/>
      <c r="AE22" s="27"/>
      <c r="AF22" s="27"/>
      <c r="AG22" s="27"/>
      <c r="AH22" s="17">
        <f>_xlfn.XLOOKUP(D22,'①7月-花名册'!E:E,'①7月-花名册'!T:T,0)</f>
        <v>0</v>
      </c>
      <c r="AI22" s="15">
        <f>SUMIFS('7月运营'!$L:$L,'7月运营'!$A:$A,D22,'7月运营'!$K:$K,$A$1)</f>
        <v>0</v>
      </c>
      <c r="AJ22" s="15">
        <f>SUMIFS('7月运营'!H:H,'7月运营'!$A:$A,D22,'7月运营'!$K:$K,$A$1)</f>
        <v>0</v>
      </c>
      <c r="AK22" s="15">
        <f>SUMIFS(上月未发人员明细!I:I,上月未发人员明细!J:J,$AK$2,上月未发人员明细!A:A,D22)</f>
        <v>0</v>
      </c>
      <c r="AL22" s="15">
        <f>SUMIFS('7月运营'!L:L,'7月运营'!$A:$A,D22,'7月运营'!$K:$K,$AL$2)</f>
        <v>0</v>
      </c>
      <c r="AM22" s="18">
        <f>SUMIFS('7月运营'!$F:$F,'7月运营'!$A:$A,D22,'7月运营'!$K:$K,'②7月-汇总'!$AM$2,'7月运营'!$G:$G,"岗位核算")</f>
        <v>0</v>
      </c>
      <c r="AN22" s="18">
        <f>SUMIFS('7月运营'!$F:$F,'7月运营'!$A:$A,D22,'7月运营'!$K:$K,$AN$2,'7月运营'!$G:$G,"岗位核算")</f>
        <v>0</v>
      </c>
      <c r="AO22" s="18" t="str">
        <f t="shared" si="9"/>
        <v/>
      </c>
      <c r="AP22" s="18">
        <f t="shared" si="1"/>
        <v>31</v>
      </c>
      <c r="AQ22" s="18">
        <f>_xlfn.XLOOKUP(D22,'7月运营'!A:A,'7月运营'!G:G,0)</f>
        <v>0</v>
      </c>
    </row>
    <row r="23" spans="1:43" x14ac:dyDescent="0.15">
      <c r="A23" s="11" t="str">
        <v>龙湖</v>
      </c>
      <c r="B23" s="11" t="str">
        <v>健康师</v>
      </c>
      <c r="C23" s="11" t="str">
        <v>A</v>
      </c>
      <c r="D23" s="11" t="str">
        <v>张候敏</v>
      </c>
      <c r="E23" s="11" t="str">
        <v>在职</v>
      </c>
      <c r="F23" s="11" t="str">
        <v>事业部</v>
      </c>
      <c r="G23" s="11">
        <f>_xlfn.XLOOKUP(D23,'①7月-花名册'!E:E,'①7月-花名册'!U:U,0)</f>
        <v>0</v>
      </c>
      <c r="H23" s="11">
        <f>_xlfn.XLOOKUP(D23,'①7月-花名册'!E:E,'①7月-花名册'!M:M,0)</f>
        <v>31</v>
      </c>
      <c r="I23" s="11">
        <f>_xlfn.XLOOKUP(D23,'①7月-花名册'!E:E,'①7月-花名册'!S:S,0)</f>
        <v>4</v>
      </c>
      <c r="J23" s="14">
        <f t="shared" si="2"/>
        <v>4</v>
      </c>
      <c r="K23" s="23">
        <v>4</v>
      </c>
      <c r="L23" s="23"/>
      <c r="M23" s="23"/>
      <c r="N23" s="23"/>
      <c r="O23" s="23"/>
      <c r="P23" s="15">
        <f t="shared" si="3"/>
        <v>27</v>
      </c>
      <c r="Q23" s="15">
        <f t="shared" si="4"/>
        <v>31</v>
      </c>
      <c r="R23" s="15">
        <f>IF(F23="事业部",LOOKUP(Q23,基础设置!$T$2:$T$6,基础设置!$U$2:$U$6),IF(F23="总部",LOOKUP(Q23,基础设置!$T$8:$T$13,基础设置!$V$8:$V$13),IF(F23="拓展部",LOOKUP(Q23,基础设置!$T$8:$T$13,基础设置!$W$8:$W$13),2000)))</f>
        <v>4</v>
      </c>
      <c r="S23" s="15">
        <f t="shared" si="5"/>
        <v>31</v>
      </c>
      <c r="T23" s="15">
        <f t="shared" si="6"/>
        <v>0</v>
      </c>
      <c r="U23" s="15">
        <f t="shared" si="7"/>
        <v>0</v>
      </c>
      <c r="V23" s="15">
        <f t="shared" si="0"/>
        <v>0</v>
      </c>
      <c r="W23" s="15">
        <f t="shared" si="8"/>
        <v>0</v>
      </c>
      <c r="X23" s="26"/>
      <c r="Y23" s="26"/>
      <c r="Z23" s="26">
        <v>50</v>
      </c>
      <c r="AA23" s="26"/>
      <c r="AB23" s="28"/>
      <c r="AC23" s="28"/>
      <c r="AD23" s="28"/>
      <c r="AE23" s="28"/>
      <c r="AF23" s="28"/>
      <c r="AG23" s="28"/>
      <c r="AH23" s="17">
        <f>_xlfn.XLOOKUP(D23,'①7月-花名册'!E:E,'①7月-花名册'!T:T,0)</f>
        <v>0</v>
      </c>
      <c r="AI23" s="15">
        <f>SUMIFS('7月运营'!$L:$L,'7月运营'!$A:$A,D23,'7月运营'!$K:$K,$A$1)</f>
        <v>0</v>
      </c>
      <c r="AJ23" s="15">
        <f>SUMIFS('7月运营'!H:H,'7月运营'!$A:$A,D23,'7月运营'!$K:$K,$A$1)</f>
        <v>0</v>
      </c>
      <c r="AK23" s="15">
        <f>SUMIFS(上月未发人员明细!I:I,上月未发人员明细!J:J,$AK$2,上月未发人员明细!A:A,D23)</f>
        <v>0</v>
      </c>
      <c r="AL23" s="15">
        <f>SUMIFS('7月运营'!L:L,'7月运营'!$A:$A,D23,'7月运营'!$K:$K,$AL$2)</f>
        <v>0</v>
      </c>
      <c r="AM23" s="18">
        <f>SUMIFS('7月运营'!$F:$F,'7月运营'!$A:$A,D23,'7月运营'!$K:$K,'②7月-汇总'!$AM$2,'7月运营'!$G:$G,"岗位核算")</f>
        <v>0</v>
      </c>
      <c r="AN23" s="18">
        <f>SUMIFS('7月运营'!$F:$F,'7月运营'!$A:$A,D23,'7月运营'!$K:$K,$AN$2,'7月运营'!$G:$G,"岗位核算")</f>
        <v>0</v>
      </c>
      <c r="AO23" s="18" t="str">
        <f t="shared" si="9"/>
        <v/>
      </c>
      <c r="AP23" s="18">
        <f t="shared" si="1"/>
        <v>31</v>
      </c>
      <c r="AQ23" s="18">
        <f>_xlfn.XLOOKUP(D23,'7月运营'!A:A,'7月运营'!G:G,0)</f>
        <v>0</v>
      </c>
    </row>
    <row r="24" spans="1:43" x14ac:dyDescent="0.15">
      <c r="A24" s="11" t="str">
        <v>龙湖</v>
      </c>
      <c r="B24" s="11" t="str">
        <v>店助</v>
      </c>
      <c r="C24" s="11" t="str">
        <v>A</v>
      </c>
      <c r="D24" s="11" t="str">
        <v>赵小红</v>
      </c>
      <c r="E24" s="11" t="str">
        <v>在职</v>
      </c>
      <c r="F24" s="11" t="str">
        <v>事业部</v>
      </c>
      <c r="G24" s="11">
        <f>_xlfn.XLOOKUP(D24,'①7月-花名册'!E:E,'①7月-花名册'!U:U,0)</f>
        <v>0</v>
      </c>
      <c r="H24" s="11">
        <f>_xlfn.XLOOKUP(D24,'①7月-花名册'!E:E,'①7月-花名册'!M:M,0)</f>
        <v>31</v>
      </c>
      <c r="I24" s="11">
        <f>_xlfn.XLOOKUP(D24,'①7月-花名册'!E:E,'①7月-花名册'!S:S,0)</f>
        <v>4</v>
      </c>
      <c r="J24" s="14">
        <f t="shared" si="2"/>
        <v>5</v>
      </c>
      <c r="K24" s="23">
        <v>4</v>
      </c>
      <c r="L24" s="23"/>
      <c r="M24" s="23">
        <v>1</v>
      </c>
      <c r="N24" s="23"/>
      <c r="O24" s="23"/>
      <c r="P24" s="15">
        <f t="shared" si="3"/>
        <v>26</v>
      </c>
      <c r="Q24" s="15">
        <f t="shared" si="4"/>
        <v>31</v>
      </c>
      <c r="R24" s="15">
        <f>IF(F24="事业部",LOOKUP(Q24,基础设置!$T$2:$T$6,基础设置!$U$2:$U$6),IF(F24="总部",LOOKUP(Q24,基础设置!$T$8:$T$13,基础设置!$V$8:$V$13),IF(F24="拓展部",LOOKUP(Q24,基础设置!$T$8:$T$13,基础设置!$W$8:$W$13),2000)))</f>
        <v>4</v>
      </c>
      <c r="S24" s="15">
        <f t="shared" si="5"/>
        <v>31</v>
      </c>
      <c r="T24" s="15">
        <f t="shared" si="6"/>
        <v>0</v>
      </c>
      <c r="U24" s="15">
        <f t="shared" si="7"/>
        <v>0</v>
      </c>
      <c r="V24" s="15">
        <f t="shared" si="0"/>
        <v>0</v>
      </c>
      <c r="W24" s="15">
        <f t="shared" si="8"/>
        <v>0</v>
      </c>
      <c r="X24" s="26">
        <v>10</v>
      </c>
      <c r="Y24" s="26"/>
      <c r="Z24" s="26"/>
      <c r="AA24" s="26"/>
      <c r="AB24" s="27"/>
      <c r="AC24" s="27"/>
      <c r="AD24" s="27"/>
      <c r="AE24" s="27"/>
      <c r="AF24" s="27"/>
      <c r="AG24" s="27"/>
      <c r="AH24" s="17">
        <f>_xlfn.XLOOKUP(D24,'①7月-花名册'!E:E,'①7月-花名册'!T:T,0)</f>
        <v>0</v>
      </c>
      <c r="AI24" s="15">
        <f>SUMIFS('7月运营'!$L:$L,'7月运营'!$A:$A,D24,'7月运营'!$K:$K,$A$1)</f>
        <v>0</v>
      </c>
      <c r="AJ24" s="15">
        <f>SUMIFS('7月运营'!H:H,'7月运营'!$A:$A,D24,'7月运营'!$K:$K,$A$1)</f>
        <v>0</v>
      </c>
      <c r="AK24" s="15">
        <f>SUMIFS(上月未发人员明细!I:I,上月未发人员明细!J:J,$AK$2,上月未发人员明细!A:A,D24)</f>
        <v>0</v>
      </c>
      <c r="AL24" s="15">
        <f>SUMIFS('7月运营'!L:L,'7月运营'!$A:$A,D24,'7月运营'!$K:$K,$AL$2)</f>
        <v>0</v>
      </c>
      <c r="AM24" s="18">
        <f>SUMIFS('7月运营'!$F:$F,'7月运营'!$A:$A,D24,'7月运营'!$K:$K,'②7月-汇总'!$AM$2,'7月运营'!$G:$G,"岗位核算")</f>
        <v>0</v>
      </c>
      <c r="AN24" s="18">
        <f>SUMIFS('7月运营'!$F:$F,'7月运营'!$A:$A,D24,'7月运营'!$K:$K,$AN$2,'7月运营'!$G:$G,"岗位核算")</f>
        <v>0</v>
      </c>
      <c r="AO24" s="18" t="str">
        <f t="shared" si="9"/>
        <v/>
      </c>
      <c r="AP24" s="18">
        <f t="shared" si="1"/>
        <v>31</v>
      </c>
      <c r="AQ24" s="18">
        <f>_xlfn.XLOOKUP(D24,'7月运营'!A:A,'7月运营'!G:G,0)</f>
        <v>0</v>
      </c>
    </row>
    <row r="25" spans="1:43" x14ac:dyDescent="0.15">
      <c r="A25" s="11" t="str">
        <v>龙湖</v>
      </c>
      <c r="B25" s="11" t="str">
        <v>店长</v>
      </c>
      <c r="C25" s="11" t="str">
        <v>B</v>
      </c>
      <c r="D25" s="11" t="str">
        <v>彭龙惠</v>
      </c>
      <c r="E25" s="11" t="str">
        <v>在职</v>
      </c>
      <c r="F25" s="11" t="str">
        <v>事业部</v>
      </c>
      <c r="G25" s="11">
        <f>_xlfn.XLOOKUP(D25,'①7月-花名册'!E:E,'①7月-花名册'!U:U,0)</f>
        <v>0</v>
      </c>
      <c r="H25" s="11">
        <f>_xlfn.XLOOKUP(D25,'①7月-花名册'!E:E,'①7月-花名册'!M:M,0)</f>
        <v>31</v>
      </c>
      <c r="I25" s="11">
        <f>_xlfn.XLOOKUP(D25,'①7月-花名册'!E:E,'①7月-花名册'!S:S,0)</f>
        <v>4</v>
      </c>
      <c r="J25" s="14">
        <f t="shared" si="2"/>
        <v>4</v>
      </c>
      <c r="K25" s="23">
        <v>4</v>
      </c>
      <c r="L25" s="23"/>
      <c r="M25" s="23"/>
      <c r="N25" s="23"/>
      <c r="O25" s="23"/>
      <c r="P25" s="15">
        <f t="shared" si="3"/>
        <v>27</v>
      </c>
      <c r="Q25" s="15">
        <f t="shared" si="4"/>
        <v>31</v>
      </c>
      <c r="R25" s="15">
        <f>IF(F25="事业部",LOOKUP(Q25,基础设置!$T$2:$T$6,基础设置!$U$2:$U$6),IF(F25="总部",LOOKUP(Q25,基础设置!$T$8:$T$13,基础设置!$V$8:$V$13),IF(F25="拓展部",LOOKUP(Q25,基础设置!$T$8:$T$13,基础设置!$W$8:$W$13),2000)))</f>
        <v>4</v>
      </c>
      <c r="S25" s="15">
        <f t="shared" si="5"/>
        <v>31</v>
      </c>
      <c r="T25" s="15">
        <f t="shared" si="6"/>
        <v>0</v>
      </c>
      <c r="U25" s="15">
        <f t="shared" si="7"/>
        <v>0</v>
      </c>
      <c r="V25" s="15">
        <f t="shared" si="0"/>
        <v>0</v>
      </c>
      <c r="W25" s="15">
        <f t="shared" si="8"/>
        <v>0</v>
      </c>
      <c r="X25" s="26"/>
      <c r="Y25" s="26"/>
      <c r="Z25" s="26"/>
      <c r="AA25" s="26"/>
      <c r="AB25" s="27"/>
      <c r="AC25" s="27"/>
      <c r="AD25" s="27"/>
      <c r="AE25" s="27"/>
      <c r="AF25" s="27"/>
      <c r="AG25" s="27"/>
      <c r="AH25" s="17">
        <f>_xlfn.XLOOKUP(D25,'①7月-花名册'!E:E,'①7月-花名册'!T:T,0)</f>
        <v>0</v>
      </c>
      <c r="AI25" s="15">
        <f>SUMIFS('7月运营'!$L:$L,'7月运营'!$A:$A,D25,'7月运营'!$K:$K,$A$1)</f>
        <v>0</v>
      </c>
      <c r="AJ25" s="15">
        <f>SUMIFS('7月运营'!H:H,'7月运营'!$A:$A,D25,'7月运营'!$K:$K,$A$1)</f>
        <v>0</v>
      </c>
      <c r="AK25" s="15">
        <f>SUMIFS(上月未发人员明细!I:I,上月未发人员明细!J:J,$AK$2,上月未发人员明细!A:A,D25)</f>
        <v>0</v>
      </c>
      <c r="AL25" s="15">
        <f>SUMIFS('7月运营'!L:L,'7月运营'!$A:$A,D25,'7月运营'!$K:$K,$AL$2)</f>
        <v>0</v>
      </c>
      <c r="AM25" s="18">
        <f>SUMIFS('7月运营'!$F:$F,'7月运营'!$A:$A,D25,'7月运营'!$K:$K,'②7月-汇总'!$AM$2,'7月运营'!$G:$G,"岗位核算")</f>
        <v>0</v>
      </c>
      <c r="AN25" s="18">
        <f>SUMIFS('7月运营'!$F:$F,'7月运营'!$A:$A,D25,'7月运营'!$K:$K,$AN$2,'7月运营'!$G:$G,"岗位核算")</f>
        <v>0</v>
      </c>
      <c r="AO25" s="18" t="str">
        <f t="shared" si="9"/>
        <v/>
      </c>
      <c r="AP25" s="18">
        <f t="shared" si="1"/>
        <v>31</v>
      </c>
      <c r="AQ25" s="18">
        <f>_xlfn.XLOOKUP(D25,'7月运营'!A:A,'7月运营'!G:G,0)</f>
        <v>0</v>
      </c>
    </row>
    <row r="26" spans="1:43" x14ac:dyDescent="0.15">
      <c r="A26" s="11" t="str">
        <v>龙湖</v>
      </c>
      <c r="B26" s="11" t="str">
        <v>健康师</v>
      </c>
      <c r="C26" s="11" t="str">
        <v>A</v>
      </c>
      <c r="D26" s="11" t="str">
        <v>邓雪梅</v>
      </c>
      <c r="E26" s="11" t="str">
        <v>在职</v>
      </c>
      <c r="F26" s="11" t="str">
        <v>事业部</v>
      </c>
      <c r="G26" s="11">
        <f>_xlfn.XLOOKUP(D26,'①7月-花名册'!E:E,'①7月-花名册'!U:U,0)</f>
        <v>0</v>
      </c>
      <c r="H26" s="11">
        <f>_xlfn.XLOOKUP(D26,'①7月-花名册'!E:E,'①7月-花名册'!M:M,0)</f>
        <v>31</v>
      </c>
      <c r="I26" s="11">
        <f>_xlfn.XLOOKUP(D26,'①7月-花名册'!E:E,'①7月-花名册'!S:S,0)</f>
        <v>4</v>
      </c>
      <c r="J26" s="14">
        <f t="shared" si="2"/>
        <v>5</v>
      </c>
      <c r="K26" s="23">
        <v>4</v>
      </c>
      <c r="L26" s="23"/>
      <c r="M26" s="23">
        <v>1</v>
      </c>
      <c r="N26" s="23"/>
      <c r="O26" s="23"/>
      <c r="P26" s="15">
        <f t="shared" si="3"/>
        <v>26</v>
      </c>
      <c r="Q26" s="15">
        <f t="shared" si="4"/>
        <v>31</v>
      </c>
      <c r="R26" s="15">
        <f>IF(F26="事业部",LOOKUP(Q26,基础设置!$T$2:$T$6,基础设置!$U$2:$U$6),IF(F26="总部",LOOKUP(Q26,基础设置!$T$8:$T$13,基础设置!$V$8:$V$13),IF(F26="拓展部",LOOKUP(Q26,基础设置!$T$8:$T$13,基础设置!$W$8:$W$13),2000)))</f>
        <v>4</v>
      </c>
      <c r="S26" s="15">
        <f t="shared" si="5"/>
        <v>31</v>
      </c>
      <c r="T26" s="15">
        <f t="shared" si="6"/>
        <v>0</v>
      </c>
      <c r="U26" s="15">
        <f t="shared" si="7"/>
        <v>0</v>
      </c>
      <c r="V26" s="15">
        <f t="shared" si="0"/>
        <v>0</v>
      </c>
      <c r="W26" s="15">
        <f t="shared" si="8"/>
        <v>0</v>
      </c>
      <c r="X26" s="26"/>
      <c r="Y26" s="26"/>
      <c r="Z26" s="26"/>
      <c r="AA26" s="26"/>
      <c r="AB26" s="27"/>
      <c r="AC26" s="27"/>
      <c r="AD26" s="27"/>
      <c r="AE26" s="27"/>
      <c r="AF26" s="27"/>
      <c r="AG26" s="27"/>
      <c r="AH26" s="17">
        <f>_xlfn.XLOOKUP(D26,'①7月-花名册'!E:E,'①7月-花名册'!T:T,0)</f>
        <v>0</v>
      </c>
      <c r="AI26" s="15">
        <f>SUMIFS('7月运营'!$L:$L,'7月运营'!$A:$A,D26,'7月运营'!$K:$K,$A$1)</f>
        <v>0</v>
      </c>
      <c r="AJ26" s="15">
        <f>SUMIFS('7月运营'!H:H,'7月运营'!$A:$A,D26,'7月运营'!$K:$K,$A$1)</f>
        <v>0</v>
      </c>
      <c r="AK26" s="15">
        <f>SUMIFS(上月未发人员明细!I:I,上月未发人员明细!J:J,$AK$2,上月未发人员明细!A:A,D26)</f>
        <v>0</v>
      </c>
      <c r="AL26" s="15">
        <f>SUMIFS('7月运营'!L:L,'7月运营'!$A:$A,D26,'7月运营'!$K:$K,$AL$2)</f>
        <v>0</v>
      </c>
      <c r="AM26" s="18">
        <f>SUMIFS('7月运营'!$F:$F,'7月运营'!$A:$A,D26,'7月运营'!$K:$K,'②7月-汇总'!$AM$2,'7月运营'!$G:$G,"岗位核算")</f>
        <v>0</v>
      </c>
      <c r="AN26" s="18">
        <f>SUMIFS('7月运营'!$F:$F,'7月运营'!$A:$A,D26,'7月运营'!$K:$K,$AN$2,'7月运营'!$G:$G,"岗位核算")</f>
        <v>0</v>
      </c>
      <c r="AO26" s="18" t="str">
        <f t="shared" si="9"/>
        <v/>
      </c>
      <c r="AP26" s="18">
        <f t="shared" si="1"/>
        <v>31</v>
      </c>
      <c r="AQ26" s="18">
        <f>_xlfn.XLOOKUP(D26,'7月运营'!A:A,'7月运营'!G:G,0)</f>
        <v>0</v>
      </c>
    </row>
    <row r="27" spans="1:43" x14ac:dyDescent="0.15">
      <c r="A27" s="11" t="str">
        <v>龙湖</v>
      </c>
      <c r="B27" s="11" t="str">
        <v>健康师</v>
      </c>
      <c r="C27" s="11" t="str">
        <v>A</v>
      </c>
      <c r="D27" s="11" t="str">
        <v>高雪</v>
      </c>
      <c r="E27" s="11" t="str">
        <v>在职</v>
      </c>
      <c r="F27" s="11" t="str">
        <v>事业部</v>
      </c>
      <c r="G27" s="11">
        <f>_xlfn.XLOOKUP(D27,'①7月-花名册'!E:E,'①7月-花名册'!U:U,0)</f>
        <v>0</v>
      </c>
      <c r="H27" s="11">
        <f>_xlfn.XLOOKUP(D27,'①7月-花名册'!E:E,'①7月-花名册'!M:M,0)</f>
        <v>31</v>
      </c>
      <c r="I27" s="11">
        <f>_xlfn.XLOOKUP(D27,'①7月-花名册'!E:E,'①7月-花名册'!S:S,0)</f>
        <v>4</v>
      </c>
      <c r="J27" s="14">
        <f t="shared" si="2"/>
        <v>5</v>
      </c>
      <c r="K27" s="23">
        <v>4</v>
      </c>
      <c r="L27" s="23"/>
      <c r="M27" s="23">
        <v>1</v>
      </c>
      <c r="N27" s="23"/>
      <c r="O27" s="23"/>
      <c r="P27" s="15">
        <f t="shared" si="3"/>
        <v>26</v>
      </c>
      <c r="Q27" s="15">
        <f t="shared" si="4"/>
        <v>31</v>
      </c>
      <c r="R27" s="15">
        <f>IF(F27="事业部",LOOKUP(Q27,基础设置!$T$2:$T$6,基础设置!$U$2:$U$6),IF(F27="总部",LOOKUP(Q27,基础设置!$T$8:$T$13,基础设置!$V$8:$V$13),IF(F27="拓展部",LOOKUP(Q27,基础设置!$T$8:$T$13,基础设置!$W$8:$W$13),2000)))</f>
        <v>4</v>
      </c>
      <c r="S27" s="15">
        <f t="shared" si="5"/>
        <v>31</v>
      </c>
      <c r="T27" s="15">
        <f t="shared" si="6"/>
        <v>0</v>
      </c>
      <c r="U27" s="15">
        <f t="shared" si="7"/>
        <v>0</v>
      </c>
      <c r="V27" s="15">
        <f t="shared" si="0"/>
        <v>0</v>
      </c>
      <c r="W27" s="15">
        <f t="shared" si="8"/>
        <v>0</v>
      </c>
      <c r="X27" s="26"/>
      <c r="Y27" s="26"/>
      <c r="Z27" s="26"/>
      <c r="AA27" s="26"/>
      <c r="AB27" s="27"/>
      <c r="AC27" s="27"/>
      <c r="AD27" s="27"/>
      <c r="AE27" s="27"/>
      <c r="AF27" s="27"/>
      <c r="AG27" s="27"/>
      <c r="AH27" s="17">
        <f>_xlfn.XLOOKUP(D27,'①7月-花名册'!E:E,'①7月-花名册'!T:T,0)</f>
        <v>0</v>
      </c>
      <c r="AI27" s="15">
        <f>SUMIFS('7月运营'!$L:$L,'7月运营'!$A:$A,D27,'7月运营'!$K:$K,$A$1)</f>
        <v>0</v>
      </c>
      <c r="AJ27" s="15">
        <f>SUMIFS('7月运营'!H:H,'7月运营'!$A:$A,D27,'7月运营'!$K:$K,$A$1)</f>
        <v>0</v>
      </c>
      <c r="AK27" s="15">
        <f>SUMIFS(上月未发人员明细!I:I,上月未发人员明细!J:J,$AK$2,上月未发人员明细!A:A,D27)</f>
        <v>0</v>
      </c>
      <c r="AL27" s="15">
        <f>SUMIFS('7月运营'!L:L,'7月运营'!$A:$A,D27,'7月运营'!$K:$K,$AL$2)</f>
        <v>0</v>
      </c>
      <c r="AM27" s="18">
        <f>SUMIFS('7月运营'!$F:$F,'7月运营'!$A:$A,D27,'7月运营'!$K:$K,'②7月-汇总'!$AM$2,'7月运营'!$G:$G,"岗位核算")</f>
        <v>0</v>
      </c>
      <c r="AN27" s="18">
        <f>SUMIFS('7月运营'!$F:$F,'7月运营'!$A:$A,D27,'7月运营'!$K:$K,$AN$2,'7月运营'!$G:$G,"岗位核算")</f>
        <v>0</v>
      </c>
      <c r="AO27" s="18" t="str">
        <f t="shared" si="9"/>
        <v/>
      </c>
      <c r="AP27" s="18">
        <f t="shared" si="1"/>
        <v>31</v>
      </c>
      <c r="AQ27" s="18">
        <f>_xlfn.XLOOKUP(D27,'7月运营'!A:A,'7月运营'!G:G,0)</f>
        <v>0</v>
      </c>
    </row>
    <row r="28" spans="1:43" x14ac:dyDescent="0.15">
      <c r="A28" s="11" t="str">
        <v>龙湖</v>
      </c>
      <c r="B28" s="11" t="str">
        <v>健康师</v>
      </c>
      <c r="C28" s="11" t="str">
        <v>A</v>
      </c>
      <c r="D28" s="11" t="str">
        <v>何婷</v>
      </c>
      <c r="E28" s="11" t="str">
        <v>在职</v>
      </c>
      <c r="F28" s="11" t="str">
        <v>事业部</v>
      </c>
      <c r="G28" s="11">
        <f>_xlfn.XLOOKUP(D28,'①7月-花名册'!E:E,'①7月-花名册'!U:U,0)</f>
        <v>0</v>
      </c>
      <c r="H28" s="11">
        <f>_xlfn.XLOOKUP(D28,'①7月-花名册'!E:E,'①7月-花名册'!M:M,0)</f>
        <v>31</v>
      </c>
      <c r="I28" s="11">
        <f>_xlfn.XLOOKUP(D28,'①7月-花名册'!E:E,'①7月-花名册'!S:S,0)</f>
        <v>4</v>
      </c>
      <c r="J28" s="14">
        <f t="shared" si="2"/>
        <v>4</v>
      </c>
      <c r="K28" s="23">
        <v>4</v>
      </c>
      <c r="L28" s="23"/>
      <c r="M28" s="23"/>
      <c r="N28" s="23"/>
      <c r="O28" s="23"/>
      <c r="P28" s="15">
        <f t="shared" si="3"/>
        <v>27</v>
      </c>
      <c r="Q28" s="15">
        <f t="shared" si="4"/>
        <v>31</v>
      </c>
      <c r="R28" s="15">
        <f>IF(F28="事业部",LOOKUP(Q28,基础设置!$T$2:$T$6,基础设置!$U$2:$U$6),IF(F28="总部",LOOKUP(Q28,基础设置!$T$8:$T$13,基础设置!$V$8:$V$13),IF(F28="拓展部",LOOKUP(Q28,基础设置!$T$8:$T$13,基础设置!$W$8:$W$13),2000)))</f>
        <v>4</v>
      </c>
      <c r="S28" s="15">
        <f t="shared" si="5"/>
        <v>31</v>
      </c>
      <c r="T28" s="15">
        <f t="shared" si="6"/>
        <v>0</v>
      </c>
      <c r="U28" s="15">
        <f t="shared" si="7"/>
        <v>0</v>
      </c>
      <c r="V28" s="15">
        <f t="shared" si="0"/>
        <v>0</v>
      </c>
      <c r="W28" s="15">
        <f t="shared" si="8"/>
        <v>0</v>
      </c>
      <c r="X28" s="26">
        <v>10</v>
      </c>
      <c r="Y28" s="26"/>
      <c r="Z28" s="26"/>
      <c r="AA28" s="26"/>
      <c r="AB28" s="27"/>
      <c r="AC28" s="27"/>
      <c r="AD28" s="27"/>
      <c r="AE28" s="27"/>
      <c r="AF28" s="27"/>
      <c r="AG28" s="27"/>
      <c r="AH28" s="17">
        <f>_xlfn.XLOOKUP(D28,'①7月-花名册'!E:E,'①7月-花名册'!T:T,0)</f>
        <v>0</v>
      </c>
      <c r="AI28" s="15">
        <f>SUMIFS('7月运营'!$L:$L,'7月运营'!$A:$A,D28,'7月运营'!$K:$K,$A$1)</f>
        <v>0</v>
      </c>
      <c r="AJ28" s="15">
        <f>SUMIFS('7月运营'!H:H,'7月运营'!$A:$A,D28,'7月运营'!$K:$K,$A$1)</f>
        <v>0</v>
      </c>
      <c r="AK28" s="15">
        <f>SUMIFS(上月未发人员明细!I:I,上月未发人员明细!J:J,$AK$2,上月未发人员明细!A:A,D28)</f>
        <v>0</v>
      </c>
      <c r="AL28" s="15">
        <f>SUMIFS('7月运营'!L:L,'7月运营'!$A:$A,D28,'7月运营'!$K:$K,$AL$2)</f>
        <v>0</v>
      </c>
      <c r="AM28" s="18">
        <f>SUMIFS('7月运营'!$F:$F,'7月运营'!$A:$A,D28,'7月运营'!$K:$K,'②7月-汇总'!$AM$2,'7月运营'!$G:$G,"岗位核算")</f>
        <v>0</v>
      </c>
      <c r="AN28" s="18">
        <f>SUMIFS('7月运营'!$F:$F,'7月运营'!$A:$A,D28,'7月运营'!$K:$K,$AN$2,'7月运营'!$G:$G,"岗位核算")</f>
        <v>0</v>
      </c>
      <c r="AO28" s="18" t="str">
        <f t="shared" si="9"/>
        <v/>
      </c>
      <c r="AP28" s="18">
        <f t="shared" si="1"/>
        <v>31</v>
      </c>
      <c r="AQ28" s="18">
        <f>_xlfn.XLOOKUP(D28,'7月运营'!A:A,'7月运营'!G:G,0)</f>
        <v>0</v>
      </c>
    </row>
    <row r="29" spans="1:43" x14ac:dyDescent="0.15">
      <c r="A29" s="11" t="str">
        <v>龙湖</v>
      </c>
      <c r="B29" s="11" t="str">
        <v>健康师</v>
      </c>
      <c r="C29" s="11" t="str">
        <v>A</v>
      </c>
      <c r="D29" s="11" t="str">
        <v>刘慧</v>
      </c>
      <c r="E29" s="11" t="str">
        <v>在职</v>
      </c>
      <c r="F29" s="11" t="str">
        <v>事业部</v>
      </c>
      <c r="G29" s="11">
        <f>_xlfn.XLOOKUP(D29,'①7月-花名册'!E:E,'①7月-花名册'!U:U,0)</f>
        <v>0</v>
      </c>
      <c r="H29" s="11">
        <f>_xlfn.XLOOKUP(D29,'①7月-花名册'!E:E,'①7月-花名册'!M:M,0)</f>
        <v>31</v>
      </c>
      <c r="I29" s="11">
        <f>_xlfn.XLOOKUP(D29,'①7月-花名册'!E:E,'①7月-花名册'!S:S,0)</f>
        <v>4</v>
      </c>
      <c r="J29" s="14">
        <f t="shared" si="2"/>
        <v>4</v>
      </c>
      <c r="K29" s="23">
        <v>4</v>
      </c>
      <c r="L29" s="23"/>
      <c r="M29" s="23"/>
      <c r="N29" s="23"/>
      <c r="O29" s="23"/>
      <c r="P29" s="15">
        <f t="shared" si="3"/>
        <v>27</v>
      </c>
      <c r="Q29" s="15">
        <f t="shared" si="4"/>
        <v>31</v>
      </c>
      <c r="R29" s="15">
        <f>IF(F29="事业部",LOOKUP(Q29,基础设置!$T$2:$T$6,基础设置!$U$2:$U$6),IF(F29="总部",LOOKUP(Q29,基础设置!$T$8:$T$13,基础设置!$V$8:$V$13),IF(F29="拓展部",LOOKUP(Q29,基础设置!$T$8:$T$13,基础设置!$W$8:$W$13),2000)))</f>
        <v>4</v>
      </c>
      <c r="S29" s="15">
        <f t="shared" si="5"/>
        <v>31</v>
      </c>
      <c r="T29" s="15">
        <f t="shared" si="6"/>
        <v>0</v>
      </c>
      <c r="U29" s="15">
        <f t="shared" si="7"/>
        <v>0</v>
      </c>
      <c r="V29" s="15">
        <f t="shared" si="0"/>
        <v>0</v>
      </c>
      <c r="W29" s="15">
        <f t="shared" si="8"/>
        <v>0</v>
      </c>
      <c r="X29" s="26">
        <v>20</v>
      </c>
      <c r="Y29" s="26"/>
      <c r="Z29" s="26"/>
      <c r="AA29" s="26"/>
      <c r="AB29" s="27"/>
      <c r="AC29" s="27"/>
      <c r="AD29" s="27"/>
      <c r="AE29" s="27"/>
      <c r="AF29" s="27"/>
      <c r="AG29" s="27"/>
      <c r="AH29" s="17">
        <f>_xlfn.XLOOKUP(D29,'①7月-花名册'!E:E,'①7月-花名册'!T:T,0)</f>
        <v>0</v>
      </c>
      <c r="AI29" s="15">
        <f>SUMIFS('7月运营'!$L:$L,'7月运营'!$A:$A,D29,'7月运营'!$K:$K,$A$1)</f>
        <v>0</v>
      </c>
      <c r="AJ29" s="15">
        <f>SUMIFS('7月运营'!H:H,'7月运营'!$A:$A,D29,'7月运营'!$K:$K,$A$1)</f>
        <v>0</v>
      </c>
      <c r="AK29" s="15">
        <f>SUMIFS(上月未发人员明细!I:I,上月未发人员明细!J:J,$AK$2,上月未发人员明细!A:A,D29)</f>
        <v>0</v>
      </c>
      <c r="AL29" s="15">
        <f>SUMIFS('7月运营'!L:L,'7月运营'!$A:$A,D29,'7月运营'!$K:$K,$AL$2)</f>
        <v>0</v>
      </c>
      <c r="AM29" s="18">
        <f>SUMIFS('7月运营'!$F:$F,'7月运营'!$A:$A,D29,'7月运营'!$K:$K,'②7月-汇总'!$AM$2,'7月运营'!$G:$G,"岗位核算")</f>
        <v>0</v>
      </c>
      <c r="AN29" s="18">
        <f>SUMIFS('7月运营'!$F:$F,'7月运营'!$A:$A,D29,'7月运营'!$K:$K,$AN$2,'7月运营'!$G:$G,"岗位核算")</f>
        <v>0</v>
      </c>
      <c r="AO29" s="18" t="str">
        <f t="shared" si="9"/>
        <v/>
      </c>
      <c r="AP29" s="18">
        <f t="shared" si="1"/>
        <v>31</v>
      </c>
      <c r="AQ29" s="18">
        <f>_xlfn.XLOOKUP(D29,'7月运营'!A:A,'7月运营'!G:G,0)</f>
        <v>0</v>
      </c>
    </row>
    <row r="30" spans="1:43" x14ac:dyDescent="0.15">
      <c r="A30" s="11" t="str">
        <v>事业三部</v>
      </c>
      <c r="B30" s="11" t="str">
        <v>总经理</v>
      </c>
      <c r="C30" s="11" t="str">
        <v>B</v>
      </c>
      <c r="D30" s="11" t="str">
        <v>秦亚平</v>
      </c>
      <c r="E30" s="11" t="str">
        <v>在职</v>
      </c>
      <c r="F30" s="11" t="str">
        <v>事业部</v>
      </c>
      <c r="G30" s="11">
        <f>_xlfn.XLOOKUP(D30,'①7月-花名册'!E:E,'①7月-花名册'!U:U,0)</f>
        <v>0</v>
      </c>
      <c r="H30" s="11">
        <f>_xlfn.XLOOKUP(D30,'①7月-花名册'!E:E,'①7月-花名册'!M:M,0)</f>
        <v>31</v>
      </c>
      <c r="I30" s="11">
        <f>_xlfn.XLOOKUP(D30,'①7月-花名册'!E:E,'①7月-花名册'!S:S,0)</f>
        <v>4</v>
      </c>
      <c r="J30" s="14">
        <f t="shared" si="2"/>
        <v>6</v>
      </c>
      <c r="K30" s="23">
        <v>4</v>
      </c>
      <c r="L30" s="23"/>
      <c r="M30" s="23">
        <v>2</v>
      </c>
      <c r="N30" s="23"/>
      <c r="O30" s="23"/>
      <c r="P30" s="15">
        <f t="shared" si="3"/>
        <v>25</v>
      </c>
      <c r="Q30" s="15">
        <f t="shared" si="4"/>
        <v>31</v>
      </c>
      <c r="R30" s="15">
        <f>IF(F30="事业部",LOOKUP(Q30,基础设置!$T$2:$T$6,基础设置!$U$2:$U$6),IF(F30="总部",LOOKUP(Q30,基础设置!$T$8:$T$13,基础设置!$V$8:$V$13),IF(F30="拓展部",LOOKUP(Q30,基础设置!$T$8:$T$13,基础设置!$W$8:$W$13),2000)))</f>
        <v>4</v>
      </c>
      <c r="S30" s="15">
        <f t="shared" si="5"/>
        <v>31</v>
      </c>
      <c r="T30" s="15">
        <f t="shared" si="6"/>
        <v>0</v>
      </c>
      <c r="U30" s="15">
        <f t="shared" si="7"/>
        <v>0</v>
      </c>
      <c r="V30" s="15">
        <f t="shared" si="0"/>
        <v>0</v>
      </c>
      <c r="W30" s="15">
        <f t="shared" si="8"/>
        <v>0</v>
      </c>
      <c r="X30" s="26">
        <v>20</v>
      </c>
      <c r="Y30" s="26"/>
      <c r="Z30" s="26"/>
      <c r="AA30" s="26"/>
      <c r="AB30" s="27"/>
      <c r="AC30" s="27"/>
      <c r="AD30" s="27"/>
      <c r="AE30" s="27"/>
      <c r="AF30" s="27"/>
      <c r="AG30" s="27">
        <v>-1000</v>
      </c>
      <c r="AH30" s="17">
        <f>_xlfn.XLOOKUP(D30,'①7月-花名册'!E:E,'①7月-花名册'!T:T,0)</f>
        <v>0</v>
      </c>
      <c r="AI30" s="15">
        <f>SUMIFS('7月运营'!$L:$L,'7月运营'!$A:$A,D30,'7月运营'!$K:$K,$A$1)</f>
        <v>0</v>
      </c>
      <c r="AJ30" s="15">
        <f>SUMIFS('7月运营'!H:H,'7月运营'!$A:$A,D30,'7月运营'!$K:$K,$A$1)</f>
        <v>0</v>
      </c>
      <c r="AK30" s="15">
        <f>SUMIFS(上月未发人员明细!I:I,上月未发人员明细!J:J,$AK$2,上月未发人员明细!A:A,D30)</f>
        <v>0</v>
      </c>
      <c r="AL30" s="15">
        <f>SUMIFS('7月运营'!L:L,'7月运营'!$A:$A,D30,'7月运营'!$K:$K,$AL$2)</f>
        <v>0</v>
      </c>
      <c r="AM30" s="18">
        <f>SUMIFS('7月运营'!$F:$F,'7月运营'!$A:$A,D30,'7月运营'!$K:$K,'②7月-汇总'!$AM$2,'7月运营'!$G:$G,"岗位核算")</f>
        <v>0</v>
      </c>
      <c r="AN30" s="18">
        <f>SUMIFS('7月运营'!$F:$F,'7月运营'!$A:$A,D30,'7月运营'!$K:$K,$AN$2,'7月运营'!$G:$G,"岗位核算")</f>
        <v>0</v>
      </c>
      <c r="AO30" s="18" t="str">
        <f t="shared" si="9"/>
        <v/>
      </c>
      <c r="AP30" s="18">
        <f t="shared" si="1"/>
        <v>31</v>
      </c>
      <c r="AQ30" s="18">
        <f>_xlfn.XLOOKUP(D30,'7月运营'!A:A,'7月运营'!G:G,0)</f>
        <v>0</v>
      </c>
    </row>
    <row r="31" spans="1:43" x14ac:dyDescent="0.15">
      <c r="A31" s="11" t="str">
        <v>沙河</v>
      </c>
      <c r="B31" s="11" t="str">
        <v>店助</v>
      </c>
      <c r="C31" s="11" t="str">
        <v>A</v>
      </c>
      <c r="D31" s="11" t="str">
        <v>谭莹</v>
      </c>
      <c r="E31" s="11" t="str">
        <v>在职</v>
      </c>
      <c r="F31" s="11" t="str">
        <v>事业部</v>
      </c>
      <c r="G31" s="11">
        <f>_xlfn.XLOOKUP(D31,'①7月-花名册'!E:E,'①7月-花名册'!U:U,0)</f>
        <v>0</v>
      </c>
      <c r="H31" s="11">
        <f>_xlfn.XLOOKUP(D31,'①7月-花名册'!E:E,'①7月-花名册'!M:M,0)</f>
        <v>31</v>
      </c>
      <c r="I31" s="11">
        <f>_xlfn.XLOOKUP(D31,'①7月-花名册'!E:E,'①7月-花名册'!S:S,0)</f>
        <v>4</v>
      </c>
      <c r="J31" s="14">
        <f t="shared" si="2"/>
        <v>4</v>
      </c>
      <c r="K31" s="23">
        <v>4</v>
      </c>
      <c r="L31" s="23"/>
      <c r="M31" s="23"/>
      <c r="N31" s="23"/>
      <c r="O31" s="23"/>
      <c r="P31" s="15">
        <f t="shared" si="3"/>
        <v>27</v>
      </c>
      <c r="Q31" s="15">
        <f t="shared" si="4"/>
        <v>31</v>
      </c>
      <c r="R31" s="15">
        <f>IF(F31="事业部",LOOKUP(Q31,基础设置!$T$2:$T$6,基础设置!$U$2:$U$6),IF(F31="总部",LOOKUP(Q31,基础设置!$T$8:$T$13,基础设置!$V$8:$V$13),IF(F31="拓展部",LOOKUP(Q31,基础设置!$T$8:$T$13,基础设置!$W$8:$W$13),2000)))</f>
        <v>4</v>
      </c>
      <c r="S31" s="15">
        <f t="shared" si="5"/>
        <v>31</v>
      </c>
      <c r="T31" s="15">
        <f t="shared" si="6"/>
        <v>0</v>
      </c>
      <c r="U31" s="15">
        <f t="shared" si="7"/>
        <v>0</v>
      </c>
      <c r="V31" s="15">
        <f t="shared" si="0"/>
        <v>0</v>
      </c>
      <c r="W31" s="15">
        <f t="shared" si="8"/>
        <v>0</v>
      </c>
      <c r="X31" s="26"/>
      <c r="Y31" s="26"/>
      <c r="Z31" s="26">
        <v>50</v>
      </c>
      <c r="AA31" s="26"/>
      <c r="AB31" s="27"/>
      <c r="AC31" s="27"/>
      <c r="AD31" s="27"/>
      <c r="AE31" s="27"/>
      <c r="AF31" s="27"/>
      <c r="AG31" s="27"/>
      <c r="AH31" s="17">
        <f>_xlfn.XLOOKUP(D31,'①7月-花名册'!E:E,'①7月-花名册'!T:T,0)</f>
        <v>0</v>
      </c>
      <c r="AI31" s="15">
        <f>SUMIFS('7月运营'!$L:$L,'7月运营'!$A:$A,D31,'7月运营'!$K:$K,$A$1)</f>
        <v>0</v>
      </c>
      <c r="AJ31" s="15">
        <f>SUMIFS('7月运营'!H:H,'7月运营'!$A:$A,D31,'7月运营'!$K:$K,$A$1)</f>
        <v>0</v>
      </c>
      <c r="AK31" s="15">
        <f>SUMIFS(上月未发人员明细!I:I,上月未发人员明细!J:J,$AK$2,上月未发人员明细!A:A,D31)</f>
        <v>0</v>
      </c>
      <c r="AL31" s="15">
        <f>SUMIFS('7月运营'!L:L,'7月运营'!$A:$A,D31,'7月运营'!$K:$K,$AL$2)</f>
        <v>0</v>
      </c>
      <c r="AM31" s="18">
        <f>SUMIFS('7月运营'!$F:$F,'7月运营'!$A:$A,D31,'7月运营'!$K:$K,'②7月-汇总'!$AM$2,'7月运营'!$G:$G,"岗位核算")</f>
        <v>0</v>
      </c>
      <c r="AN31" s="18">
        <f>SUMIFS('7月运营'!$F:$F,'7月运营'!$A:$A,D31,'7月运营'!$K:$K,$AN$2,'7月运营'!$G:$G,"岗位核算")</f>
        <v>0</v>
      </c>
      <c r="AO31" s="18" t="str">
        <f t="shared" si="9"/>
        <v/>
      </c>
      <c r="AP31" s="18">
        <f t="shared" si="1"/>
        <v>31</v>
      </c>
      <c r="AQ31" s="18">
        <f>_xlfn.XLOOKUP(D31,'7月运营'!A:A,'7月运营'!G:G,0)</f>
        <v>0</v>
      </c>
    </row>
    <row r="32" spans="1:43" x14ac:dyDescent="0.15">
      <c r="A32" s="11" t="str">
        <v>沙河</v>
      </c>
      <c r="B32" s="11" t="str">
        <v>健康师</v>
      </c>
      <c r="C32" s="11" t="str">
        <v>A</v>
      </c>
      <c r="D32" s="11" t="str">
        <v>张芮</v>
      </c>
      <c r="E32" s="11" t="str">
        <v>在职</v>
      </c>
      <c r="F32" s="11" t="str">
        <v>事业部</v>
      </c>
      <c r="G32" s="11">
        <f>_xlfn.XLOOKUP(D32,'①7月-花名册'!E:E,'①7月-花名册'!U:U,0)</f>
        <v>0</v>
      </c>
      <c r="H32" s="11">
        <f>_xlfn.XLOOKUP(D32,'①7月-花名册'!E:E,'①7月-花名册'!M:M,0)</f>
        <v>31</v>
      </c>
      <c r="I32" s="11">
        <f>_xlfn.XLOOKUP(D32,'①7月-花名册'!E:E,'①7月-花名册'!S:S,0)</f>
        <v>4</v>
      </c>
      <c r="J32" s="14">
        <f t="shared" si="2"/>
        <v>4</v>
      </c>
      <c r="K32" s="23">
        <v>4</v>
      </c>
      <c r="L32" s="23"/>
      <c r="M32" s="23"/>
      <c r="N32" s="23"/>
      <c r="O32" s="23"/>
      <c r="P32" s="15">
        <f t="shared" si="3"/>
        <v>27</v>
      </c>
      <c r="Q32" s="15">
        <f t="shared" si="4"/>
        <v>31</v>
      </c>
      <c r="R32" s="15">
        <f>IF(F32="事业部",LOOKUP(Q32,基础设置!$T$2:$T$6,基础设置!$U$2:$U$6),IF(F32="总部",LOOKUP(Q32,基础设置!$T$8:$T$13,基础设置!$V$8:$V$13),IF(F32="拓展部",LOOKUP(Q32,基础设置!$T$8:$T$13,基础设置!$W$8:$W$13),2000)))</f>
        <v>4</v>
      </c>
      <c r="S32" s="15">
        <f t="shared" si="5"/>
        <v>31</v>
      </c>
      <c r="T32" s="15">
        <f t="shared" si="6"/>
        <v>0</v>
      </c>
      <c r="U32" s="15">
        <f t="shared" si="7"/>
        <v>0</v>
      </c>
      <c r="V32" s="15">
        <f t="shared" si="0"/>
        <v>0</v>
      </c>
      <c r="W32" s="15">
        <f t="shared" si="8"/>
        <v>0</v>
      </c>
      <c r="X32" s="26"/>
      <c r="Y32" s="26"/>
      <c r="Z32" s="26">
        <v>50</v>
      </c>
      <c r="AA32" s="26"/>
      <c r="AB32" s="27"/>
      <c r="AC32" s="27"/>
      <c r="AD32" s="27"/>
      <c r="AE32" s="27"/>
      <c r="AF32" s="27"/>
      <c r="AG32" s="27"/>
      <c r="AH32" s="17">
        <f>_xlfn.XLOOKUP(D32,'①7月-花名册'!E:E,'①7月-花名册'!T:T,0)</f>
        <v>0</v>
      </c>
      <c r="AI32" s="15">
        <f>SUMIFS('7月运营'!$L:$L,'7月运营'!$A:$A,D32,'7月运营'!$K:$K,$A$1)</f>
        <v>0</v>
      </c>
      <c r="AJ32" s="15">
        <f>SUMIFS('7月运营'!H:H,'7月运营'!$A:$A,D32,'7月运营'!$K:$K,$A$1)</f>
        <v>0</v>
      </c>
      <c r="AK32" s="15">
        <f>SUMIFS(上月未发人员明细!I:I,上月未发人员明细!J:J,$AK$2,上月未发人员明细!A:A,D32)</f>
        <v>0</v>
      </c>
      <c r="AL32" s="15">
        <f>SUMIFS('7月运营'!L:L,'7月运营'!$A:$A,D32,'7月运营'!$K:$K,$AL$2)</f>
        <v>0</v>
      </c>
      <c r="AM32" s="18">
        <f>SUMIFS('7月运营'!$F:$F,'7月运营'!$A:$A,D32,'7月运营'!$K:$K,'②7月-汇总'!$AM$2,'7月运营'!$G:$G,"岗位核算")</f>
        <v>0</v>
      </c>
      <c r="AN32" s="18">
        <f>SUMIFS('7月运营'!$F:$F,'7月运营'!$A:$A,D32,'7月运营'!$K:$K,$AN$2,'7月运营'!$G:$G,"岗位核算")</f>
        <v>0</v>
      </c>
      <c r="AO32" s="18" t="str">
        <f t="shared" si="9"/>
        <v/>
      </c>
      <c r="AP32" s="18">
        <f t="shared" si="1"/>
        <v>31</v>
      </c>
      <c r="AQ32" s="18">
        <f>_xlfn.XLOOKUP(D32,'7月运营'!A:A,'7月运营'!G:G,0)</f>
        <v>0</v>
      </c>
    </row>
    <row r="33" spans="1:43" x14ac:dyDescent="0.15">
      <c r="A33" s="11" t="str">
        <v>沙河</v>
      </c>
      <c r="B33" s="11" t="str">
        <v>健康师</v>
      </c>
      <c r="C33" s="11" t="str">
        <v>A</v>
      </c>
      <c r="D33" s="11" t="str">
        <v>张元琼</v>
      </c>
      <c r="E33" s="11" t="str">
        <v>在职</v>
      </c>
      <c r="F33" s="11" t="str">
        <v>事业部</v>
      </c>
      <c r="G33" s="11">
        <f>_xlfn.XLOOKUP(D33,'①7月-花名册'!E:E,'①7月-花名册'!U:U,0)</f>
        <v>0</v>
      </c>
      <c r="H33" s="11">
        <f>_xlfn.XLOOKUP(D33,'①7月-花名册'!E:E,'①7月-花名册'!M:M,0)</f>
        <v>31</v>
      </c>
      <c r="I33" s="11">
        <f>_xlfn.XLOOKUP(D33,'①7月-花名册'!E:E,'①7月-花名册'!S:S,0)</f>
        <v>4</v>
      </c>
      <c r="J33" s="14">
        <f t="shared" si="2"/>
        <v>4</v>
      </c>
      <c r="K33" s="23">
        <v>4</v>
      </c>
      <c r="L33" s="23"/>
      <c r="M33" s="23"/>
      <c r="N33" s="23"/>
      <c r="O33" s="23"/>
      <c r="P33" s="15">
        <f t="shared" si="3"/>
        <v>27</v>
      </c>
      <c r="Q33" s="15">
        <f t="shared" si="4"/>
        <v>31</v>
      </c>
      <c r="R33" s="15">
        <f>IF(F33="事业部",LOOKUP(Q33,基础设置!$T$2:$T$6,基础设置!$U$2:$U$6),IF(F33="总部",LOOKUP(Q33,基础设置!$T$8:$T$13,基础设置!$V$8:$V$13),IF(F33="拓展部",LOOKUP(Q33,基础设置!$T$8:$T$13,基础设置!$W$8:$W$13),2000)))</f>
        <v>4</v>
      </c>
      <c r="S33" s="15">
        <f t="shared" si="5"/>
        <v>31</v>
      </c>
      <c r="T33" s="15">
        <f t="shared" si="6"/>
        <v>0</v>
      </c>
      <c r="U33" s="15">
        <f t="shared" si="7"/>
        <v>0</v>
      </c>
      <c r="V33" s="15">
        <f t="shared" si="0"/>
        <v>0</v>
      </c>
      <c r="W33" s="15">
        <f t="shared" si="8"/>
        <v>0</v>
      </c>
      <c r="X33" s="26"/>
      <c r="Y33" s="26"/>
      <c r="Z33" s="26">
        <v>50</v>
      </c>
      <c r="AA33" s="26"/>
      <c r="AB33" s="27"/>
      <c r="AC33" s="27"/>
      <c r="AD33" s="27"/>
      <c r="AE33" s="27"/>
      <c r="AF33" s="27"/>
      <c r="AG33" s="27"/>
      <c r="AH33" s="17">
        <f>_xlfn.XLOOKUP(D33,'①7月-花名册'!E:E,'①7月-花名册'!T:T,0)</f>
        <v>0</v>
      </c>
      <c r="AI33" s="15">
        <f>SUMIFS('7月运营'!$L:$L,'7月运营'!$A:$A,D33,'7月运营'!$K:$K,$A$1)</f>
        <v>0</v>
      </c>
      <c r="AJ33" s="15">
        <f>SUMIFS('7月运营'!H:H,'7月运营'!$A:$A,D33,'7月运营'!$K:$K,$A$1)</f>
        <v>0</v>
      </c>
      <c r="AK33" s="15">
        <f>SUMIFS(上月未发人员明细!I:I,上月未发人员明细!J:J,$AK$2,上月未发人员明细!A:A,D33)</f>
        <v>0</v>
      </c>
      <c r="AL33" s="15">
        <f>SUMIFS('7月运营'!L:L,'7月运营'!$A:$A,D33,'7月运营'!$K:$K,$AL$2)</f>
        <v>0</v>
      </c>
      <c r="AM33" s="18">
        <f>SUMIFS('7月运营'!$F:$F,'7月运营'!$A:$A,D33,'7月运营'!$K:$K,'②7月-汇总'!$AM$2,'7月运营'!$G:$G,"岗位核算")</f>
        <v>0</v>
      </c>
      <c r="AN33" s="18">
        <f>SUMIFS('7月运营'!$F:$F,'7月运营'!$A:$A,D33,'7月运营'!$K:$K,$AN$2,'7月运营'!$G:$G,"岗位核算")</f>
        <v>0</v>
      </c>
      <c r="AO33" s="18" t="str">
        <f t="shared" si="9"/>
        <v/>
      </c>
      <c r="AP33" s="18">
        <f t="shared" si="1"/>
        <v>31</v>
      </c>
      <c r="AQ33" s="18">
        <f>_xlfn.XLOOKUP(D33,'7月运营'!A:A,'7月运营'!G:G,0)</f>
        <v>0</v>
      </c>
    </row>
    <row r="34" spans="1:43" x14ac:dyDescent="0.15">
      <c r="A34" s="11" t="str">
        <v>沙河</v>
      </c>
      <c r="B34" s="11" t="str">
        <v>健康师</v>
      </c>
      <c r="C34" s="11" t="str">
        <v>A</v>
      </c>
      <c r="D34" s="11" t="str">
        <v>王依蕊</v>
      </c>
      <c r="E34" s="11" t="str">
        <v>离职</v>
      </c>
      <c r="F34" s="11" t="str">
        <v>事业部</v>
      </c>
      <c r="G34" s="11">
        <f>_xlfn.XLOOKUP(D34,'①7月-花名册'!E:E,'①7月-花名册'!U:U,0)</f>
        <v>0</v>
      </c>
      <c r="H34" s="11">
        <f>_xlfn.XLOOKUP(D34,'①7月-花名册'!E:E,'①7月-花名册'!M:M,0)</f>
        <v>25</v>
      </c>
      <c r="I34" s="11">
        <f>_xlfn.XLOOKUP(D34,'①7月-花名册'!E:E,'①7月-花名册'!S:S,0)</f>
        <v>3</v>
      </c>
      <c r="J34" s="14">
        <f t="shared" si="2"/>
        <v>3</v>
      </c>
      <c r="K34" s="23">
        <v>3</v>
      </c>
      <c r="L34" s="23"/>
      <c r="M34" s="23"/>
      <c r="N34" s="23"/>
      <c r="O34" s="23"/>
      <c r="P34" s="15">
        <f t="shared" si="3"/>
        <v>22</v>
      </c>
      <c r="Q34" s="15">
        <f t="shared" si="4"/>
        <v>25</v>
      </c>
      <c r="R34" s="15">
        <f>IF(F34="事业部",LOOKUP(Q34,基础设置!$T$2:$T$6,基础设置!$U$2:$U$6),IF(F34="总部",LOOKUP(Q34,基础设置!$T$8:$T$13,基础设置!$V$8:$V$13),IF(F34="拓展部",LOOKUP(Q34,基础设置!$T$8:$T$13,基础设置!$W$8:$W$13),2000)))</f>
        <v>3</v>
      </c>
      <c r="S34" s="15">
        <f t="shared" si="5"/>
        <v>25</v>
      </c>
      <c r="T34" s="15">
        <f t="shared" si="6"/>
        <v>0</v>
      </c>
      <c r="U34" s="15">
        <f t="shared" si="7"/>
        <v>0</v>
      </c>
      <c r="V34" s="15">
        <f t="shared" si="0"/>
        <v>0</v>
      </c>
      <c r="W34" s="15">
        <f t="shared" si="8"/>
        <v>0</v>
      </c>
      <c r="X34" s="26">
        <v>10</v>
      </c>
      <c r="Y34" s="26"/>
      <c r="Z34" s="26"/>
      <c r="AA34" s="26"/>
      <c r="AB34" s="27"/>
      <c r="AC34" s="27"/>
      <c r="AD34" s="27"/>
      <c r="AE34" s="27"/>
      <c r="AF34" s="27"/>
      <c r="AG34" s="27"/>
      <c r="AH34" s="17">
        <f>_xlfn.XLOOKUP(D34,'①7月-花名册'!E:E,'①7月-花名册'!T:T,0)</f>
        <v>0</v>
      </c>
      <c r="AI34" s="15">
        <f>SUMIFS('7月运营'!$L:$L,'7月运营'!$A:$A,D34,'7月运营'!$K:$K,$A$1)</f>
        <v>0</v>
      </c>
      <c r="AJ34" s="15">
        <f>SUMIFS('7月运营'!H:H,'7月运营'!$A:$A,D34,'7月运营'!$K:$K,$A$1)</f>
        <v>0</v>
      </c>
      <c r="AK34" s="15">
        <f>SUMIFS(上月未发人员明细!I:I,上月未发人员明细!J:J,$AK$2,上月未发人员明细!A:A,D34)</f>
        <v>0</v>
      </c>
      <c r="AL34" s="15">
        <f>SUMIFS('7月运营'!L:L,'7月运营'!$A:$A,D34,'7月运营'!$K:$K,$AL$2)</f>
        <v>0</v>
      </c>
      <c r="AM34" s="18">
        <f>SUMIFS('7月运营'!$F:$F,'7月运营'!$A:$A,D34,'7月运营'!$K:$K,'②7月-汇总'!$AM$2,'7月运营'!$G:$G,"岗位核算")</f>
        <v>0</v>
      </c>
      <c r="AN34" s="18">
        <f>SUMIFS('7月运营'!$F:$F,'7月运营'!$A:$A,D34,'7月运营'!$K:$K,$AN$2,'7月运营'!$G:$G,"岗位核算")</f>
        <v>0</v>
      </c>
      <c r="AO34" s="18" t="str">
        <f t="shared" si="9"/>
        <v/>
      </c>
      <c r="AP34" s="18">
        <f t="shared" si="1"/>
        <v>25</v>
      </c>
      <c r="AQ34" s="18">
        <f>_xlfn.XLOOKUP(D34,'7月运营'!A:A,'7月运营'!G:G,0)</f>
        <v>0</v>
      </c>
    </row>
    <row r="35" spans="1:43" x14ac:dyDescent="0.15">
      <c r="A35" s="11" t="str">
        <v>沙河</v>
      </c>
      <c r="B35" s="11" t="str">
        <v>店长</v>
      </c>
      <c r="C35" s="11" t="str">
        <v>B</v>
      </c>
      <c r="D35" s="11" t="str">
        <v>向郑瑶</v>
      </c>
      <c r="E35" s="11" t="str">
        <v>在职</v>
      </c>
      <c r="F35" s="11" t="str">
        <v>事业部</v>
      </c>
      <c r="G35" s="11">
        <f>_xlfn.XLOOKUP(D35,'①7月-花名册'!E:E,'①7月-花名册'!U:U,0)</f>
        <v>0</v>
      </c>
      <c r="H35" s="11">
        <f>_xlfn.XLOOKUP(D35,'①7月-花名册'!E:E,'①7月-花名册'!M:M,0)</f>
        <v>31</v>
      </c>
      <c r="I35" s="11">
        <f>_xlfn.XLOOKUP(D35,'①7月-花名册'!E:E,'①7月-花名册'!S:S,0)</f>
        <v>4</v>
      </c>
      <c r="J35" s="14">
        <f t="shared" si="2"/>
        <v>4</v>
      </c>
      <c r="K35" s="23">
        <v>4</v>
      </c>
      <c r="L35" s="23"/>
      <c r="M35" s="23"/>
      <c r="N35" s="23"/>
      <c r="O35" s="23"/>
      <c r="P35" s="15">
        <f t="shared" si="3"/>
        <v>27</v>
      </c>
      <c r="Q35" s="15">
        <f t="shared" si="4"/>
        <v>31</v>
      </c>
      <c r="R35" s="15">
        <f>IF(F35="事业部",LOOKUP(Q35,基础设置!$T$2:$T$6,基础设置!$U$2:$U$6),IF(F35="总部",LOOKUP(Q35,基础设置!$T$8:$T$13,基础设置!$V$8:$V$13),IF(F35="拓展部",LOOKUP(Q35,基础设置!$T$8:$T$13,基础设置!$W$8:$W$13),2000)))</f>
        <v>4</v>
      </c>
      <c r="S35" s="15">
        <f t="shared" si="5"/>
        <v>31</v>
      </c>
      <c r="T35" s="15">
        <f t="shared" si="6"/>
        <v>0</v>
      </c>
      <c r="U35" s="15">
        <f t="shared" si="7"/>
        <v>0</v>
      </c>
      <c r="V35" s="15">
        <f t="shared" si="0"/>
        <v>0</v>
      </c>
      <c r="W35" s="15">
        <f t="shared" si="8"/>
        <v>0</v>
      </c>
      <c r="X35" s="26">
        <v>120</v>
      </c>
      <c r="Y35" s="26"/>
      <c r="Z35" s="26"/>
      <c r="AA35" s="26"/>
      <c r="AB35" s="27"/>
      <c r="AC35" s="27"/>
      <c r="AD35" s="27"/>
      <c r="AE35" s="27"/>
      <c r="AF35" s="27"/>
      <c r="AG35" s="27"/>
      <c r="AH35" s="17">
        <f>_xlfn.XLOOKUP(D35,'①7月-花名册'!E:E,'①7月-花名册'!T:T,0)</f>
        <v>0</v>
      </c>
      <c r="AI35" s="15">
        <f>SUMIFS('7月运营'!$L:$L,'7月运营'!$A:$A,D35,'7月运营'!$K:$K,$A$1)</f>
        <v>0</v>
      </c>
      <c r="AJ35" s="15">
        <f>SUMIFS('7月运营'!H:H,'7月运营'!$A:$A,D35,'7月运营'!$K:$K,$A$1)</f>
        <v>0</v>
      </c>
      <c r="AK35" s="15">
        <f>SUMIFS(上月未发人员明细!I:I,上月未发人员明细!J:J,$AK$2,上月未发人员明细!A:A,D35)</f>
        <v>0</v>
      </c>
      <c r="AL35" s="15">
        <f>SUMIFS('7月运营'!L:L,'7月运营'!$A:$A,D35,'7月运营'!$K:$K,$AL$2)</f>
        <v>0</v>
      </c>
      <c r="AM35" s="18">
        <f>SUMIFS('7月运营'!$F:$F,'7月运营'!$A:$A,D35,'7月运营'!$K:$K,'②7月-汇总'!$AM$2,'7月运营'!$G:$G,"岗位核算")</f>
        <v>0</v>
      </c>
      <c r="AN35" s="18">
        <f>SUMIFS('7月运营'!$F:$F,'7月运营'!$A:$A,D35,'7月运营'!$K:$K,$AN$2,'7月运营'!$G:$G,"岗位核算")</f>
        <v>0</v>
      </c>
      <c r="AO35" s="18" t="str">
        <f t="shared" si="9"/>
        <v/>
      </c>
      <c r="AP35" s="18">
        <f t="shared" si="1"/>
        <v>31</v>
      </c>
      <c r="AQ35" s="18">
        <f>_xlfn.XLOOKUP(D35,'7月运营'!A:A,'7月运营'!G:G,0)</f>
        <v>0</v>
      </c>
    </row>
    <row r="36" spans="1:43" x14ac:dyDescent="0.15">
      <c r="A36" s="11" t="str">
        <v>沙河</v>
      </c>
      <c r="B36" s="11" t="str">
        <v>健康师</v>
      </c>
      <c r="C36" s="11" t="str">
        <v>A</v>
      </c>
      <c r="D36" s="11" t="str">
        <v>唐容</v>
      </c>
      <c r="E36" s="11" t="str">
        <v>在职</v>
      </c>
      <c r="F36" s="11" t="str">
        <v>事业部</v>
      </c>
      <c r="G36" s="11">
        <f>_xlfn.XLOOKUP(D36,'①7月-花名册'!E:E,'①7月-花名册'!U:U,0)</f>
        <v>0</v>
      </c>
      <c r="H36" s="11">
        <f>_xlfn.XLOOKUP(D36,'①7月-花名册'!E:E,'①7月-花名册'!M:M,0)</f>
        <v>31</v>
      </c>
      <c r="I36" s="11">
        <f>_xlfn.XLOOKUP(D36,'①7月-花名册'!E:E,'①7月-花名册'!S:S,0)</f>
        <v>4</v>
      </c>
      <c r="J36" s="14">
        <f t="shared" si="2"/>
        <v>4</v>
      </c>
      <c r="K36" s="23">
        <v>4</v>
      </c>
      <c r="L36" s="23"/>
      <c r="M36" s="23"/>
      <c r="N36" s="23"/>
      <c r="O36" s="23"/>
      <c r="P36" s="15">
        <f t="shared" si="3"/>
        <v>27</v>
      </c>
      <c r="Q36" s="15">
        <f t="shared" si="4"/>
        <v>31</v>
      </c>
      <c r="R36" s="15">
        <f>IF(F36="事业部",LOOKUP(Q36,基础设置!$T$2:$T$6,基础设置!$U$2:$U$6),IF(F36="总部",LOOKUP(Q36,基础设置!$T$8:$T$13,基础设置!$V$8:$V$13),IF(F36="拓展部",LOOKUP(Q36,基础设置!$T$8:$T$13,基础设置!$W$8:$W$13),2000)))</f>
        <v>4</v>
      </c>
      <c r="S36" s="15">
        <f t="shared" si="5"/>
        <v>31</v>
      </c>
      <c r="T36" s="15">
        <f t="shared" si="6"/>
        <v>0</v>
      </c>
      <c r="U36" s="15">
        <f t="shared" si="7"/>
        <v>0</v>
      </c>
      <c r="V36" s="15">
        <f t="shared" si="0"/>
        <v>0</v>
      </c>
      <c r="W36" s="15">
        <f t="shared" si="8"/>
        <v>0</v>
      </c>
      <c r="X36" s="26"/>
      <c r="Y36" s="26"/>
      <c r="Z36" s="26"/>
      <c r="AA36" s="26"/>
      <c r="AB36" s="27"/>
      <c r="AC36" s="27"/>
      <c r="AD36" s="27"/>
      <c r="AE36" s="27"/>
      <c r="AF36" s="27"/>
      <c r="AG36" s="27"/>
      <c r="AH36" s="17">
        <f>_xlfn.XLOOKUP(D36,'①7月-花名册'!E:E,'①7月-花名册'!T:T,0)</f>
        <v>0</v>
      </c>
      <c r="AI36" s="15">
        <f>SUMIFS('7月运营'!$L:$L,'7月运营'!$A:$A,D36,'7月运营'!$K:$K,$A$1)</f>
        <v>0</v>
      </c>
      <c r="AJ36" s="15">
        <f>SUMIFS('7月运营'!H:H,'7月运营'!$A:$A,D36,'7月运营'!$K:$K,$A$1)</f>
        <v>0</v>
      </c>
      <c r="AK36" s="15">
        <f>SUMIFS(上月未发人员明细!I:I,上月未发人员明细!J:J,$AK$2,上月未发人员明细!A:A,D36)</f>
        <v>0</v>
      </c>
      <c r="AL36" s="15">
        <f>SUMIFS('7月运营'!L:L,'7月运营'!$A:$A,D36,'7月运营'!$K:$K,$AL$2)</f>
        <v>0</v>
      </c>
      <c r="AM36" s="18">
        <f>SUMIFS('7月运营'!$F:$F,'7月运营'!$A:$A,D36,'7月运营'!$K:$K,'②7月-汇总'!$AM$2,'7月运营'!$G:$G,"岗位核算")</f>
        <v>0</v>
      </c>
      <c r="AN36" s="18">
        <f>SUMIFS('7月运营'!$F:$F,'7月运营'!$A:$A,D36,'7月运营'!$K:$K,$AN$2,'7月运营'!$G:$G,"岗位核算")</f>
        <v>0</v>
      </c>
      <c r="AO36" s="18" t="str">
        <f t="shared" si="9"/>
        <v/>
      </c>
      <c r="AP36" s="18">
        <f t="shared" si="1"/>
        <v>31</v>
      </c>
      <c r="AQ36" s="18">
        <f>_xlfn.XLOOKUP(D36,'7月运营'!A:A,'7月运营'!G:G,0)</f>
        <v>0</v>
      </c>
    </row>
    <row r="37" spans="1:43" x14ac:dyDescent="0.15">
      <c r="A37" s="11" t="str">
        <v>沙河</v>
      </c>
      <c r="B37" s="11" t="str">
        <v>健康师</v>
      </c>
      <c r="C37" s="11" t="str">
        <v>A</v>
      </c>
      <c r="D37" s="11" t="str">
        <v>叶文娟</v>
      </c>
      <c r="E37" s="11" t="str">
        <v>在职</v>
      </c>
      <c r="F37" s="11" t="str">
        <v>事业部</v>
      </c>
      <c r="G37" s="11">
        <f>_xlfn.XLOOKUP(D37,'①7月-花名册'!E:E,'①7月-花名册'!U:U,0)</f>
        <v>0</v>
      </c>
      <c r="H37" s="11">
        <f>_xlfn.XLOOKUP(D37,'①7月-花名册'!E:E,'①7月-花名册'!M:M,0)</f>
        <v>31</v>
      </c>
      <c r="I37" s="11">
        <f>_xlfn.XLOOKUP(D37,'①7月-花名册'!E:E,'①7月-花名册'!S:S,0)</f>
        <v>4</v>
      </c>
      <c r="J37" s="14">
        <f t="shared" si="2"/>
        <v>4</v>
      </c>
      <c r="K37" s="23">
        <v>4</v>
      </c>
      <c r="L37" s="23"/>
      <c r="M37" s="23"/>
      <c r="N37" s="23"/>
      <c r="O37" s="23"/>
      <c r="P37" s="15">
        <f t="shared" si="3"/>
        <v>27</v>
      </c>
      <c r="Q37" s="15">
        <f t="shared" si="4"/>
        <v>31</v>
      </c>
      <c r="R37" s="15">
        <f>IF(F37="事业部",LOOKUP(Q37,基础设置!$T$2:$T$6,基础设置!$U$2:$U$6),IF(F37="总部",LOOKUP(Q37,基础设置!$T$8:$T$13,基础设置!$V$8:$V$13),IF(F37="拓展部",LOOKUP(Q37,基础设置!$T$8:$T$13,基础设置!$W$8:$W$13),2000)))</f>
        <v>4</v>
      </c>
      <c r="S37" s="15">
        <f t="shared" si="5"/>
        <v>31</v>
      </c>
      <c r="T37" s="15">
        <f t="shared" si="6"/>
        <v>0</v>
      </c>
      <c r="U37" s="15">
        <f t="shared" si="7"/>
        <v>0</v>
      </c>
      <c r="V37" s="15">
        <f t="shared" si="0"/>
        <v>0</v>
      </c>
      <c r="W37" s="15">
        <f t="shared" si="8"/>
        <v>0</v>
      </c>
      <c r="X37" s="26">
        <v>150</v>
      </c>
      <c r="Y37" s="26"/>
      <c r="Z37" s="26"/>
      <c r="AA37" s="26"/>
      <c r="AB37" s="27"/>
      <c r="AC37" s="27"/>
      <c r="AD37" s="27"/>
      <c r="AE37" s="27"/>
      <c r="AF37" s="27"/>
      <c r="AG37" s="27"/>
      <c r="AH37" s="17">
        <f>_xlfn.XLOOKUP(D37,'①7月-花名册'!E:E,'①7月-花名册'!T:T,0)</f>
        <v>0</v>
      </c>
      <c r="AI37" s="15">
        <f>SUMIFS('7月运营'!$L:$L,'7月运营'!$A:$A,D37,'7月运营'!$K:$K,$A$1)</f>
        <v>0</v>
      </c>
      <c r="AJ37" s="15">
        <f>SUMIFS('7月运营'!H:H,'7月运营'!$A:$A,D37,'7月运营'!$K:$K,$A$1)</f>
        <v>0</v>
      </c>
      <c r="AK37" s="15">
        <f>SUMIFS(上月未发人员明细!I:I,上月未发人员明细!J:J,$AK$2,上月未发人员明细!A:A,D37)</f>
        <v>0</v>
      </c>
      <c r="AL37" s="15">
        <f>SUMIFS('7月运营'!L:L,'7月运营'!$A:$A,D37,'7月运营'!$K:$K,$AL$2)</f>
        <v>0</v>
      </c>
      <c r="AM37" s="18">
        <f>SUMIFS('7月运营'!$F:$F,'7月运营'!$A:$A,D37,'7月运营'!$K:$K,'②7月-汇总'!$AM$2,'7月运营'!$G:$G,"岗位核算")</f>
        <v>0</v>
      </c>
      <c r="AN37" s="18">
        <f>SUMIFS('7月运营'!$F:$F,'7月运营'!$A:$A,D37,'7月运营'!$K:$K,$AN$2,'7月运营'!$G:$G,"岗位核算")</f>
        <v>0</v>
      </c>
      <c r="AO37" s="18" t="str">
        <f t="shared" si="9"/>
        <v/>
      </c>
      <c r="AP37" s="18">
        <f t="shared" si="1"/>
        <v>31</v>
      </c>
      <c r="AQ37" s="18">
        <f>_xlfn.XLOOKUP(D37,'7月运营'!A:A,'7月运营'!G:G,0)</f>
        <v>0</v>
      </c>
    </row>
    <row r="38" spans="1:43" x14ac:dyDescent="0.15">
      <c r="A38" s="11" t="str">
        <v>事业一部</v>
      </c>
      <c r="B38" s="11" t="str">
        <v>总经理</v>
      </c>
      <c r="C38" s="11" t="str">
        <v>B</v>
      </c>
      <c r="D38" s="11" t="str">
        <v>邹福贞</v>
      </c>
      <c r="E38" s="11" t="str">
        <v>在职</v>
      </c>
      <c r="F38" s="11" t="str">
        <v>事业部</v>
      </c>
      <c r="G38" s="11">
        <f>_xlfn.XLOOKUP(D38,'①7月-花名册'!E:E,'①7月-花名册'!U:U,0)</f>
        <v>0</v>
      </c>
      <c r="H38" s="11">
        <f>_xlfn.XLOOKUP(D38,'①7月-花名册'!E:E,'①7月-花名册'!M:M,0)</f>
        <v>31</v>
      </c>
      <c r="I38" s="11">
        <f>_xlfn.XLOOKUP(D38,'①7月-花名册'!E:E,'①7月-花名册'!S:S,0)</f>
        <v>4</v>
      </c>
      <c r="J38" s="14">
        <f t="shared" si="2"/>
        <v>4</v>
      </c>
      <c r="K38" s="23">
        <v>4</v>
      </c>
      <c r="L38" s="23"/>
      <c r="M38" s="23"/>
      <c r="N38" s="23"/>
      <c r="O38" s="23"/>
      <c r="P38" s="15">
        <f t="shared" si="3"/>
        <v>27</v>
      </c>
      <c r="Q38" s="15">
        <f t="shared" si="4"/>
        <v>31</v>
      </c>
      <c r="R38" s="15">
        <f>IF(F38="事业部",LOOKUP(Q38,基础设置!$T$2:$T$6,基础设置!$U$2:$U$6),IF(F38="总部",LOOKUP(Q38,基础设置!$T$8:$T$13,基础设置!$V$8:$V$13),IF(F38="拓展部",LOOKUP(Q38,基础设置!$T$8:$T$13,基础设置!$W$8:$W$13),2000)))</f>
        <v>4</v>
      </c>
      <c r="S38" s="15">
        <f t="shared" si="5"/>
        <v>31</v>
      </c>
      <c r="T38" s="15">
        <f t="shared" si="6"/>
        <v>0</v>
      </c>
      <c r="U38" s="15">
        <f t="shared" si="7"/>
        <v>0</v>
      </c>
      <c r="V38" s="15">
        <f t="shared" si="0"/>
        <v>0</v>
      </c>
      <c r="W38" s="15">
        <f t="shared" si="8"/>
        <v>0</v>
      </c>
      <c r="X38" s="26">
        <v>10</v>
      </c>
      <c r="Y38" s="26"/>
      <c r="Z38" s="26"/>
      <c r="AA38" s="26"/>
      <c r="AB38" s="27"/>
      <c r="AC38" s="27"/>
      <c r="AD38" s="27"/>
      <c r="AE38" s="27"/>
      <c r="AF38" s="27"/>
      <c r="AG38" s="27"/>
      <c r="AH38" s="17">
        <f>_xlfn.XLOOKUP(D38,'①7月-花名册'!E:E,'①7月-花名册'!T:T,0)</f>
        <v>0</v>
      </c>
      <c r="AI38" s="15">
        <f>SUMIFS('7月运营'!$L:$L,'7月运营'!$A:$A,D38,'7月运营'!$K:$K,$A$1)</f>
        <v>0</v>
      </c>
      <c r="AJ38" s="15">
        <f>SUMIFS('7月运营'!H:H,'7月运营'!$A:$A,D38,'7月运营'!$K:$K,$A$1)</f>
        <v>0</v>
      </c>
      <c r="AK38" s="15">
        <f>SUMIFS(上月未发人员明细!I:I,上月未发人员明细!J:J,$AK$2,上月未发人员明细!A:A,D38)</f>
        <v>0</v>
      </c>
      <c r="AL38" s="15">
        <f>SUMIFS('7月运营'!L:L,'7月运营'!$A:$A,D38,'7月运营'!$K:$K,$AL$2)</f>
        <v>0</v>
      </c>
      <c r="AM38" s="18">
        <f>SUMIFS('7月运营'!$F:$F,'7月运营'!$A:$A,D38,'7月运营'!$K:$K,'②7月-汇总'!$AM$2,'7月运营'!$G:$G,"岗位核算")</f>
        <v>0</v>
      </c>
      <c r="AN38" s="18">
        <f>SUMIFS('7月运营'!$F:$F,'7月运营'!$A:$A,D38,'7月运营'!$K:$K,$AN$2,'7月运营'!$G:$G,"岗位核算")</f>
        <v>0</v>
      </c>
      <c r="AO38" s="18" t="str">
        <f t="shared" si="9"/>
        <v/>
      </c>
      <c r="AP38" s="18">
        <f t="shared" si="1"/>
        <v>31</v>
      </c>
      <c r="AQ38" s="18">
        <f>_xlfn.XLOOKUP(D38,'7月运营'!A:A,'7月运营'!G:G,0)</f>
        <v>0</v>
      </c>
    </row>
    <row r="39" spans="1:43" x14ac:dyDescent="0.15">
      <c r="A39" s="11" t="str">
        <v>静居寺</v>
      </c>
      <c r="B39" s="11" t="str">
        <v>店长</v>
      </c>
      <c r="C39" s="11" t="str">
        <v>B</v>
      </c>
      <c r="D39" s="11" t="str">
        <v>陈怡名</v>
      </c>
      <c r="E39" s="11" t="str">
        <v>在职</v>
      </c>
      <c r="F39" s="11" t="str">
        <v>事业部</v>
      </c>
      <c r="G39" s="11">
        <f>_xlfn.XLOOKUP(D39,'①7月-花名册'!E:E,'①7月-花名册'!U:U,0)</f>
        <v>0</v>
      </c>
      <c r="H39" s="11">
        <f>_xlfn.XLOOKUP(D39,'①7月-花名册'!E:E,'①7月-花名册'!M:M,0)</f>
        <v>31</v>
      </c>
      <c r="I39" s="11">
        <f>_xlfn.XLOOKUP(D39,'①7月-花名册'!E:E,'①7月-花名册'!S:S,0)</f>
        <v>4</v>
      </c>
      <c r="J39" s="14">
        <f t="shared" si="2"/>
        <v>5</v>
      </c>
      <c r="K39" s="23">
        <v>4</v>
      </c>
      <c r="L39" s="23"/>
      <c r="M39" s="23">
        <v>1</v>
      </c>
      <c r="N39" s="23"/>
      <c r="O39" s="23"/>
      <c r="P39" s="15">
        <f t="shared" si="3"/>
        <v>26</v>
      </c>
      <c r="Q39" s="15">
        <f t="shared" si="4"/>
        <v>31</v>
      </c>
      <c r="R39" s="15">
        <f>IF(F39="事业部",LOOKUP(Q39,基础设置!$T$2:$T$6,基础设置!$U$2:$U$6),IF(F39="总部",LOOKUP(Q39,基础设置!$T$8:$T$13,基础设置!$V$8:$V$13),IF(F39="拓展部",LOOKUP(Q39,基础设置!$T$8:$T$13,基础设置!$W$8:$W$13),2000)))</f>
        <v>4</v>
      </c>
      <c r="S39" s="15">
        <f t="shared" si="5"/>
        <v>31</v>
      </c>
      <c r="T39" s="15">
        <f t="shared" si="6"/>
        <v>0</v>
      </c>
      <c r="U39" s="15">
        <f t="shared" si="7"/>
        <v>0</v>
      </c>
      <c r="V39" s="15">
        <f t="shared" si="0"/>
        <v>0</v>
      </c>
      <c r="W39" s="15">
        <f t="shared" si="8"/>
        <v>0</v>
      </c>
      <c r="X39" s="26"/>
      <c r="Y39" s="26">
        <v>10</v>
      </c>
      <c r="Z39" s="26"/>
      <c r="AA39" s="26"/>
      <c r="AB39" s="27"/>
      <c r="AC39" s="27"/>
      <c r="AD39" s="27"/>
      <c r="AE39" s="27"/>
      <c r="AF39" s="27"/>
      <c r="AG39" s="27"/>
      <c r="AH39" s="17">
        <f>_xlfn.XLOOKUP(D39,'①7月-花名册'!E:E,'①7月-花名册'!T:T,0)</f>
        <v>0</v>
      </c>
      <c r="AI39" s="15">
        <f>SUMIFS('7月运营'!$L:$L,'7月运营'!$A:$A,D39,'7月运营'!$K:$K,$A$1)</f>
        <v>0</v>
      </c>
      <c r="AJ39" s="15">
        <f>SUMIFS('7月运营'!H:H,'7月运营'!$A:$A,D39,'7月运营'!$K:$K,$A$1)</f>
        <v>0</v>
      </c>
      <c r="AK39" s="15">
        <f>SUMIFS(上月未发人员明细!I:I,上月未发人员明细!J:J,$AK$2,上月未发人员明细!A:A,D39)</f>
        <v>0</v>
      </c>
      <c r="AL39" s="15">
        <f>SUMIFS('7月运营'!L:L,'7月运营'!$A:$A,D39,'7月运营'!$K:$K,$AL$2)</f>
        <v>0</v>
      </c>
      <c r="AM39" s="18">
        <f>SUMIFS('7月运营'!$F:$F,'7月运营'!$A:$A,D39,'7月运营'!$K:$K,'②7月-汇总'!$AM$2,'7月运营'!$G:$G,"岗位核算")</f>
        <v>0</v>
      </c>
      <c r="AN39" s="18">
        <f>SUMIFS('7月运营'!$F:$F,'7月运营'!$A:$A,D39,'7月运营'!$K:$K,$AN$2,'7月运营'!$G:$G,"岗位核算")</f>
        <v>0</v>
      </c>
      <c r="AO39" s="18" t="str">
        <f t="shared" si="9"/>
        <v/>
      </c>
      <c r="AP39" s="18">
        <f t="shared" si="1"/>
        <v>31</v>
      </c>
      <c r="AQ39" s="18">
        <f>_xlfn.XLOOKUP(D39,'7月运营'!A:A,'7月运营'!G:G,0)</f>
        <v>0</v>
      </c>
    </row>
    <row r="40" spans="1:43" x14ac:dyDescent="0.15">
      <c r="A40" s="11" t="str">
        <v>静居寺</v>
      </c>
      <c r="B40" s="11" t="str">
        <v>健康师</v>
      </c>
      <c r="C40" s="11" t="str">
        <v>A</v>
      </c>
      <c r="D40" s="11" t="str">
        <v>张丽</v>
      </c>
      <c r="E40" s="11" t="str">
        <v>在职</v>
      </c>
      <c r="F40" s="11" t="str">
        <v>事业部</v>
      </c>
      <c r="G40" s="11">
        <f>_xlfn.XLOOKUP(D40,'①7月-花名册'!E:E,'①7月-花名册'!U:U,0)</f>
        <v>0</v>
      </c>
      <c r="H40" s="11">
        <f>_xlfn.XLOOKUP(D40,'①7月-花名册'!E:E,'①7月-花名册'!M:M,0)</f>
        <v>31</v>
      </c>
      <c r="I40" s="11">
        <f>_xlfn.XLOOKUP(D40,'①7月-花名册'!E:E,'①7月-花名册'!S:S,0)</f>
        <v>4</v>
      </c>
      <c r="J40" s="14">
        <f t="shared" si="2"/>
        <v>5</v>
      </c>
      <c r="K40" s="23">
        <v>4</v>
      </c>
      <c r="L40" s="23"/>
      <c r="M40" s="23">
        <v>1</v>
      </c>
      <c r="N40" s="23"/>
      <c r="O40" s="23"/>
      <c r="P40" s="15">
        <f t="shared" si="3"/>
        <v>26</v>
      </c>
      <c r="Q40" s="15">
        <f t="shared" si="4"/>
        <v>31</v>
      </c>
      <c r="R40" s="15">
        <f>IF(F40="事业部",LOOKUP(Q40,基础设置!$T$2:$T$6,基础设置!$U$2:$U$6),IF(F40="总部",LOOKUP(Q40,基础设置!$T$8:$T$13,基础设置!$V$8:$V$13),IF(F40="拓展部",LOOKUP(Q40,基础设置!$T$8:$T$13,基础设置!$W$8:$W$13),2000)))</f>
        <v>4</v>
      </c>
      <c r="S40" s="15">
        <f t="shared" si="5"/>
        <v>31</v>
      </c>
      <c r="T40" s="15">
        <f t="shared" si="6"/>
        <v>0</v>
      </c>
      <c r="U40" s="15">
        <f t="shared" si="7"/>
        <v>0</v>
      </c>
      <c r="V40" s="15">
        <f t="shared" si="0"/>
        <v>0</v>
      </c>
      <c r="W40" s="15">
        <f t="shared" si="8"/>
        <v>0</v>
      </c>
      <c r="X40" s="26"/>
      <c r="Y40" s="26"/>
      <c r="Z40" s="26"/>
      <c r="AA40" s="26"/>
      <c r="AB40" s="27"/>
      <c r="AC40" s="27"/>
      <c r="AD40" s="27"/>
      <c r="AE40" s="27"/>
      <c r="AF40" s="27"/>
      <c r="AG40" s="27"/>
      <c r="AH40" s="17">
        <f>_xlfn.XLOOKUP(D40,'①7月-花名册'!E:E,'①7月-花名册'!T:T,0)</f>
        <v>0</v>
      </c>
      <c r="AI40" s="15">
        <f>SUMIFS('7月运营'!$L:$L,'7月运营'!$A:$A,D40,'7月运营'!$K:$K,$A$1)</f>
        <v>0</v>
      </c>
      <c r="AJ40" s="15">
        <f>SUMIFS('7月运营'!H:H,'7月运营'!$A:$A,D40,'7月运营'!$K:$K,$A$1)</f>
        <v>0</v>
      </c>
      <c r="AK40" s="15">
        <f>SUMIFS(上月未发人员明细!I:I,上月未发人员明细!J:J,$AK$2,上月未发人员明细!A:A,D40)</f>
        <v>0</v>
      </c>
      <c r="AL40" s="15">
        <f>SUMIFS('7月运营'!L:L,'7月运营'!$A:$A,D40,'7月运营'!$K:$K,$AL$2)</f>
        <v>0</v>
      </c>
      <c r="AM40" s="18">
        <f>SUMIFS('7月运营'!$F:$F,'7月运营'!$A:$A,D40,'7月运营'!$K:$K,'②7月-汇总'!$AM$2,'7月运营'!$G:$G,"岗位核算")</f>
        <v>0</v>
      </c>
      <c r="AN40" s="18">
        <f>SUMIFS('7月运营'!$F:$F,'7月运营'!$A:$A,D40,'7月运营'!$K:$K,$AN$2,'7月运营'!$G:$G,"岗位核算")</f>
        <v>0</v>
      </c>
      <c r="AO40" s="18" t="str">
        <f t="shared" si="9"/>
        <v/>
      </c>
      <c r="AP40" s="18">
        <f t="shared" si="1"/>
        <v>31</v>
      </c>
      <c r="AQ40" s="18">
        <f>_xlfn.XLOOKUP(D40,'7月运营'!A:A,'7月运营'!G:G,0)</f>
        <v>0</v>
      </c>
    </row>
    <row r="41" spans="1:43" x14ac:dyDescent="0.15">
      <c r="A41" s="11" t="str">
        <v>静居寺</v>
      </c>
      <c r="B41" s="11" t="str">
        <v>健康师</v>
      </c>
      <c r="C41" s="11" t="str">
        <v>A</v>
      </c>
      <c r="D41" s="11" t="str">
        <v>杨金花</v>
      </c>
      <c r="E41" s="11" t="str">
        <v>在职</v>
      </c>
      <c r="F41" s="11" t="str">
        <v>事业部</v>
      </c>
      <c r="G41" s="11">
        <f>_xlfn.XLOOKUP(D41,'①7月-花名册'!E:E,'①7月-花名册'!U:U,0)</f>
        <v>0</v>
      </c>
      <c r="H41" s="11">
        <f>_xlfn.XLOOKUP(D41,'①7月-花名册'!E:E,'①7月-花名册'!M:M,0)</f>
        <v>31</v>
      </c>
      <c r="I41" s="11">
        <f>_xlfn.XLOOKUP(D41,'①7月-花名册'!E:E,'①7月-花名册'!S:S,0)</f>
        <v>4</v>
      </c>
      <c r="J41" s="14">
        <f t="shared" si="2"/>
        <v>4</v>
      </c>
      <c r="K41" s="23">
        <v>4</v>
      </c>
      <c r="L41" s="23"/>
      <c r="M41" s="23"/>
      <c r="N41" s="23"/>
      <c r="O41" s="23"/>
      <c r="P41" s="15">
        <f t="shared" si="3"/>
        <v>27</v>
      </c>
      <c r="Q41" s="15">
        <f t="shared" si="4"/>
        <v>31</v>
      </c>
      <c r="R41" s="15">
        <f>IF(F41="事业部",LOOKUP(Q41,基础设置!$T$2:$T$6,基础设置!$U$2:$U$6),IF(F41="总部",LOOKUP(Q41,基础设置!$T$8:$T$13,基础设置!$V$8:$V$13),IF(F41="拓展部",LOOKUP(Q41,基础设置!$T$8:$T$13,基础设置!$W$8:$W$13),2000)))</f>
        <v>4</v>
      </c>
      <c r="S41" s="15">
        <f t="shared" si="5"/>
        <v>31</v>
      </c>
      <c r="T41" s="15">
        <f t="shared" si="6"/>
        <v>0</v>
      </c>
      <c r="U41" s="15">
        <f t="shared" si="7"/>
        <v>0</v>
      </c>
      <c r="V41" s="15">
        <f t="shared" si="0"/>
        <v>0</v>
      </c>
      <c r="W41" s="15">
        <f t="shared" si="8"/>
        <v>0</v>
      </c>
      <c r="X41" s="26"/>
      <c r="Y41" s="26"/>
      <c r="Z41" s="26">
        <v>50</v>
      </c>
      <c r="AA41" s="26"/>
      <c r="AB41" s="27"/>
      <c r="AC41" s="27"/>
      <c r="AD41" s="27"/>
      <c r="AE41" s="27"/>
      <c r="AF41" s="27"/>
      <c r="AG41" s="27"/>
      <c r="AH41" s="17">
        <f>_xlfn.XLOOKUP(D41,'①7月-花名册'!E:E,'①7月-花名册'!T:T,0)</f>
        <v>0</v>
      </c>
      <c r="AI41" s="15">
        <f>SUMIFS('7月运营'!$L:$L,'7月运营'!$A:$A,D41,'7月运营'!$K:$K,$A$1)</f>
        <v>0</v>
      </c>
      <c r="AJ41" s="15">
        <f>SUMIFS('7月运营'!H:H,'7月运营'!$A:$A,D41,'7月运营'!$K:$K,$A$1)</f>
        <v>0</v>
      </c>
      <c r="AK41" s="15">
        <f>SUMIFS(上月未发人员明细!I:I,上月未发人员明细!J:J,$AK$2,上月未发人员明细!A:A,D41)</f>
        <v>0</v>
      </c>
      <c r="AL41" s="15">
        <f>SUMIFS('7月运营'!L:L,'7月运营'!$A:$A,D41,'7月运营'!$K:$K,$AL$2)</f>
        <v>0</v>
      </c>
      <c r="AM41" s="18">
        <f>SUMIFS('7月运营'!$F:$F,'7月运营'!$A:$A,D41,'7月运营'!$K:$K,'②7月-汇总'!$AM$2,'7月运营'!$G:$G,"岗位核算")</f>
        <v>0</v>
      </c>
      <c r="AN41" s="18">
        <f>SUMIFS('7月运营'!$F:$F,'7月运营'!$A:$A,D41,'7月运营'!$K:$K,$AN$2,'7月运营'!$G:$G,"岗位核算")</f>
        <v>0</v>
      </c>
      <c r="AO41" s="18" t="str">
        <f t="shared" si="9"/>
        <v/>
      </c>
      <c r="AP41" s="18">
        <f t="shared" si="1"/>
        <v>31</v>
      </c>
      <c r="AQ41" s="18">
        <f>_xlfn.XLOOKUP(D41,'7月运营'!A:A,'7月运营'!G:G,0)</f>
        <v>0</v>
      </c>
    </row>
    <row r="42" spans="1:43" x14ac:dyDescent="0.15">
      <c r="A42" s="11" t="str">
        <v>静居寺</v>
      </c>
      <c r="B42" s="11" t="str">
        <v>店助主任</v>
      </c>
      <c r="C42" s="11" t="str">
        <v>B</v>
      </c>
      <c r="D42" s="11" t="str">
        <v>樊琳</v>
      </c>
      <c r="E42" s="11" t="str">
        <v>在职</v>
      </c>
      <c r="F42" s="11" t="str">
        <v>事业部</v>
      </c>
      <c r="G42" s="11">
        <f>_xlfn.XLOOKUP(D42,'①7月-花名册'!E:E,'①7月-花名册'!U:U,0)</f>
        <v>0</v>
      </c>
      <c r="H42" s="11">
        <f>_xlfn.XLOOKUP(D42,'①7月-花名册'!E:E,'①7月-花名册'!M:M,0)</f>
        <v>31</v>
      </c>
      <c r="I42" s="11">
        <f>_xlfn.XLOOKUP(D42,'①7月-花名册'!E:E,'①7月-花名册'!S:S,0)</f>
        <v>4</v>
      </c>
      <c r="J42" s="14">
        <f t="shared" si="2"/>
        <v>5</v>
      </c>
      <c r="K42" s="23">
        <v>4</v>
      </c>
      <c r="L42" s="23"/>
      <c r="M42" s="23">
        <v>1</v>
      </c>
      <c r="N42" s="23"/>
      <c r="O42" s="23"/>
      <c r="P42" s="15">
        <f t="shared" si="3"/>
        <v>26</v>
      </c>
      <c r="Q42" s="15">
        <f t="shared" si="4"/>
        <v>31</v>
      </c>
      <c r="R42" s="15">
        <f>IF(F42="事业部",LOOKUP(Q42,基础设置!$T$2:$T$6,基础设置!$U$2:$U$6),IF(F42="总部",LOOKUP(Q42,基础设置!$T$8:$T$13,基础设置!$V$8:$V$13),IF(F42="拓展部",LOOKUP(Q42,基础设置!$T$8:$T$13,基础设置!$W$8:$W$13),2000)))</f>
        <v>4</v>
      </c>
      <c r="S42" s="15">
        <f t="shared" si="5"/>
        <v>31</v>
      </c>
      <c r="T42" s="15">
        <f t="shared" si="6"/>
        <v>0</v>
      </c>
      <c r="U42" s="15">
        <f t="shared" si="7"/>
        <v>0</v>
      </c>
      <c r="V42" s="15">
        <f t="shared" si="0"/>
        <v>0</v>
      </c>
      <c r="W42" s="15">
        <f t="shared" si="8"/>
        <v>0</v>
      </c>
      <c r="X42" s="26">
        <v>10</v>
      </c>
      <c r="Y42" s="26"/>
      <c r="Z42" s="26"/>
      <c r="AA42" s="26"/>
      <c r="AB42" s="28"/>
      <c r="AC42" s="28"/>
      <c r="AD42" s="28"/>
      <c r="AE42" s="28"/>
      <c r="AF42" s="28"/>
      <c r="AG42" s="28"/>
      <c r="AH42" s="17">
        <f>_xlfn.XLOOKUP(D42,'①7月-花名册'!E:E,'①7月-花名册'!T:T,0)</f>
        <v>0</v>
      </c>
      <c r="AI42" s="15">
        <f>SUMIFS('7月运营'!$L:$L,'7月运营'!$A:$A,D42,'7月运营'!$K:$K,$A$1)</f>
        <v>0</v>
      </c>
      <c r="AJ42" s="15">
        <f>SUMIFS('7月运营'!H:H,'7月运营'!$A:$A,D42,'7月运营'!$K:$K,$A$1)</f>
        <v>0</v>
      </c>
      <c r="AK42" s="15">
        <f>SUMIFS(上月未发人员明细!I:I,上月未发人员明细!J:J,$AK$2,上月未发人员明细!A:A,D42)</f>
        <v>0</v>
      </c>
      <c r="AL42" s="15">
        <f>SUMIFS('7月运营'!L:L,'7月运营'!$A:$A,D42,'7月运营'!$K:$K,$AL$2)</f>
        <v>0</v>
      </c>
      <c r="AM42" s="18">
        <f>SUMIFS('7月运营'!$F:$F,'7月运营'!$A:$A,D42,'7月运营'!$K:$K,'②7月-汇总'!$AM$2,'7月运营'!$G:$G,"岗位核算")</f>
        <v>0</v>
      </c>
      <c r="AN42" s="18">
        <f>SUMIFS('7月运营'!$F:$F,'7月运营'!$A:$A,D42,'7月运营'!$K:$K,$AN$2,'7月运营'!$G:$G,"岗位核算")</f>
        <v>0</v>
      </c>
      <c r="AO42" s="18" t="str">
        <f t="shared" si="9"/>
        <v/>
      </c>
      <c r="AP42" s="18">
        <f t="shared" si="1"/>
        <v>31</v>
      </c>
      <c r="AQ42" s="18">
        <f>_xlfn.XLOOKUP(D42,'7月运营'!A:A,'7月运营'!G:G,0)</f>
        <v>0</v>
      </c>
    </row>
    <row r="43" spans="1:43" x14ac:dyDescent="0.15">
      <c r="A43" s="11" t="str">
        <v>静居寺</v>
      </c>
      <c r="B43" s="11" t="str">
        <v>健康师</v>
      </c>
      <c r="C43" s="11" t="str">
        <v>A</v>
      </c>
      <c r="D43" s="11" t="str">
        <v>董顺秀</v>
      </c>
      <c r="E43" s="11" t="str">
        <v>在职</v>
      </c>
      <c r="F43" s="11" t="str">
        <v>事业部</v>
      </c>
      <c r="G43" s="11">
        <f>_xlfn.XLOOKUP(D43,'①7月-花名册'!E:E,'①7月-花名册'!U:U,0)</f>
        <v>0</v>
      </c>
      <c r="H43" s="11">
        <f>_xlfn.XLOOKUP(D43,'①7月-花名册'!E:E,'①7月-花名册'!M:M,0)</f>
        <v>31</v>
      </c>
      <c r="I43" s="11">
        <f>_xlfn.XLOOKUP(D43,'①7月-花名册'!E:E,'①7月-花名册'!S:S,0)</f>
        <v>4</v>
      </c>
      <c r="J43" s="14">
        <f t="shared" si="2"/>
        <v>5</v>
      </c>
      <c r="K43" s="23">
        <v>4</v>
      </c>
      <c r="L43" s="23"/>
      <c r="M43" s="23">
        <v>1</v>
      </c>
      <c r="N43" s="23"/>
      <c r="O43" s="23"/>
      <c r="P43" s="15">
        <f t="shared" si="3"/>
        <v>26</v>
      </c>
      <c r="Q43" s="15">
        <f t="shared" si="4"/>
        <v>31</v>
      </c>
      <c r="R43" s="15">
        <f>IF(F43="事业部",LOOKUP(Q43,基础设置!$T$2:$T$6,基础设置!$U$2:$U$6),IF(F43="总部",LOOKUP(Q43,基础设置!$T$8:$T$13,基础设置!$V$8:$V$13),IF(F43="拓展部",LOOKUP(Q43,基础设置!$T$8:$T$13,基础设置!$W$8:$W$13),2000)))</f>
        <v>4</v>
      </c>
      <c r="S43" s="15">
        <f t="shared" si="5"/>
        <v>31</v>
      </c>
      <c r="T43" s="15">
        <f t="shared" si="6"/>
        <v>0</v>
      </c>
      <c r="U43" s="15">
        <f t="shared" si="7"/>
        <v>0</v>
      </c>
      <c r="V43" s="15">
        <f t="shared" si="0"/>
        <v>0</v>
      </c>
      <c r="W43" s="15">
        <f t="shared" si="8"/>
        <v>0</v>
      </c>
      <c r="X43" s="26">
        <v>10</v>
      </c>
      <c r="Y43" s="26"/>
      <c r="Z43" s="26"/>
      <c r="AA43" s="26"/>
      <c r="AB43" s="27"/>
      <c r="AC43" s="27"/>
      <c r="AD43" s="27"/>
      <c r="AE43" s="27"/>
      <c r="AF43" s="27"/>
      <c r="AG43" s="27"/>
      <c r="AH43" s="17">
        <f>_xlfn.XLOOKUP(D43,'①7月-花名册'!E:E,'①7月-花名册'!T:T,0)</f>
        <v>0</v>
      </c>
      <c r="AI43" s="15">
        <f>SUMIFS('7月运营'!$L:$L,'7月运营'!$A:$A,D43,'7月运营'!$K:$K,$A$1)</f>
        <v>0</v>
      </c>
      <c r="AJ43" s="15">
        <f>SUMIFS('7月运营'!H:H,'7月运营'!$A:$A,D43,'7月运营'!$K:$K,$A$1)</f>
        <v>0</v>
      </c>
      <c r="AK43" s="15">
        <f>SUMIFS(上月未发人员明细!I:I,上月未发人员明细!J:J,$AK$2,上月未发人员明细!A:A,D43)</f>
        <v>0</v>
      </c>
      <c r="AL43" s="15">
        <f>SUMIFS('7月运营'!L:L,'7月运营'!$A:$A,D43,'7月运营'!$K:$K,$AL$2)</f>
        <v>0</v>
      </c>
      <c r="AM43" s="18">
        <f>SUMIFS('7月运营'!$F:$F,'7月运营'!$A:$A,D43,'7月运营'!$K:$K,'②7月-汇总'!$AM$2,'7月运营'!$G:$G,"岗位核算")</f>
        <v>0</v>
      </c>
      <c r="AN43" s="18">
        <f>SUMIFS('7月运营'!$F:$F,'7月运营'!$A:$A,D43,'7月运营'!$K:$K,$AN$2,'7月运营'!$G:$G,"岗位核算")</f>
        <v>0</v>
      </c>
      <c r="AO43" s="18" t="str">
        <f t="shared" si="9"/>
        <v/>
      </c>
      <c r="AP43" s="18">
        <f t="shared" si="1"/>
        <v>31</v>
      </c>
      <c r="AQ43" s="18">
        <f>_xlfn.XLOOKUP(D43,'7月运营'!A:A,'7月运营'!G:G,0)</f>
        <v>0</v>
      </c>
    </row>
    <row r="44" spans="1:43" x14ac:dyDescent="0.15">
      <c r="A44" s="11" t="str">
        <v>静居寺</v>
      </c>
      <c r="B44" s="11" t="str">
        <v>健康师</v>
      </c>
      <c r="C44" s="11" t="str">
        <v>A</v>
      </c>
      <c r="D44" s="11" t="str">
        <v>陈建蓉</v>
      </c>
      <c r="E44" s="11" t="str">
        <v>在职</v>
      </c>
      <c r="F44" s="11" t="str">
        <v>事业部</v>
      </c>
      <c r="G44" s="11">
        <f>_xlfn.XLOOKUP(D44,'①7月-花名册'!E:E,'①7月-花名册'!U:U,0)</f>
        <v>0</v>
      </c>
      <c r="H44" s="11">
        <f>_xlfn.XLOOKUP(D44,'①7月-花名册'!E:E,'①7月-花名册'!M:M,0)</f>
        <v>31</v>
      </c>
      <c r="I44" s="11">
        <f>_xlfn.XLOOKUP(D44,'①7月-花名册'!E:E,'①7月-花名册'!S:S,0)</f>
        <v>4</v>
      </c>
      <c r="J44" s="14">
        <f t="shared" si="2"/>
        <v>4</v>
      </c>
      <c r="K44" s="23">
        <v>4</v>
      </c>
      <c r="L44" s="23"/>
      <c r="M44" s="23"/>
      <c r="N44" s="23"/>
      <c r="O44" s="23"/>
      <c r="P44" s="15">
        <f t="shared" si="3"/>
        <v>27</v>
      </c>
      <c r="Q44" s="15">
        <f t="shared" si="4"/>
        <v>31</v>
      </c>
      <c r="R44" s="15">
        <f>IF(F44="事业部",LOOKUP(Q44,基础设置!$T$2:$T$6,基础设置!$U$2:$U$6),IF(F44="总部",LOOKUP(Q44,基础设置!$T$8:$T$13,基础设置!$V$8:$V$13),IF(F44="拓展部",LOOKUP(Q44,基础设置!$T$8:$T$13,基础设置!$W$8:$W$13),2000)))</f>
        <v>4</v>
      </c>
      <c r="S44" s="15">
        <f t="shared" si="5"/>
        <v>31</v>
      </c>
      <c r="T44" s="15">
        <f t="shared" si="6"/>
        <v>0</v>
      </c>
      <c r="U44" s="15">
        <f t="shared" si="7"/>
        <v>0</v>
      </c>
      <c r="V44" s="15">
        <f t="shared" si="0"/>
        <v>0</v>
      </c>
      <c r="W44" s="15">
        <f t="shared" si="8"/>
        <v>0</v>
      </c>
      <c r="X44" s="26">
        <v>10</v>
      </c>
      <c r="Y44" s="26"/>
      <c r="Z44" s="26"/>
      <c r="AA44" s="26"/>
      <c r="AB44" s="27"/>
      <c r="AC44" s="27"/>
      <c r="AD44" s="27"/>
      <c r="AE44" s="27"/>
      <c r="AF44" s="27"/>
      <c r="AG44" s="27"/>
      <c r="AH44" s="17">
        <f>_xlfn.XLOOKUP(D44,'①7月-花名册'!E:E,'①7月-花名册'!T:T,0)</f>
        <v>0</v>
      </c>
      <c r="AI44" s="15">
        <f>SUMIFS('7月运营'!$L:$L,'7月运营'!$A:$A,D44,'7月运营'!$K:$K,$A$1)</f>
        <v>0</v>
      </c>
      <c r="AJ44" s="15">
        <f>SUMIFS('7月运营'!H:H,'7月运营'!$A:$A,D44,'7月运营'!$K:$K,$A$1)</f>
        <v>0</v>
      </c>
      <c r="AK44" s="15">
        <f>SUMIFS(上月未发人员明细!I:I,上月未发人员明细!J:J,$AK$2,上月未发人员明细!A:A,D44)</f>
        <v>0</v>
      </c>
      <c r="AL44" s="15">
        <f>SUMIFS('7月运营'!L:L,'7月运营'!$A:$A,D44,'7月运营'!$K:$K,$AL$2)</f>
        <v>0</v>
      </c>
      <c r="AM44" s="18">
        <f>SUMIFS('7月运营'!$F:$F,'7月运营'!$A:$A,D44,'7月运营'!$K:$K,'②7月-汇总'!$AM$2,'7月运营'!$G:$G,"岗位核算")</f>
        <v>0</v>
      </c>
      <c r="AN44" s="18">
        <f>SUMIFS('7月运营'!$F:$F,'7月运营'!$A:$A,D44,'7月运营'!$K:$K,$AN$2,'7月运营'!$G:$G,"岗位核算")</f>
        <v>0</v>
      </c>
      <c r="AO44" s="18" t="str">
        <f t="shared" si="9"/>
        <v/>
      </c>
      <c r="AP44" s="18">
        <f t="shared" si="1"/>
        <v>31</v>
      </c>
      <c r="AQ44" s="18">
        <f>_xlfn.XLOOKUP(D44,'7月运营'!A:A,'7月运营'!G:G,0)</f>
        <v>0</v>
      </c>
    </row>
    <row r="45" spans="1:43" x14ac:dyDescent="0.15">
      <c r="A45" s="11" t="str">
        <v>静居寺</v>
      </c>
      <c r="B45" s="11" t="str">
        <v>健康师</v>
      </c>
      <c r="C45" s="11" t="str">
        <v>A</v>
      </c>
      <c r="D45" s="11" t="str">
        <v>王娇</v>
      </c>
      <c r="E45" s="11" t="str">
        <v>在职</v>
      </c>
      <c r="F45" s="11" t="str">
        <v>事业部</v>
      </c>
      <c r="G45" s="11">
        <f>_xlfn.XLOOKUP(D45,'①7月-花名册'!E:E,'①7月-花名册'!U:U,0)</f>
        <v>0</v>
      </c>
      <c r="H45" s="11">
        <f>_xlfn.XLOOKUP(D45,'①7月-花名册'!E:E,'①7月-花名册'!M:M,0)</f>
        <v>31</v>
      </c>
      <c r="I45" s="11">
        <f>_xlfn.XLOOKUP(D45,'①7月-花名册'!E:E,'①7月-花名册'!S:S,0)</f>
        <v>4</v>
      </c>
      <c r="J45" s="14">
        <f t="shared" si="2"/>
        <v>4</v>
      </c>
      <c r="K45" s="23">
        <v>4</v>
      </c>
      <c r="L45" s="23"/>
      <c r="M45" s="23"/>
      <c r="N45" s="23"/>
      <c r="O45" s="23"/>
      <c r="P45" s="15">
        <f t="shared" si="3"/>
        <v>27</v>
      </c>
      <c r="Q45" s="15">
        <f t="shared" si="4"/>
        <v>31</v>
      </c>
      <c r="R45" s="15">
        <f>IF(F45="事业部",LOOKUP(Q45,基础设置!$T$2:$T$6,基础设置!$U$2:$U$6),IF(F45="总部",LOOKUP(Q45,基础设置!$T$8:$T$13,基础设置!$V$8:$V$13),IF(F45="拓展部",LOOKUP(Q45,基础设置!$T$8:$T$13,基础设置!$W$8:$W$13),2000)))</f>
        <v>4</v>
      </c>
      <c r="S45" s="15">
        <f t="shared" si="5"/>
        <v>31</v>
      </c>
      <c r="T45" s="15">
        <f t="shared" si="6"/>
        <v>0</v>
      </c>
      <c r="U45" s="15">
        <f t="shared" si="7"/>
        <v>0</v>
      </c>
      <c r="V45" s="15">
        <f t="shared" si="0"/>
        <v>0</v>
      </c>
      <c r="W45" s="15">
        <f t="shared" si="8"/>
        <v>0</v>
      </c>
      <c r="X45" s="26"/>
      <c r="Y45" s="26"/>
      <c r="Z45" s="26">
        <v>50</v>
      </c>
      <c r="AA45" s="26"/>
      <c r="AB45" s="27"/>
      <c r="AC45" s="27">
        <v>100</v>
      </c>
      <c r="AD45" s="27"/>
      <c r="AE45" s="27"/>
      <c r="AF45" s="27"/>
      <c r="AG45" s="27"/>
      <c r="AH45" s="17">
        <f>_xlfn.XLOOKUP(D45,'①7月-花名册'!E:E,'①7月-花名册'!T:T,0)</f>
        <v>0</v>
      </c>
      <c r="AI45" s="15">
        <f>SUMIFS('7月运营'!$L:$L,'7月运营'!$A:$A,D45,'7月运营'!$K:$K,$A$1)</f>
        <v>0</v>
      </c>
      <c r="AJ45" s="15">
        <f>SUMIFS('7月运营'!H:H,'7月运营'!$A:$A,D45,'7月运营'!$K:$K,$A$1)</f>
        <v>0</v>
      </c>
      <c r="AK45" s="15">
        <f>SUMIFS(上月未发人员明细!I:I,上月未发人员明细!J:J,$AK$2,上月未发人员明细!A:A,D45)</f>
        <v>0</v>
      </c>
      <c r="AL45" s="15">
        <f>SUMIFS('7月运营'!L:L,'7月运营'!$A:$A,D45,'7月运营'!$K:$K,$AL$2)</f>
        <v>0</v>
      </c>
      <c r="AM45" s="18">
        <f>SUMIFS('7月运营'!$F:$F,'7月运营'!$A:$A,D45,'7月运营'!$K:$K,'②7月-汇总'!$AM$2,'7月运营'!$G:$G,"岗位核算")</f>
        <v>0</v>
      </c>
      <c r="AN45" s="18">
        <f>SUMIFS('7月运营'!$F:$F,'7月运营'!$A:$A,D45,'7月运营'!$K:$K,$AN$2,'7月运营'!$G:$G,"岗位核算")</f>
        <v>0</v>
      </c>
      <c r="AO45" s="18" t="str">
        <f t="shared" si="9"/>
        <v/>
      </c>
      <c r="AP45" s="18">
        <f t="shared" si="1"/>
        <v>31</v>
      </c>
      <c r="AQ45" s="18">
        <f>_xlfn.XLOOKUP(D45,'7月运营'!A:A,'7月运营'!G:G,0)</f>
        <v>0</v>
      </c>
    </row>
    <row r="46" spans="1:43" x14ac:dyDescent="0.15">
      <c r="A46" s="11" t="str">
        <v>静居寺</v>
      </c>
      <c r="B46" s="11" t="str">
        <v>健康师</v>
      </c>
      <c r="C46" s="11" t="str">
        <v>A</v>
      </c>
      <c r="D46" s="11" t="str">
        <v>黎茂婷</v>
      </c>
      <c r="E46" s="11" t="str">
        <v>在职</v>
      </c>
      <c r="F46" s="11" t="str">
        <v>事业部</v>
      </c>
      <c r="G46" s="11">
        <f>_xlfn.XLOOKUP(D46,'①7月-花名册'!E:E,'①7月-花名册'!U:U,0)</f>
        <v>0</v>
      </c>
      <c r="H46" s="11">
        <f>_xlfn.XLOOKUP(D46,'①7月-花名册'!E:E,'①7月-花名册'!M:M,0)</f>
        <v>31</v>
      </c>
      <c r="I46" s="11">
        <f>_xlfn.XLOOKUP(D46,'①7月-花名册'!E:E,'①7月-花名册'!S:S,0)</f>
        <v>4</v>
      </c>
      <c r="J46" s="14">
        <f t="shared" si="2"/>
        <v>4</v>
      </c>
      <c r="K46" s="23">
        <v>4</v>
      </c>
      <c r="L46" s="23"/>
      <c r="M46" s="23"/>
      <c r="N46" s="23"/>
      <c r="O46" s="23"/>
      <c r="P46" s="15">
        <f t="shared" si="3"/>
        <v>27</v>
      </c>
      <c r="Q46" s="15">
        <f t="shared" si="4"/>
        <v>31</v>
      </c>
      <c r="R46" s="15">
        <f>IF(F46="事业部",LOOKUP(Q46,基础设置!$T$2:$T$6,基础设置!$U$2:$U$6),IF(F46="总部",LOOKUP(Q46,基础设置!$T$8:$T$13,基础设置!$V$8:$V$13),IF(F46="拓展部",LOOKUP(Q46,基础设置!$T$8:$T$13,基础设置!$W$8:$W$13),2000)))</f>
        <v>4</v>
      </c>
      <c r="S46" s="15">
        <f t="shared" si="5"/>
        <v>31</v>
      </c>
      <c r="T46" s="15">
        <f t="shared" si="6"/>
        <v>0</v>
      </c>
      <c r="U46" s="15">
        <f t="shared" si="7"/>
        <v>0</v>
      </c>
      <c r="V46" s="15">
        <f t="shared" si="0"/>
        <v>0</v>
      </c>
      <c r="W46" s="15">
        <f t="shared" si="8"/>
        <v>0</v>
      </c>
      <c r="X46" s="26"/>
      <c r="Y46" s="26"/>
      <c r="Z46" s="26">
        <v>50</v>
      </c>
      <c r="AA46" s="26"/>
      <c r="AB46" s="27"/>
      <c r="AC46" s="27"/>
      <c r="AD46" s="27"/>
      <c r="AE46" s="27"/>
      <c r="AF46" s="27"/>
      <c r="AG46" s="27"/>
      <c r="AH46" s="17">
        <f>_xlfn.XLOOKUP(D46,'①7月-花名册'!E:E,'①7月-花名册'!T:T,0)</f>
        <v>0</v>
      </c>
      <c r="AI46" s="15">
        <f>SUMIFS('7月运营'!$L:$L,'7月运营'!$A:$A,D46,'7月运营'!$K:$K,$A$1)</f>
        <v>0</v>
      </c>
      <c r="AJ46" s="15">
        <f>SUMIFS('7月运营'!H:H,'7月运营'!$A:$A,D46,'7月运营'!$K:$K,$A$1)</f>
        <v>0</v>
      </c>
      <c r="AK46" s="15">
        <f>SUMIFS(上月未发人员明细!I:I,上月未发人员明细!J:J,$AK$2,上月未发人员明细!A:A,D46)</f>
        <v>0</v>
      </c>
      <c r="AL46" s="15">
        <f>SUMIFS('7月运营'!L:L,'7月运营'!$A:$A,D46,'7月运营'!$K:$K,$AL$2)</f>
        <v>0</v>
      </c>
      <c r="AM46" s="18">
        <f>SUMIFS('7月运营'!$F:$F,'7月运营'!$A:$A,D46,'7月运营'!$K:$K,'②7月-汇总'!$AM$2,'7月运营'!$G:$G,"岗位核算")</f>
        <v>0</v>
      </c>
      <c r="AN46" s="18">
        <f>SUMIFS('7月运营'!$F:$F,'7月运营'!$A:$A,D46,'7月运营'!$K:$K,$AN$2,'7月运营'!$G:$G,"岗位核算")</f>
        <v>0</v>
      </c>
      <c r="AO46" s="18" t="str">
        <f t="shared" si="9"/>
        <v/>
      </c>
      <c r="AP46" s="18">
        <f t="shared" si="1"/>
        <v>31</v>
      </c>
      <c r="AQ46" s="18">
        <f>_xlfn.XLOOKUP(D46,'7月运营'!A:A,'7月运营'!G:G,0)</f>
        <v>0</v>
      </c>
    </row>
    <row r="47" spans="1:43" x14ac:dyDescent="0.15">
      <c r="A47" s="11" t="str">
        <v>事业二部</v>
      </c>
      <c r="B47" s="11" t="str">
        <v>总经理</v>
      </c>
      <c r="C47" s="11" t="str">
        <v>B</v>
      </c>
      <c r="D47" s="11" t="str">
        <v>张艳秋</v>
      </c>
      <c r="E47" s="11" t="str">
        <v>在职</v>
      </c>
      <c r="F47" s="11" t="str">
        <v>事业部</v>
      </c>
      <c r="G47" s="11">
        <f>_xlfn.XLOOKUP(D47,'①7月-花名册'!E:E,'①7月-花名册'!U:U,0)</f>
        <v>0</v>
      </c>
      <c r="H47" s="11">
        <f>_xlfn.XLOOKUP(D47,'①7月-花名册'!E:E,'①7月-花名册'!M:M,0)</f>
        <v>31</v>
      </c>
      <c r="I47" s="11">
        <f>_xlfn.XLOOKUP(D47,'①7月-花名册'!E:E,'①7月-花名册'!S:S,0)</f>
        <v>4</v>
      </c>
      <c r="J47" s="14">
        <f t="shared" si="2"/>
        <v>3</v>
      </c>
      <c r="K47" s="23">
        <v>3</v>
      </c>
      <c r="L47" s="23"/>
      <c r="M47" s="23"/>
      <c r="N47" s="23"/>
      <c r="O47" s="23"/>
      <c r="P47" s="15">
        <f t="shared" si="3"/>
        <v>28</v>
      </c>
      <c r="Q47" s="15">
        <f t="shared" si="4"/>
        <v>31</v>
      </c>
      <c r="R47" s="15">
        <f>IF(F47="事业部",LOOKUP(Q47,基础设置!$T$2:$T$6,基础设置!$U$2:$U$6),IF(F47="总部",LOOKUP(Q47,基础设置!$T$8:$T$13,基础设置!$V$8:$V$13),IF(F47="拓展部",LOOKUP(Q47,基础设置!$T$8:$T$13,基础设置!$W$8:$W$13),2000)))</f>
        <v>4</v>
      </c>
      <c r="S47" s="15">
        <f t="shared" si="5"/>
        <v>31</v>
      </c>
      <c r="T47" s="15">
        <f t="shared" si="6"/>
        <v>0</v>
      </c>
      <c r="U47" s="15">
        <f t="shared" si="7"/>
        <v>0</v>
      </c>
      <c r="V47" s="15">
        <f t="shared" si="0"/>
        <v>0</v>
      </c>
      <c r="W47" s="15">
        <f t="shared" si="8"/>
        <v>0</v>
      </c>
      <c r="X47" s="26">
        <v>120</v>
      </c>
      <c r="Y47" s="26">
        <v>30</v>
      </c>
      <c r="Z47" s="26"/>
      <c r="AA47" s="26"/>
      <c r="AB47" s="27"/>
      <c r="AC47" s="27"/>
      <c r="AD47" s="27"/>
      <c r="AE47" s="27"/>
      <c r="AF47" s="27"/>
      <c r="AG47" s="27"/>
      <c r="AH47" s="17">
        <f>_xlfn.XLOOKUP(D47,'①7月-花名册'!E:E,'①7月-花名册'!T:T,0)</f>
        <v>0</v>
      </c>
      <c r="AI47" s="15">
        <f>SUMIFS('7月运营'!$L:$L,'7月运营'!$A:$A,D47,'7月运营'!$K:$K,$A$1)</f>
        <v>0</v>
      </c>
      <c r="AJ47" s="15">
        <f>SUMIFS('7月运营'!H:H,'7月运营'!$A:$A,D47,'7月运营'!$K:$K,$A$1)</f>
        <v>0</v>
      </c>
      <c r="AK47" s="15">
        <f>SUMIFS(上月未发人员明细!I:I,上月未发人员明细!J:J,$AK$2,上月未发人员明细!A:A,D47)</f>
        <v>0</v>
      </c>
      <c r="AL47" s="15">
        <f>SUMIFS('7月运营'!L:L,'7月运营'!$A:$A,D47,'7月运营'!$K:$K,$AL$2)</f>
        <v>0</v>
      </c>
      <c r="AM47" s="18">
        <f>SUMIFS('7月运营'!$F:$F,'7月运营'!$A:$A,D47,'7月运营'!$K:$K,'②7月-汇总'!$AM$2,'7月运营'!$G:$G,"岗位核算")</f>
        <v>0</v>
      </c>
      <c r="AN47" s="18">
        <f>SUMIFS('7月运营'!$F:$F,'7月运营'!$A:$A,D47,'7月运营'!$K:$K,$AN$2,'7月运营'!$G:$G,"岗位核算")</f>
        <v>0</v>
      </c>
      <c r="AO47" s="18" t="str">
        <f t="shared" si="9"/>
        <v/>
      </c>
      <c r="AP47" s="18">
        <f t="shared" si="1"/>
        <v>31</v>
      </c>
      <c r="AQ47" s="18">
        <f>_xlfn.XLOOKUP(D47,'7月运营'!A:A,'7月运营'!G:G,0)</f>
        <v>0</v>
      </c>
    </row>
    <row r="48" spans="1:43" x14ac:dyDescent="0.15">
      <c r="A48" s="11">
        <v>468</v>
      </c>
      <c r="B48" s="11" t="str">
        <v>健康师</v>
      </c>
      <c r="C48" s="11" t="str">
        <v>A</v>
      </c>
      <c r="D48" s="11" t="str">
        <v>陈小琴</v>
      </c>
      <c r="E48" s="11" t="str">
        <v>在职</v>
      </c>
      <c r="F48" s="11" t="str">
        <v>事业部</v>
      </c>
      <c r="G48" s="11">
        <f>_xlfn.XLOOKUP(D48,'①7月-花名册'!E:E,'①7月-花名册'!U:U,0)</f>
        <v>0</v>
      </c>
      <c r="H48" s="11">
        <f>_xlfn.XLOOKUP(D48,'①7月-花名册'!E:E,'①7月-花名册'!M:M,0)</f>
        <v>31</v>
      </c>
      <c r="I48" s="11">
        <f>_xlfn.XLOOKUP(D48,'①7月-花名册'!E:E,'①7月-花名册'!S:S,0)</f>
        <v>4</v>
      </c>
      <c r="J48" s="14">
        <f t="shared" si="2"/>
        <v>4</v>
      </c>
      <c r="K48" s="23">
        <v>4</v>
      </c>
      <c r="L48" s="23"/>
      <c r="M48" s="23"/>
      <c r="N48" s="23"/>
      <c r="O48" s="23"/>
      <c r="P48" s="15">
        <f t="shared" si="3"/>
        <v>27</v>
      </c>
      <c r="Q48" s="15">
        <f t="shared" si="4"/>
        <v>31</v>
      </c>
      <c r="R48" s="15">
        <f>IF(F48="事业部",LOOKUP(Q48,基础设置!$T$2:$T$6,基础设置!$U$2:$U$6),IF(F48="总部",LOOKUP(Q48,基础设置!$T$8:$T$13,基础设置!$V$8:$V$13),IF(F48="拓展部",LOOKUP(Q48,基础设置!$T$8:$T$13,基础设置!$W$8:$W$13),2000)))</f>
        <v>4</v>
      </c>
      <c r="S48" s="15">
        <f t="shared" si="5"/>
        <v>31</v>
      </c>
      <c r="T48" s="15">
        <f t="shared" si="6"/>
        <v>0</v>
      </c>
      <c r="U48" s="15">
        <f t="shared" si="7"/>
        <v>0</v>
      </c>
      <c r="V48" s="15">
        <f t="shared" si="0"/>
        <v>0</v>
      </c>
      <c r="W48" s="15">
        <f t="shared" si="8"/>
        <v>0</v>
      </c>
      <c r="X48" s="26">
        <v>10</v>
      </c>
      <c r="Y48" s="26"/>
      <c r="Z48" s="26"/>
      <c r="AA48" s="26"/>
      <c r="AB48" s="27"/>
      <c r="AC48" s="27"/>
      <c r="AD48" s="27"/>
      <c r="AE48" s="27"/>
      <c r="AF48" s="27"/>
      <c r="AG48" s="27"/>
      <c r="AH48" s="17">
        <f>_xlfn.XLOOKUP(D48,'①7月-花名册'!E:E,'①7月-花名册'!T:T,0)</f>
        <v>0</v>
      </c>
      <c r="AI48" s="15">
        <f>SUMIFS('7月运营'!$L:$L,'7月运营'!$A:$A,D48,'7月运营'!$K:$K,$A$1)</f>
        <v>0</v>
      </c>
      <c r="AJ48" s="15">
        <f>SUMIFS('7月运营'!H:H,'7月运营'!$A:$A,D48,'7月运营'!$K:$K,$A$1)</f>
        <v>0</v>
      </c>
      <c r="AK48" s="15">
        <f>SUMIFS(上月未发人员明细!I:I,上月未发人员明细!J:J,$AK$2,上月未发人员明细!A:A,D48)</f>
        <v>0</v>
      </c>
      <c r="AL48" s="15">
        <f>SUMIFS('7月运营'!L:L,'7月运营'!$A:$A,D48,'7月运营'!$K:$K,$AL$2)</f>
        <v>0</v>
      </c>
      <c r="AM48" s="18">
        <f>SUMIFS('7月运营'!$F:$F,'7月运营'!$A:$A,D48,'7月运营'!$K:$K,'②7月-汇总'!$AM$2,'7月运营'!$G:$G,"岗位核算")</f>
        <v>0</v>
      </c>
      <c r="AN48" s="18">
        <f>SUMIFS('7月运营'!$F:$F,'7月运营'!$A:$A,D48,'7月运营'!$K:$K,$AN$2,'7月运营'!$G:$G,"岗位核算")</f>
        <v>0</v>
      </c>
      <c r="AO48" s="18" t="str">
        <f t="shared" si="9"/>
        <v/>
      </c>
      <c r="AP48" s="18">
        <f t="shared" si="1"/>
        <v>31</v>
      </c>
      <c r="AQ48" s="18">
        <f>_xlfn.XLOOKUP(D48,'7月运营'!A:A,'7月运营'!G:G,0)</f>
        <v>0</v>
      </c>
    </row>
    <row r="49" spans="1:43" x14ac:dyDescent="0.15">
      <c r="A49" s="11">
        <v>468</v>
      </c>
      <c r="B49" s="11" t="str">
        <v>健康师</v>
      </c>
      <c r="C49" s="11" t="str">
        <v>A</v>
      </c>
      <c r="D49" s="11" t="str">
        <v>刘恬恬</v>
      </c>
      <c r="E49" s="11" t="str">
        <v>在职</v>
      </c>
      <c r="F49" s="11" t="str">
        <v>事业部</v>
      </c>
      <c r="G49" s="11">
        <f>_xlfn.XLOOKUP(D49,'①7月-花名册'!E:E,'①7月-花名册'!U:U,0)</f>
        <v>0</v>
      </c>
      <c r="H49" s="11">
        <f>_xlfn.XLOOKUP(D49,'①7月-花名册'!E:E,'①7月-花名册'!M:M,0)</f>
        <v>31</v>
      </c>
      <c r="I49" s="11">
        <f>_xlfn.XLOOKUP(D49,'①7月-花名册'!E:E,'①7月-花名册'!S:S,0)</f>
        <v>4</v>
      </c>
      <c r="J49" s="14">
        <f t="shared" si="2"/>
        <v>4</v>
      </c>
      <c r="K49" s="23">
        <v>4</v>
      </c>
      <c r="L49" s="23"/>
      <c r="M49" s="23"/>
      <c r="N49" s="23"/>
      <c r="O49" s="23"/>
      <c r="P49" s="15">
        <f t="shared" si="3"/>
        <v>27</v>
      </c>
      <c r="Q49" s="15">
        <f t="shared" si="4"/>
        <v>31</v>
      </c>
      <c r="R49" s="15">
        <f>IF(F49="事业部",LOOKUP(Q49,基础设置!$T$2:$T$6,基础设置!$U$2:$U$6),IF(F49="总部",LOOKUP(Q49,基础设置!$T$8:$T$13,基础设置!$V$8:$V$13),IF(F49="拓展部",LOOKUP(Q49,基础设置!$T$8:$T$13,基础设置!$W$8:$W$13),2000)))</f>
        <v>4</v>
      </c>
      <c r="S49" s="15">
        <f t="shared" si="5"/>
        <v>31</v>
      </c>
      <c r="T49" s="15">
        <f t="shared" si="6"/>
        <v>0</v>
      </c>
      <c r="U49" s="15">
        <f t="shared" si="7"/>
        <v>0</v>
      </c>
      <c r="V49" s="15">
        <f t="shared" si="0"/>
        <v>0</v>
      </c>
      <c r="W49" s="15">
        <f t="shared" si="8"/>
        <v>0</v>
      </c>
      <c r="X49" s="26"/>
      <c r="Y49" s="26"/>
      <c r="Z49" s="26"/>
      <c r="AA49" s="26"/>
      <c r="AB49" s="27"/>
      <c r="AC49" s="27"/>
      <c r="AD49" s="27"/>
      <c r="AE49" s="27"/>
      <c r="AF49" s="27"/>
      <c r="AG49" s="27"/>
      <c r="AH49" s="17">
        <f>_xlfn.XLOOKUP(D49,'①7月-花名册'!E:E,'①7月-花名册'!T:T,0)</f>
        <v>0</v>
      </c>
      <c r="AI49" s="15">
        <f>SUMIFS('7月运营'!$L:$L,'7月运营'!$A:$A,D49,'7月运营'!$K:$K,$A$1)</f>
        <v>0</v>
      </c>
      <c r="AJ49" s="15">
        <f>SUMIFS('7月运营'!H:H,'7月运营'!$A:$A,D49,'7月运营'!$K:$K,$A$1)</f>
        <v>0</v>
      </c>
      <c r="AK49" s="15">
        <f>SUMIFS(上月未发人员明细!I:I,上月未发人员明细!J:J,$AK$2,上月未发人员明细!A:A,D49)</f>
        <v>0</v>
      </c>
      <c r="AL49" s="15">
        <f>SUMIFS('7月运营'!L:L,'7月运营'!$A:$A,D49,'7月运营'!$K:$K,$AL$2)</f>
        <v>0</v>
      </c>
      <c r="AM49" s="18">
        <f>SUMIFS('7月运营'!$F:$F,'7月运营'!$A:$A,D49,'7月运营'!$K:$K,'②7月-汇总'!$AM$2,'7月运营'!$G:$G,"岗位核算")</f>
        <v>0</v>
      </c>
      <c r="AN49" s="18">
        <f>SUMIFS('7月运营'!$F:$F,'7月运营'!$A:$A,D49,'7月运营'!$K:$K,$AN$2,'7月运营'!$G:$G,"岗位核算")</f>
        <v>0</v>
      </c>
      <c r="AO49" s="18" t="str">
        <f t="shared" si="9"/>
        <v/>
      </c>
      <c r="AP49" s="18">
        <f t="shared" si="1"/>
        <v>31</v>
      </c>
      <c r="AQ49" s="18">
        <f>_xlfn.XLOOKUP(D49,'7月运营'!A:A,'7月运营'!G:G,0)</f>
        <v>0</v>
      </c>
    </row>
    <row r="50" spans="1:43" x14ac:dyDescent="0.15">
      <c r="A50" s="11">
        <v>468</v>
      </c>
      <c r="B50" s="11" t="str">
        <v>健康师</v>
      </c>
      <c r="C50" s="11" t="str">
        <v>A</v>
      </c>
      <c r="D50" s="11" t="str">
        <v>苟小春</v>
      </c>
      <c r="E50" s="11" t="str">
        <v>在职</v>
      </c>
      <c r="F50" s="11" t="str">
        <v>事业部</v>
      </c>
      <c r="G50" s="11">
        <f>_xlfn.XLOOKUP(D50,'①7月-花名册'!E:E,'①7月-花名册'!U:U,0)</f>
        <v>0</v>
      </c>
      <c r="H50" s="11">
        <f>_xlfn.XLOOKUP(D50,'①7月-花名册'!E:E,'①7月-花名册'!M:M,0)</f>
        <v>31</v>
      </c>
      <c r="I50" s="11">
        <f>_xlfn.XLOOKUP(D50,'①7月-花名册'!E:E,'①7月-花名册'!S:S,0)</f>
        <v>4</v>
      </c>
      <c r="J50" s="14">
        <f t="shared" si="2"/>
        <v>4</v>
      </c>
      <c r="K50" s="23">
        <v>4</v>
      </c>
      <c r="L50" s="23"/>
      <c r="M50" s="23"/>
      <c r="N50" s="23"/>
      <c r="O50" s="23"/>
      <c r="P50" s="15">
        <f t="shared" si="3"/>
        <v>27</v>
      </c>
      <c r="Q50" s="15">
        <f t="shared" si="4"/>
        <v>31</v>
      </c>
      <c r="R50" s="15">
        <f>IF(F50="事业部",LOOKUP(Q50,基础设置!$T$2:$T$6,基础设置!$U$2:$U$6),IF(F50="总部",LOOKUP(Q50,基础设置!$T$8:$T$13,基础设置!$V$8:$V$13),IF(F50="拓展部",LOOKUP(Q50,基础设置!$T$8:$T$13,基础设置!$W$8:$W$13),2000)))</f>
        <v>4</v>
      </c>
      <c r="S50" s="15">
        <f t="shared" si="5"/>
        <v>31</v>
      </c>
      <c r="T50" s="15">
        <f t="shared" si="6"/>
        <v>0</v>
      </c>
      <c r="U50" s="15">
        <f t="shared" si="7"/>
        <v>0</v>
      </c>
      <c r="V50" s="15">
        <f t="shared" si="0"/>
        <v>0</v>
      </c>
      <c r="W50" s="15">
        <f t="shared" si="8"/>
        <v>0</v>
      </c>
      <c r="X50" s="26">
        <v>10</v>
      </c>
      <c r="Y50" s="26"/>
      <c r="Z50" s="26"/>
      <c r="AA50" s="26"/>
      <c r="AB50" s="27"/>
      <c r="AC50" s="27"/>
      <c r="AD50" s="27"/>
      <c r="AE50" s="27"/>
      <c r="AF50" s="27"/>
      <c r="AG50" s="27"/>
      <c r="AH50" s="17">
        <f>_xlfn.XLOOKUP(D50,'①7月-花名册'!E:E,'①7月-花名册'!T:T,0)</f>
        <v>0</v>
      </c>
      <c r="AI50" s="15">
        <f>SUMIFS('7月运营'!$L:$L,'7月运营'!$A:$A,D50,'7月运营'!$K:$K,$A$1)</f>
        <v>0</v>
      </c>
      <c r="AJ50" s="15">
        <f>SUMIFS('7月运营'!H:H,'7月运营'!$A:$A,D50,'7月运营'!$K:$K,$A$1)</f>
        <v>0</v>
      </c>
      <c r="AK50" s="15">
        <f>SUMIFS(上月未发人员明细!I:I,上月未发人员明细!J:J,$AK$2,上月未发人员明细!A:A,D50)</f>
        <v>0</v>
      </c>
      <c r="AL50" s="15">
        <f>SUMIFS('7月运营'!L:L,'7月运营'!$A:$A,D50,'7月运营'!$K:$K,$AL$2)</f>
        <v>0</v>
      </c>
      <c r="AM50" s="18">
        <f>SUMIFS('7月运营'!$F:$F,'7月运营'!$A:$A,D50,'7月运营'!$K:$K,'②7月-汇总'!$AM$2,'7月运营'!$G:$G,"岗位核算")</f>
        <v>0</v>
      </c>
      <c r="AN50" s="18">
        <f>SUMIFS('7月运营'!$F:$F,'7月运营'!$A:$A,D50,'7月运营'!$K:$K,$AN$2,'7月运营'!$G:$G,"岗位核算")</f>
        <v>0</v>
      </c>
      <c r="AO50" s="18" t="str">
        <f t="shared" si="9"/>
        <v/>
      </c>
      <c r="AP50" s="18">
        <f t="shared" si="1"/>
        <v>31</v>
      </c>
      <c r="AQ50" s="18">
        <f>_xlfn.XLOOKUP(D50,'7月运营'!A:A,'7月运营'!G:G,0)</f>
        <v>0</v>
      </c>
    </row>
    <row r="51" spans="1:43" x14ac:dyDescent="0.15">
      <c r="A51" s="11">
        <v>468</v>
      </c>
      <c r="B51" s="11" t="str">
        <v>健康师</v>
      </c>
      <c r="C51" s="11" t="str">
        <v>A</v>
      </c>
      <c r="D51" s="11" t="str">
        <v>李燕</v>
      </c>
      <c r="E51" s="11" t="str">
        <v>在职</v>
      </c>
      <c r="F51" s="11" t="str">
        <v>事业部</v>
      </c>
      <c r="G51" s="11">
        <f>_xlfn.XLOOKUP(D51,'①7月-花名册'!E:E,'①7月-花名册'!U:U,0)</f>
        <v>0</v>
      </c>
      <c r="H51" s="11">
        <f>_xlfn.XLOOKUP(D51,'①7月-花名册'!E:E,'①7月-花名册'!M:M,0)</f>
        <v>31</v>
      </c>
      <c r="I51" s="11">
        <f>_xlfn.XLOOKUP(D51,'①7月-花名册'!E:E,'①7月-花名册'!S:S,0)</f>
        <v>4</v>
      </c>
      <c r="J51" s="14">
        <f t="shared" si="2"/>
        <v>4</v>
      </c>
      <c r="K51" s="23">
        <v>4</v>
      </c>
      <c r="L51" s="23"/>
      <c r="M51" s="23"/>
      <c r="N51" s="23"/>
      <c r="O51" s="23"/>
      <c r="P51" s="15">
        <f t="shared" si="3"/>
        <v>27</v>
      </c>
      <c r="Q51" s="15">
        <f t="shared" si="4"/>
        <v>31</v>
      </c>
      <c r="R51" s="15">
        <f>IF(F51="事业部",LOOKUP(Q51,基础设置!$T$2:$T$6,基础设置!$U$2:$U$6),IF(F51="总部",LOOKUP(Q51,基础设置!$T$8:$T$13,基础设置!$V$8:$V$13),IF(F51="拓展部",LOOKUP(Q51,基础设置!$T$8:$T$13,基础设置!$W$8:$W$13),2000)))</f>
        <v>4</v>
      </c>
      <c r="S51" s="15">
        <f t="shared" si="5"/>
        <v>31</v>
      </c>
      <c r="T51" s="15">
        <f t="shared" si="6"/>
        <v>0</v>
      </c>
      <c r="U51" s="15">
        <f t="shared" si="7"/>
        <v>0</v>
      </c>
      <c r="V51" s="15">
        <f t="shared" si="0"/>
        <v>0</v>
      </c>
      <c r="W51" s="15">
        <f t="shared" si="8"/>
        <v>0</v>
      </c>
      <c r="X51" s="26"/>
      <c r="Y51" s="26"/>
      <c r="Z51" s="26">
        <v>50</v>
      </c>
      <c r="AA51" s="26"/>
      <c r="AB51" s="27"/>
      <c r="AC51" s="27"/>
      <c r="AD51" s="27"/>
      <c r="AE51" s="27"/>
      <c r="AF51" s="27"/>
      <c r="AG51" s="27"/>
      <c r="AH51" s="17">
        <f>_xlfn.XLOOKUP(D51,'①7月-花名册'!E:E,'①7月-花名册'!T:T,0)</f>
        <v>0</v>
      </c>
      <c r="AI51" s="15">
        <f>SUMIFS('7月运营'!$L:$L,'7月运营'!$A:$A,D51,'7月运营'!$K:$K,$A$1)</f>
        <v>0</v>
      </c>
      <c r="AJ51" s="15">
        <f>SUMIFS('7月运营'!H:H,'7月运营'!$A:$A,D51,'7月运营'!$K:$K,$A$1)</f>
        <v>0</v>
      </c>
      <c r="AK51" s="15">
        <f>SUMIFS(上月未发人员明细!I:I,上月未发人员明细!J:J,$AK$2,上月未发人员明细!A:A,D51)</f>
        <v>0</v>
      </c>
      <c r="AL51" s="15">
        <f>SUMIFS('7月运营'!L:L,'7月运营'!$A:$A,D51,'7月运营'!$K:$K,$AL$2)</f>
        <v>0</v>
      </c>
      <c r="AM51" s="18">
        <f>SUMIFS('7月运营'!$F:$F,'7月运营'!$A:$A,D51,'7月运营'!$K:$K,'②7月-汇总'!$AM$2,'7月运营'!$G:$G,"岗位核算")</f>
        <v>0</v>
      </c>
      <c r="AN51" s="18">
        <f>SUMIFS('7月运营'!$F:$F,'7月运营'!$A:$A,D51,'7月运营'!$K:$K,$AN$2,'7月运营'!$G:$G,"岗位核算")</f>
        <v>0</v>
      </c>
      <c r="AO51" s="18" t="str">
        <f t="shared" si="9"/>
        <v/>
      </c>
      <c r="AP51" s="18">
        <f t="shared" si="1"/>
        <v>31</v>
      </c>
      <c r="AQ51" s="18">
        <f>_xlfn.XLOOKUP(D51,'7月运营'!A:A,'7月运营'!G:G,0)</f>
        <v>0</v>
      </c>
    </row>
    <row r="52" spans="1:43" x14ac:dyDescent="0.15">
      <c r="A52" s="11">
        <v>468</v>
      </c>
      <c r="B52" s="11" t="str">
        <v>店长</v>
      </c>
      <c r="C52" s="11" t="str">
        <v>B</v>
      </c>
      <c r="D52" s="11" t="str">
        <v>张小华</v>
      </c>
      <c r="E52" s="11" t="str">
        <v>在职</v>
      </c>
      <c r="F52" s="11" t="str">
        <v>事业部</v>
      </c>
      <c r="G52" s="11">
        <f>_xlfn.XLOOKUP(D52,'①7月-花名册'!E:E,'①7月-花名册'!U:U,0)</f>
        <v>0</v>
      </c>
      <c r="H52" s="11">
        <f>_xlfn.XLOOKUP(D52,'①7月-花名册'!E:E,'①7月-花名册'!M:M,0)</f>
        <v>31</v>
      </c>
      <c r="I52" s="11">
        <f>_xlfn.XLOOKUP(D52,'①7月-花名册'!E:E,'①7月-花名册'!S:S,0)</f>
        <v>4</v>
      </c>
      <c r="J52" s="14">
        <f t="shared" si="2"/>
        <v>4</v>
      </c>
      <c r="K52" s="23">
        <v>4</v>
      </c>
      <c r="L52" s="23"/>
      <c r="M52" s="23"/>
      <c r="N52" s="23"/>
      <c r="O52" s="23"/>
      <c r="P52" s="15">
        <f t="shared" si="3"/>
        <v>27</v>
      </c>
      <c r="Q52" s="15">
        <f t="shared" si="4"/>
        <v>31</v>
      </c>
      <c r="R52" s="15">
        <f>IF(F52="事业部",LOOKUP(Q52,基础设置!$T$2:$T$6,基础设置!$U$2:$U$6),IF(F52="总部",LOOKUP(Q52,基础设置!$T$8:$T$13,基础设置!$V$8:$V$13),IF(F52="拓展部",LOOKUP(Q52,基础设置!$T$8:$T$13,基础设置!$W$8:$W$13),2000)))</f>
        <v>4</v>
      </c>
      <c r="S52" s="15">
        <f t="shared" si="5"/>
        <v>31</v>
      </c>
      <c r="T52" s="15">
        <f t="shared" si="6"/>
        <v>0</v>
      </c>
      <c r="U52" s="15">
        <f t="shared" si="7"/>
        <v>0</v>
      </c>
      <c r="V52" s="15">
        <f t="shared" si="0"/>
        <v>0</v>
      </c>
      <c r="W52" s="15">
        <f t="shared" si="8"/>
        <v>0</v>
      </c>
      <c r="X52" s="26">
        <v>10</v>
      </c>
      <c r="Y52" s="26"/>
      <c r="Z52" s="26"/>
      <c r="AA52" s="26"/>
      <c r="AB52" s="27"/>
      <c r="AC52" s="27"/>
      <c r="AD52" s="27"/>
      <c r="AE52" s="27"/>
      <c r="AF52" s="27"/>
      <c r="AG52" s="27"/>
      <c r="AH52" s="17">
        <f>_xlfn.XLOOKUP(D52,'①7月-花名册'!E:E,'①7月-花名册'!T:T,0)</f>
        <v>0</v>
      </c>
      <c r="AI52" s="15">
        <f>SUMIFS('7月运营'!$L:$L,'7月运营'!$A:$A,D52,'7月运营'!$K:$K,$A$1)</f>
        <v>0</v>
      </c>
      <c r="AJ52" s="15">
        <f>SUMIFS('7月运营'!H:H,'7月运营'!$A:$A,D52,'7月运营'!$K:$K,$A$1)</f>
        <v>0</v>
      </c>
      <c r="AK52" s="15">
        <f>SUMIFS(上月未发人员明细!I:I,上月未发人员明细!J:J,$AK$2,上月未发人员明细!A:A,D52)</f>
        <v>0</v>
      </c>
      <c r="AL52" s="15">
        <f>SUMIFS('7月运营'!L:L,'7月运营'!$A:$A,D52,'7月运营'!$K:$K,$AL$2)</f>
        <v>0</v>
      </c>
      <c r="AM52" s="18">
        <f>SUMIFS('7月运营'!$F:$F,'7月运营'!$A:$A,D52,'7月运营'!$K:$K,'②7月-汇总'!$AM$2,'7月运营'!$G:$G,"岗位核算")</f>
        <v>0</v>
      </c>
      <c r="AN52" s="18">
        <f>SUMIFS('7月运营'!$F:$F,'7月运营'!$A:$A,D52,'7月运营'!$K:$K,$AN$2,'7月运营'!$G:$G,"岗位核算")</f>
        <v>0</v>
      </c>
      <c r="AO52" s="18" t="str">
        <f t="shared" si="9"/>
        <v/>
      </c>
      <c r="AP52" s="18">
        <f t="shared" si="1"/>
        <v>31</v>
      </c>
      <c r="AQ52" s="18">
        <f>_xlfn.XLOOKUP(D52,'7月运营'!A:A,'7月运营'!G:G,0)</f>
        <v>0</v>
      </c>
    </row>
    <row r="53" spans="1:43" x14ac:dyDescent="0.15">
      <c r="A53" s="11">
        <v>468</v>
      </c>
      <c r="B53" s="11" t="str">
        <v>店助</v>
      </c>
      <c r="C53" s="11" t="str">
        <v>A</v>
      </c>
      <c r="D53" s="11" t="str">
        <v>王任燕</v>
      </c>
      <c r="E53" s="11" t="str">
        <v>在职</v>
      </c>
      <c r="F53" s="11" t="str">
        <v>事业部</v>
      </c>
      <c r="G53" s="11">
        <f>_xlfn.XLOOKUP(D53,'①7月-花名册'!E:E,'①7月-花名册'!U:U,0)</f>
        <v>0</v>
      </c>
      <c r="H53" s="11">
        <f>_xlfn.XLOOKUP(D53,'①7月-花名册'!E:E,'①7月-花名册'!M:M,0)</f>
        <v>31</v>
      </c>
      <c r="I53" s="11">
        <f>_xlfn.XLOOKUP(D53,'①7月-花名册'!E:E,'①7月-花名册'!S:S,0)</f>
        <v>4</v>
      </c>
      <c r="J53" s="14">
        <f t="shared" si="2"/>
        <v>4</v>
      </c>
      <c r="K53" s="23">
        <v>4</v>
      </c>
      <c r="L53" s="23"/>
      <c r="M53" s="23"/>
      <c r="N53" s="23"/>
      <c r="O53" s="23"/>
      <c r="P53" s="15">
        <f t="shared" si="3"/>
        <v>27</v>
      </c>
      <c r="Q53" s="15">
        <f t="shared" si="4"/>
        <v>31</v>
      </c>
      <c r="R53" s="15">
        <f>IF(F53="事业部",LOOKUP(Q53,基础设置!$T$2:$T$6,基础设置!$U$2:$U$6),IF(F53="总部",LOOKUP(Q53,基础设置!$T$8:$T$13,基础设置!$V$8:$V$13),IF(F53="拓展部",LOOKUP(Q53,基础设置!$T$8:$T$13,基础设置!$W$8:$W$13),2000)))</f>
        <v>4</v>
      </c>
      <c r="S53" s="15">
        <f t="shared" si="5"/>
        <v>31</v>
      </c>
      <c r="T53" s="15">
        <f t="shared" si="6"/>
        <v>0</v>
      </c>
      <c r="U53" s="15">
        <f t="shared" si="7"/>
        <v>0</v>
      </c>
      <c r="V53" s="15">
        <f t="shared" si="0"/>
        <v>0</v>
      </c>
      <c r="W53" s="15">
        <f t="shared" si="8"/>
        <v>0</v>
      </c>
      <c r="X53" s="26"/>
      <c r="Y53" s="26"/>
      <c r="Z53" s="26"/>
      <c r="AA53" s="26"/>
      <c r="AB53" s="27"/>
      <c r="AC53" s="27"/>
      <c r="AD53" s="27"/>
      <c r="AE53" s="27"/>
      <c r="AF53" s="27"/>
      <c r="AG53" s="27"/>
      <c r="AH53" s="17">
        <f>_xlfn.XLOOKUP(D53,'①7月-花名册'!E:E,'①7月-花名册'!T:T,0)</f>
        <v>0</v>
      </c>
      <c r="AI53" s="15">
        <f>SUMIFS('7月运营'!$L:$L,'7月运营'!$A:$A,D53,'7月运营'!$K:$K,$A$1)</f>
        <v>0</v>
      </c>
      <c r="AJ53" s="15">
        <f>SUMIFS('7月运营'!H:H,'7月运营'!$A:$A,D53,'7月运营'!$K:$K,$A$1)</f>
        <v>0</v>
      </c>
      <c r="AK53" s="15">
        <f>SUMIFS(上月未发人员明细!I:I,上月未发人员明细!J:J,$AK$2,上月未发人员明细!A:A,D53)</f>
        <v>0</v>
      </c>
      <c r="AL53" s="15">
        <f>SUMIFS('7月运营'!L:L,'7月运营'!$A:$A,D53,'7月运营'!$K:$K,$AL$2)</f>
        <v>0</v>
      </c>
      <c r="AM53" s="18">
        <f>SUMIFS('7月运营'!$F:$F,'7月运营'!$A:$A,D53,'7月运营'!$K:$K,'②7月-汇总'!$AM$2,'7月运营'!$G:$G,"岗位核算")</f>
        <v>0</v>
      </c>
      <c r="AN53" s="18">
        <f>SUMIFS('7月运营'!$F:$F,'7月运营'!$A:$A,D53,'7月运营'!$K:$K,$AN$2,'7月运营'!$G:$G,"岗位核算")</f>
        <v>0</v>
      </c>
      <c r="AO53" s="18" t="str">
        <f t="shared" si="9"/>
        <v/>
      </c>
      <c r="AP53" s="18">
        <f t="shared" si="1"/>
        <v>31</v>
      </c>
      <c r="AQ53" s="18">
        <f>_xlfn.XLOOKUP(D53,'7月运营'!A:A,'7月运营'!G:G,0)</f>
        <v>0</v>
      </c>
    </row>
    <row r="54" spans="1:43" x14ac:dyDescent="0.15">
      <c r="A54" s="11">
        <v>468</v>
      </c>
      <c r="B54" s="11" t="str">
        <v>健康师</v>
      </c>
      <c r="C54" s="11" t="str">
        <v>A</v>
      </c>
      <c r="D54" s="11" t="str">
        <v>陈萍</v>
      </c>
      <c r="E54" s="11" t="str">
        <v>在职</v>
      </c>
      <c r="F54" s="11" t="str">
        <v>事业部</v>
      </c>
      <c r="G54" s="11">
        <f>_xlfn.XLOOKUP(D54,'①7月-花名册'!E:E,'①7月-花名册'!U:U,0)</f>
        <v>0</v>
      </c>
      <c r="H54" s="11">
        <f>_xlfn.XLOOKUP(D54,'①7月-花名册'!E:E,'①7月-花名册'!M:M,0)</f>
        <v>31</v>
      </c>
      <c r="I54" s="11">
        <f>_xlfn.XLOOKUP(D54,'①7月-花名册'!E:E,'①7月-花名册'!S:S,0)</f>
        <v>4</v>
      </c>
      <c r="J54" s="14">
        <f t="shared" si="2"/>
        <v>4</v>
      </c>
      <c r="K54" s="23">
        <v>4</v>
      </c>
      <c r="L54" s="23"/>
      <c r="M54" s="23"/>
      <c r="N54" s="23"/>
      <c r="O54" s="23"/>
      <c r="P54" s="15">
        <f t="shared" si="3"/>
        <v>27</v>
      </c>
      <c r="Q54" s="15">
        <f t="shared" si="4"/>
        <v>31</v>
      </c>
      <c r="R54" s="15">
        <f>IF(F54="事业部",LOOKUP(Q54,基础设置!$T$2:$T$6,基础设置!$U$2:$U$6),IF(F54="总部",LOOKUP(Q54,基础设置!$T$8:$T$13,基础设置!$V$8:$V$13),IF(F54="拓展部",LOOKUP(Q54,基础设置!$T$8:$T$13,基础设置!$W$8:$W$13),2000)))</f>
        <v>4</v>
      </c>
      <c r="S54" s="15">
        <f t="shared" si="5"/>
        <v>31</v>
      </c>
      <c r="T54" s="15">
        <f t="shared" si="6"/>
        <v>0</v>
      </c>
      <c r="U54" s="15">
        <f t="shared" si="7"/>
        <v>0</v>
      </c>
      <c r="V54" s="15">
        <f t="shared" si="0"/>
        <v>0</v>
      </c>
      <c r="W54" s="15">
        <f t="shared" si="8"/>
        <v>0</v>
      </c>
      <c r="X54" s="26"/>
      <c r="Y54" s="26"/>
      <c r="Z54" s="26">
        <v>50</v>
      </c>
      <c r="AA54" s="26"/>
      <c r="AB54" s="27"/>
      <c r="AC54" s="27"/>
      <c r="AD54" s="27"/>
      <c r="AE54" s="27"/>
      <c r="AF54" s="27"/>
      <c r="AG54" s="27"/>
      <c r="AH54" s="17">
        <f>_xlfn.XLOOKUP(D54,'①7月-花名册'!E:E,'①7月-花名册'!T:T,0)</f>
        <v>4000</v>
      </c>
      <c r="AI54" s="15">
        <f>SUMIFS('7月运营'!$L:$L,'7月运营'!$A:$A,D54,'7月运营'!$K:$K,$A$1)</f>
        <v>0</v>
      </c>
      <c r="AJ54" s="15">
        <f>SUMIFS('7月运营'!H:H,'7月运营'!$A:$A,D54,'7月运营'!$K:$K,$A$1)</f>
        <v>0</v>
      </c>
      <c r="AK54" s="15">
        <f>SUMIFS(上月未发人员明细!I:I,上月未发人员明细!J:J,$AK$2,上月未发人员明细!A:A,D54)</f>
        <v>0</v>
      </c>
      <c r="AL54" s="15">
        <f>SUMIFS('7月运营'!L:L,'7月运营'!$A:$A,D54,'7月运营'!$K:$K,$AL$2)</f>
        <v>0</v>
      </c>
      <c r="AM54" s="18">
        <f>SUMIFS('7月运营'!$F:$F,'7月运营'!$A:$A,D54,'7月运营'!$K:$K,'②7月-汇总'!$AM$2,'7月运营'!$G:$G,"岗位核算")</f>
        <v>0</v>
      </c>
      <c r="AN54" s="18">
        <f>SUMIFS('7月运营'!$F:$F,'7月运营'!$A:$A,D54,'7月运营'!$K:$K,$AN$2,'7月运营'!$G:$G,"岗位核算")</f>
        <v>0</v>
      </c>
      <c r="AO54" s="18" t="str">
        <f t="shared" si="9"/>
        <v/>
      </c>
      <c r="AP54" s="18">
        <f t="shared" si="1"/>
        <v>31</v>
      </c>
      <c r="AQ54" s="18">
        <f>_xlfn.XLOOKUP(D54,'7月运营'!A:A,'7月运营'!G:G,0)</f>
        <v>0</v>
      </c>
    </row>
    <row r="55" spans="1:43" x14ac:dyDescent="0.15">
      <c r="A55" s="11">
        <v>468</v>
      </c>
      <c r="B55" s="11" t="str">
        <v>主任</v>
      </c>
      <c r="C55" s="11" t="str">
        <v>B</v>
      </c>
      <c r="D55" s="11" t="str">
        <v>吴敏</v>
      </c>
      <c r="E55" s="11" t="str">
        <v>在职</v>
      </c>
      <c r="F55" s="11" t="str">
        <v>事业部</v>
      </c>
      <c r="G55" s="11">
        <f>_xlfn.XLOOKUP(D55,'①7月-花名册'!E:E,'①7月-花名册'!U:U,0)</f>
        <v>0</v>
      </c>
      <c r="H55" s="11">
        <f>_xlfn.XLOOKUP(D55,'①7月-花名册'!E:E,'①7月-花名册'!M:M,0)</f>
        <v>31</v>
      </c>
      <c r="I55" s="11">
        <f>_xlfn.XLOOKUP(D55,'①7月-花名册'!E:E,'①7月-花名册'!S:S,0)</f>
        <v>4</v>
      </c>
      <c r="J55" s="14">
        <f t="shared" si="2"/>
        <v>4</v>
      </c>
      <c r="K55" s="23">
        <v>4</v>
      </c>
      <c r="L55" s="23"/>
      <c r="M55" s="23"/>
      <c r="N55" s="23"/>
      <c r="O55" s="23"/>
      <c r="P55" s="15">
        <f t="shared" si="3"/>
        <v>27</v>
      </c>
      <c r="Q55" s="15">
        <f t="shared" si="4"/>
        <v>31</v>
      </c>
      <c r="R55" s="15">
        <f>IF(F55="事业部",LOOKUP(Q55,基础设置!$T$2:$T$6,基础设置!$U$2:$U$6),IF(F55="总部",LOOKUP(Q55,基础设置!$T$8:$T$13,基础设置!$V$8:$V$13),IF(F55="拓展部",LOOKUP(Q55,基础设置!$T$8:$T$13,基础设置!$W$8:$W$13),2000)))</f>
        <v>4</v>
      </c>
      <c r="S55" s="15">
        <f t="shared" si="5"/>
        <v>31</v>
      </c>
      <c r="T55" s="15">
        <f t="shared" si="6"/>
        <v>0</v>
      </c>
      <c r="U55" s="15">
        <f t="shared" si="7"/>
        <v>0</v>
      </c>
      <c r="V55" s="15">
        <f t="shared" si="0"/>
        <v>0</v>
      </c>
      <c r="W55" s="15">
        <f t="shared" si="8"/>
        <v>0</v>
      </c>
      <c r="X55" s="26"/>
      <c r="Y55" s="26"/>
      <c r="Z55" s="26"/>
      <c r="AA55" s="26"/>
      <c r="AB55" s="27"/>
      <c r="AC55" s="27"/>
      <c r="AD55" s="27">
        <f>530+530</f>
        <v>1060</v>
      </c>
      <c r="AE55" s="27"/>
      <c r="AF55" s="27"/>
      <c r="AG55" s="27"/>
      <c r="AH55" s="17">
        <f>_xlfn.XLOOKUP(D55,'①7月-花名册'!E:E,'①7月-花名册'!T:T,0)</f>
        <v>7000</v>
      </c>
      <c r="AI55" s="15">
        <f>SUMIFS('7月运营'!$L:$L,'7月运营'!$A:$A,D55,'7月运营'!$K:$K,$A$1)</f>
        <v>0</v>
      </c>
      <c r="AJ55" s="15">
        <f>SUMIFS('7月运营'!H:H,'7月运营'!$A:$A,D55,'7月运营'!$K:$K,$A$1)</f>
        <v>0</v>
      </c>
      <c r="AK55" s="15">
        <f>SUMIFS(上月未发人员明细!I:I,上月未发人员明细!J:J,$AK$2,上月未发人员明细!A:A,D55)</f>
        <v>0</v>
      </c>
      <c r="AL55" s="15">
        <f>SUMIFS('7月运营'!L:L,'7月运营'!$A:$A,D55,'7月运营'!$K:$K,$AL$2)</f>
        <v>0</v>
      </c>
      <c r="AM55" s="18">
        <f>SUMIFS('7月运营'!$F:$F,'7月运营'!$A:$A,D55,'7月运营'!$K:$K,'②7月-汇总'!$AM$2,'7月运营'!$G:$G,"岗位核算")</f>
        <v>0</v>
      </c>
      <c r="AN55" s="18">
        <f>SUMIFS('7月运营'!$F:$F,'7月运营'!$A:$A,D55,'7月运营'!$K:$K,$AN$2,'7月运营'!$G:$G,"岗位核算")</f>
        <v>0</v>
      </c>
      <c r="AO55" s="18" t="str">
        <f t="shared" si="9"/>
        <v/>
      </c>
      <c r="AP55" s="18">
        <f t="shared" si="1"/>
        <v>31</v>
      </c>
      <c r="AQ55" s="18">
        <f>_xlfn.XLOOKUP(D55,'7月运营'!A:A,'7月运营'!G:G,0)</f>
        <v>0</v>
      </c>
    </row>
    <row r="56" spans="1:43" x14ac:dyDescent="0.15">
      <c r="A56" s="11" t="str">
        <v>光华</v>
      </c>
      <c r="B56" s="11" t="str">
        <v>店助</v>
      </c>
      <c r="C56" s="11" t="str">
        <v>A</v>
      </c>
      <c r="D56" s="11" t="str">
        <v>陈佳丽</v>
      </c>
      <c r="E56" s="11" t="str">
        <v>在职</v>
      </c>
      <c r="F56" s="11" t="str">
        <v>事业部</v>
      </c>
      <c r="G56" s="11">
        <f>_xlfn.XLOOKUP(D56,'①7月-花名册'!E:E,'①7月-花名册'!U:U,0)</f>
        <v>0</v>
      </c>
      <c r="H56" s="11">
        <f>_xlfn.XLOOKUP(D56,'①7月-花名册'!E:E,'①7月-花名册'!M:M,0)</f>
        <v>31</v>
      </c>
      <c r="I56" s="11">
        <f>_xlfn.XLOOKUP(D56,'①7月-花名册'!E:E,'①7月-花名册'!S:S,0)</f>
        <v>4</v>
      </c>
      <c r="J56" s="14">
        <f t="shared" si="2"/>
        <v>4</v>
      </c>
      <c r="K56" s="23">
        <v>4</v>
      </c>
      <c r="L56" s="23"/>
      <c r="M56" s="23"/>
      <c r="N56" s="23"/>
      <c r="O56" s="23"/>
      <c r="P56" s="15">
        <f t="shared" si="3"/>
        <v>27</v>
      </c>
      <c r="Q56" s="15">
        <f t="shared" si="4"/>
        <v>31</v>
      </c>
      <c r="R56" s="15">
        <f>IF(F56="事业部",LOOKUP(Q56,基础设置!$T$2:$T$6,基础设置!$U$2:$U$6),IF(F56="总部",LOOKUP(Q56,基础设置!$T$8:$T$13,基础设置!$V$8:$V$13),IF(F56="拓展部",LOOKUP(Q56,基础设置!$T$8:$T$13,基础设置!$W$8:$W$13),2000)))</f>
        <v>4</v>
      </c>
      <c r="S56" s="15">
        <f t="shared" si="5"/>
        <v>31</v>
      </c>
      <c r="T56" s="15">
        <f t="shared" si="6"/>
        <v>0</v>
      </c>
      <c r="U56" s="15">
        <f t="shared" si="7"/>
        <v>0</v>
      </c>
      <c r="V56" s="15">
        <f t="shared" si="0"/>
        <v>0</v>
      </c>
      <c r="W56" s="15">
        <f t="shared" si="8"/>
        <v>0</v>
      </c>
      <c r="X56" s="26"/>
      <c r="Y56" s="26"/>
      <c r="Z56" s="26"/>
      <c r="AA56" s="26"/>
      <c r="AB56" s="27"/>
      <c r="AC56" s="27"/>
      <c r="AD56" s="27"/>
      <c r="AE56" s="27"/>
      <c r="AF56" s="27"/>
      <c r="AG56" s="27">
        <v>100</v>
      </c>
      <c r="AH56" s="17">
        <f>_xlfn.XLOOKUP(D56,'①7月-花名册'!E:E,'①7月-花名册'!T:T,0)</f>
        <v>0</v>
      </c>
      <c r="AI56" s="15">
        <f>SUMIFS('7月运营'!$L:$L,'7月运营'!$A:$A,D56,'7月运营'!$K:$K,$A$1)</f>
        <v>0</v>
      </c>
      <c r="AJ56" s="15">
        <f>SUMIFS('7月运营'!H:H,'7月运营'!$A:$A,D56,'7月运营'!$K:$K,$A$1)</f>
        <v>0</v>
      </c>
      <c r="AK56" s="15">
        <f>SUMIFS(上月未发人员明细!I:I,上月未发人员明细!J:J,$AK$2,上月未发人员明细!A:A,D56)</f>
        <v>0</v>
      </c>
      <c r="AL56" s="15">
        <f>SUMIFS('7月运营'!L:L,'7月运营'!$A:$A,D56,'7月运营'!$K:$K,$AL$2)</f>
        <v>0</v>
      </c>
      <c r="AM56" s="18">
        <f>SUMIFS('7月运营'!$F:$F,'7月运营'!$A:$A,D56,'7月运营'!$K:$K,'②7月-汇总'!$AM$2,'7月运营'!$G:$G,"岗位核算")</f>
        <v>0</v>
      </c>
      <c r="AN56" s="18">
        <f>SUMIFS('7月运营'!$F:$F,'7月运营'!$A:$A,D56,'7月运营'!$K:$K,$AN$2,'7月运营'!$G:$G,"岗位核算")</f>
        <v>0</v>
      </c>
      <c r="AO56" s="18" t="str">
        <f t="shared" si="9"/>
        <v/>
      </c>
      <c r="AP56" s="18">
        <f t="shared" si="1"/>
        <v>31</v>
      </c>
      <c r="AQ56" s="18">
        <f>_xlfn.XLOOKUP(D56,'7月运营'!A:A,'7月运营'!G:G,0)</f>
        <v>0</v>
      </c>
    </row>
    <row r="57" spans="1:43" x14ac:dyDescent="0.15">
      <c r="A57" s="11" t="str">
        <v>光华</v>
      </c>
      <c r="B57" s="11" t="str">
        <v>健康师</v>
      </c>
      <c r="C57" s="11" t="str">
        <v>A</v>
      </c>
      <c r="D57" s="11" t="str">
        <v>康钦</v>
      </c>
      <c r="E57" s="11" t="str">
        <v>在职</v>
      </c>
      <c r="F57" s="11" t="str">
        <v>事业部</v>
      </c>
      <c r="G57" s="11">
        <f>_xlfn.XLOOKUP(D57,'①7月-花名册'!E:E,'①7月-花名册'!U:U,0)</f>
        <v>0</v>
      </c>
      <c r="H57" s="11">
        <f>_xlfn.XLOOKUP(D57,'①7月-花名册'!E:E,'①7月-花名册'!M:M,0)</f>
        <v>31</v>
      </c>
      <c r="I57" s="11">
        <f>_xlfn.XLOOKUP(D57,'①7月-花名册'!E:E,'①7月-花名册'!S:S,0)</f>
        <v>4</v>
      </c>
      <c r="J57" s="14">
        <f t="shared" si="2"/>
        <v>4</v>
      </c>
      <c r="K57" s="23">
        <v>4</v>
      </c>
      <c r="L57" s="23"/>
      <c r="M57" s="23"/>
      <c r="N57" s="23"/>
      <c r="O57" s="23"/>
      <c r="P57" s="15">
        <f t="shared" si="3"/>
        <v>27</v>
      </c>
      <c r="Q57" s="15">
        <f t="shared" si="4"/>
        <v>31</v>
      </c>
      <c r="R57" s="15">
        <f>IF(F57="事业部",LOOKUP(Q57,基础设置!$T$2:$T$6,基础设置!$U$2:$U$6),IF(F57="总部",LOOKUP(Q57,基础设置!$T$8:$T$13,基础设置!$V$8:$V$13),IF(F57="拓展部",LOOKUP(Q57,基础设置!$T$8:$T$13,基础设置!$W$8:$W$13),2000)))</f>
        <v>4</v>
      </c>
      <c r="S57" s="15">
        <f t="shared" si="5"/>
        <v>31</v>
      </c>
      <c r="T57" s="15">
        <f t="shared" si="6"/>
        <v>0</v>
      </c>
      <c r="U57" s="15">
        <f t="shared" si="7"/>
        <v>0</v>
      </c>
      <c r="V57" s="15">
        <f t="shared" si="0"/>
        <v>0</v>
      </c>
      <c r="W57" s="15">
        <f t="shared" si="8"/>
        <v>0</v>
      </c>
      <c r="X57" s="26">
        <v>20</v>
      </c>
      <c r="Y57" s="26"/>
      <c r="Z57" s="26"/>
      <c r="AA57" s="26"/>
      <c r="AB57" s="27"/>
      <c r="AC57" s="27"/>
      <c r="AD57" s="27"/>
      <c r="AE57" s="27"/>
      <c r="AF57" s="27"/>
      <c r="AG57" s="27"/>
      <c r="AH57" s="17">
        <f>_xlfn.XLOOKUP(D57,'①7月-花名册'!E:E,'①7月-花名册'!T:T,0)</f>
        <v>0</v>
      </c>
      <c r="AI57" s="15">
        <f>SUMIFS('7月运营'!$L:$L,'7月运营'!$A:$A,D57,'7月运营'!$K:$K,$A$1)</f>
        <v>0</v>
      </c>
      <c r="AJ57" s="15">
        <f>SUMIFS('7月运营'!H:H,'7月运营'!$A:$A,D57,'7月运营'!$K:$K,$A$1)</f>
        <v>0</v>
      </c>
      <c r="AK57" s="15">
        <f>SUMIFS(上月未发人员明细!I:I,上月未发人员明细!J:J,$AK$2,上月未发人员明细!A:A,D57)</f>
        <v>0</v>
      </c>
      <c r="AL57" s="15">
        <f>SUMIFS('7月运营'!L:L,'7月运营'!$A:$A,D57,'7月运营'!$K:$K,$AL$2)</f>
        <v>0</v>
      </c>
      <c r="AM57" s="18">
        <f>SUMIFS('7月运营'!$F:$F,'7月运营'!$A:$A,D57,'7月运营'!$K:$K,'②7月-汇总'!$AM$2,'7月运营'!$G:$G,"岗位核算")</f>
        <v>0</v>
      </c>
      <c r="AN57" s="18">
        <f>SUMIFS('7月运营'!$F:$F,'7月运营'!$A:$A,D57,'7月运营'!$K:$K,$AN$2,'7月运营'!$G:$G,"岗位核算")</f>
        <v>0</v>
      </c>
      <c r="AO57" s="18" t="str">
        <f t="shared" si="9"/>
        <v/>
      </c>
      <c r="AP57" s="18">
        <f t="shared" si="1"/>
        <v>31</v>
      </c>
      <c r="AQ57" s="18">
        <f>_xlfn.XLOOKUP(D57,'7月运营'!A:A,'7月运营'!G:G,0)</f>
        <v>0</v>
      </c>
    </row>
    <row r="58" spans="1:43" x14ac:dyDescent="0.15">
      <c r="A58" s="11" t="str">
        <v>光华</v>
      </c>
      <c r="B58" s="11" t="str">
        <v>健康师</v>
      </c>
      <c r="C58" s="11" t="str">
        <v>A</v>
      </c>
      <c r="D58" s="11" t="str">
        <v>聂娟</v>
      </c>
      <c r="E58" s="11" t="str">
        <v>在职</v>
      </c>
      <c r="F58" s="11" t="str">
        <v>事业部</v>
      </c>
      <c r="G58" s="11">
        <f>_xlfn.XLOOKUP(D58,'①7月-花名册'!E:E,'①7月-花名册'!U:U,0)</f>
        <v>0</v>
      </c>
      <c r="H58" s="11">
        <f>_xlfn.XLOOKUP(D58,'①7月-花名册'!E:E,'①7月-花名册'!M:M,0)</f>
        <v>31</v>
      </c>
      <c r="I58" s="11">
        <f>_xlfn.XLOOKUP(D58,'①7月-花名册'!E:E,'①7月-花名册'!S:S,0)</f>
        <v>4</v>
      </c>
      <c r="J58" s="14">
        <f t="shared" si="2"/>
        <v>4</v>
      </c>
      <c r="K58" s="23">
        <v>4</v>
      </c>
      <c r="L58" s="23"/>
      <c r="M58" s="23"/>
      <c r="N58" s="23"/>
      <c r="O58" s="23"/>
      <c r="P58" s="15">
        <f t="shared" si="3"/>
        <v>27</v>
      </c>
      <c r="Q58" s="15">
        <f t="shared" si="4"/>
        <v>31</v>
      </c>
      <c r="R58" s="15">
        <f>IF(F58="事业部",LOOKUP(Q58,基础设置!$T$2:$T$6,基础设置!$U$2:$U$6),IF(F58="总部",LOOKUP(Q58,基础设置!$T$8:$T$13,基础设置!$V$8:$V$13),IF(F58="拓展部",LOOKUP(Q58,基础设置!$T$8:$T$13,基础设置!$W$8:$W$13),2000)))</f>
        <v>4</v>
      </c>
      <c r="S58" s="15">
        <f t="shared" si="5"/>
        <v>31</v>
      </c>
      <c r="T58" s="15">
        <f t="shared" si="6"/>
        <v>0</v>
      </c>
      <c r="U58" s="15">
        <f t="shared" si="7"/>
        <v>0</v>
      </c>
      <c r="V58" s="15">
        <f t="shared" si="0"/>
        <v>0</v>
      </c>
      <c r="W58" s="15">
        <f t="shared" si="8"/>
        <v>0</v>
      </c>
      <c r="X58" s="26"/>
      <c r="Y58" s="26"/>
      <c r="Z58" s="26">
        <v>50</v>
      </c>
      <c r="AA58" s="26"/>
      <c r="AB58" s="27"/>
      <c r="AC58" s="27"/>
      <c r="AD58" s="27"/>
      <c r="AE58" s="27"/>
      <c r="AF58" s="27"/>
      <c r="AG58" s="27"/>
      <c r="AH58" s="17">
        <f>_xlfn.XLOOKUP(D58,'①7月-花名册'!E:E,'①7月-花名册'!T:T,0)</f>
        <v>0</v>
      </c>
      <c r="AI58" s="15">
        <f>SUMIFS('7月运营'!$L:$L,'7月运营'!$A:$A,D58,'7月运营'!$K:$K,$A$1)</f>
        <v>0</v>
      </c>
      <c r="AJ58" s="15">
        <f>SUMIFS('7月运营'!H:H,'7月运营'!$A:$A,D58,'7月运营'!$K:$K,$A$1)</f>
        <v>0</v>
      </c>
      <c r="AK58" s="15">
        <f>SUMIFS(上月未发人员明细!I:I,上月未发人员明细!J:J,$AK$2,上月未发人员明细!A:A,D58)</f>
        <v>0</v>
      </c>
      <c r="AL58" s="15">
        <f>SUMIFS('7月运营'!L:L,'7月运营'!$A:$A,D58,'7月运营'!$K:$K,$AL$2)</f>
        <v>0</v>
      </c>
      <c r="AM58" s="18">
        <f>SUMIFS('7月运营'!$F:$F,'7月运营'!$A:$A,D58,'7月运营'!$K:$K,'②7月-汇总'!$AM$2,'7月运营'!$G:$G,"岗位核算")</f>
        <v>0</v>
      </c>
      <c r="AN58" s="18">
        <f>SUMIFS('7月运营'!$F:$F,'7月运营'!$A:$A,D58,'7月运营'!$K:$K,$AN$2,'7月运营'!$G:$G,"岗位核算")</f>
        <v>0</v>
      </c>
      <c r="AO58" s="18" t="str">
        <f t="shared" si="9"/>
        <v/>
      </c>
      <c r="AP58" s="18">
        <f t="shared" si="1"/>
        <v>31</v>
      </c>
      <c r="AQ58" s="18">
        <f>_xlfn.XLOOKUP(D58,'7月运营'!A:A,'7月运营'!G:G,0)</f>
        <v>0</v>
      </c>
    </row>
    <row r="59" spans="1:43" x14ac:dyDescent="0.15">
      <c r="A59" s="11" t="str">
        <v>光华</v>
      </c>
      <c r="B59" s="11" t="str">
        <v>健康师</v>
      </c>
      <c r="C59" s="11" t="str">
        <v>A</v>
      </c>
      <c r="D59" s="11" t="str">
        <v>马菁</v>
      </c>
      <c r="E59" s="11" t="str">
        <v>在职</v>
      </c>
      <c r="F59" s="11" t="str">
        <v>事业部</v>
      </c>
      <c r="G59" s="11">
        <f>_xlfn.XLOOKUP(D59,'①7月-花名册'!E:E,'①7月-花名册'!U:U,0)</f>
        <v>0</v>
      </c>
      <c r="H59" s="11">
        <f>_xlfn.XLOOKUP(D59,'①7月-花名册'!E:E,'①7月-花名册'!M:M,0)</f>
        <v>31</v>
      </c>
      <c r="I59" s="11">
        <f>_xlfn.XLOOKUP(D59,'①7月-花名册'!E:E,'①7月-花名册'!S:S,0)</f>
        <v>4</v>
      </c>
      <c r="J59" s="14">
        <f t="shared" si="2"/>
        <v>4</v>
      </c>
      <c r="K59" s="23">
        <v>4</v>
      </c>
      <c r="L59" s="23"/>
      <c r="M59" s="23"/>
      <c r="N59" s="23"/>
      <c r="O59" s="23"/>
      <c r="P59" s="15">
        <f t="shared" si="3"/>
        <v>27</v>
      </c>
      <c r="Q59" s="15">
        <f t="shared" si="4"/>
        <v>31</v>
      </c>
      <c r="R59" s="15">
        <f>IF(F59="事业部",LOOKUP(Q59,基础设置!$T$2:$T$6,基础设置!$U$2:$U$6),IF(F59="总部",LOOKUP(Q59,基础设置!$T$8:$T$13,基础设置!$V$8:$V$13),IF(F59="拓展部",LOOKUP(Q59,基础设置!$T$8:$T$13,基础设置!$W$8:$W$13),2000)))</f>
        <v>4</v>
      </c>
      <c r="S59" s="15">
        <f t="shared" si="5"/>
        <v>31</v>
      </c>
      <c r="T59" s="15">
        <f t="shared" si="6"/>
        <v>0</v>
      </c>
      <c r="U59" s="15">
        <f t="shared" si="7"/>
        <v>0</v>
      </c>
      <c r="V59" s="15">
        <f t="shared" si="0"/>
        <v>0</v>
      </c>
      <c r="W59" s="15">
        <f t="shared" si="8"/>
        <v>0</v>
      </c>
      <c r="X59" s="26"/>
      <c r="Y59" s="26"/>
      <c r="Z59" s="26">
        <v>50</v>
      </c>
      <c r="AA59" s="26"/>
      <c r="AB59" s="28"/>
      <c r="AC59" s="28"/>
      <c r="AD59" s="28"/>
      <c r="AE59" s="28"/>
      <c r="AF59" s="28"/>
      <c r="AG59" s="28"/>
      <c r="AH59" s="17">
        <f>_xlfn.XLOOKUP(D59,'①7月-花名册'!E:E,'①7月-花名册'!T:T,0)</f>
        <v>0</v>
      </c>
      <c r="AI59" s="15">
        <f>SUMIFS('7月运营'!$L:$L,'7月运营'!$A:$A,D59,'7月运营'!$K:$K,$A$1)</f>
        <v>0</v>
      </c>
      <c r="AJ59" s="15">
        <f>SUMIFS('7月运营'!H:H,'7月运营'!$A:$A,D59,'7月运营'!$K:$K,$A$1)</f>
        <v>0</v>
      </c>
      <c r="AK59" s="15">
        <f>SUMIFS(上月未发人员明细!I:I,上月未发人员明细!J:J,$AK$2,上月未发人员明细!A:A,D59)</f>
        <v>0</v>
      </c>
      <c r="AL59" s="15">
        <f>SUMIFS('7月运营'!L:L,'7月运营'!$A:$A,D59,'7月运营'!$K:$K,$AL$2)</f>
        <v>0</v>
      </c>
      <c r="AM59" s="18">
        <f>SUMIFS('7月运营'!$F:$F,'7月运营'!$A:$A,D59,'7月运营'!$K:$K,'②7月-汇总'!$AM$2,'7月运营'!$G:$G,"岗位核算")</f>
        <v>0</v>
      </c>
      <c r="AN59" s="18">
        <f>SUMIFS('7月运营'!$F:$F,'7月运营'!$A:$A,D59,'7月运营'!$K:$K,$AN$2,'7月运营'!$G:$G,"岗位核算")</f>
        <v>0</v>
      </c>
      <c r="AO59" s="18" t="str">
        <f t="shared" si="9"/>
        <v/>
      </c>
      <c r="AP59" s="18">
        <f t="shared" si="1"/>
        <v>31</v>
      </c>
      <c r="AQ59" s="18">
        <f>_xlfn.XLOOKUP(D59,'7月运营'!A:A,'7月运营'!G:G,0)</f>
        <v>0</v>
      </c>
    </row>
    <row r="60" spans="1:43" x14ac:dyDescent="0.15">
      <c r="A60" s="11" t="str">
        <v>光华</v>
      </c>
      <c r="B60" s="11" t="str">
        <v>店长</v>
      </c>
      <c r="C60" s="11" t="str">
        <v>B</v>
      </c>
      <c r="D60" s="11" t="str">
        <v>徐睦垚</v>
      </c>
      <c r="E60" s="11" t="str">
        <v>在职</v>
      </c>
      <c r="F60" s="11" t="str">
        <v>事业部</v>
      </c>
      <c r="G60" s="11">
        <f>_xlfn.XLOOKUP(D60,'①7月-花名册'!E:E,'①7月-花名册'!U:U,0)</f>
        <v>0</v>
      </c>
      <c r="H60" s="11">
        <f>_xlfn.XLOOKUP(D60,'①7月-花名册'!E:E,'①7月-花名册'!M:M,0)</f>
        <v>31</v>
      </c>
      <c r="I60" s="11">
        <f>_xlfn.XLOOKUP(D60,'①7月-花名册'!E:E,'①7月-花名册'!S:S,0)</f>
        <v>4</v>
      </c>
      <c r="J60" s="14">
        <f t="shared" si="2"/>
        <v>4</v>
      </c>
      <c r="K60" s="23">
        <v>4</v>
      </c>
      <c r="L60" s="23"/>
      <c r="M60" s="23"/>
      <c r="N60" s="23"/>
      <c r="O60" s="23"/>
      <c r="P60" s="15">
        <f t="shared" si="3"/>
        <v>27</v>
      </c>
      <c r="Q60" s="15">
        <f t="shared" si="4"/>
        <v>31</v>
      </c>
      <c r="R60" s="15">
        <f>IF(F60="事业部",LOOKUP(Q60,基础设置!$T$2:$T$6,基础设置!$U$2:$U$6),IF(F60="总部",LOOKUP(Q60,基础设置!$T$8:$T$13,基础设置!$V$8:$V$13),IF(F60="拓展部",LOOKUP(Q60,基础设置!$T$8:$T$13,基础设置!$W$8:$W$13),2000)))</f>
        <v>4</v>
      </c>
      <c r="S60" s="15">
        <f t="shared" si="5"/>
        <v>31</v>
      </c>
      <c r="T60" s="15">
        <f t="shared" si="6"/>
        <v>0</v>
      </c>
      <c r="U60" s="15">
        <f t="shared" si="7"/>
        <v>0</v>
      </c>
      <c r="V60" s="15">
        <f t="shared" si="0"/>
        <v>0</v>
      </c>
      <c r="W60" s="15">
        <f t="shared" si="8"/>
        <v>0</v>
      </c>
      <c r="X60" s="26"/>
      <c r="Y60" s="26"/>
      <c r="Z60" s="26"/>
      <c r="AA60" s="26"/>
      <c r="AB60" s="27"/>
      <c r="AC60" s="27"/>
      <c r="AD60" s="27"/>
      <c r="AE60" s="27"/>
      <c r="AF60" s="27"/>
      <c r="AG60" s="27"/>
      <c r="AH60" s="17">
        <f>_xlfn.XLOOKUP(D60,'①7月-花名册'!E:E,'①7月-花名册'!T:T,0)</f>
        <v>0</v>
      </c>
      <c r="AI60" s="15">
        <f>SUMIFS('7月运营'!$L:$L,'7月运营'!$A:$A,D60,'7月运营'!$K:$K,$A$1)</f>
        <v>0</v>
      </c>
      <c r="AJ60" s="15">
        <f>SUMIFS('7月运营'!H:H,'7月运营'!$A:$A,D60,'7月运营'!$K:$K,$A$1)</f>
        <v>0</v>
      </c>
      <c r="AK60" s="15">
        <f>SUMIFS(上月未发人员明细!I:I,上月未发人员明细!J:J,$AK$2,上月未发人员明细!A:A,D60)</f>
        <v>0</v>
      </c>
      <c r="AL60" s="15">
        <f>SUMIFS('7月运营'!L:L,'7月运营'!$A:$A,D60,'7月运营'!$K:$K,$AL$2)</f>
        <v>200</v>
      </c>
      <c r="AM60" s="18">
        <f>SUMIFS('7月运营'!$F:$F,'7月运营'!$A:$A,D60,'7月运营'!$K:$K,'②7月-汇总'!$AM$2,'7月运营'!$G:$G,"岗位核算")</f>
        <v>0</v>
      </c>
      <c r="AN60" s="18">
        <f>SUMIFS('7月运营'!$F:$F,'7月运营'!$A:$A,D60,'7月运营'!$K:$K,$AN$2,'7月运营'!$G:$G,"岗位核算")</f>
        <v>0</v>
      </c>
      <c r="AO60" s="18" t="str">
        <f t="shared" si="9"/>
        <v/>
      </c>
      <c r="AP60" s="18">
        <f t="shared" si="1"/>
        <v>31</v>
      </c>
      <c r="AQ60" s="18" t="str">
        <f>_xlfn.XLOOKUP(D60,'7月运营'!A:A,'7月运营'!G:G,0)</f>
        <v>特殊核算-100</v>
      </c>
    </row>
    <row r="61" spans="1:43" x14ac:dyDescent="0.15">
      <c r="A61" s="11" t="str">
        <v>光华</v>
      </c>
      <c r="B61" s="11" t="str">
        <v>健康师</v>
      </c>
      <c r="C61" s="11" t="str">
        <v>A</v>
      </c>
      <c r="D61" s="11" t="str">
        <v>达哇卓玛</v>
      </c>
      <c r="E61" s="11" t="str">
        <v>在职</v>
      </c>
      <c r="F61" s="11" t="str">
        <v>事业部</v>
      </c>
      <c r="G61" s="11">
        <f>_xlfn.XLOOKUP(D61,'①7月-花名册'!E:E,'①7月-花名册'!U:U,0)</f>
        <v>0</v>
      </c>
      <c r="H61" s="11">
        <f>_xlfn.XLOOKUP(D61,'①7月-花名册'!E:E,'①7月-花名册'!M:M,0)</f>
        <v>31</v>
      </c>
      <c r="I61" s="11">
        <f>_xlfn.XLOOKUP(D61,'①7月-花名册'!E:E,'①7月-花名册'!S:S,0)</f>
        <v>4</v>
      </c>
      <c r="J61" s="14">
        <f t="shared" si="2"/>
        <v>6</v>
      </c>
      <c r="K61" s="23">
        <v>4</v>
      </c>
      <c r="L61" s="23">
        <v>2</v>
      </c>
      <c r="M61" s="23"/>
      <c r="N61" s="23"/>
      <c r="O61" s="23"/>
      <c r="P61" s="15">
        <f t="shared" si="3"/>
        <v>25</v>
      </c>
      <c r="Q61" s="15">
        <f t="shared" si="4"/>
        <v>29</v>
      </c>
      <c r="R61" s="15">
        <f>IF(F61="事业部",LOOKUP(Q61,基础设置!$T$2:$T$6,基础设置!$U$2:$U$6),IF(F61="总部",LOOKUP(Q61,基础设置!$T$8:$T$13,基础设置!$V$8:$V$13),IF(F61="拓展部",LOOKUP(Q61,基础设置!$T$8:$T$13,基础设置!$W$8:$W$13),2000)))</f>
        <v>4</v>
      </c>
      <c r="S61" s="15">
        <f t="shared" si="5"/>
        <v>29</v>
      </c>
      <c r="T61" s="15">
        <f t="shared" si="6"/>
        <v>0</v>
      </c>
      <c r="U61" s="15">
        <f t="shared" si="7"/>
        <v>2</v>
      </c>
      <c r="V61" s="15">
        <f t="shared" si="0"/>
        <v>0</v>
      </c>
      <c r="W61" s="15">
        <f t="shared" si="8"/>
        <v>0</v>
      </c>
      <c r="X61" s="26"/>
      <c r="Y61" s="26"/>
      <c r="Z61" s="26"/>
      <c r="AA61" s="26"/>
      <c r="AB61" s="27"/>
      <c r="AC61" s="27"/>
      <c r="AD61" s="27"/>
      <c r="AE61" s="27"/>
      <c r="AF61" s="27"/>
      <c r="AG61" s="27"/>
      <c r="AH61" s="17">
        <f>_xlfn.XLOOKUP(D61,'①7月-花名册'!E:E,'①7月-花名册'!T:T,0)</f>
        <v>0</v>
      </c>
      <c r="AI61" s="15">
        <f>SUMIFS('7月运营'!$L:$L,'7月运营'!$A:$A,D61,'7月运营'!$K:$K,$A$1)</f>
        <v>0</v>
      </c>
      <c r="AJ61" s="15">
        <f>SUMIFS('7月运营'!H:H,'7月运营'!$A:$A,D61,'7月运营'!$K:$K,$A$1)</f>
        <v>0</v>
      </c>
      <c r="AK61" s="15">
        <f>SUMIFS(上月未发人员明细!I:I,上月未发人员明细!J:J,$AK$2,上月未发人员明细!A:A,D61)</f>
        <v>0</v>
      </c>
      <c r="AL61" s="15">
        <f>SUMIFS('7月运营'!L:L,'7月运营'!$A:$A,D61,'7月运营'!$K:$K,$AL$2)</f>
        <v>0</v>
      </c>
      <c r="AM61" s="18">
        <f>SUMIFS('7月运营'!$F:$F,'7月运营'!$A:$A,D61,'7月运营'!$K:$K,'②7月-汇总'!$AM$2,'7月运营'!$G:$G,"岗位核算")</f>
        <v>0</v>
      </c>
      <c r="AN61" s="18">
        <f>SUMIFS('7月运营'!$F:$F,'7月运营'!$A:$A,D61,'7月运营'!$K:$K,$AN$2,'7月运营'!$G:$G,"岗位核算")</f>
        <v>0</v>
      </c>
      <c r="AO61" s="18" t="str">
        <f t="shared" si="9"/>
        <v/>
      </c>
      <c r="AP61" s="18">
        <f t="shared" si="1"/>
        <v>29</v>
      </c>
      <c r="AQ61" s="18">
        <f>_xlfn.XLOOKUP(D61,'7月运营'!A:A,'7月运营'!G:G,0)</f>
        <v>0</v>
      </c>
    </row>
    <row r="62" spans="1:43" x14ac:dyDescent="0.15">
      <c r="A62" s="11" t="str">
        <v>事业三部</v>
      </c>
      <c r="B62" s="11" t="str">
        <v>经理</v>
      </c>
      <c r="C62" s="11" t="str">
        <v>B</v>
      </c>
      <c r="D62" s="11" t="str">
        <v>曾雨晴</v>
      </c>
      <c r="E62" s="11" t="str">
        <v>在职</v>
      </c>
      <c r="F62" s="11" t="str">
        <v>事业部</v>
      </c>
      <c r="G62" s="11">
        <f>_xlfn.XLOOKUP(D62,'①7月-花名册'!E:E,'①7月-花名册'!U:U,0)</f>
        <v>0</v>
      </c>
      <c r="H62" s="11">
        <f>_xlfn.XLOOKUP(D62,'①7月-花名册'!E:E,'①7月-花名册'!M:M,0)</f>
        <v>31</v>
      </c>
      <c r="I62" s="11">
        <f>_xlfn.XLOOKUP(D62,'①7月-花名册'!E:E,'①7月-花名册'!S:S,0)</f>
        <v>4</v>
      </c>
      <c r="J62" s="14">
        <f t="shared" si="2"/>
        <v>5</v>
      </c>
      <c r="K62" s="23">
        <v>4</v>
      </c>
      <c r="L62" s="23"/>
      <c r="M62" s="23">
        <v>1</v>
      </c>
      <c r="N62" s="23"/>
      <c r="O62" s="23"/>
      <c r="P62" s="15">
        <f t="shared" si="3"/>
        <v>26</v>
      </c>
      <c r="Q62" s="15">
        <f t="shared" si="4"/>
        <v>31</v>
      </c>
      <c r="R62" s="15">
        <f>IF(F62="事业部",LOOKUP(Q62,基础设置!$T$2:$T$6,基础设置!$U$2:$U$6),IF(F62="总部",LOOKUP(Q62,基础设置!$T$8:$T$13,基础设置!$V$8:$V$13),IF(F62="拓展部",LOOKUP(Q62,基础设置!$T$8:$T$13,基础设置!$W$8:$W$13),2000)))</f>
        <v>4</v>
      </c>
      <c r="S62" s="15">
        <f t="shared" si="5"/>
        <v>31</v>
      </c>
      <c r="T62" s="15">
        <f t="shared" si="6"/>
        <v>0</v>
      </c>
      <c r="U62" s="15">
        <f t="shared" si="7"/>
        <v>0</v>
      </c>
      <c r="V62" s="15">
        <f t="shared" si="0"/>
        <v>0</v>
      </c>
      <c r="W62" s="15">
        <f t="shared" si="8"/>
        <v>0</v>
      </c>
      <c r="X62" s="26"/>
      <c r="Y62" s="26">
        <v>10</v>
      </c>
      <c r="Z62" s="26"/>
      <c r="AA62" s="26"/>
      <c r="AB62" s="27"/>
      <c r="AC62" s="27"/>
      <c r="AD62" s="27"/>
      <c r="AE62" s="27"/>
      <c r="AF62" s="27"/>
      <c r="AG62" s="27"/>
      <c r="AH62" s="17">
        <f>_xlfn.XLOOKUP(D62,'①7月-花名册'!E:E,'①7月-花名册'!T:T,0)</f>
        <v>0</v>
      </c>
      <c r="AI62" s="15">
        <f>SUMIFS('7月运营'!$L:$L,'7月运营'!$A:$A,D62,'7月运营'!$K:$K,$A$1)</f>
        <v>0</v>
      </c>
      <c r="AJ62" s="15">
        <f>SUMIFS('7月运营'!H:H,'7月运营'!$A:$A,D62,'7月运营'!$K:$K,$A$1)</f>
        <v>0</v>
      </c>
      <c r="AK62" s="15">
        <f>SUMIFS(上月未发人员明细!I:I,上月未发人员明细!J:J,$AK$2,上月未发人员明细!A:A,D62)</f>
        <v>0</v>
      </c>
      <c r="AL62" s="15">
        <f>SUMIFS('7月运营'!L:L,'7月运营'!$A:$A,D62,'7月运营'!$K:$K,$AL$2)</f>
        <v>0</v>
      </c>
      <c r="AM62" s="18">
        <f>SUMIFS('7月运营'!$F:$F,'7月运营'!$A:$A,D62,'7月运营'!$K:$K,'②7月-汇总'!$AM$2,'7月运营'!$G:$G,"岗位核算")</f>
        <v>0</v>
      </c>
      <c r="AN62" s="18">
        <f>SUMIFS('7月运营'!$F:$F,'7月运营'!$A:$A,D62,'7月运营'!$K:$K,$AN$2,'7月运营'!$G:$G,"岗位核算")</f>
        <v>0</v>
      </c>
      <c r="AO62" s="18" t="str">
        <f t="shared" si="9"/>
        <v/>
      </c>
      <c r="AP62" s="18">
        <f t="shared" si="1"/>
        <v>31</v>
      </c>
      <c r="AQ62" s="18">
        <f>_xlfn.XLOOKUP(D62,'7月运营'!A:A,'7月运营'!G:G,0)</f>
        <v>0</v>
      </c>
    </row>
    <row r="63" spans="1:43" x14ac:dyDescent="0.15">
      <c r="A63" s="11" t="str">
        <v>融创</v>
      </c>
      <c r="B63" s="11" t="str">
        <v>店助</v>
      </c>
      <c r="C63" s="11" t="str">
        <v>A</v>
      </c>
      <c r="D63" s="11" t="str">
        <v>但红玉</v>
      </c>
      <c r="E63" s="11" t="str">
        <v>在职</v>
      </c>
      <c r="F63" s="11" t="str">
        <v>事业部</v>
      </c>
      <c r="G63" s="11">
        <f>_xlfn.XLOOKUP(D63,'①7月-花名册'!E:E,'①7月-花名册'!U:U,0)</f>
        <v>0</v>
      </c>
      <c r="H63" s="11">
        <f>_xlfn.XLOOKUP(D63,'①7月-花名册'!E:E,'①7月-花名册'!M:M,0)</f>
        <v>31</v>
      </c>
      <c r="I63" s="11">
        <f>_xlfn.XLOOKUP(D63,'①7月-花名册'!E:E,'①7月-花名册'!S:S,0)</f>
        <v>4</v>
      </c>
      <c r="J63" s="14">
        <f t="shared" si="2"/>
        <v>4</v>
      </c>
      <c r="K63" s="23">
        <v>4</v>
      </c>
      <c r="L63" s="23"/>
      <c r="M63" s="23"/>
      <c r="N63" s="23"/>
      <c r="O63" s="23"/>
      <c r="P63" s="15">
        <f t="shared" si="3"/>
        <v>27</v>
      </c>
      <c r="Q63" s="15">
        <f t="shared" si="4"/>
        <v>31</v>
      </c>
      <c r="R63" s="15">
        <f>IF(F63="事业部",LOOKUP(Q63,基础设置!$T$2:$T$6,基础设置!$U$2:$U$6),IF(F63="总部",LOOKUP(Q63,基础设置!$T$8:$T$13,基础设置!$V$8:$V$13),IF(F63="拓展部",LOOKUP(Q63,基础设置!$T$8:$T$13,基础设置!$W$8:$W$13),2000)))</f>
        <v>4</v>
      </c>
      <c r="S63" s="15">
        <f t="shared" si="5"/>
        <v>31</v>
      </c>
      <c r="T63" s="15">
        <f t="shared" si="6"/>
        <v>0</v>
      </c>
      <c r="U63" s="15">
        <f t="shared" si="7"/>
        <v>0</v>
      </c>
      <c r="V63" s="15">
        <f t="shared" si="0"/>
        <v>0</v>
      </c>
      <c r="W63" s="15">
        <f t="shared" si="8"/>
        <v>0</v>
      </c>
      <c r="X63" s="26"/>
      <c r="Y63" s="26"/>
      <c r="Z63" s="26"/>
      <c r="AA63" s="26"/>
      <c r="AB63" s="27"/>
      <c r="AC63" s="27"/>
      <c r="AD63" s="27"/>
      <c r="AE63" s="27"/>
      <c r="AF63" s="27"/>
      <c r="AG63" s="27"/>
      <c r="AH63" s="17">
        <f>_xlfn.XLOOKUP(D63,'①7月-花名册'!E:E,'①7月-花名册'!T:T,0)</f>
        <v>0</v>
      </c>
      <c r="AI63" s="15">
        <f>SUMIFS('7月运营'!$L:$L,'7月运营'!$A:$A,D63,'7月运营'!$K:$K,$A$1)</f>
        <v>0</v>
      </c>
      <c r="AJ63" s="15">
        <f>SUMIFS('7月运营'!H:H,'7月运营'!$A:$A,D63,'7月运营'!$K:$K,$A$1)</f>
        <v>0</v>
      </c>
      <c r="AK63" s="15">
        <f>SUMIFS(上月未发人员明细!I:I,上月未发人员明细!J:J,$AK$2,上月未发人员明细!A:A,D63)</f>
        <v>0</v>
      </c>
      <c r="AL63" s="15">
        <f>SUMIFS('7月运营'!L:L,'7月运营'!$A:$A,D63,'7月运营'!$K:$K,$AL$2)</f>
        <v>0</v>
      </c>
      <c r="AM63" s="18">
        <f>SUMIFS('7月运营'!$F:$F,'7月运营'!$A:$A,D63,'7月运营'!$K:$K,'②7月-汇总'!$AM$2,'7月运营'!$G:$G,"岗位核算")</f>
        <v>0</v>
      </c>
      <c r="AN63" s="18">
        <f>SUMIFS('7月运营'!$F:$F,'7月运营'!$A:$A,D63,'7月运营'!$K:$K,$AN$2,'7月运营'!$G:$G,"岗位核算")</f>
        <v>0</v>
      </c>
      <c r="AO63" s="18" t="str">
        <f t="shared" si="9"/>
        <v/>
      </c>
      <c r="AP63" s="18">
        <f t="shared" si="1"/>
        <v>31</v>
      </c>
      <c r="AQ63" s="18">
        <f>_xlfn.XLOOKUP(D63,'7月运营'!A:A,'7月运营'!G:G,0)</f>
        <v>0</v>
      </c>
    </row>
    <row r="64" spans="1:43" x14ac:dyDescent="0.15">
      <c r="A64" s="11" t="str">
        <v>融创</v>
      </c>
      <c r="B64" s="11" t="str">
        <v>健康师</v>
      </c>
      <c r="C64" s="11" t="str">
        <v>A</v>
      </c>
      <c r="D64" s="11" t="str">
        <v>梁缘缘</v>
      </c>
      <c r="E64" s="11" t="str">
        <v>在职</v>
      </c>
      <c r="F64" s="11" t="str">
        <v>事业部</v>
      </c>
      <c r="G64" s="11">
        <f>_xlfn.XLOOKUP(D64,'①7月-花名册'!E:E,'①7月-花名册'!U:U,0)</f>
        <v>0</v>
      </c>
      <c r="H64" s="11">
        <f>_xlfn.XLOOKUP(D64,'①7月-花名册'!E:E,'①7月-花名册'!M:M,0)</f>
        <v>31</v>
      </c>
      <c r="I64" s="11">
        <f>_xlfn.XLOOKUP(D64,'①7月-花名册'!E:E,'①7月-花名册'!S:S,0)</f>
        <v>4</v>
      </c>
      <c r="J64" s="14">
        <f t="shared" si="2"/>
        <v>5</v>
      </c>
      <c r="K64" s="23">
        <v>4</v>
      </c>
      <c r="L64" s="23"/>
      <c r="M64" s="23">
        <v>1</v>
      </c>
      <c r="N64" s="23"/>
      <c r="O64" s="23"/>
      <c r="P64" s="15">
        <f t="shared" si="3"/>
        <v>26</v>
      </c>
      <c r="Q64" s="15">
        <f t="shared" si="4"/>
        <v>31</v>
      </c>
      <c r="R64" s="15">
        <f>IF(F64="事业部",LOOKUP(Q64,基础设置!$T$2:$T$6,基础设置!$U$2:$U$6),IF(F64="总部",LOOKUP(Q64,基础设置!$T$8:$T$13,基础设置!$V$8:$V$13),IF(F64="拓展部",LOOKUP(Q64,基础设置!$T$8:$T$13,基础设置!$W$8:$W$13),2000)))</f>
        <v>4</v>
      </c>
      <c r="S64" s="15">
        <f t="shared" si="5"/>
        <v>31</v>
      </c>
      <c r="T64" s="15">
        <f t="shared" si="6"/>
        <v>0</v>
      </c>
      <c r="U64" s="15">
        <f t="shared" si="7"/>
        <v>0</v>
      </c>
      <c r="V64" s="15">
        <f t="shared" si="0"/>
        <v>0</v>
      </c>
      <c r="W64" s="15">
        <f t="shared" si="8"/>
        <v>0</v>
      </c>
      <c r="X64" s="26">
        <v>10</v>
      </c>
      <c r="Y64" s="26"/>
      <c r="Z64" s="26"/>
      <c r="AA64" s="26"/>
      <c r="AB64" s="27"/>
      <c r="AC64" s="27"/>
      <c r="AD64" s="27"/>
      <c r="AE64" s="27"/>
      <c r="AF64" s="27"/>
      <c r="AG64" s="27"/>
      <c r="AH64" s="17">
        <f>_xlfn.XLOOKUP(D64,'①7月-花名册'!E:E,'①7月-花名册'!T:T,0)</f>
        <v>0</v>
      </c>
      <c r="AI64" s="15">
        <f>SUMIFS('7月运营'!$L:$L,'7月运营'!$A:$A,D64,'7月运营'!$K:$K,$A$1)</f>
        <v>0</v>
      </c>
      <c r="AJ64" s="15">
        <f>SUMIFS('7月运营'!H:H,'7月运营'!$A:$A,D64,'7月运营'!$K:$K,$A$1)</f>
        <v>0</v>
      </c>
      <c r="AK64" s="15">
        <f>SUMIFS(上月未发人员明细!I:I,上月未发人员明细!J:J,$AK$2,上月未发人员明细!A:A,D64)</f>
        <v>0</v>
      </c>
      <c r="AL64" s="15">
        <f>SUMIFS('7月运营'!L:L,'7月运营'!$A:$A,D64,'7月运营'!$K:$K,$AL$2)</f>
        <v>0</v>
      </c>
      <c r="AM64" s="18">
        <f>SUMIFS('7月运营'!$F:$F,'7月运营'!$A:$A,D64,'7月运营'!$K:$K,'②7月-汇总'!$AM$2,'7月运营'!$G:$G,"岗位核算")</f>
        <v>0</v>
      </c>
      <c r="AN64" s="18">
        <f>SUMIFS('7月运营'!$F:$F,'7月运营'!$A:$A,D64,'7月运营'!$K:$K,$AN$2,'7月运营'!$G:$G,"岗位核算")</f>
        <v>0</v>
      </c>
      <c r="AO64" s="18" t="str">
        <f t="shared" si="9"/>
        <v/>
      </c>
      <c r="AP64" s="18">
        <f t="shared" si="1"/>
        <v>31</v>
      </c>
      <c r="AQ64" s="18">
        <f>_xlfn.XLOOKUP(D64,'7月运营'!A:A,'7月运营'!G:G,0)</f>
        <v>0</v>
      </c>
    </row>
    <row r="65" spans="1:43" x14ac:dyDescent="0.15">
      <c r="A65" s="11" t="str">
        <v>融创</v>
      </c>
      <c r="B65" s="11" t="str">
        <v>主任</v>
      </c>
      <c r="C65" s="11" t="str">
        <v>B</v>
      </c>
      <c r="D65" s="11" t="str">
        <v>李萱君</v>
      </c>
      <c r="E65" s="11" t="str">
        <v>在职</v>
      </c>
      <c r="F65" s="11" t="str">
        <v>事业部</v>
      </c>
      <c r="G65" s="11">
        <f>_xlfn.XLOOKUP(D65,'①7月-花名册'!E:E,'①7月-花名册'!U:U,0)</f>
        <v>0</v>
      </c>
      <c r="H65" s="11">
        <f>_xlfn.XLOOKUP(D65,'①7月-花名册'!E:E,'①7月-花名册'!M:M,0)</f>
        <v>31</v>
      </c>
      <c r="I65" s="11">
        <f>_xlfn.XLOOKUP(D65,'①7月-花名册'!E:E,'①7月-花名册'!S:S,0)</f>
        <v>4</v>
      </c>
      <c r="J65" s="14">
        <f t="shared" si="2"/>
        <v>4</v>
      </c>
      <c r="K65" s="23">
        <v>4</v>
      </c>
      <c r="L65" s="23"/>
      <c r="M65" s="23"/>
      <c r="N65" s="23"/>
      <c r="O65" s="23"/>
      <c r="P65" s="15">
        <f t="shared" si="3"/>
        <v>27</v>
      </c>
      <c r="Q65" s="15">
        <f t="shared" si="4"/>
        <v>31</v>
      </c>
      <c r="R65" s="15">
        <f>IF(F65="事业部",LOOKUP(Q65,基础设置!$T$2:$T$6,基础设置!$U$2:$U$6),IF(F65="总部",LOOKUP(Q65,基础设置!$T$8:$T$13,基础设置!$V$8:$V$13),IF(F65="拓展部",LOOKUP(Q65,基础设置!$T$8:$T$13,基础设置!$W$8:$W$13),2000)))</f>
        <v>4</v>
      </c>
      <c r="S65" s="15">
        <f t="shared" si="5"/>
        <v>31</v>
      </c>
      <c r="T65" s="15">
        <f t="shared" si="6"/>
        <v>0</v>
      </c>
      <c r="U65" s="15">
        <f t="shared" si="7"/>
        <v>0</v>
      </c>
      <c r="V65" s="15">
        <f t="shared" si="0"/>
        <v>0</v>
      </c>
      <c r="W65" s="15">
        <f t="shared" si="8"/>
        <v>0</v>
      </c>
      <c r="X65" s="26"/>
      <c r="Y65" s="26"/>
      <c r="Z65" s="26"/>
      <c r="AA65" s="26"/>
      <c r="AB65" s="27"/>
      <c r="AC65" s="27"/>
      <c r="AD65" s="27"/>
      <c r="AE65" s="27"/>
      <c r="AF65" s="27"/>
      <c r="AG65" s="27"/>
      <c r="AH65" s="17">
        <f>_xlfn.XLOOKUP(D65,'①7月-花名册'!E:E,'①7月-花名册'!T:T,0)</f>
        <v>0</v>
      </c>
      <c r="AI65" s="15">
        <f>SUMIFS('7月运营'!$L:$L,'7月运营'!$A:$A,D65,'7月运营'!$K:$K,$A$1)</f>
        <v>0</v>
      </c>
      <c r="AJ65" s="15">
        <f>SUMIFS('7月运营'!H:H,'7月运营'!$A:$A,D65,'7月运营'!$K:$K,$A$1)</f>
        <v>0</v>
      </c>
      <c r="AK65" s="15">
        <f>SUMIFS(上月未发人员明细!I:I,上月未发人员明细!J:J,$AK$2,上月未发人员明细!A:A,D65)</f>
        <v>0</v>
      </c>
      <c r="AL65" s="15">
        <f>SUMIFS('7月运营'!L:L,'7月运营'!$A:$A,D65,'7月运营'!$K:$K,$AL$2)</f>
        <v>0</v>
      </c>
      <c r="AM65" s="18">
        <f>SUMIFS('7月运营'!$F:$F,'7月运营'!$A:$A,D65,'7月运营'!$K:$K,'②7月-汇总'!$AM$2,'7月运营'!$G:$G,"岗位核算")</f>
        <v>0</v>
      </c>
      <c r="AN65" s="18">
        <f>SUMIFS('7月运营'!$F:$F,'7月运营'!$A:$A,D65,'7月运营'!$K:$K,$AN$2,'7月运营'!$G:$G,"岗位核算")</f>
        <v>0</v>
      </c>
      <c r="AO65" s="18" t="str">
        <f t="shared" si="9"/>
        <v/>
      </c>
      <c r="AP65" s="18">
        <f t="shared" si="1"/>
        <v>31</v>
      </c>
      <c r="AQ65" s="18">
        <f>_xlfn.XLOOKUP(D65,'7月运营'!A:A,'7月运营'!G:G,0)</f>
        <v>0</v>
      </c>
    </row>
    <row r="66" spans="1:43" x14ac:dyDescent="0.15">
      <c r="A66" s="11" t="str">
        <v>融创</v>
      </c>
      <c r="B66" s="11" t="str">
        <v>健康师</v>
      </c>
      <c r="C66" s="11" t="str">
        <v>A</v>
      </c>
      <c r="D66" s="11" t="str">
        <v>李思忆</v>
      </c>
      <c r="E66" s="11" t="str">
        <v>在职</v>
      </c>
      <c r="F66" s="11" t="str">
        <v>事业部</v>
      </c>
      <c r="G66" s="11">
        <f>_xlfn.XLOOKUP(D66,'①7月-花名册'!E:E,'①7月-花名册'!U:U,0)</f>
        <v>0</v>
      </c>
      <c r="H66" s="11">
        <f>_xlfn.XLOOKUP(D66,'①7月-花名册'!E:E,'①7月-花名册'!M:M,0)</f>
        <v>31</v>
      </c>
      <c r="I66" s="11">
        <f>_xlfn.XLOOKUP(D66,'①7月-花名册'!E:E,'①7月-花名册'!S:S,0)</f>
        <v>4</v>
      </c>
      <c r="J66" s="14">
        <f t="shared" si="2"/>
        <v>5</v>
      </c>
      <c r="K66" s="23">
        <v>4</v>
      </c>
      <c r="L66" s="23"/>
      <c r="M66" s="23">
        <v>1</v>
      </c>
      <c r="N66" s="23"/>
      <c r="O66" s="23"/>
      <c r="P66" s="15">
        <f t="shared" si="3"/>
        <v>26</v>
      </c>
      <c r="Q66" s="15">
        <f t="shared" si="4"/>
        <v>31</v>
      </c>
      <c r="R66" s="15">
        <f>IF(F66="事业部",LOOKUP(Q66,基础设置!$T$2:$T$6,基础设置!$U$2:$U$6),IF(F66="总部",LOOKUP(Q66,基础设置!$T$8:$T$13,基础设置!$V$8:$V$13),IF(F66="拓展部",LOOKUP(Q66,基础设置!$T$8:$T$13,基础设置!$W$8:$W$13),2000)))</f>
        <v>4</v>
      </c>
      <c r="S66" s="15">
        <f t="shared" si="5"/>
        <v>31</v>
      </c>
      <c r="T66" s="15">
        <f t="shared" si="6"/>
        <v>0</v>
      </c>
      <c r="U66" s="15">
        <f t="shared" si="7"/>
        <v>0</v>
      </c>
      <c r="V66" s="15">
        <f t="shared" si="0"/>
        <v>0</v>
      </c>
      <c r="W66" s="15">
        <f t="shared" si="8"/>
        <v>0</v>
      </c>
      <c r="X66" s="26">
        <v>20</v>
      </c>
      <c r="Y66" s="26"/>
      <c r="Z66" s="26"/>
      <c r="AA66" s="26"/>
      <c r="AB66" s="27"/>
      <c r="AC66" s="27"/>
      <c r="AD66" s="27"/>
      <c r="AE66" s="33">
        <v>300</v>
      </c>
      <c r="AF66" s="27"/>
      <c r="AG66" s="27"/>
      <c r="AH66" s="17">
        <f>_xlfn.XLOOKUP(D66,'①7月-花名册'!E:E,'①7月-花名册'!T:T,0)</f>
        <v>0</v>
      </c>
      <c r="AI66" s="15">
        <f>SUMIFS('7月运营'!$L:$L,'7月运营'!$A:$A,D66,'7月运营'!$K:$K,$A$1)</f>
        <v>0</v>
      </c>
      <c r="AJ66" s="15">
        <f>SUMIFS('7月运营'!H:H,'7月运营'!$A:$A,D66,'7月运营'!$K:$K,$A$1)</f>
        <v>0</v>
      </c>
      <c r="AK66" s="15">
        <f>SUMIFS(上月未发人员明细!I:I,上月未发人员明细!J:J,$AK$2,上月未发人员明细!A:A,D66)</f>
        <v>0</v>
      </c>
      <c r="AL66" s="15">
        <f>SUMIFS('7月运营'!L:L,'7月运营'!$A:$A,D66,'7月运营'!$K:$K,$AL$2)</f>
        <v>0</v>
      </c>
      <c r="AM66" s="18">
        <f>SUMIFS('7月运营'!$F:$F,'7月运营'!$A:$A,D66,'7月运营'!$K:$K,'②7月-汇总'!$AM$2,'7月运营'!$G:$G,"岗位核算")</f>
        <v>0</v>
      </c>
      <c r="AN66" s="18">
        <f>SUMIFS('7月运营'!$F:$F,'7月运营'!$A:$A,D66,'7月运营'!$K:$K,$AN$2,'7月运营'!$G:$G,"岗位核算")</f>
        <v>0</v>
      </c>
      <c r="AO66" s="18" t="str">
        <f t="shared" si="9"/>
        <v/>
      </c>
      <c r="AP66" s="18">
        <f t="shared" si="1"/>
        <v>31</v>
      </c>
      <c r="AQ66" s="18">
        <f>_xlfn.XLOOKUP(D66,'7月运营'!A:A,'7月运营'!G:G,0)</f>
        <v>0</v>
      </c>
    </row>
    <row r="67" spans="1:43" x14ac:dyDescent="0.15">
      <c r="A67" s="11" t="str">
        <v>融创</v>
      </c>
      <c r="B67" s="11" t="str">
        <v>健康师</v>
      </c>
      <c r="C67" s="11" t="str">
        <v>A</v>
      </c>
      <c r="D67" s="11" t="str">
        <v>赵情情</v>
      </c>
      <c r="E67" s="11" t="str">
        <v>在职</v>
      </c>
      <c r="F67" s="11" t="str">
        <v>事业部</v>
      </c>
      <c r="G67" s="11">
        <f>_xlfn.XLOOKUP(D67,'①7月-花名册'!E:E,'①7月-花名册'!U:U,0)</f>
        <v>0</v>
      </c>
      <c r="H67" s="11">
        <f>_xlfn.XLOOKUP(D67,'①7月-花名册'!E:E,'①7月-花名册'!M:M,0)</f>
        <v>31</v>
      </c>
      <c r="I67" s="11">
        <f>_xlfn.XLOOKUP(D67,'①7月-花名册'!E:E,'①7月-花名册'!S:S,0)</f>
        <v>4</v>
      </c>
      <c r="J67" s="14">
        <f t="shared" si="2"/>
        <v>5</v>
      </c>
      <c r="K67" s="23">
        <v>4</v>
      </c>
      <c r="L67" s="23"/>
      <c r="M67" s="23">
        <v>1</v>
      </c>
      <c r="N67" s="23"/>
      <c r="O67" s="23"/>
      <c r="P67" s="15">
        <f t="shared" si="3"/>
        <v>26</v>
      </c>
      <c r="Q67" s="15">
        <f t="shared" si="4"/>
        <v>31</v>
      </c>
      <c r="R67" s="15">
        <f>IF(F67="事业部",LOOKUP(Q67,基础设置!$T$2:$T$6,基础设置!$U$2:$U$6),IF(F67="总部",LOOKUP(Q67,基础设置!$T$8:$T$13,基础设置!$V$8:$V$13),IF(F67="拓展部",LOOKUP(Q67,基础设置!$T$8:$T$13,基础设置!$W$8:$W$13),2000)))</f>
        <v>4</v>
      </c>
      <c r="S67" s="15">
        <f t="shared" si="5"/>
        <v>31</v>
      </c>
      <c r="T67" s="15">
        <f t="shared" si="6"/>
        <v>0</v>
      </c>
      <c r="U67" s="15">
        <f t="shared" si="7"/>
        <v>0</v>
      </c>
      <c r="V67" s="15">
        <f t="shared" si="0"/>
        <v>0</v>
      </c>
      <c r="W67" s="15">
        <f t="shared" si="8"/>
        <v>0</v>
      </c>
      <c r="X67" s="26"/>
      <c r="Y67" s="26"/>
      <c r="Z67" s="26"/>
      <c r="AA67" s="26"/>
      <c r="AB67" s="27"/>
      <c r="AC67" s="27"/>
      <c r="AD67" s="27"/>
      <c r="AE67" s="27"/>
      <c r="AF67" s="27"/>
      <c r="AG67" s="27"/>
      <c r="AH67" s="17">
        <f>_xlfn.XLOOKUP(D67,'①7月-花名册'!E:E,'①7月-花名册'!T:T,0)</f>
        <v>0</v>
      </c>
      <c r="AI67" s="15">
        <f>SUMIFS('7月运营'!$L:$L,'7月运营'!$A:$A,D67,'7月运营'!$K:$K,$A$1)</f>
        <v>0</v>
      </c>
      <c r="AJ67" s="15">
        <f>SUMIFS('7月运营'!H:H,'7月运营'!$A:$A,D67,'7月运营'!$K:$K,$A$1)</f>
        <v>0</v>
      </c>
      <c r="AK67" s="15">
        <f>SUMIFS(上月未发人员明细!I:I,上月未发人员明细!J:J,$AK$2,上月未发人员明细!A:A,D67)</f>
        <v>0</v>
      </c>
      <c r="AL67" s="15">
        <f>SUMIFS('7月运营'!L:L,'7月运营'!$A:$A,D67,'7月运营'!$K:$K,$AL$2)</f>
        <v>0</v>
      </c>
      <c r="AM67" s="18">
        <f>SUMIFS('7月运营'!$F:$F,'7月运营'!$A:$A,D67,'7月运营'!$K:$K,'②7月-汇总'!$AM$2,'7月运营'!$G:$G,"岗位核算")</f>
        <v>0</v>
      </c>
      <c r="AN67" s="18">
        <f>SUMIFS('7月运营'!$F:$F,'7月运营'!$A:$A,D67,'7月运营'!$K:$K,$AN$2,'7月运营'!$G:$G,"岗位核算")</f>
        <v>0</v>
      </c>
      <c r="AO67" s="18" t="str">
        <f t="shared" si="9"/>
        <v/>
      </c>
      <c r="AP67" s="18">
        <f t="shared" si="1"/>
        <v>31</v>
      </c>
      <c r="AQ67" s="18">
        <f>_xlfn.XLOOKUP(D67,'7月运营'!A:A,'7月运营'!G:G,0)</f>
        <v>0</v>
      </c>
    </row>
    <row r="68" spans="1:43" x14ac:dyDescent="0.15">
      <c r="A68" s="11" t="str">
        <v>融创</v>
      </c>
      <c r="B68" s="11" t="str">
        <v>健康师</v>
      </c>
      <c r="C68" s="11" t="str">
        <v>A</v>
      </c>
      <c r="D68" s="11" t="str">
        <v>曹悦</v>
      </c>
      <c r="E68" s="11" t="str">
        <v>在职</v>
      </c>
      <c r="F68" s="11" t="str">
        <v>事业部</v>
      </c>
      <c r="G68" s="11">
        <f>_xlfn.XLOOKUP(D68,'①7月-花名册'!E:E,'①7月-花名册'!U:U,0)</f>
        <v>0</v>
      </c>
      <c r="H68" s="11">
        <f>_xlfn.XLOOKUP(D68,'①7月-花名册'!E:E,'①7月-花名册'!M:M,0)</f>
        <v>31</v>
      </c>
      <c r="I68" s="11">
        <f>_xlfn.XLOOKUP(D68,'①7月-花名册'!E:E,'①7月-花名册'!S:S,0)</f>
        <v>4</v>
      </c>
      <c r="J68" s="14">
        <f t="shared" si="2"/>
        <v>5</v>
      </c>
      <c r="K68" s="23">
        <v>4</v>
      </c>
      <c r="L68" s="23"/>
      <c r="M68" s="23">
        <v>1</v>
      </c>
      <c r="N68" s="23"/>
      <c r="O68" s="23"/>
      <c r="P68" s="15">
        <f t="shared" si="3"/>
        <v>26</v>
      </c>
      <c r="Q68" s="15">
        <f t="shared" si="4"/>
        <v>31</v>
      </c>
      <c r="R68" s="15">
        <f>IF(F68="事业部",LOOKUP(Q68,基础设置!$T$2:$T$6,基础设置!$U$2:$U$6),IF(F68="总部",LOOKUP(Q68,基础设置!$T$8:$T$13,基础设置!$V$8:$V$13),IF(F68="拓展部",LOOKUP(Q68,基础设置!$T$8:$T$13,基础设置!$W$8:$W$13),2000)))</f>
        <v>4</v>
      </c>
      <c r="S68" s="15">
        <f t="shared" si="5"/>
        <v>31</v>
      </c>
      <c r="T68" s="15">
        <f t="shared" si="6"/>
        <v>0</v>
      </c>
      <c r="U68" s="15">
        <f t="shared" si="7"/>
        <v>0</v>
      </c>
      <c r="V68" s="15">
        <f t="shared" ref="V68:V131" si="10">IF(AND(E68="离职",H68&lt;=26),0,IF(AND(X68=0,Y68=0,AH68=0),IF(B68="保洁",0,IF(R68-K68&lt;0,0,R68-K68)),0))</f>
        <v>0</v>
      </c>
      <c r="W68" s="15">
        <f t="shared" si="8"/>
        <v>0</v>
      </c>
      <c r="X68" s="26"/>
      <c r="Y68" s="26"/>
      <c r="Z68" s="26"/>
      <c r="AA68" s="26"/>
      <c r="AB68" s="27"/>
      <c r="AC68" s="27">
        <v>100</v>
      </c>
      <c r="AD68" s="27"/>
      <c r="AE68" s="27"/>
      <c r="AF68" s="27"/>
      <c r="AG68" s="27"/>
      <c r="AH68" s="17">
        <f>_xlfn.XLOOKUP(D68,'①7月-花名册'!E:E,'①7月-花名册'!T:T,0)</f>
        <v>0</v>
      </c>
      <c r="AI68" s="15">
        <f>SUMIFS('7月运营'!$L:$L,'7月运营'!$A:$A,D68,'7月运营'!$K:$K,$A$1)</f>
        <v>0</v>
      </c>
      <c r="AJ68" s="15">
        <f>SUMIFS('7月运营'!H:H,'7月运营'!$A:$A,D68,'7月运营'!$K:$K,$A$1)</f>
        <v>0</v>
      </c>
      <c r="AK68" s="15">
        <f>SUMIFS(上月未发人员明细!I:I,上月未发人员明细!J:J,$AK$2,上月未发人员明细!A:A,D68)</f>
        <v>0</v>
      </c>
      <c r="AL68" s="15">
        <f>SUMIFS('7月运营'!L:L,'7月运营'!$A:$A,D68,'7月运营'!$K:$K,$AL$2)</f>
        <v>0</v>
      </c>
      <c r="AM68" s="18">
        <f>SUMIFS('7月运营'!$F:$F,'7月运营'!$A:$A,D68,'7月运营'!$K:$K,'②7月-汇总'!$AM$2,'7月运营'!$G:$G,"岗位核算")</f>
        <v>0</v>
      </c>
      <c r="AN68" s="18">
        <f>SUMIFS('7月运营'!$F:$F,'7月运营'!$A:$A,D68,'7月运营'!$K:$K,$AN$2,'7月运营'!$G:$G,"岗位核算")</f>
        <v>0</v>
      </c>
      <c r="AO68" s="18" t="str">
        <f t="shared" si="9"/>
        <v/>
      </c>
      <c r="AP68" s="18">
        <f t="shared" ref="AP68:AP131" si="11">IF(AM68=0,S68,AM68)</f>
        <v>31</v>
      </c>
      <c r="AQ68" s="18">
        <f>_xlfn.XLOOKUP(D68,'7月运营'!A:A,'7月运营'!G:G,0)</f>
        <v>0</v>
      </c>
    </row>
    <row r="69" spans="1:43" x14ac:dyDescent="0.15">
      <c r="A69" s="11" t="str">
        <v>融创</v>
      </c>
      <c r="B69" s="11" t="str">
        <v>健康师</v>
      </c>
      <c r="C69" s="11" t="str">
        <v>A</v>
      </c>
      <c r="D69" s="11" t="str">
        <v>吴飞雁</v>
      </c>
      <c r="E69" s="11" t="str">
        <v>在职</v>
      </c>
      <c r="F69" s="11" t="str">
        <v>事业部</v>
      </c>
      <c r="G69" s="11">
        <f>_xlfn.XLOOKUP(D69,'①7月-花名册'!E:E,'①7月-花名册'!U:U,0)</f>
        <v>0</v>
      </c>
      <c r="H69" s="11">
        <f>_xlfn.XLOOKUP(D69,'①7月-花名册'!E:E,'①7月-花名册'!M:M,0)</f>
        <v>31</v>
      </c>
      <c r="I69" s="11">
        <f>_xlfn.XLOOKUP(D69,'①7月-花名册'!E:E,'①7月-花名册'!S:S,0)</f>
        <v>4</v>
      </c>
      <c r="J69" s="14">
        <f t="shared" ref="J69:J132" si="12">SUM(K69:O69)</f>
        <v>5</v>
      </c>
      <c r="K69" s="23">
        <v>4</v>
      </c>
      <c r="L69" s="23"/>
      <c r="M69" s="23">
        <v>1</v>
      </c>
      <c r="N69" s="23"/>
      <c r="O69" s="23"/>
      <c r="P69" s="15">
        <f t="shared" ref="P69:P132" si="13">H69-SUM(K69:O69)</f>
        <v>26</v>
      </c>
      <c r="Q69" s="15">
        <f t="shared" ref="Q69:Q132" si="14">P69+K69+O69+N69+M69</f>
        <v>31</v>
      </c>
      <c r="R69" s="15">
        <f>IF(F69="事业部",LOOKUP(Q69,基础设置!$T$2:$T$6,基础设置!$U$2:$U$6),IF(F69="总部",LOOKUP(Q69,基础设置!$T$8:$T$13,基础设置!$V$8:$V$13),IF(F69="拓展部",LOOKUP(Q69,基础设置!$T$8:$T$13,基础设置!$W$8:$W$13),2000)))</f>
        <v>4</v>
      </c>
      <c r="S69" s="15">
        <f t="shared" ref="S69:S132" si="15">K69+M69+N69+O69+P69</f>
        <v>31</v>
      </c>
      <c r="T69" s="15">
        <f t="shared" ref="T69:T132" si="16">IF(K69-R69&lt;0,0,K69-R69)</f>
        <v>0</v>
      </c>
      <c r="U69" s="15">
        <f t="shared" ref="U69:U132" si="17">T69+L69</f>
        <v>0</v>
      </c>
      <c r="V69" s="15">
        <f t="shared" si="10"/>
        <v>0</v>
      </c>
      <c r="W69" s="15">
        <f t="shared" ref="W69:W132" si="18">V69*20</f>
        <v>0</v>
      </c>
      <c r="X69" s="26"/>
      <c r="Y69" s="26"/>
      <c r="Z69" s="26"/>
      <c r="AA69" s="26"/>
      <c r="AB69" s="27"/>
      <c r="AC69" s="27">
        <v>100</v>
      </c>
      <c r="AD69" s="27"/>
      <c r="AE69" s="27"/>
      <c r="AF69" s="27"/>
      <c r="AG69" s="27"/>
      <c r="AH69" s="17">
        <f>_xlfn.XLOOKUP(D69,'①7月-花名册'!E:E,'①7月-花名册'!T:T,0)</f>
        <v>3500</v>
      </c>
      <c r="AI69" s="15">
        <f>SUMIFS('7月运营'!$L:$L,'7月运营'!$A:$A,D69,'7月运营'!$K:$K,$A$1)</f>
        <v>0</v>
      </c>
      <c r="AJ69" s="15">
        <f>SUMIFS('7月运营'!H:H,'7月运营'!$A:$A,D69,'7月运营'!$K:$K,$A$1)</f>
        <v>0</v>
      </c>
      <c r="AK69" s="15">
        <f>SUMIFS(上月未发人员明细!I:I,上月未发人员明细!J:J,$AK$2,上月未发人员明细!A:A,D69)</f>
        <v>0</v>
      </c>
      <c r="AL69" s="15">
        <f>SUMIFS('7月运营'!L:L,'7月运营'!$A:$A,D69,'7月运营'!$K:$K,$AL$2)</f>
        <v>0</v>
      </c>
      <c r="AM69" s="18">
        <f>SUMIFS('7月运营'!$F:$F,'7月运营'!$A:$A,D69,'7月运营'!$K:$K,'②7月-汇总'!$AM$2,'7月运营'!$G:$G,"岗位核算")</f>
        <v>0</v>
      </c>
      <c r="AN69" s="18">
        <f>SUMIFS('7月运营'!$F:$F,'7月运营'!$A:$A,D69,'7月运营'!$K:$K,$AN$2,'7月运营'!$G:$G,"岗位核算")</f>
        <v>0</v>
      </c>
      <c r="AO69" s="18" t="str">
        <f t="shared" ref="AO69:AO132" si="19">IF(AN69&lt;&gt;0,"有","")</f>
        <v/>
      </c>
      <c r="AP69" s="18">
        <f t="shared" si="11"/>
        <v>31</v>
      </c>
      <c r="AQ69" s="18">
        <f>_xlfn.XLOOKUP(D69,'7月运营'!A:A,'7月运营'!G:G,0)</f>
        <v>0</v>
      </c>
    </row>
    <row r="70" spans="1:43" x14ac:dyDescent="0.15">
      <c r="A70" s="11" t="str">
        <v>融创</v>
      </c>
      <c r="B70" s="11" t="str">
        <v>健康师</v>
      </c>
      <c r="C70" s="11" t="str">
        <v>A</v>
      </c>
      <c r="D70" s="11" t="str">
        <v>尹桂香</v>
      </c>
      <c r="E70" s="11" t="str">
        <v>在职</v>
      </c>
      <c r="F70" s="11" t="str">
        <v>事业部</v>
      </c>
      <c r="G70" s="11">
        <f>_xlfn.XLOOKUP(D70,'①7月-花名册'!E:E,'①7月-花名册'!U:U,0)</f>
        <v>0</v>
      </c>
      <c r="H70" s="11">
        <f>_xlfn.XLOOKUP(D70,'①7月-花名册'!E:E,'①7月-花名册'!M:M,0)</f>
        <v>31</v>
      </c>
      <c r="I70" s="11">
        <f>_xlfn.XLOOKUP(D70,'①7月-花名册'!E:E,'①7月-花名册'!S:S,0)</f>
        <v>4</v>
      </c>
      <c r="J70" s="14">
        <f t="shared" si="12"/>
        <v>5</v>
      </c>
      <c r="K70" s="23">
        <v>4</v>
      </c>
      <c r="L70" s="23"/>
      <c r="M70" s="23">
        <v>1</v>
      </c>
      <c r="N70" s="23"/>
      <c r="O70" s="23"/>
      <c r="P70" s="15">
        <f t="shared" si="13"/>
        <v>26</v>
      </c>
      <c r="Q70" s="15">
        <f t="shared" si="14"/>
        <v>31</v>
      </c>
      <c r="R70" s="15">
        <f>IF(F70="事业部",LOOKUP(Q70,基础设置!$T$2:$T$6,基础设置!$U$2:$U$6),IF(F70="总部",LOOKUP(Q70,基础设置!$T$8:$T$13,基础设置!$V$8:$V$13),IF(F70="拓展部",LOOKUP(Q70,基础设置!$T$8:$T$13,基础设置!$W$8:$W$13),2000)))</f>
        <v>4</v>
      </c>
      <c r="S70" s="15">
        <f t="shared" si="15"/>
        <v>31</v>
      </c>
      <c r="T70" s="15">
        <f t="shared" si="16"/>
        <v>0</v>
      </c>
      <c r="U70" s="15">
        <f t="shared" si="17"/>
        <v>0</v>
      </c>
      <c r="V70" s="15">
        <f t="shared" si="10"/>
        <v>0</v>
      </c>
      <c r="W70" s="15">
        <f t="shared" si="18"/>
        <v>0</v>
      </c>
      <c r="X70" s="26">
        <v>10</v>
      </c>
      <c r="Y70" s="26"/>
      <c r="Z70" s="26"/>
      <c r="AA70" s="26"/>
      <c r="AB70" s="27"/>
      <c r="AC70" s="27"/>
      <c r="AD70" s="27"/>
      <c r="AE70" s="27"/>
      <c r="AF70" s="27"/>
      <c r="AG70" s="27"/>
      <c r="AH70" s="17">
        <f>_xlfn.XLOOKUP(D70,'①7月-花名册'!E:E,'①7月-花名册'!T:T,0)</f>
        <v>4000</v>
      </c>
      <c r="AI70" s="15">
        <f>SUMIFS('7月运营'!$L:$L,'7月运营'!$A:$A,D70,'7月运营'!$K:$K,$A$1)</f>
        <v>0</v>
      </c>
      <c r="AJ70" s="15">
        <f>SUMIFS('7月运营'!H:H,'7月运营'!$A:$A,D70,'7月运营'!$K:$K,$A$1)</f>
        <v>0</v>
      </c>
      <c r="AK70" s="15">
        <f>SUMIFS(上月未发人员明细!I:I,上月未发人员明细!J:J,$AK$2,上月未发人员明细!A:A,D70)</f>
        <v>0</v>
      </c>
      <c r="AL70" s="15">
        <f>SUMIFS('7月运营'!L:L,'7月运营'!$A:$A,D70,'7月运营'!$K:$K,$AL$2)</f>
        <v>0</v>
      </c>
      <c r="AM70" s="18">
        <f>SUMIFS('7月运营'!$F:$F,'7月运营'!$A:$A,D70,'7月运营'!$K:$K,'②7月-汇总'!$AM$2,'7月运营'!$G:$G,"岗位核算")</f>
        <v>0</v>
      </c>
      <c r="AN70" s="18">
        <f>SUMIFS('7月运营'!$F:$F,'7月运营'!$A:$A,D70,'7月运营'!$K:$K,$AN$2,'7月运营'!$G:$G,"岗位核算")</f>
        <v>0</v>
      </c>
      <c r="AO70" s="18" t="str">
        <f t="shared" si="19"/>
        <v/>
      </c>
      <c r="AP70" s="18">
        <f t="shared" si="11"/>
        <v>31</v>
      </c>
      <c r="AQ70" s="18">
        <f>_xlfn.XLOOKUP(D70,'7月运营'!A:A,'7月运营'!G:G,0)</f>
        <v>0</v>
      </c>
    </row>
    <row r="71" spans="1:43" x14ac:dyDescent="0.15">
      <c r="A71" s="11" t="str">
        <v>事业五部</v>
      </c>
      <c r="B71" s="11" t="str">
        <v>总经理</v>
      </c>
      <c r="C71" s="11" t="str">
        <v>B</v>
      </c>
      <c r="D71" s="11" t="str">
        <v>张小娟</v>
      </c>
      <c r="E71" s="11" t="str">
        <v>在职</v>
      </c>
      <c r="F71" s="11" t="str">
        <v>事业部</v>
      </c>
      <c r="G71" s="11">
        <f>_xlfn.XLOOKUP(D71,'①7月-花名册'!E:E,'①7月-花名册'!U:U,0)</f>
        <v>0</v>
      </c>
      <c r="H71" s="11">
        <f>_xlfn.XLOOKUP(D71,'①7月-花名册'!E:E,'①7月-花名册'!M:M,0)</f>
        <v>31</v>
      </c>
      <c r="I71" s="11">
        <f>_xlfn.XLOOKUP(D71,'①7月-花名册'!E:E,'①7月-花名册'!S:S,0)</f>
        <v>4</v>
      </c>
      <c r="J71" s="14">
        <f t="shared" si="12"/>
        <v>4</v>
      </c>
      <c r="K71" s="23">
        <v>4</v>
      </c>
      <c r="L71" s="23"/>
      <c r="M71" s="23"/>
      <c r="N71" s="23"/>
      <c r="O71" s="23"/>
      <c r="P71" s="15">
        <f t="shared" si="13"/>
        <v>27</v>
      </c>
      <c r="Q71" s="15">
        <f t="shared" si="14"/>
        <v>31</v>
      </c>
      <c r="R71" s="15">
        <f>IF(F71="事业部",LOOKUP(Q71,基础设置!$T$2:$T$6,基础设置!$U$2:$U$6),IF(F71="总部",LOOKUP(Q71,基础设置!$T$8:$T$13,基础设置!$V$8:$V$13),IF(F71="拓展部",LOOKUP(Q71,基础设置!$T$8:$T$13,基础设置!$W$8:$W$13),2000)))</f>
        <v>4</v>
      </c>
      <c r="S71" s="15">
        <f t="shared" si="15"/>
        <v>31</v>
      </c>
      <c r="T71" s="15">
        <f t="shared" si="16"/>
        <v>0</v>
      </c>
      <c r="U71" s="15">
        <f t="shared" si="17"/>
        <v>0</v>
      </c>
      <c r="V71" s="15">
        <f t="shared" si="10"/>
        <v>0</v>
      </c>
      <c r="W71" s="15">
        <f t="shared" si="18"/>
        <v>0</v>
      </c>
      <c r="X71" s="26">
        <v>10</v>
      </c>
      <c r="Y71" s="26"/>
      <c r="Z71" s="26"/>
      <c r="AA71" s="26"/>
      <c r="AB71" s="27"/>
      <c r="AC71" s="27"/>
      <c r="AD71" s="27"/>
      <c r="AE71" s="27"/>
      <c r="AF71" s="27"/>
      <c r="AG71" s="27"/>
      <c r="AH71" s="17">
        <f>_xlfn.XLOOKUP(D71,'①7月-花名册'!E:E,'①7月-花名册'!T:T,0)</f>
        <v>0</v>
      </c>
      <c r="AI71" s="15">
        <f>SUMIFS('7月运营'!$L:$L,'7月运营'!$A:$A,D71,'7月运营'!$K:$K,$A$1)</f>
        <v>0</v>
      </c>
      <c r="AJ71" s="15">
        <f>SUMIFS('7月运营'!H:H,'7月运营'!$A:$A,D71,'7月运营'!$K:$K,$A$1)</f>
        <v>0</v>
      </c>
      <c r="AK71" s="15">
        <f>SUMIFS(上月未发人员明细!I:I,上月未发人员明细!J:J,$AK$2,上月未发人员明细!A:A,D71)</f>
        <v>0</v>
      </c>
      <c r="AL71" s="15">
        <f>SUMIFS('7月运营'!L:L,'7月运营'!$A:$A,D71,'7月运营'!$K:$K,$AL$2)</f>
        <v>0</v>
      </c>
      <c r="AM71" s="18">
        <f>SUMIFS('7月运营'!$F:$F,'7月运营'!$A:$A,D71,'7月运营'!$K:$K,'②7月-汇总'!$AM$2,'7月运营'!$G:$G,"岗位核算")</f>
        <v>0</v>
      </c>
      <c r="AN71" s="18">
        <f>SUMIFS('7月运营'!$F:$F,'7月运营'!$A:$A,D71,'7月运营'!$K:$K,$AN$2,'7月运营'!$G:$G,"岗位核算")</f>
        <v>0</v>
      </c>
      <c r="AO71" s="18" t="str">
        <f t="shared" si="19"/>
        <v/>
      </c>
      <c r="AP71" s="18">
        <f t="shared" si="11"/>
        <v>31</v>
      </c>
      <c r="AQ71" s="18">
        <f>_xlfn.XLOOKUP(D71,'7月运营'!A:A,'7月运营'!G:G,0)</f>
        <v>0</v>
      </c>
    </row>
    <row r="72" spans="1:43" x14ac:dyDescent="0.15">
      <c r="A72" s="11" t="str">
        <v>川师</v>
      </c>
      <c r="B72" s="11" t="str">
        <v>店长</v>
      </c>
      <c r="C72" s="11" t="str">
        <v>B</v>
      </c>
      <c r="D72" s="11" t="str">
        <v>刘安琼</v>
      </c>
      <c r="E72" s="11" t="str">
        <v>在职</v>
      </c>
      <c r="F72" s="11" t="str">
        <v>事业部</v>
      </c>
      <c r="G72" s="11">
        <f>_xlfn.XLOOKUP(D72,'①7月-花名册'!E:E,'①7月-花名册'!U:U,0)</f>
        <v>0</v>
      </c>
      <c r="H72" s="11">
        <f>_xlfn.XLOOKUP(D72,'①7月-花名册'!E:E,'①7月-花名册'!M:M,0)</f>
        <v>31</v>
      </c>
      <c r="I72" s="11">
        <f>_xlfn.XLOOKUP(D72,'①7月-花名册'!E:E,'①7月-花名册'!S:S,0)</f>
        <v>4</v>
      </c>
      <c r="J72" s="14">
        <f t="shared" si="12"/>
        <v>4</v>
      </c>
      <c r="K72" s="23">
        <v>4</v>
      </c>
      <c r="L72" s="23"/>
      <c r="M72" s="23"/>
      <c r="N72" s="23"/>
      <c r="O72" s="23"/>
      <c r="P72" s="15">
        <f t="shared" si="13"/>
        <v>27</v>
      </c>
      <c r="Q72" s="15">
        <f t="shared" si="14"/>
        <v>31</v>
      </c>
      <c r="R72" s="15">
        <f>IF(F72="事业部",LOOKUP(Q72,基础设置!$T$2:$T$6,基础设置!$U$2:$U$6),IF(F72="总部",LOOKUP(Q72,基础设置!$T$8:$T$13,基础设置!$V$8:$V$13),IF(F72="拓展部",LOOKUP(Q72,基础设置!$T$8:$T$13,基础设置!$W$8:$W$13),2000)))</f>
        <v>4</v>
      </c>
      <c r="S72" s="15">
        <f t="shared" si="15"/>
        <v>31</v>
      </c>
      <c r="T72" s="15">
        <f t="shared" si="16"/>
        <v>0</v>
      </c>
      <c r="U72" s="15">
        <f t="shared" si="17"/>
        <v>0</v>
      </c>
      <c r="V72" s="15">
        <f t="shared" si="10"/>
        <v>0</v>
      </c>
      <c r="W72" s="15">
        <f t="shared" si="18"/>
        <v>0</v>
      </c>
      <c r="X72" s="26">
        <v>20</v>
      </c>
      <c r="Y72" s="26"/>
      <c r="Z72" s="26"/>
      <c r="AA72" s="26"/>
      <c r="AB72" s="27"/>
      <c r="AC72" s="27"/>
      <c r="AD72" s="27"/>
      <c r="AE72" s="27"/>
      <c r="AF72" s="27"/>
      <c r="AG72" s="27"/>
      <c r="AH72" s="17">
        <f>_xlfn.XLOOKUP(D72,'①7月-花名册'!E:E,'①7月-花名册'!T:T,0)</f>
        <v>0</v>
      </c>
      <c r="AI72" s="15">
        <f>SUMIFS('7月运营'!$L:$L,'7月运营'!$A:$A,D72,'7月运营'!$K:$K,$A$1)</f>
        <v>0</v>
      </c>
      <c r="AJ72" s="15">
        <f>SUMIFS('7月运营'!H:H,'7月运营'!$A:$A,D72,'7月运营'!$K:$K,$A$1)</f>
        <v>0</v>
      </c>
      <c r="AK72" s="15">
        <f>SUMIFS(上月未发人员明细!I:I,上月未发人员明细!J:J,$AK$2,上月未发人员明细!A:A,D72)</f>
        <v>0</v>
      </c>
      <c r="AL72" s="15">
        <f>SUMIFS('7月运营'!L:L,'7月运营'!$A:$A,D72,'7月运营'!$K:$K,$AL$2)</f>
        <v>0</v>
      </c>
      <c r="AM72" s="18">
        <f>SUMIFS('7月运营'!$F:$F,'7月运营'!$A:$A,D72,'7月运营'!$K:$K,'②7月-汇总'!$AM$2,'7月运营'!$G:$G,"岗位核算")</f>
        <v>0</v>
      </c>
      <c r="AN72" s="18">
        <f>SUMIFS('7月运营'!$F:$F,'7月运营'!$A:$A,D72,'7月运营'!$K:$K,$AN$2,'7月运营'!$G:$G,"岗位核算")</f>
        <v>0</v>
      </c>
      <c r="AO72" s="18" t="str">
        <f t="shared" si="19"/>
        <v/>
      </c>
      <c r="AP72" s="18">
        <f t="shared" si="11"/>
        <v>31</v>
      </c>
      <c r="AQ72" s="18">
        <f>_xlfn.XLOOKUP(D72,'7月运营'!A:A,'7月运营'!G:G,0)</f>
        <v>0</v>
      </c>
    </row>
    <row r="73" spans="1:43" x14ac:dyDescent="0.15">
      <c r="A73" s="11" t="str">
        <v>川师</v>
      </c>
      <c r="B73" s="11" t="str">
        <v>主任</v>
      </c>
      <c r="C73" s="11" t="str">
        <v>B</v>
      </c>
      <c r="D73" s="11" t="str">
        <v>刘晓林</v>
      </c>
      <c r="E73" s="11" t="str">
        <v>在职</v>
      </c>
      <c r="F73" s="11" t="str">
        <v>事业部</v>
      </c>
      <c r="G73" s="11">
        <f>_xlfn.XLOOKUP(D73,'①7月-花名册'!E:E,'①7月-花名册'!U:U,0)</f>
        <v>0</v>
      </c>
      <c r="H73" s="11">
        <f>_xlfn.XLOOKUP(D73,'①7月-花名册'!E:E,'①7月-花名册'!M:M,0)</f>
        <v>31</v>
      </c>
      <c r="I73" s="11">
        <f>_xlfn.XLOOKUP(D73,'①7月-花名册'!E:E,'①7月-花名册'!S:S,0)</f>
        <v>4</v>
      </c>
      <c r="J73" s="14">
        <f t="shared" si="12"/>
        <v>4</v>
      </c>
      <c r="K73" s="23">
        <v>4</v>
      </c>
      <c r="L73" s="23"/>
      <c r="M73" s="23"/>
      <c r="N73" s="23"/>
      <c r="O73" s="23"/>
      <c r="P73" s="15">
        <f t="shared" si="13"/>
        <v>27</v>
      </c>
      <c r="Q73" s="15">
        <f t="shared" si="14"/>
        <v>31</v>
      </c>
      <c r="R73" s="15">
        <f>IF(F73="事业部",LOOKUP(Q73,基础设置!$T$2:$T$6,基础设置!$U$2:$U$6),IF(F73="总部",LOOKUP(Q73,基础设置!$T$8:$T$13,基础设置!$V$8:$V$13),IF(F73="拓展部",LOOKUP(Q73,基础设置!$T$8:$T$13,基础设置!$W$8:$W$13),2000)))</f>
        <v>4</v>
      </c>
      <c r="S73" s="15">
        <f t="shared" si="15"/>
        <v>31</v>
      </c>
      <c r="T73" s="15">
        <f t="shared" si="16"/>
        <v>0</v>
      </c>
      <c r="U73" s="15">
        <f t="shared" si="17"/>
        <v>0</v>
      </c>
      <c r="V73" s="15">
        <f t="shared" si="10"/>
        <v>0</v>
      </c>
      <c r="W73" s="15">
        <f t="shared" si="18"/>
        <v>0</v>
      </c>
      <c r="X73" s="26"/>
      <c r="Y73" s="26">
        <v>30</v>
      </c>
      <c r="Z73" s="26"/>
      <c r="AA73" s="26"/>
      <c r="AB73" s="27"/>
      <c r="AC73" s="27"/>
      <c r="AD73" s="27">
        <v>530</v>
      </c>
      <c r="AE73" s="27"/>
      <c r="AF73" s="27"/>
      <c r="AG73" s="27"/>
      <c r="AH73" s="17">
        <f>_xlfn.XLOOKUP(D73,'①7月-花名册'!E:E,'①7月-花名册'!T:T,0)</f>
        <v>5000</v>
      </c>
      <c r="AI73" s="15">
        <f>SUMIFS('7月运营'!$L:$L,'7月运营'!$A:$A,D73,'7月运营'!$K:$K,$A$1)</f>
        <v>0</v>
      </c>
      <c r="AJ73" s="15">
        <f>SUMIFS('7月运营'!H:H,'7月运营'!$A:$A,D73,'7月运营'!$K:$K,$A$1)</f>
        <v>0</v>
      </c>
      <c r="AK73" s="15">
        <f>SUMIFS(上月未发人员明细!I:I,上月未发人员明细!J:J,$AK$2,上月未发人员明细!A:A,D73)</f>
        <v>0</v>
      </c>
      <c r="AL73" s="15">
        <f>SUMIFS('7月运营'!L:L,'7月运营'!$A:$A,D73,'7月运营'!$K:$K,$AL$2)</f>
        <v>0</v>
      </c>
      <c r="AM73" s="18">
        <f>SUMIFS('7月运营'!$F:$F,'7月运营'!$A:$A,D73,'7月运营'!$K:$K,'②7月-汇总'!$AM$2,'7月运营'!$G:$G,"岗位核算")</f>
        <v>0</v>
      </c>
      <c r="AN73" s="18">
        <f>SUMIFS('7月运营'!$F:$F,'7月运营'!$A:$A,D73,'7月运营'!$K:$K,$AN$2,'7月运营'!$G:$G,"岗位核算")</f>
        <v>0</v>
      </c>
      <c r="AO73" s="18" t="str">
        <f t="shared" si="19"/>
        <v/>
      </c>
      <c r="AP73" s="18">
        <f t="shared" si="11"/>
        <v>31</v>
      </c>
      <c r="AQ73" s="18">
        <f>_xlfn.XLOOKUP(D73,'7月运营'!A:A,'7月运营'!G:G,0)</f>
        <v>0</v>
      </c>
    </row>
    <row r="74" spans="1:43" x14ac:dyDescent="0.15">
      <c r="A74" s="11" t="str">
        <v>川师</v>
      </c>
      <c r="B74" s="11" t="str">
        <v>健康师</v>
      </c>
      <c r="C74" s="11" t="str">
        <v>A</v>
      </c>
      <c r="D74" s="11" t="str">
        <v>李巧娇</v>
      </c>
      <c r="E74" s="11" t="str">
        <v>在职</v>
      </c>
      <c r="F74" s="11" t="str">
        <v>事业部</v>
      </c>
      <c r="G74" s="11">
        <f>_xlfn.XLOOKUP(D74,'①7月-花名册'!E:E,'①7月-花名册'!U:U,0)</f>
        <v>0</v>
      </c>
      <c r="H74" s="11">
        <f>_xlfn.XLOOKUP(D74,'①7月-花名册'!E:E,'①7月-花名册'!M:M,0)</f>
        <v>31</v>
      </c>
      <c r="I74" s="11">
        <f>_xlfn.XLOOKUP(D74,'①7月-花名册'!E:E,'①7月-花名册'!S:S,0)</f>
        <v>4</v>
      </c>
      <c r="J74" s="14">
        <f t="shared" si="12"/>
        <v>3</v>
      </c>
      <c r="K74" s="23">
        <v>3</v>
      </c>
      <c r="L74" s="23"/>
      <c r="M74" s="23"/>
      <c r="N74" s="23"/>
      <c r="O74" s="23"/>
      <c r="P74" s="15">
        <f t="shared" si="13"/>
        <v>28</v>
      </c>
      <c r="Q74" s="15">
        <f t="shared" si="14"/>
        <v>31</v>
      </c>
      <c r="R74" s="15">
        <f>IF(F74="事业部",LOOKUP(Q74,基础设置!$T$2:$T$6,基础设置!$U$2:$U$6),IF(F74="总部",LOOKUP(Q74,基础设置!$T$8:$T$13,基础设置!$V$8:$V$13),IF(F74="拓展部",LOOKUP(Q74,基础设置!$T$8:$T$13,基础设置!$W$8:$W$13),2000)))</f>
        <v>4</v>
      </c>
      <c r="S74" s="15">
        <f t="shared" si="15"/>
        <v>31</v>
      </c>
      <c r="T74" s="15">
        <f t="shared" si="16"/>
        <v>0</v>
      </c>
      <c r="U74" s="15">
        <f t="shared" si="17"/>
        <v>0</v>
      </c>
      <c r="V74" s="15">
        <f t="shared" si="10"/>
        <v>1</v>
      </c>
      <c r="W74" s="15">
        <f t="shared" si="18"/>
        <v>20</v>
      </c>
      <c r="X74" s="26"/>
      <c r="Y74" s="26"/>
      <c r="Z74" s="26"/>
      <c r="AA74" s="26"/>
      <c r="AB74" s="27"/>
      <c r="AC74" s="27"/>
      <c r="AD74" s="27"/>
      <c r="AE74" s="27"/>
      <c r="AF74" s="27"/>
      <c r="AG74" s="27"/>
      <c r="AH74" s="17">
        <f>_xlfn.XLOOKUP(D74,'①7月-花名册'!E:E,'①7月-花名册'!T:T,0)</f>
        <v>0</v>
      </c>
      <c r="AI74" s="15">
        <f>SUMIFS('7月运营'!$L:$L,'7月运营'!$A:$A,D74,'7月运营'!$K:$K,$A$1)</f>
        <v>0</v>
      </c>
      <c r="AJ74" s="15">
        <f>SUMIFS('7月运营'!H:H,'7月运营'!$A:$A,D74,'7月运营'!$K:$K,$A$1)</f>
        <v>0</v>
      </c>
      <c r="AK74" s="15">
        <f>SUMIFS(上月未发人员明细!I:I,上月未发人员明细!J:J,$AK$2,上月未发人员明细!A:A,D74)</f>
        <v>0</v>
      </c>
      <c r="AL74" s="15">
        <f>SUMIFS('7月运营'!L:L,'7月运营'!$A:$A,D74,'7月运营'!$K:$K,$AL$2)</f>
        <v>0</v>
      </c>
      <c r="AM74" s="18">
        <f>SUMIFS('7月运营'!$F:$F,'7月运营'!$A:$A,D74,'7月运营'!$K:$K,'②7月-汇总'!$AM$2,'7月运营'!$G:$G,"岗位核算")</f>
        <v>0</v>
      </c>
      <c r="AN74" s="18">
        <f>SUMIFS('7月运营'!$F:$F,'7月运营'!$A:$A,D74,'7月运营'!$K:$K,$AN$2,'7月运营'!$G:$G,"岗位核算")</f>
        <v>0</v>
      </c>
      <c r="AO74" s="18" t="str">
        <f t="shared" si="19"/>
        <v/>
      </c>
      <c r="AP74" s="18">
        <f t="shared" si="11"/>
        <v>31</v>
      </c>
      <c r="AQ74" s="18">
        <f>_xlfn.XLOOKUP(D74,'7月运营'!A:A,'7月运营'!G:G,0)</f>
        <v>0</v>
      </c>
    </row>
    <row r="75" spans="1:43" x14ac:dyDescent="0.15">
      <c r="A75" s="11" t="str">
        <v>川师</v>
      </c>
      <c r="B75" s="11" t="str">
        <v>店助</v>
      </c>
      <c r="C75" s="11" t="str">
        <v>A</v>
      </c>
      <c r="D75" s="11" t="str">
        <v>林萍</v>
      </c>
      <c r="E75" s="11" t="str">
        <v>在职</v>
      </c>
      <c r="F75" s="11" t="str">
        <v>事业部</v>
      </c>
      <c r="G75" s="11">
        <f>_xlfn.XLOOKUP(D75,'①7月-花名册'!E:E,'①7月-花名册'!U:U,0)</f>
        <v>0</v>
      </c>
      <c r="H75" s="11">
        <f>_xlfn.XLOOKUP(D75,'①7月-花名册'!E:E,'①7月-花名册'!M:M,0)</f>
        <v>31</v>
      </c>
      <c r="I75" s="11">
        <f>_xlfn.XLOOKUP(D75,'①7月-花名册'!E:E,'①7月-花名册'!S:S,0)</f>
        <v>4</v>
      </c>
      <c r="J75" s="14">
        <f t="shared" si="12"/>
        <v>4</v>
      </c>
      <c r="K75" s="23">
        <v>4</v>
      </c>
      <c r="L75" s="23"/>
      <c r="M75" s="23"/>
      <c r="N75" s="23"/>
      <c r="O75" s="23"/>
      <c r="P75" s="15">
        <f t="shared" si="13"/>
        <v>27</v>
      </c>
      <c r="Q75" s="15">
        <f t="shared" si="14"/>
        <v>31</v>
      </c>
      <c r="R75" s="15">
        <f>IF(F75="事业部",LOOKUP(Q75,基础设置!$T$2:$T$6,基础设置!$U$2:$U$6),IF(F75="总部",LOOKUP(Q75,基础设置!$T$8:$T$13,基础设置!$V$8:$V$13),IF(F75="拓展部",LOOKUP(Q75,基础设置!$T$8:$T$13,基础设置!$W$8:$W$13),2000)))</f>
        <v>4</v>
      </c>
      <c r="S75" s="15">
        <f t="shared" si="15"/>
        <v>31</v>
      </c>
      <c r="T75" s="15">
        <f t="shared" si="16"/>
        <v>0</v>
      </c>
      <c r="U75" s="15">
        <f t="shared" si="17"/>
        <v>0</v>
      </c>
      <c r="V75" s="15">
        <f t="shared" si="10"/>
        <v>0</v>
      </c>
      <c r="W75" s="15">
        <f t="shared" si="18"/>
        <v>0</v>
      </c>
      <c r="X75" s="26"/>
      <c r="Y75" s="26"/>
      <c r="Z75" s="26">
        <v>50</v>
      </c>
      <c r="AA75" s="26"/>
      <c r="AB75" s="27"/>
      <c r="AC75" s="27"/>
      <c r="AD75" s="27"/>
      <c r="AE75" s="27"/>
      <c r="AF75" s="27"/>
      <c r="AG75" s="27"/>
      <c r="AH75" s="17">
        <f>_xlfn.XLOOKUP(D75,'①7月-花名册'!E:E,'①7月-花名册'!T:T,0)</f>
        <v>0</v>
      </c>
      <c r="AI75" s="15">
        <f>SUMIFS('7月运营'!$L:$L,'7月运营'!$A:$A,D75,'7月运营'!$K:$K,$A$1)</f>
        <v>0</v>
      </c>
      <c r="AJ75" s="15">
        <f>SUMIFS('7月运营'!H:H,'7月运营'!$A:$A,D75,'7月运营'!$K:$K,$A$1)</f>
        <v>0</v>
      </c>
      <c r="AK75" s="15">
        <f>SUMIFS(上月未发人员明细!I:I,上月未发人员明细!J:J,$AK$2,上月未发人员明细!A:A,D75)</f>
        <v>0</v>
      </c>
      <c r="AL75" s="15">
        <f>SUMIFS('7月运营'!L:L,'7月运营'!$A:$A,D75,'7月运营'!$K:$K,$AL$2)</f>
        <v>0</v>
      </c>
      <c r="AM75" s="18">
        <f>SUMIFS('7月运营'!$F:$F,'7月运营'!$A:$A,D75,'7月运营'!$K:$K,'②7月-汇总'!$AM$2,'7月运营'!$G:$G,"岗位核算")</f>
        <v>0</v>
      </c>
      <c r="AN75" s="18">
        <f>SUMIFS('7月运营'!$F:$F,'7月运营'!$A:$A,D75,'7月运营'!$K:$K,$AN$2,'7月运营'!$G:$G,"岗位核算")</f>
        <v>0</v>
      </c>
      <c r="AO75" s="18" t="str">
        <f t="shared" si="19"/>
        <v/>
      </c>
      <c r="AP75" s="18">
        <f t="shared" si="11"/>
        <v>31</v>
      </c>
      <c r="AQ75" s="18">
        <f>_xlfn.XLOOKUP(D75,'7月运营'!A:A,'7月运营'!G:G,0)</f>
        <v>0</v>
      </c>
    </row>
    <row r="76" spans="1:43" x14ac:dyDescent="0.15">
      <c r="A76" s="11" t="str">
        <v>川师</v>
      </c>
      <c r="B76" s="11" t="str">
        <v>健康师</v>
      </c>
      <c r="C76" s="11" t="str">
        <v>A</v>
      </c>
      <c r="D76" s="11" t="str">
        <v>罗雪</v>
      </c>
      <c r="E76" s="11" t="str">
        <v>在职</v>
      </c>
      <c r="F76" s="11" t="str">
        <v>事业部</v>
      </c>
      <c r="G76" s="11">
        <f>_xlfn.XLOOKUP(D76,'①7月-花名册'!E:E,'①7月-花名册'!U:U,0)</f>
        <v>0</v>
      </c>
      <c r="H76" s="11">
        <f>_xlfn.XLOOKUP(D76,'①7月-花名册'!E:E,'①7月-花名册'!M:M,0)</f>
        <v>31</v>
      </c>
      <c r="I76" s="11">
        <f>_xlfn.XLOOKUP(D76,'①7月-花名册'!E:E,'①7月-花名册'!S:S,0)</f>
        <v>4</v>
      </c>
      <c r="J76" s="14">
        <f t="shared" si="12"/>
        <v>2</v>
      </c>
      <c r="K76" s="23">
        <v>2</v>
      </c>
      <c r="L76" s="23"/>
      <c r="M76" s="23"/>
      <c r="N76" s="23"/>
      <c r="O76" s="23"/>
      <c r="P76" s="15">
        <f t="shared" si="13"/>
        <v>29</v>
      </c>
      <c r="Q76" s="15">
        <f t="shared" si="14"/>
        <v>31</v>
      </c>
      <c r="R76" s="15">
        <f>IF(F76="事业部",LOOKUP(Q76,基础设置!$T$2:$T$6,基础设置!$U$2:$U$6),IF(F76="总部",LOOKUP(Q76,基础设置!$T$8:$T$13,基础设置!$V$8:$V$13),IF(F76="拓展部",LOOKUP(Q76,基础设置!$T$8:$T$13,基础设置!$W$8:$W$13),2000)))</f>
        <v>4</v>
      </c>
      <c r="S76" s="15">
        <f t="shared" si="15"/>
        <v>31</v>
      </c>
      <c r="T76" s="15">
        <f t="shared" si="16"/>
        <v>0</v>
      </c>
      <c r="U76" s="15">
        <f t="shared" si="17"/>
        <v>0</v>
      </c>
      <c r="V76" s="15">
        <f t="shared" si="10"/>
        <v>0</v>
      </c>
      <c r="W76" s="15">
        <f t="shared" si="18"/>
        <v>0</v>
      </c>
      <c r="X76" s="26">
        <v>90</v>
      </c>
      <c r="Y76" s="26">
        <v>40</v>
      </c>
      <c r="Z76" s="26"/>
      <c r="AA76" s="26"/>
      <c r="AB76" s="27"/>
      <c r="AC76" s="27"/>
      <c r="AD76" s="27"/>
      <c r="AE76" s="33">
        <v>300</v>
      </c>
      <c r="AF76" s="27"/>
      <c r="AG76" s="27"/>
      <c r="AH76" s="17">
        <f>_xlfn.XLOOKUP(D76,'①7月-花名册'!E:E,'①7月-花名册'!T:T,0)</f>
        <v>0</v>
      </c>
      <c r="AI76" s="15">
        <f>SUMIFS('7月运营'!$L:$L,'7月运营'!$A:$A,D76,'7月运营'!$K:$K,$A$1)</f>
        <v>0</v>
      </c>
      <c r="AJ76" s="15">
        <f>SUMIFS('7月运营'!H:H,'7月运营'!$A:$A,D76,'7月运营'!$K:$K,$A$1)</f>
        <v>0</v>
      </c>
      <c r="AK76" s="15">
        <f>SUMIFS(上月未发人员明细!I:I,上月未发人员明细!J:J,$AK$2,上月未发人员明细!A:A,D76)</f>
        <v>0</v>
      </c>
      <c r="AL76" s="15">
        <f>SUMIFS('7月运营'!L:L,'7月运营'!$A:$A,D76,'7月运营'!$K:$K,$AL$2)</f>
        <v>0</v>
      </c>
      <c r="AM76" s="18">
        <f>SUMIFS('7月运营'!$F:$F,'7月运营'!$A:$A,D76,'7月运营'!$K:$K,'②7月-汇总'!$AM$2,'7月运营'!$G:$G,"岗位核算")</f>
        <v>0</v>
      </c>
      <c r="AN76" s="18">
        <f>SUMIFS('7月运营'!$F:$F,'7月运营'!$A:$A,D76,'7月运营'!$K:$K,$AN$2,'7月运营'!$G:$G,"岗位核算")</f>
        <v>0</v>
      </c>
      <c r="AO76" s="18" t="str">
        <f t="shared" si="19"/>
        <v/>
      </c>
      <c r="AP76" s="18">
        <f t="shared" si="11"/>
        <v>31</v>
      </c>
      <c r="AQ76" s="18">
        <f>_xlfn.XLOOKUP(D76,'7月运营'!A:A,'7月运营'!G:G,0)</f>
        <v>0</v>
      </c>
    </row>
    <row r="77" spans="1:43" x14ac:dyDescent="0.15">
      <c r="A77" s="11" t="str">
        <v>川师</v>
      </c>
      <c r="B77" s="11" t="str">
        <v>健康师</v>
      </c>
      <c r="C77" s="11" t="str">
        <v>A</v>
      </c>
      <c r="D77" s="11" t="str">
        <v>唐宇欣</v>
      </c>
      <c r="E77" s="11" t="str">
        <v>在职</v>
      </c>
      <c r="F77" s="11" t="str">
        <v>事业部</v>
      </c>
      <c r="G77" s="11">
        <f>_xlfn.XLOOKUP(D77,'①7月-花名册'!E:E,'①7月-花名册'!U:U,0)</f>
        <v>0</v>
      </c>
      <c r="H77" s="11">
        <f>_xlfn.XLOOKUP(D77,'①7月-花名册'!E:E,'①7月-花名册'!M:M,0)</f>
        <v>31</v>
      </c>
      <c r="I77" s="11">
        <f>_xlfn.XLOOKUP(D77,'①7月-花名册'!E:E,'①7月-花名册'!S:S,0)</f>
        <v>4</v>
      </c>
      <c r="J77" s="14">
        <f t="shared" si="12"/>
        <v>4</v>
      </c>
      <c r="K77" s="23">
        <v>4</v>
      </c>
      <c r="L77" s="23"/>
      <c r="M77" s="23"/>
      <c r="N77" s="23"/>
      <c r="O77" s="23"/>
      <c r="P77" s="15">
        <f t="shared" si="13"/>
        <v>27</v>
      </c>
      <c r="Q77" s="15">
        <f t="shared" si="14"/>
        <v>31</v>
      </c>
      <c r="R77" s="15">
        <f>IF(F77="事业部",LOOKUP(Q77,基础设置!$T$2:$T$6,基础设置!$U$2:$U$6),IF(F77="总部",LOOKUP(Q77,基础设置!$T$8:$T$13,基础设置!$V$8:$V$13),IF(F77="拓展部",LOOKUP(Q77,基础设置!$T$8:$T$13,基础设置!$W$8:$W$13),2000)))</f>
        <v>4</v>
      </c>
      <c r="S77" s="15">
        <f t="shared" si="15"/>
        <v>31</v>
      </c>
      <c r="T77" s="15">
        <f t="shared" si="16"/>
        <v>0</v>
      </c>
      <c r="U77" s="15">
        <f t="shared" si="17"/>
        <v>0</v>
      </c>
      <c r="V77" s="15">
        <f t="shared" si="10"/>
        <v>0</v>
      </c>
      <c r="W77" s="15">
        <f t="shared" si="18"/>
        <v>0</v>
      </c>
      <c r="X77" s="26">
        <v>10</v>
      </c>
      <c r="Y77" s="26"/>
      <c r="Z77" s="26"/>
      <c r="AA77" s="26"/>
      <c r="AB77" s="27"/>
      <c r="AC77" s="27"/>
      <c r="AD77" s="27"/>
      <c r="AE77" s="27"/>
      <c r="AF77" s="27"/>
      <c r="AG77" s="27"/>
      <c r="AH77" s="17">
        <f>_xlfn.XLOOKUP(D77,'①7月-花名册'!E:E,'①7月-花名册'!T:T,0)</f>
        <v>0</v>
      </c>
      <c r="AI77" s="15">
        <f>SUMIFS('7月运营'!$L:$L,'7月运营'!$A:$A,D77,'7月运营'!$K:$K,$A$1)</f>
        <v>0</v>
      </c>
      <c r="AJ77" s="15">
        <f>SUMIFS('7月运营'!H:H,'7月运营'!$A:$A,D77,'7月运营'!$K:$K,$A$1)</f>
        <v>0</v>
      </c>
      <c r="AK77" s="15">
        <f>SUMIFS(上月未发人员明细!I:I,上月未发人员明细!J:J,$AK$2,上月未发人员明细!A:A,D77)</f>
        <v>0</v>
      </c>
      <c r="AL77" s="15">
        <f>SUMIFS('7月运营'!L:L,'7月运营'!$A:$A,D77,'7月运营'!$K:$K,$AL$2)</f>
        <v>0</v>
      </c>
      <c r="AM77" s="18">
        <f>SUMIFS('7月运营'!$F:$F,'7月运营'!$A:$A,D77,'7月运营'!$K:$K,'②7月-汇总'!$AM$2,'7月运营'!$G:$G,"岗位核算")</f>
        <v>0</v>
      </c>
      <c r="AN77" s="18">
        <f>SUMIFS('7月运营'!$F:$F,'7月运营'!$A:$A,D77,'7月运营'!$K:$K,$AN$2,'7月运营'!$G:$G,"岗位核算")</f>
        <v>0</v>
      </c>
      <c r="AO77" s="18" t="str">
        <f t="shared" si="19"/>
        <v/>
      </c>
      <c r="AP77" s="18">
        <f t="shared" si="11"/>
        <v>31</v>
      </c>
      <c r="AQ77" s="18">
        <f>_xlfn.XLOOKUP(D77,'7月运营'!A:A,'7月运营'!G:G,0)</f>
        <v>0</v>
      </c>
    </row>
    <row r="78" spans="1:43" x14ac:dyDescent="0.15">
      <c r="A78" s="11" t="str">
        <v>川师</v>
      </c>
      <c r="B78" s="11" t="str">
        <v>健康师</v>
      </c>
      <c r="C78" s="11" t="str">
        <v>A</v>
      </c>
      <c r="D78" s="11" t="str">
        <v>李萌</v>
      </c>
      <c r="E78" s="11" t="str">
        <v>在职</v>
      </c>
      <c r="F78" s="11" t="str">
        <v>事业部</v>
      </c>
      <c r="G78" s="11">
        <f>_xlfn.XLOOKUP(D78,'①7月-花名册'!E:E,'①7月-花名册'!U:U,0)</f>
        <v>0</v>
      </c>
      <c r="H78" s="11">
        <f>_xlfn.XLOOKUP(D78,'①7月-花名册'!E:E,'①7月-花名册'!M:M,0)</f>
        <v>31</v>
      </c>
      <c r="I78" s="11">
        <f>_xlfn.XLOOKUP(D78,'①7月-花名册'!E:E,'①7月-花名册'!S:S,0)</f>
        <v>4</v>
      </c>
      <c r="J78" s="14">
        <f t="shared" si="12"/>
        <v>5</v>
      </c>
      <c r="K78" s="23">
        <v>4</v>
      </c>
      <c r="L78" s="23"/>
      <c r="M78" s="23">
        <v>1</v>
      </c>
      <c r="N78" s="23"/>
      <c r="O78" s="23"/>
      <c r="P78" s="15">
        <f t="shared" si="13"/>
        <v>26</v>
      </c>
      <c r="Q78" s="15">
        <f t="shared" si="14"/>
        <v>31</v>
      </c>
      <c r="R78" s="15">
        <f>IF(F78="事业部",LOOKUP(Q78,基础设置!$T$2:$T$6,基础设置!$U$2:$U$6),IF(F78="总部",LOOKUP(Q78,基础设置!$T$8:$T$13,基础设置!$V$8:$V$13),IF(F78="拓展部",LOOKUP(Q78,基础设置!$T$8:$T$13,基础设置!$W$8:$W$13),2000)))</f>
        <v>4</v>
      </c>
      <c r="S78" s="15">
        <f t="shared" si="15"/>
        <v>31</v>
      </c>
      <c r="T78" s="15">
        <f t="shared" si="16"/>
        <v>0</v>
      </c>
      <c r="U78" s="15">
        <f t="shared" si="17"/>
        <v>0</v>
      </c>
      <c r="V78" s="15">
        <f t="shared" si="10"/>
        <v>0</v>
      </c>
      <c r="W78" s="15">
        <f t="shared" si="18"/>
        <v>0</v>
      </c>
      <c r="X78" s="26">
        <v>90</v>
      </c>
      <c r="Y78" s="26"/>
      <c r="Z78" s="26"/>
      <c r="AA78" s="26"/>
      <c r="AB78" s="27"/>
      <c r="AC78" s="27">
        <v>100</v>
      </c>
      <c r="AD78" s="27"/>
      <c r="AE78" s="27"/>
      <c r="AF78" s="27"/>
      <c r="AG78" s="27"/>
      <c r="AH78" s="17">
        <f>_xlfn.XLOOKUP(D78,'①7月-花名册'!E:E,'①7月-花名册'!T:T,0)</f>
        <v>0</v>
      </c>
      <c r="AI78" s="15">
        <f>SUMIFS('7月运营'!$L:$L,'7月运营'!$A:$A,D78,'7月运营'!$K:$K,$A$1)</f>
        <v>0</v>
      </c>
      <c r="AJ78" s="15">
        <f>SUMIFS('7月运营'!H:H,'7月运营'!$A:$A,D78,'7月运营'!$K:$K,$A$1)</f>
        <v>0</v>
      </c>
      <c r="AK78" s="15">
        <f>SUMIFS(上月未发人员明细!I:I,上月未发人员明细!J:J,$AK$2,上月未发人员明细!A:A,D78)</f>
        <v>0</v>
      </c>
      <c r="AL78" s="15">
        <f>SUMIFS('7月运营'!L:L,'7月运营'!$A:$A,D78,'7月运营'!$K:$K,$AL$2)</f>
        <v>0</v>
      </c>
      <c r="AM78" s="18">
        <f>SUMIFS('7月运营'!$F:$F,'7月运营'!$A:$A,D78,'7月运营'!$K:$K,'②7月-汇总'!$AM$2,'7月运营'!$G:$G,"岗位核算")</f>
        <v>0</v>
      </c>
      <c r="AN78" s="18">
        <f>SUMIFS('7月运营'!$F:$F,'7月运营'!$A:$A,D78,'7月运营'!$K:$K,$AN$2,'7月运营'!$G:$G,"岗位核算")</f>
        <v>0</v>
      </c>
      <c r="AO78" s="18" t="str">
        <f t="shared" si="19"/>
        <v/>
      </c>
      <c r="AP78" s="18">
        <f t="shared" si="11"/>
        <v>31</v>
      </c>
      <c r="AQ78" s="18">
        <f>_xlfn.XLOOKUP(D78,'7月运营'!A:A,'7月运营'!G:G,0)</f>
        <v>0</v>
      </c>
    </row>
    <row r="79" spans="1:43" x14ac:dyDescent="0.15">
      <c r="A79" s="11" t="str">
        <v>华润</v>
      </c>
      <c r="B79" s="11" t="str">
        <v>健康师</v>
      </c>
      <c r="C79" s="11" t="str">
        <v>A</v>
      </c>
      <c r="D79" s="11" t="str">
        <v>王如意</v>
      </c>
      <c r="E79" s="11" t="str">
        <v>在职</v>
      </c>
      <c r="F79" s="11" t="str">
        <v>事业部</v>
      </c>
      <c r="G79" s="11">
        <f>_xlfn.XLOOKUP(D79,'①7月-花名册'!E:E,'①7月-花名册'!U:U,0)</f>
        <v>0</v>
      </c>
      <c r="H79" s="11">
        <f>_xlfn.XLOOKUP(D79,'①7月-花名册'!E:E,'①7月-花名册'!M:M,0)</f>
        <v>31</v>
      </c>
      <c r="I79" s="11">
        <f>_xlfn.XLOOKUP(D79,'①7月-花名册'!E:E,'①7月-花名册'!S:S,0)</f>
        <v>4</v>
      </c>
      <c r="J79" s="14">
        <f t="shared" si="12"/>
        <v>5</v>
      </c>
      <c r="K79" s="23">
        <v>4</v>
      </c>
      <c r="L79" s="23"/>
      <c r="M79" s="23">
        <v>1</v>
      </c>
      <c r="N79" s="23"/>
      <c r="O79" s="23"/>
      <c r="P79" s="15">
        <f t="shared" si="13"/>
        <v>26</v>
      </c>
      <c r="Q79" s="15">
        <f t="shared" si="14"/>
        <v>31</v>
      </c>
      <c r="R79" s="15">
        <f>IF(F79="事业部",LOOKUP(Q79,基础设置!$T$2:$T$6,基础设置!$U$2:$U$6),IF(F79="总部",LOOKUP(Q79,基础设置!$T$8:$T$13,基础设置!$V$8:$V$13),IF(F79="拓展部",LOOKUP(Q79,基础设置!$T$8:$T$13,基础设置!$W$8:$W$13),2000)))</f>
        <v>4</v>
      </c>
      <c r="S79" s="15">
        <f t="shared" si="15"/>
        <v>31</v>
      </c>
      <c r="T79" s="15">
        <f t="shared" si="16"/>
        <v>0</v>
      </c>
      <c r="U79" s="15">
        <f t="shared" si="17"/>
        <v>0</v>
      </c>
      <c r="V79" s="15">
        <f t="shared" si="10"/>
        <v>0</v>
      </c>
      <c r="W79" s="15">
        <f t="shared" si="18"/>
        <v>0</v>
      </c>
      <c r="X79" s="26"/>
      <c r="Y79" s="26"/>
      <c r="Z79" s="26"/>
      <c r="AA79" s="26"/>
      <c r="AB79" s="27"/>
      <c r="AC79" s="27">
        <v>100</v>
      </c>
      <c r="AD79" s="27"/>
      <c r="AE79" s="27"/>
      <c r="AF79" s="27"/>
      <c r="AG79" s="27"/>
      <c r="AH79" s="17">
        <f>_xlfn.XLOOKUP(D79,'①7月-花名册'!E:E,'①7月-花名册'!T:T,0)</f>
        <v>0</v>
      </c>
      <c r="AI79" s="15">
        <f>SUMIFS('7月运营'!$L:$L,'7月运营'!$A:$A,D79,'7月运营'!$K:$K,$A$1)</f>
        <v>0</v>
      </c>
      <c r="AJ79" s="15">
        <f>SUMIFS('7月运营'!H:H,'7月运营'!$A:$A,D79,'7月运营'!$K:$K,$A$1)</f>
        <v>0</v>
      </c>
      <c r="AK79" s="15">
        <f>SUMIFS(上月未发人员明细!I:I,上月未发人员明细!J:J,$AK$2,上月未发人员明细!A:A,D79)</f>
        <v>0</v>
      </c>
      <c r="AL79" s="15">
        <f>SUMIFS('7月运营'!L:L,'7月运营'!$A:$A,D79,'7月运营'!$K:$K,$AL$2)</f>
        <v>0</v>
      </c>
      <c r="AM79" s="18">
        <f>SUMIFS('7月运营'!$F:$F,'7月运营'!$A:$A,D79,'7月运营'!$K:$K,'②7月-汇总'!$AM$2,'7月运营'!$G:$G,"岗位核算")</f>
        <v>0</v>
      </c>
      <c r="AN79" s="18">
        <f>SUMIFS('7月运营'!$F:$F,'7月运营'!$A:$A,D79,'7月运营'!$K:$K,$AN$2,'7月运营'!$G:$G,"岗位核算")</f>
        <v>0</v>
      </c>
      <c r="AO79" s="18" t="str">
        <f t="shared" si="19"/>
        <v/>
      </c>
      <c r="AP79" s="18">
        <f t="shared" si="11"/>
        <v>31</v>
      </c>
      <c r="AQ79" s="18">
        <f>_xlfn.XLOOKUP(D79,'7月运营'!A:A,'7月运营'!G:G,0)</f>
        <v>0</v>
      </c>
    </row>
    <row r="80" spans="1:43" x14ac:dyDescent="0.15">
      <c r="A80" s="11" t="str">
        <v>川师</v>
      </c>
      <c r="B80" s="11" t="str">
        <v>健康师</v>
      </c>
      <c r="C80" s="11" t="str">
        <v>A</v>
      </c>
      <c r="D80" s="11" t="str">
        <v>柳全菊</v>
      </c>
      <c r="E80" s="11" t="str">
        <v>在职</v>
      </c>
      <c r="F80" s="11" t="str">
        <v>事业部</v>
      </c>
      <c r="G80" s="11">
        <f>_xlfn.XLOOKUP(D80,'①7月-花名册'!E:E,'①7月-花名册'!U:U,0)</f>
        <v>0</v>
      </c>
      <c r="H80" s="11">
        <f>_xlfn.XLOOKUP(D80,'①7月-花名册'!E:E,'①7月-花名册'!M:M,0)</f>
        <v>31</v>
      </c>
      <c r="I80" s="11">
        <f>_xlfn.XLOOKUP(D80,'①7月-花名册'!E:E,'①7月-花名册'!S:S,0)</f>
        <v>4</v>
      </c>
      <c r="J80" s="14">
        <f t="shared" si="12"/>
        <v>4</v>
      </c>
      <c r="K80" s="23">
        <v>4</v>
      </c>
      <c r="L80" s="23"/>
      <c r="M80" s="23"/>
      <c r="N80" s="23"/>
      <c r="O80" s="23"/>
      <c r="P80" s="15">
        <f t="shared" si="13"/>
        <v>27</v>
      </c>
      <c r="Q80" s="15">
        <f t="shared" si="14"/>
        <v>31</v>
      </c>
      <c r="R80" s="15">
        <f>IF(F80="事业部",LOOKUP(Q80,基础设置!$T$2:$T$6,基础设置!$U$2:$U$6),IF(F80="总部",LOOKUP(Q80,基础设置!$T$8:$T$13,基础设置!$V$8:$V$13),IF(F80="拓展部",LOOKUP(Q80,基础设置!$T$8:$T$13,基础设置!$W$8:$W$13),2000)))</f>
        <v>4</v>
      </c>
      <c r="S80" s="15">
        <f t="shared" si="15"/>
        <v>31</v>
      </c>
      <c r="T80" s="15">
        <f t="shared" si="16"/>
        <v>0</v>
      </c>
      <c r="U80" s="15">
        <f t="shared" si="17"/>
        <v>0</v>
      </c>
      <c r="V80" s="15">
        <f t="shared" si="10"/>
        <v>0</v>
      </c>
      <c r="W80" s="15">
        <f t="shared" si="18"/>
        <v>0</v>
      </c>
      <c r="X80" s="26"/>
      <c r="Y80" s="26"/>
      <c r="Z80" s="26">
        <v>50</v>
      </c>
      <c r="AA80" s="26"/>
      <c r="AB80" s="27"/>
      <c r="AC80" s="27"/>
      <c r="AD80" s="27"/>
      <c r="AE80" s="27"/>
      <c r="AF80" s="27"/>
      <c r="AG80" s="27"/>
      <c r="AH80" s="17">
        <f>_xlfn.XLOOKUP(D80,'①7月-花名册'!E:E,'①7月-花名册'!T:T,0)</f>
        <v>0</v>
      </c>
      <c r="AI80" s="15">
        <f>SUMIFS('7月运营'!$L:$L,'7月运营'!$A:$A,D80,'7月运营'!$K:$K,$A$1)</f>
        <v>0</v>
      </c>
      <c r="AJ80" s="15">
        <f>SUMIFS('7月运营'!H:H,'7月运营'!$A:$A,D80,'7月运营'!$K:$K,$A$1)</f>
        <v>0</v>
      </c>
      <c r="AK80" s="15">
        <f>SUMIFS(上月未发人员明细!I:I,上月未发人员明细!J:J,$AK$2,上月未发人员明细!A:A,D80)</f>
        <v>0</v>
      </c>
      <c r="AL80" s="15">
        <f>SUMIFS('7月运营'!L:L,'7月运营'!$A:$A,D80,'7月运营'!$K:$K,$AL$2)</f>
        <v>0</v>
      </c>
      <c r="AM80" s="18">
        <f>SUMIFS('7月运营'!$F:$F,'7月运营'!$A:$A,D80,'7月运营'!$K:$K,'②7月-汇总'!$AM$2,'7月运营'!$G:$G,"岗位核算")</f>
        <v>0</v>
      </c>
      <c r="AN80" s="18">
        <f>SUMIFS('7月运营'!$F:$F,'7月运营'!$A:$A,D80,'7月运营'!$K:$K,$AN$2,'7月运营'!$G:$G,"岗位核算")</f>
        <v>0</v>
      </c>
      <c r="AO80" s="18" t="str">
        <f t="shared" si="19"/>
        <v/>
      </c>
      <c r="AP80" s="18">
        <f t="shared" si="11"/>
        <v>31</v>
      </c>
      <c r="AQ80" s="18">
        <f>_xlfn.XLOOKUP(D80,'7月运营'!A:A,'7月运营'!G:G,0)</f>
        <v>0</v>
      </c>
    </row>
    <row r="81" spans="1:43" x14ac:dyDescent="0.15">
      <c r="A81" s="11" t="str">
        <v>鹭岛</v>
      </c>
      <c r="B81" s="11" t="str">
        <v>店长</v>
      </c>
      <c r="C81" s="11" t="str">
        <v>B</v>
      </c>
      <c r="D81" s="11" t="str">
        <v>何琼华</v>
      </c>
      <c r="E81" s="11" t="str">
        <v>在职</v>
      </c>
      <c r="F81" s="11" t="str">
        <v>事业部</v>
      </c>
      <c r="G81" s="11">
        <f>_xlfn.XLOOKUP(D81,'①7月-花名册'!E:E,'①7月-花名册'!U:U,0)</f>
        <v>0</v>
      </c>
      <c r="H81" s="11">
        <f>_xlfn.XLOOKUP(D81,'①7月-花名册'!E:E,'①7月-花名册'!M:M,0)</f>
        <v>31</v>
      </c>
      <c r="I81" s="11">
        <f>_xlfn.XLOOKUP(D81,'①7月-花名册'!E:E,'①7月-花名册'!S:S,0)</f>
        <v>4</v>
      </c>
      <c r="J81" s="14">
        <f t="shared" si="12"/>
        <v>3</v>
      </c>
      <c r="K81" s="23">
        <v>3</v>
      </c>
      <c r="L81" s="23"/>
      <c r="M81" s="23"/>
      <c r="N81" s="23"/>
      <c r="O81" s="23"/>
      <c r="P81" s="15">
        <f t="shared" si="13"/>
        <v>28</v>
      </c>
      <c r="Q81" s="15">
        <f t="shared" si="14"/>
        <v>31</v>
      </c>
      <c r="R81" s="15">
        <f>IF(F81="事业部",LOOKUP(Q81,基础设置!$T$2:$T$6,基础设置!$U$2:$U$6),IF(F81="总部",LOOKUP(Q81,基础设置!$T$8:$T$13,基础设置!$V$8:$V$13),IF(F81="拓展部",LOOKUP(Q81,基础设置!$T$8:$T$13,基础设置!$W$8:$W$13),2000)))</f>
        <v>4</v>
      </c>
      <c r="S81" s="15">
        <f t="shared" si="15"/>
        <v>31</v>
      </c>
      <c r="T81" s="15">
        <f t="shared" si="16"/>
        <v>0</v>
      </c>
      <c r="U81" s="15">
        <f t="shared" si="17"/>
        <v>0</v>
      </c>
      <c r="V81" s="15">
        <f t="shared" si="10"/>
        <v>0</v>
      </c>
      <c r="W81" s="15">
        <f t="shared" si="18"/>
        <v>0</v>
      </c>
      <c r="X81" s="26">
        <v>10</v>
      </c>
      <c r="Y81" s="26"/>
      <c r="Z81" s="26"/>
      <c r="AA81" s="26"/>
      <c r="AB81" s="27"/>
      <c r="AC81" s="27"/>
      <c r="AD81" s="27"/>
      <c r="AE81" s="27"/>
      <c r="AF81" s="27"/>
      <c r="AG81" s="27"/>
      <c r="AH81" s="17">
        <f>_xlfn.XLOOKUP(D81,'①7月-花名册'!E:E,'①7月-花名册'!T:T,0)</f>
        <v>0</v>
      </c>
      <c r="AI81" s="15">
        <f>SUMIFS('7月运营'!$L:$L,'7月运营'!$A:$A,D81,'7月运营'!$K:$K,$A$1)</f>
        <v>0</v>
      </c>
      <c r="AJ81" s="15">
        <f>SUMIFS('7月运营'!H:H,'7月运营'!$A:$A,D81,'7月运营'!$K:$K,$A$1)</f>
        <v>0</v>
      </c>
      <c r="AK81" s="15">
        <f>SUMIFS(上月未发人员明细!I:I,上月未发人员明细!J:J,$AK$2,上月未发人员明细!A:A,D81)</f>
        <v>0</v>
      </c>
      <c r="AL81" s="15">
        <f>SUMIFS('7月运营'!L:L,'7月运营'!$A:$A,D81,'7月运营'!$K:$K,$AL$2)</f>
        <v>0</v>
      </c>
      <c r="AM81" s="18">
        <f>SUMIFS('7月运营'!$F:$F,'7月运营'!$A:$A,D81,'7月运营'!$K:$K,'②7月-汇总'!$AM$2,'7月运营'!$G:$G,"岗位核算")</f>
        <v>0</v>
      </c>
      <c r="AN81" s="18">
        <f>SUMIFS('7月运营'!$F:$F,'7月运营'!$A:$A,D81,'7月运营'!$K:$K,$AN$2,'7月运营'!$G:$G,"岗位核算")</f>
        <v>0</v>
      </c>
      <c r="AO81" s="18" t="str">
        <f t="shared" si="19"/>
        <v/>
      </c>
      <c r="AP81" s="18">
        <f t="shared" si="11"/>
        <v>31</v>
      </c>
      <c r="AQ81" s="18">
        <f>_xlfn.XLOOKUP(D81,'7月运营'!A:A,'7月运营'!G:G,0)</f>
        <v>0</v>
      </c>
    </row>
    <row r="82" spans="1:43" x14ac:dyDescent="0.15">
      <c r="A82" s="11" t="str">
        <v>鹭岛</v>
      </c>
      <c r="B82" s="11" t="str">
        <v>店助</v>
      </c>
      <c r="C82" s="11" t="str">
        <v>A</v>
      </c>
      <c r="D82" s="11" t="str">
        <v>蒋圆圆</v>
      </c>
      <c r="E82" s="11" t="str">
        <v>在职</v>
      </c>
      <c r="F82" s="11" t="str">
        <v>事业部</v>
      </c>
      <c r="G82" s="11">
        <f>_xlfn.XLOOKUP(D82,'①7月-花名册'!E:E,'①7月-花名册'!U:U,0)</f>
        <v>0</v>
      </c>
      <c r="H82" s="11">
        <f>_xlfn.XLOOKUP(D82,'①7月-花名册'!E:E,'①7月-花名册'!M:M,0)</f>
        <v>31</v>
      </c>
      <c r="I82" s="11">
        <f>_xlfn.XLOOKUP(D82,'①7月-花名册'!E:E,'①7月-花名册'!S:S,0)</f>
        <v>4</v>
      </c>
      <c r="J82" s="14">
        <f t="shared" si="12"/>
        <v>4</v>
      </c>
      <c r="K82" s="23">
        <v>4</v>
      </c>
      <c r="L82" s="23"/>
      <c r="M82" s="23"/>
      <c r="N82" s="23"/>
      <c r="O82" s="23"/>
      <c r="P82" s="15">
        <f t="shared" si="13"/>
        <v>27</v>
      </c>
      <c r="Q82" s="15">
        <f t="shared" si="14"/>
        <v>31</v>
      </c>
      <c r="R82" s="15">
        <f>IF(F82="事业部",LOOKUP(Q82,基础设置!$T$2:$T$6,基础设置!$U$2:$U$6),IF(F82="总部",LOOKUP(Q82,基础设置!$T$8:$T$13,基础设置!$V$8:$V$13),IF(F82="拓展部",LOOKUP(Q82,基础设置!$T$8:$T$13,基础设置!$W$8:$W$13),2000)))</f>
        <v>4</v>
      </c>
      <c r="S82" s="15">
        <f t="shared" si="15"/>
        <v>31</v>
      </c>
      <c r="T82" s="15">
        <f t="shared" si="16"/>
        <v>0</v>
      </c>
      <c r="U82" s="15">
        <f t="shared" si="17"/>
        <v>0</v>
      </c>
      <c r="V82" s="15">
        <f t="shared" si="10"/>
        <v>0</v>
      </c>
      <c r="W82" s="15">
        <f t="shared" si="18"/>
        <v>0</v>
      </c>
      <c r="X82" s="26"/>
      <c r="Y82" s="26"/>
      <c r="Z82" s="26"/>
      <c r="AA82" s="26"/>
      <c r="AB82" s="27"/>
      <c r="AC82" s="27"/>
      <c r="AD82" s="27"/>
      <c r="AE82" s="27"/>
      <c r="AF82" s="27"/>
      <c r="AG82" s="27"/>
      <c r="AH82" s="17">
        <f>_xlfn.XLOOKUP(D82,'①7月-花名册'!E:E,'①7月-花名册'!T:T,0)</f>
        <v>0</v>
      </c>
      <c r="AI82" s="15">
        <f>SUMIFS('7月运营'!$L:$L,'7月运营'!$A:$A,D82,'7月运营'!$K:$K,$A$1)</f>
        <v>0</v>
      </c>
      <c r="AJ82" s="15">
        <f>SUMIFS('7月运营'!H:H,'7月运营'!$A:$A,D82,'7月运营'!$K:$K,$A$1)</f>
        <v>0</v>
      </c>
      <c r="AK82" s="15">
        <f>SUMIFS(上月未发人员明细!I:I,上月未发人员明细!J:J,$AK$2,上月未发人员明细!A:A,D82)</f>
        <v>0</v>
      </c>
      <c r="AL82" s="15">
        <f>SUMIFS('7月运营'!L:L,'7月运营'!$A:$A,D82,'7月运营'!$K:$K,$AL$2)</f>
        <v>0</v>
      </c>
      <c r="AM82" s="18">
        <f>SUMIFS('7月运营'!$F:$F,'7月运营'!$A:$A,D82,'7月运营'!$K:$K,'②7月-汇总'!$AM$2,'7月运营'!$G:$G,"岗位核算")</f>
        <v>0</v>
      </c>
      <c r="AN82" s="18">
        <f>SUMIFS('7月运营'!$F:$F,'7月运营'!$A:$A,D82,'7月运营'!$K:$K,$AN$2,'7月运营'!$G:$G,"岗位核算")</f>
        <v>0</v>
      </c>
      <c r="AO82" s="18" t="str">
        <f t="shared" si="19"/>
        <v/>
      </c>
      <c r="AP82" s="18">
        <f t="shared" si="11"/>
        <v>31</v>
      </c>
      <c r="AQ82" s="18">
        <f>_xlfn.XLOOKUP(D82,'7月运营'!A:A,'7月运营'!G:G,0)</f>
        <v>0</v>
      </c>
    </row>
    <row r="83" spans="1:43" x14ac:dyDescent="0.15">
      <c r="A83" s="11" t="str">
        <v>鹭岛</v>
      </c>
      <c r="B83" s="11" t="str">
        <v>健康师</v>
      </c>
      <c r="C83" s="11" t="str">
        <v>A</v>
      </c>
      <c r="D83" s="11" t="str">
        <v>顾红艳</v>
      </c>
      <c r="E83" s="11" t="str">
        <v>在职</v>
      </c>
      <c r="F83" s="11" t="str">
        <v>事业部</v>
      </c>
      <c r="G83" s="11">
        <f>_xlfn.XLOOKUP(D83,'①7月-花名册'!E:E,'①7月-花名册'!U:U,0)</f>
        <v>0</v>
      </c>
      <c r="H83" s="11">
        <f>_xlfn.XLOOKUP(D83,'①7月-花名册'!E:E,'①7月-花名册'!M:M,0)</f>
        <v>31</v>
      </c>
      <c r="I83" s="11">
        <f>_xlfn.XLOOKUP(D83,'①7月-花名册'!E:E,'①7月-花名册'!S:S,0)</f>
        <v>4</v>
      </c>
      <c r="J83" s="14">
        <f t="shared" si="12"/>
        <v>5</v>
      </c>
      <c r="K83" s="23">
        <v>4</v>
      </c>
      <c r="L83" s="23"/>
      <c r="M83" s="23">
        <v>1</v>
      </c>
      <c r="N83" s="23"/>
      <c r="O83" s="23"/>
      <c r="P83" s="15">
        <f t="shared" si="13"/>
        <v>26</v>
      </c>
      <c r="Q83" s="15">
        <f t="shared" si="14"/>
        <v>31</v>
      </c>
      <c r="R83" s="15">
        <f>IF(F83="事业部",LOOKUP(Q83,基础设置!$T$2:$T$6,基础设置!$U$2:$U$6),IF(F83="总部",LOOKUP(Q83,基础设置!$T$8:$T$13,基础设置!$V$8:$V$13),IF(F83="拓展部",LOOKUP(Q83,基础设置!$T$8:$T$13,基础设置!$W$8:$W$13),2000)))</f>
        <v>4</v>
      </c>
      <c r="S83" s="15">
        <f t="shared" si="15"/>
        <v>31</v>
      </c>
      <c r="T83" s="15">
        <f t="shared" si="16"/>
        <v>0</v>
      </c>
      <c r="U83" s="15">
        <f t="shared" si="17"/>
        <v>0</v>
      </c>
      <c r="V83" s="15">
        <f t="shared" si="10"/>
        <v>0</v>
      </c>
      <c r="W83" s="15">
        <f t="shared" si="18"/>
        <v>0</v>
      </c>
      <c r="X83" s="26"/>
      <c r="Y83" s="26">
        <v>30</v>
      </c>
      <c r="Z83" s="26"/>
      <c r="AA83" s="26"/>
      <c r="AB83" s="27"/>
      <c r="AC83" s="27"/>
      <c r="AD83" s="27"/>
      <c r="AE83" s="27"/>
      <c r="AF83" s="27"/>
      <c r="AG83" s="27"/>
      <c r="AH83" s="17">
        <f>_xlfn.XLOOKUP(D83,'①7月-花名册'!E:E,'①7月-花名册'!T:T,0)</f>
        <v>0</v>
      </c>
      <c r="AI83" s="15">
        <f>SUMIFS('7月运营'!$L:$L,'7月运营'!$A:$A,D83,'7月运营'!$K:$K,$A$1)</f>
        <v>0</v>
      </c>
      <c r="AJ83" s="15">
        <f>SUMIFS('7月运营'!H:H,'7月运营'!$A:$A,D83,'7月运营'!$K:$K,$A$1)</f>
        <v>0</v>
      </c>
      <c r="AK83" s="15">
        <f>SUMIFS(上月未发人员明细!I:I,上月未发人员明细!J:J,$AK$2,上月未发人员明细!A:A,D83)</f>
        <v>0</v>
      </c>
      <c r="AL83" s="15">
        <f>SUMIFS('7月运营'!L:L,'7月运营'!$A:$A,D83,'7月运营'!$K:$K,$AL$2)</f>
        <v>0</v>
      </c>
      <c r="AM83" s="18">
        <f>SUMIFS('7月运营'!$F:$F,'7月运营'!$A:$A,D83,'7月运营'!$K:$K,'②7月-汇总'!$AM$2,'7月运营'!$G:$G,"岗位核算")</f>
        <v>0</v>
      </c>
      <c r="AN83" s="18">
        <f>SUMIFS('7月运营'!$F:$F,'7月运营'!$A:$A,D83,'7月运营'!$K:$K,$AN$2,'7月运营'!$G:$G,"岗位核算")</f>
        <v>0</v>
      </c>
      <c r="AO83" s="18" t="str">
        <f t="shared" si="19"/>
        <v/>
      </c>
      <c r="AP83" s="18">
        <f t="shared" si="11"/>
        <v>31</v>
      </c>
      <c r="AQ83" s="18">
        <f>_xlfn.XLOOKUP(D83,'7月运营'!A:A,'7月运营'!G:G,0)</f>
        <v>0</v>
      </c>
    </row>
    <row r="84" spans="1:43" x14ac:dyDescent="0.15">
      <c r="A84" s="11" t="str">
        <v>鹭岛</v>
      </c>
      <c r="B84" s="11" t="str">
        <v>健康师</v>
      </c>
      <c r="C84" s="11" t="str">
        <v>A</v>
      </c>
      <c r="D84" s="11" t="str">
        <v>郭小丽</v>
      </c>
      <c r="E84" s="11" t="str">
        <v>在职</v>
      </c>
      <c r="F84" s="11" t="str">
        <v>事业部</v>
      </c>
      <c r="G84" s="11">
        <f>_xlfn.XLOOKUP(D84,'①7月-花名册'!E:E,'①7月-花名册'!U:U,0)</f>
        <v>0</v>
      </c>
      <c r="H84" s="11">
        <f>_xlfn.XLOOKUP(D84,'①7月-花名册'!E:E,'①7月-花名册'!M:M,0)</f>
        <v>31</v>
      </c>
      <c r="I84" s="11">
        <f>_xlfn.XLOOKUP(D84,'①7月-花名册'!E:E,'①7月-花名册'!S:S,0)</f>
        <v>4</v>
      </c>
      <c r="J84" s="14">
        <f t="shared" si="12"/>
        <v>4</v>
      </c>
      <c r="K84" s="23">
        <v>4</v>
      </c>
      <c r="L84" s="23"/>
      <c r="M84" s="23"/>
      <c r="N84" s="23"/>
      <c r="O84" s="23"/>
      <c r="P84" s="15">
        <f t="shared" si="13"/>
        <v>27</v>
      </c>
      <c r="Q84" s="15">
        <f t="shared" si="14"/>
        <v>31</v>
      </c>
      <c r="R84" s="15">
        <f>IF(F84="事业部",LOOKUP(Q84,基础设置!$T$2:$T$6,基础设置!$U$2:$U$6),IF(F84="总部",LOOKUP(Q84,基础设置!$T$8:$T$13,基础设置!$V$8:$V$13),IF(F84="拓展部",LOOKUP(Q84,基础设置!$T$8:$T$13,基础设置!$W$8:$W$13),2000)))</f>
        <v>4</v>
      </c>
      <c r="S84" s="15">
        <f t="shared" si="15"/>
        <v>31</v>
      </c>
      <c r="T84" s="15">
        <f t="shared" si="16"/>
        <v>0</v>
      </c>
      <c r="U84" s="15">
        <f t="shared" si="17"/>
        <v>0</v>
      </c>
      <c r="V84" s="15">
        <f t="shared" si="10"/>
        <v>0</v>
      </c>
      <c r="W84" s="15">
        <f t="shared" si="18"/>
        <v>0</v>
      </c>
      <c r="X84" s="26"/>
      <c r="Y84" s="26"/>
      <c r="Z84" s="26">
        <v>50</v>
      </c>
      <c r="AA84" s="26"/>
      <c r="AB84" s="27"/>
      <c r="AC84" s="27"/>
      <c r="AD84" s="27"/>
      <c r="AE84" s="27"/>
      <c r="AF84" s="27"/>
      <c r="AG84" s="27"/>
      <c r="AH84" s="17">
        <f>_xlfn.XLOOKUP(D84,'①7月-花名册'!E:E,'①7月-花名册'!T:T,0)</f>
        <v>0</v>
      </c>
      <c r="AI84" s="15">
        <f>SUMIFS('7月运营'!$L:$L,'7月运营'!$A:$A,D84,'7月运营'!$K:$K,$A$1)</f>
        <v>0</v>
      </c>
      <c r="AJ84" s="15">
        <f>SUMIFS('7月运营'!H:H,'7月运营'!$A:$A,D84,'7月运营'!$K:$K,$A$1)</f>
        <v>0</v>
      </c>
      <c r="AK84" s="15">
        <f>SUMIFS(上月未发人员明细!I:I,上月未发人员明细!J:J,$AK$2,上月未发人员明细!A:A,D84)</f>
        <v>0</v>
      </c>
      <c r="AL84" s="15">
        <f>SUMIFS('7月运营'!L:L,'7月运营'!$A:$A,D84,'7月运营'!$K:$K,$AL$2)</f>
        <v>0</v>
      </c>
      <c r="AM84" s="18">
        <f>SUMIFS('7月运营'!$F:$F,'7月运营'!$A:$A,D84,'7月运营'!$K:$K,'②7月-汇总'!$AM$2,'7月运营'!$G:$G,"岗位核算")</f>
        <v>0</v>
      </c>
      <c r="AN84" s="18">
        <f>SUMIFS('7月运营'!$F:$F,'7月运营'!$A:$A,D84,'7月运营'!$K:$K,$AN$2,'7月运营'!$G:$G,"岗位核算")</f>
        <v>0</v>
      </c>
      <c r="AO84" s="18" t="str">
        <f t="shared" si="19"/>
        <v/>
      </c>
      <c r="AP84" s="18">
        <f t="shared" si="11"/>
        <v>31</v>
      </c>
      <c r="AQ84" s="18">
        <f>_xlfn.XLOOKUP(D84,'7月运营'!A:A,'7月运营'!G:G,0)</f>
        <v>0</v>
      </c>
    </row>
    <row r="85" spans="1:43" x14ac:dyDescent="0.15">
      <c r="A85" s="11" t="str">
        <v>鹭岛</v>
      </c>
      <c r="B85" s="11" t="str">
        <v>健康师</v>
      </c>
      <c r="C85" s="11" t="str">
        <v>A</v>
      </c>
      <c r="D85" s="11" t="str">
        <v>梁婷</v>
      </c>
      <c r="E85" s="11" t="str">
        <v>在职</v>
      </c>
      <c r="F85" s="11" t="str">
        <v>事业部</v>
      </c>
      <c r="G85" s="11">
        <f>_xlfn.XLOOKUP(D85,'①7月-花名册'!E:E,'①7月-花名册'!U:U,0)</f>
        <v>0</v>
      </c>
      <c r="H85" s="11">
        <f>_xlfn.XLOOKUP(D85,'①7月-花名册'!E:E,'①7月-花名册'!M:M,0)</f>
        <v>31</v>
      </c>
      <c r="I85" s="11">
        <f>_xlfn.XLOOKUP(D85,'①7月-花名册'!E:E,'①7月-花名册'!S:S,0)</f>
        <v>4</v>
      </c>
      <c r="J85" s="14">
        <f t="shared" si="12"/>
        <v>5</v>
      </c>
      <c r="K85" s="23">
        <v>4</v>
      </c>
      <c r="L85" s="23"/>
      <c r="M85" s="23">
        <v>1</v>
      </c>
      <c r="N85" s="23"/>
      <c r="O85" s="23"/>
      <c r="P85" s="15">
        <f t="shared" si="13"/>
        <v>26</v>
      </c>
      <c r="Q85" s="15">
        <f t="shared" si="14"/>
        <v>31</v>
      </c>
      <c r="R85" s="15">
        <f>IF(F85="事业部",LOOKUP(Q85,基础设置!$T$2:$T$6,基础设置!$U$2:$U$6),IF(F85="总部",LOOKUP(Q85,基础设置!$T$8:$T$13,基础设置!$V$8:$V$13),IF(F85="拓展部",LOOKUP(Q85,基础设置!$T$8:$T$13,基础设置!$W$8:$W$13),2000)))</f>
        <v>4</v>
      </c>
      <c r="S85" s="15">
        <f t="shared" si="15"/>
        <v>31</v>
      </c>
      <c r="T85" s="15">
        <f t="shared" si="16"/>
        <v>0</v>
      </c>
      <c r="U85" s="15">
        <f t="shared" si="17"/>
        <v>0</v>
      </c>
      <c r="V85" s="15">
        <f t="shared" si="10"/>
        <v>0</v>
      </c>
      <c r="W85" s="15">
        <f t="shared" si="18"/>
        <v>0</v>
      </c>
      <c r="X85" s="26"/>
      <c r="Y85" s="26"/>
      <c r="Z85" s="26"/>
      <c r="AA85" s="26"/>
      <c r="AB85" s="27"/>
      <c r="AC85" s="27">
        <v>100</v>
      </c>
      <c r="AD85" s="27"/>
      <c r="AE85" s="27"/>
      <c r="AF85" s="27"/>
      <c r="AG85" s="27"/>
      <c r="AH85" s="17">
        <f>_xlfn.XLOOKUP(D85,'①7月-花名册'!E:E,'①7月-花名册'!T:T,0)</f>
        <v>0</v>
      </c>
      <c r="AI85" s="15">
        <f>SUMIFS('7月运营'!$L:$L,'7月运营'!$A:$A,D85,'7月运营'!$K:$K,$A$1)</f>
        <v>0</v>
      </c>
      <c r="AJ85" s="15">
        <f>SUMIFS('7月运营'!H:H,'7月运营'!$A:$A,D85,'7月运营'!$K:$K,$A$1)</f>
        <v>0</v>
      </c>
      <c r="AK85" s="15">
        <f>SUMIFS(上月未发人员明细!I:I,上月未发人员明细!J:J,$AK$2,上月未发人员明细!A:A,D85)</f>
        <v>0</v>
      </c>
      <c r="AL85" s="15">
        <f>SUMIFS('7月运营'!L:L,'7月运营'!$A:$A,D85,'7月运营'!$K:$K,$AL$2)</f>
        <v>0</v>
      </c>
      <c r="AM85" s="18">
        <f>SUMIFS('7月运营'!$F:$F,'7月运营'!$A:$A,D85,'7月运营'!$K:$K,'②7月-汇总'!$AM$2,'7月运营'!$G:$G,"岗位核算")</f>
        <v>0</v>
      </c>
      <c r="AN85" s="18">
        <f>SUMIFS('7月运营'!$F:$F,'7月运营'!$A:$A,D85,'7月运营'!$K:$K,$AN$2,'7月运营'!$G:$G,"岗位核算")</f>
        <v>0</v>
      </c>
      <c r="AO85" s="18" t="str">
        <f t="shared" si="19"/>
        <v/>
      </c>
      <c r="AP85" s="18">
        <f t="shared" si="11"/>
        <v>31</v>
      </c>
      <c r="AQ85" s="18">
        <f>_xlfn.XLOOKUP(D85,'7月运营'!A:A,'7月运营'!G:G,0)</f>
        <v>0</v>
      </c>
    </row>
    <row r="86" spans="1:43" x14ac:dyDescent="0.15">
      <c r="A86" s="11" t="str">
        <v>鹭岛</v>
      </c>
      <c r="B86" s="11" t="str">
        <v>健康师</v>
      </c>
      <c r="C86" s="11" t="str">
        <v>A</v>
      </c>
      <c r="D86" s="11" t="str">
        <v>雷娜婷</v>
      </c>
      <c r="E86" s="11" t="str">
        <v>在职</v>
      </c>
      <c r="F86" s="11" t="str">
        <v>事业部</v>
      </c>
      <c r="G86" s="11">
        <f>_xlfn.XLOOKUP(D86,'①7月-花名册'!E:E,'①7月-花名册'!U:U,0)</f>
        <v>0</v>
      </c>
      <c r="H86" s="11">
        <f>_xlfn.XLOOKUP(D86,'①7月-花名册'!E:E,'①7月-花名册'!M:M,0)</f>
        <v>31</v>
      </c>
      <c r="I86" s="11">
        <f>_xlfn.XLOOKUP(D86,'①7月-花名册'!E:E,'①7月-花名册'!S:S,0)</f>
        <v>4</v>
      </c>
      <c r="J86" s="14">
        <f t="shared" si="12"/>
        <v>5</v>
      </c>
      <c r="K86" s="23">
        <v>4</v>
      </c>
      <c r="L86" s="23"/>
      <c r="M86" s="23">
        <v>1</v>
      </c>
      <c r="N86" s="23"/>
      <c r="O86" s="23"/>
      <c r="P86" s="15">
        <f t="shared" si="13"/>
        <v>26</v>
      </c>
      <c r="Q86" s="15">
        <f t="shared" si="14"/>
        <v>31</v>
      </c>
      <c r="R86" s="15">
        <f>IF(F86="事业部",LOOKUP(Q86,基础设置!$T$2:$T$6,基础设置!$U$2:$U$6),IF(F86="总部",LOOKUP(Q86,基础设置!$T$8:$T$13,基础设置!$V$8:$V$13),IF(F86="拓展部",LOOKUP(Q86,基础设置!$T$8:$T$13,基础设置!$W$8:$W$13),2000)))</f>
        <v>4</v>
      </c>
      <c r="S86" s="15">
        <f t="shared" si="15"/>
        <v>31</v>
      </c>
      <c r="T86" s="15">
        <f t="shared" si="16"/>
        <v>0</v>
      </c>
      <c r="U86" s="15">
        <f t="shared" si="17"/>
        <v>0</v>
      </c>
      <c r="V86" s="15">
        <f t="shared" si="10"/>
        <v>0</v>
      </c>
      <c r="W86" s="15">
        <f t="shared" si="18"/>
        <v>0</v>
      </c>
      <c r="X86" s="26"/>
      <c r="Y86" s="26"/>
      <c r="Z86" s="26"/>
      <c r="AA86" s="26"/>
      <c r="AB86" s="27"/>
      <c r="AC86" s="27"/>
      <c r="AD86" s="27"/>
      <c r="AE86" s="27"/>
      <c r="AF86" s="27"/>
      <c r="AG86" s="27"/>
      <c r="AH86" s="17">
        <f>_xlfn.XLOOKUP(D86,'①7月-花名册'!E:E,'①7月-花名册'!T:T,0)</f>
        <v>0</v>
      </c>
      <c r="AI86" s="15">
        <f>SUMIFS('7月运营'!$L:$L,'7月运营'!$A:$A,D86,'7月运营'!$K:$K,$A$1)</f>
        <v>0</v>
      </c>
      <c r="AJ86" s="15">
        <f>SUMIFS('7月运营'!H:H,'7月运营'!$A:$A,D86,'7月运营'!$K:$K,$A$1)</f>
        <v>0</v>
      </c>
      <c r="AK86" s="15">
        <f>SUMIFS(上月未发人员明细!I:I,上月未发人员明细!J:J,$AK$2,上月未发人员明细!A:A,D86)</f>
        <v>0</v>
      </c>
      <c r="AL86" s="15">
        <f>SUMIFS('7月运营'!L:L,'7月运营'!$A:$A,D86,'7月运营'!$K:$K,$AL$2)</f>
        <v>0</v>
      </c>
      <c r="AM86" s="18">
        <f>SUMIFS('7月运营'!$F:$F,'7月运营'!$A:$A,D86,'7月运营'!$K:$K,'②7月-汇总'!$AM$2,'7月运营'!$G:$G,"岗位核算")</f>
        <v>0</v>
      </c>
      <c r="AN86" s="18">
        <f>SUMIFS('7月运营'!$F:$F,'7月运营'!$A:$A,D86,'7月运营'!$K:$K,$AN$2,'7月运营'!$G:$G,"岗位核算")</f>
        <v>0</v>
      </c>
      <c r="AO86" s="18" t="str">
        <f t="shared" si="19"/>
        <v/>
      </c>
      <c r="AP86" s="18">
        <f t="shared" si="11"/>
        <v>31</v>
      </c>
      <c r="AQ86" s="18">
        <f>_xlfn.XLOOKUP(D86,'7月运营'!A:A,'7月运营'!G:G,0)</f>
        <v>0</v>
      </c>
    </row>
    <row r="87" spans="1:43" x14ac:dyDescent="0.15">
      <c r="A87" s="11" t="str">
        <v>鹭岛</v>
      </c>
      <c r="B87" s="11" t="str">
        <v>健康师</v>
      </c>
      <c r="C87" s="11" t="str">
        <v>A</v>
      </c>
      <c r="D87" s="11" t="str">
        <v>叶美霞</v>
      </c>
      <c r="E87" s="11" t="str">
        <v>离职</v>
      </c>
      <c r="F87" s="11" t="str">
        <v>事业部</v>
      </c>
      <c r="G87" s="11">
        <f>_xlfn.XLOOKUP(D87,'①7月-花名册'!E:E,'①7月-花名册'!U:U,0)</f>
        <v>0</v>
      </c>
      <c r="H87" s="11">
        <f>_xlfn.XLOOKUP(D87,'①7月-花名册'!E:E,'①7月-花名册'!M:M,0)</f>
        <v>17</v>
      </c>
      <c r="I87" s="11">
        <f>_xlfn.XLOOKUP(D87,'①7月-花名册'!E:E,'①7月-花名册'!S:S,0)</f>
        <v>2</v>
      </c>
      <c r="J87" s="14">
        <f t="shared" si="12"/>
        <v>4</v>
      </c>
      <c r="K87" s="23">
        <v>2</v>
      </c>
      <c r="L87" s="23">
        <v>2</v>
      </c>
      <c r="M87" s="23"/>
      <c r="N87" s="23"/>
      <c r="O87" s="23"/>
      <c r="P87" s="15">
        <f t="shared" si="13"/>
        <v>13</v>
      </c>
      <c r="Q87" s="15">
        <f t="shared" si="14"/>
        <v>15</v>
      </c>
      <c r="R87" s="15">
        <f>IF(F87="事业部",LOOKUP(Q87,基础设置!$T$2:$T$6,基础设置!$U$2:$U$6),IF(F87="总部",LOOKUP(Q87,基础设置!$T$8:$T$13,基础设置!$V$8:$V$13),IF(F87="拓展部",LOOKUP(Q87,基础设置!$T$8:$T$13,基础设置!$W$8:$W$13),2000)))</f>
        <v>2</v>
      </c>
      <c r="S87" s="15">
        <f t="shared" si="15"/>
        <v>15</v>
      </c>
      <c r="T87" s="15">
        <f t="shared" si="16"/>
        <v>0</v>
      </c>
      <c r="U87" s="15">
        <f t="shared" si="17"/>
        <v>2</v>
      </c>
      <c r="V87" s="15">
        <f t="shared" si="10"/>
        <v>0</v>
      </c>
      <c r="W87" s="15">
        <f t="shared" si="18"/>
        <v>0</v>
      </c>
      <c r="X87" s="26"/>
      <c r="Y87" s="26"/>
      <c r="Z87" s="26"/>
      <c r="AA87" s="26"/>
      <c r="AB87" s="27">
        <v>1000</v>
      </c>
      <c r="AC87" s="27"/>
      <c r="AD87" s="27"/>
      <c r="AE87" s="27">
        <v>300</v>
      </c>
      <c r="AF87" s="27"/>
      <c r="AG87" s="27"/>
      <c r="AH87" s="17">
        <f>_xlfn.XLOOKUP(D87,'①7月-花名册'!E:E,'①7月-花名册'!T:T,0)</f>
        <v>0</v>
      </c>
      <c r="AI87" s="15">
        <f>SUMIFS('7月运营'!$L:$L,'7月运营'!$A:$A,D87,'7月运营'!$K:$K,$A$1)</f>
        <v>0</v>
      </c>
      <c r="AJ87" s="15">
        <f>SUMIFS('7月运营'!H:H,'7月运营'!$A:$A,D87,'7月运营'!$K:$K,$A$1)</f>
        <v>0</v>
      </c>
      <c r="AK87" s="15">
        <f>SUMIFS(上月未发人员明细!I:I,上月未发人员明细!J:J,$AK$2,上月未发人员明细!A:A,D87)</f>
        <v>0</v>
      </c>
      <c r="AL87" s="15">
        <f>SUMIFS('7月运营'!L:L,'7月运营'!$A:$A,D87,'7月运营'!$K:$K,$AL$2)</f>
        <v>0</v>
      </c>
      <c r="AM87" s="18">
        <f>SUMIFS('7月运营'!$F:$F,'7月运营'!$A:$A,D87,'7月运营'!$K:$K,'②7月-汇总'!$AM$2,'7月运营'!$G:$G,"岗位核算")</f>
        <v>0</v>
      </c>
      <c r="AN87" s="18">
        <f>SUMIFS('7月运营'!$F:$F,'7月运营'!$A:$A,D87,'7月运营'!$K:$K,$AN$2,'7月运营'!$G:$G,"岗位核算")</f>
        <v>0</v>
      </c>
      <c r="AO87" s="18" t="str">
        <f t="shared" si="19"/>
        <v/>
      </c>
      <c r="AP87" s="18">
        <f t="shared" si="11"/>
        <v>15</v>
      </c>
      <c r="AQ87" s="18">
        <f>_xlfn.XLOOKUP(D87,'7月运营'!A:A,'7月运营'!G:G,0)</f>
        <v>0</v>
      </c>
    </row>
    <row r="88" spans="1:43" x14ac:dyDescent="0.15">
      <c r="A88" s="11" t="str">
        <v>荣华北路</v>
      </c>
      <c r="B88" s="11" t="str">
        <v>店长</v>
      </c>
      <c r="C88" s="11" t="str">
        <v>B</v>
      </c>
      <c r="D88" s="11" t="str">
        <v>秦娜</v>
      </c>
      <c r="E88" s="11" t="str">
        <v>在职</v>
      </c>
      <c r="F88" s="11" t="str">
        <v>事业部</v>
      </c>
      <c r="G88" s="11">
        <f>_xlfn.XLOOKUP(D88,'①7月-花名册'!E:E,'①7月-花名册'!U:U,0)</f>
        <v>0</v>
      </c>
      <c r="H88" s="11">
        <f>_xlfn.XLOOKUP(D88,'①7月-花名册'!E:E,'①7月-花名册'!M:M,0)</f>
        <v>31</v>
      </c>
      <c r="I88" s="11">
        <f>_xlfn.XLOOKUP(D88,'①7月-花名册'!E:E,'①7月-花名册'!S:S,0)</f>
        <v>4</v>
      </c>
      <c r="J88" s="14">
        <f t="shared" si="12"/>
        <v>6</v>
      </c>
      <c r="K88" s="23">
        <v>4</v>
      </c>
      <c r="L88" s="23">
        <v>1</v>
      </c>
      <c r="M88" s="23">
        <v>1</v>
      </c>
      <c r="N88" s="23"/>
      <c r="O88" s="23"/>
      <c r="P88" s="15">
        <f t="shared" si="13"/>
        <v>25</v>
      </c>
      <c r="Q88" s="15">
        <f t="shared" si="14"/>
        <v>30</v>
      </c>
      <c r="R88" s="15">
        <f>IF(F88="事业部",LOOKUP(Q88,基础设置!$T$2:$T$6,基础设置!$U$2:$U$6),IF(F88="总部",LOOKUP(Q88,基础设置!$T$8:$T$13,基础设置!$V$8:$V$13),IF(F88="拓展部",LOOKUP(Q88,基础设置!$T$8:$T$13,基础设置!$W$8:$W$13),2000)))</f>
        <v>4</v>
      </c>
      <c r="S88" s="15">
        <f t="shared" si="15"/>
        <v>30</v>
      </c>
      <c r="T88" s="15">
        <f t="shared" si="16"/>
        <v>0</v>
      </c>
      <c r="U88" s="15">
        <f t="shared" si="17"/>
        <v>1</v>
      </c>
      <c r="V88" s="15">
        <f t="shared" si="10"/>
        <v>0</v>
      </c>
      <c r="W88" s="15">
        <f t="shared" si="18"/>
        <v>0</v>
      </c>
      <c r="X88" s="26">
        <v>20</v>
      </c>
      <c r="Y88" s="26"/>
      <c r="Z88" s="26"/>
      <c r="AA88" s="26"/>
      <c r="AB88" s="27"/>
      <c r="AC88" s="27"/>
      <c r="AD88" s="27"/>
      <c r="AE88" s="27"/>
      <c r="AF88" s="27"/>
      <c r="AG88" s="27"/>
      <c r="AH88" s="17">
        <f>_xlfn.XLOOKUP(D88,'①7月-花名册'!E:E,'①7月-花名册'!T:T,0)</f>
        <v>0</v>
      </c>
      <c r="AI88" s="15">
        <f>SUMIFS('7月运营'!$L:$L,'7月运营'!$A:$A,D88,'7月运营'!$K:$K,$A$1)</f>
        <v>0</v>
      </c>
      <c r="AJ88" s="15">
        <f>SUMIFS('7月运营'!H:H,'7月运营'!$A:$A,D88,'7月运营'!$K:$K,$A$1)</f>
        <v>0</v>
      </c>
      <c r="AK88" s="15">
        <f>SUMIFS(上月未发人员明细!I:I,上月未发人员明细!J:J,$AK$2,上月未发人员明细!A:A,D88)</f>
        <v>0</v>
      </c>
      <c r="AL88" s="15">
        <f>SUMIFS('7月运营'!L:L,'7月运营'!$A:$A,D88,'7月运营'!$K:$K,$AL$2)</f>
        <v>0</v>
      </c>
      <c r="AM88" s="18">
        <f>SUMIFS('7月运营'!$F:$F,'7月运营'!$A:$A,D88,'7月运营'!$K:$K,'②7月-汇总'!$AM$2,'7月运营'!$G:$G,"岗位核算")</f>
        <v>0</v>
      </c>
      <c r="AN88" s="18">
        <f>SUMIFS('7月运营'!$F:$F,'7月运营'!$A:$A,D88,'7月运营'!$K:$K,$AN$2,'7月运营'!$G:$G,"岗位核算")</f>
        <v>0</v>
      </c>
      <c r="AO88" s="18" t="str">
        <f t="shared" si="19"/>
        <v/>
      </c>
      <c r="AP88" s="18">
        <f t="shared" si="11"/>
        <v>30</v>
      </c>
      <c r="AQ88" s="18">
        <f>_xlfn.XLOOKUP(D88,'7月运营'!A:A,'7月运营'!G:G,0)</f>
        <v>0</v>
      </c>
    </row>
    <row r="89" spans="1:43" x14ac:dyDescent="0.15">
      <c r="A89" s="11" t="str">
        <v>荣华北路</v>
      </c>
      <c r="B89" s="11" t="str">
        <v>店助主任</v>
      </c>
      <c r="C89" s="11" t="str">
        <v>B</v>
      </c>
      <c r="D89" s="11" t="str">
        <v>牟光燕</v>
      </c>
      <c r="E89" s="11" t="str">
        <v>在职</v>
      </c>
      <c r="F89" s="11" t="str">
        <v>事业部</v>
      </c>
      <c r="G89" s="11">
        <f>_xlfn.XLOOKUP(D89,'①7月-花名册'!E:E,'①7月-花名册'!U:U,0)</f>
        <v>0</v>
      </c>
      <c r="H89" s="11">
        <f>_xlfn.XLOOKUP(D89,'①7月-花名册'!E:E,'①7月-花名册'!M:M,0)</f>
        <v>31</v>
      </c>
      <c r="I89" s="11">
        <f>_xlfn.XLOOKUP(D89,'①7月-花名册'!E:E,'①7月-花名册'!S:S,0)</f>
        <v>4</v>
      </c>
      <c r="J89" s="14">
        <f t="shared" si="12"/>
        <v>4</v>
      </c>
      <c r="K89" s="23">
        <v>4</v>
      </c>
      <c r="L89" s="23"/>
      <c r="M89" s="23"/>
      <c r="N89" s="23"/>
      <c r="O89" s="23"/>
      <c r="P89" s="15">
        <f t="shared" si="13"/>
        <v>27</v>
      </c>
      <c r="Q89" s="15">
        <f t="shared" si="14"/>
        <v>31</v>
      </c>
      <c r="R89" s="15">
        <f>IF(F89="事业部",LOOKUP(Q89,基础设置!$T$2:$T$6,基础设置!$U$2:$U$6),IF(F89="总部",LOOKUP(Q89,基础设置!$T$8:$T$13,基础设置!$V$8:$V$13),IF(F89="拓展部",LOOKUP(Q89,基础设置!$T$8:$T$13,基础设置!$W$8:$W$13),2000)))</f>
        <v>4</v>
      </c>
      <c r="S89" s="15">
        <f t="shared" si="15"/>
        <v>31</v>
      </c>
      <c r="T89" s="15">
        <f t="shared" si="16"/>
        <v>0</v>
      </c>
      <c r="U89" s="15">
        <f t="shared" si="17"/>
        <v>0</v>
      </c>
      <c r="V89" s="15">
        <f t="shared" si="10"/>
        <v>0</v>
      </c>
      <c r="W89" s="15">
        <f t="shared" si="18"/>
        <v>0</v>
      </c>
      <c r="X89" s="26">
        <v>90</v>
      </c>
      <c r="Y89" s="26"/>
      <c r="Z89" s="26"/>
      <c r="AA89" s="26"/>
      <c r="AB89" s="27"/>
      <c r="AC89" s="27"/>
      <c r="AD89" s="27"/>
      <c r="AE89" s="27"/>
      <c r="AF89" s="27"/>
      <c r="AG89" s="27"/>
      <c r="AH89" s="17">
        <f>_xlfn.XLOOKUP(D89,'①7月-花名册'!E:E,'①7月-花名册'!T:T,0)</f>
        <v>0</v>
      </c>
      <c r="AI89" s="15">
        <f>SUMIFS('7月运营'!$L:$L,'7月运营'!$A:$A,D89,'7月运营'!$K:$K,$A$1)</f>
        <v>0</v>
      </c>
      <c r="AJ89" s="15">
        <f>SUMIFS('7月运营'!H:H,'7月运营'!$A:$A,D89,'7月运营'!$K:$K,$A$1)</f>
        <v>0</v>
      </c>
      <c r="AK89" s="15">
        <f>SUMIFS(上月未发人员明细!I:I,上月未发人员明细!J:J,$AK$2,上月未发人员明细!A:A,D89)</f>
        <v>0</v>
      </c>
      <c r="AL89" s="15">
        <f>SUMIFS('7月运营'!L:L,'7月运营'!$A:$A,D89,'7月运营'!$K:$K,$AL$2)</f>
        <v>0</v>
      </c>
      <c r="AM89" s="18">
        <f>SUMIFS('7月运营'!$F:$F,'7月运营'!$A:$A,D89,'7月运营'!$K:$K,'②7月-汇总'!$AM$2,'7月运营'!$G:$G,"岗位核算")</f>
        <v>0</v>
      </c>
      <c r="AN89" s="18">
        <f>SUMIFS('7月运营'!$F:$F,'7月运营'!$A:$A,D89,'7月运营'!$K:$K,$AN$2,'7月运营'!$G:$G,"岗位核算")</f>
        <v>0</v>
      </c>
      <c r="AO89" s="18" t="str">
        <f t="shared" si="19"/>
        <v/>
      </c>
      <c r="AP89" s="18">
        <f t="shared" si="11"/>
        <v>31</v>
      </c>
      <c r="AQ89" s="18">
        <f>_xlfn.XLOOKUP(D89,'7月运营'!A:A,'7月运营'!G:G,0)</f>
        <v>0</v>
      </c>
    </row>
    <row r="90" spans="1:43" x14ac:dyDescent="0.15">
      <c r="A90" s="11" t="str">
        <v>荣华北路</v>
      </c>
      <c r="B90" s="11" t="str">
        <v>健康师</v>
      </c>
      <c r="C90" s="11" t="str">
        <v>A</v>
      </c>
      <c r="D90" s="11" t="str">
        <v>王萍</v>
      </c>
      <c r="E90" s="11" t="str">
        <v>在职</v>
      </c>
      <c r="F90" s="11" t="str">
        <v>事业部</v>
      </c>
      <c r="G90" s="11">
        <f>_xlfn.XLOOKUP(D90,'①7月-花名册'!E:E,'①7月-花名册'!U:U,0)</f>
        <v>0</v>
      </c>
      <c r="H90" s="11">
        <f>_xlfn.XLOOKUP(D90,'①7月-花名册'!E:E,'①7月-花名册'!M:M,0)</f>
        <v>31</v>
      </c>
      <c r="I90" s="11">
        <f>_xlfn.XLOOKUP(D90,'①7月-花名册'!E:E,'①7月-花名册'!S:S,0)</f>
        <v>4</v>
      </c>
      <c r="J90" s="14">
        <f t="shared" si="12"/>
        <v>4</v>
      </c>
      <c r="K90" s="23">
        <v>4</v>
      </c>
      <c r="L90" s="23"/>
      <c r="M90" s="23"/>
      <c r="N90" s="23"/>
      <c r="O90" s="23"/>
      <c r="P90" s="15">
        <f t="shared" si="13"/>
        <v>27</v>
      </c>
      <c r="Q90" s="15">
        <f t="shared" si="14"/>
        <v>31</v>
      </c>
      <c r="R90" s="15">
        <f>IF(F90="事业部",LOOKUP(Q90,基础设置!$T$2:$T$6,基础设置!$U$2:$U$6),IF(F90="总部",LOOKUP(Q90,基础设置!$T$8:$T$13,基础设置!$V$8:$V$13),IF(F90="拓展部",LOOKUP(Q90,基础设置!$T$8:$T$13,基础设置!$W$8:$W$13),2000)))</f>
        <v>4</v>
      </c>
      <c r="S90" s="15">
        <f t="shared" si="15"/>
        <v>31</v>
      </c>
      <c r="T90" s="15">
        <f t="shared" si="16"/>
        <v>0</v>
      </c>
      <c r="U90" s="15">
        <f t="shared" si="17"/>
        <v>0</v>
      </c>
      <c r="V90" s="15">
        <f t="shared" si="10"/>
        <v>0</v>
      </c>
      <c r="W90" s="15">
        <f t="shared" si="18"/>
        <v>0</v>
      </c>
      <c r="X90" s="26"/>
      <c r="Y90" s="26"/>
      <c r="Z90" s="26"/>
      <c r="AA90" s="26"/>
      <c r="AB90" s="27"/>
      <c r="AC90" s="27"/>
      <c r="AD90" s="27"/>
      <c r="AE90" s="27"/>
      <c r="AF90" s="27"/>
      <c r="AG90" s="27"/>
      <c r="AH90" s="17">
        <f>_xlfn.XLOOKUP(D90,'①7月-花名册'!E:E,'①7月-花名册'!T:T,0)</f>
        <v>0</v>
      </c>
      <c r="AI90" s="15">
        <f>SUMIFS('7月运营'!$L:$L,'7月运营'!$A:$A,D90,'7月运营'!$K:$K,$A$1)</f>
        <v>0</v>
      </c>
      <c r="AJ90" s="15">
        <f>SUMIFS('7月运营'!H:H,'7月运营'!$A:$A,D90,'7月运营'!$K:$K,$A$1)</f>
        <v>0</v>
      </c>
      <c r="AK90" s="15">
        <f>SUMIFS(上月未发人员明细!I:I,上月未发人员明细!J:J,$AK$2,上月未发人员明细!A:A,D90)</f>
        <v>0</v>
      </c>
      <c r="AL90" s="15">
        <f>SUMIFS('7月运营'!L:L,'7月运营'!$A:$A,D90,'7月运营'!$K:$K,$AL$2)</f>
        <v>0</v>
      </c>
      <c r="AM90" s="18">
        <f>SUMIFS('7月运营'!$F:$F,'7月运营'!$A:$A,D90,'7月运营'!$K:$K,'②7月-汇总'!$AM$2,'7月运营'!$G:$G,"岗位核算")</f>
        <v>0</v>
      </c>
      <c r="AN90" s="18">
        <f>SUMIFS('7月运营'!$F:$F,'7月运营'!$A:$A,D90,'7月运营'!$K:$K,$AN$2,'7月运营'!$G:$G,"岗位核算")</f>
        <v>0</v>
      </c>
      <c r="AO90" s="18" t="str">
        <f t="shared" si="19"/>
        <v/>
      </c>
      <c r="AP90" s="18">
        <f t="shared" si="11"/>
        <v>31</v>
      </c>
      <c r="AQ90" s="18">
        <f>_xlfn.XLOOKUP(D90,'7月运营'!A:A,'7月运营'!G:G,0)</f>
        <v>0</v>
      </c>
    </row>
    <row r="91" spans="1:43" x14ac:dyDescent="0.15">
      <c r="A91" s="11" t="str">
        <v>荣华北路</v>
      </c>
      <c r="B91" s="11" t="str">
        <v>健康师</v>
      </c>
      <c r="C91" s="11" t="str">
        <v>A</v>
      </c>
      <c r="D91" s="11" t="str">
        <v>胡红琳</v>
      </c>
      <c r="E91" s="11" t="str">
        <v>在职</v>
      </c>
      <c r="F91" s="11" t="str">
        <v>事业部</v>
      </c>
      <c r="G91" s="11">
        <f>_xlfn.XLOOKUP(D91,'①7月-花名册'!E:E,'①7月-花名册'!U:U,0)</f>
        <v>0</v>
      </c>
      <c r="H91" s="11">
        <f>_xlfn.XLOOKUP(D91,'①7月-花名册'!E:E,'①7月-花名册'!M:M,0)</f>
        <v>31</v>
      </c>
      <c r="I91" s="11">
        <f>_xlfn.XLOOKUP(D91,'①7月-花名册'!E:E,'①7月-花名册'!S:S,0)</f>
        <v>4</v>
      </c>
      <c r="J91" s="14">
        <f t="shared" si="12"/>
        <v>5</v>
      </c>
      <c r="K91" s="23">
        <v>4</v>
      </c>
      <c r="L91" s="23"/>
      <c r="M91" s="23">
        <v>1</v>
      </c>
      <c r="N91" s="23"/>
      <c r="O91" s="23"/>
      <c r="P91" s="15">
        <f t="shared" si="13"/>
        <v>26</v>
      </c>
      <c r="Q91" s="15">
        <f t="shared" si="14"/>
        <v>31</v>
      </c>
      <c r="R91" s="15">
        <f>IF(F91="事业部",LOOKUP(Q91,基础设置!$T$2:$T$6,基础设置!$U$2:$U$6),IF(F91="总部",LOOKUP(Q91,基础设置!$T$8:$T$13,基础设置!$V$8:$V$13),IF(F91="拓展部",LOOKUP(Q91,基础设置!$T$8:$T$13,基础设置!$W$8:$W$13),2000)))</f>
        <v>4</v>
      </c>
      <c r="S91" s="15">
        <f t="shared" si="15"/>
        <v>31</v>
      </c>
      <c r="T91" s="15">
        <f t="shared" si="16"/>
        <v>0</v>
      </c>
      <c r="U91" s="15">
        <f t="shared" si="17"/>
        <v>0</v>
      </c>
      <c r="V91" s="15">
        <f t="shared" si="10"/>
        <v>0</v>
      </c>
      <c r="W91" s="15">
        <f t="shared" si="18"/>
        <v>0</v>
      </c>
      <c r="X91" s="26"/>
      <c r="Y91" s="26"/>
      <c r="Z91" s="26"/>
      <c r="AA91" s="26"/>
      <c r="AB91" s="27"/>
      <c r="AC91" s="27">
        <v>100</v>
      </c>
      <c r="AD91" s="27"/>
      <c r="AE91" s="27"/>
      <c r="AF91" s="27"/>
      <c r="AG91" s="27"/>
      <c r="AH91" s="17">
        <f>_xlfn.XLOOKUP(D91,'①7月-花名册'!E:E,'①7月-花名册'!T:T,0)</f>
        <v>0</v>
      </c>
      <c r="AI91" s="15">
        <f>SUMIFS('7月运营'!$L:$L,'7月运营'!$A:$A,D91,'7月运营'!$K:$K,$A$1)</f>
        <v>0</v>
      </c>
      <c r="AJ91" s="15">
        <f>SUMIFS('7月运营'!H:H,'7月运营'!$A:$A,D91,'7月运营'!$K:$K,$A$1)</f>
        <v>0</v>
      </c>
      <c r="AK91" s="15">
        <f>SUMIFS(上月未发人员明细!I:I,上月未发人员明细!J:J,$AK$2,上月未发人员明细!A:A,D91)</f>
        <v>0</v>
      </c>
      <c r="AL91" s="15">
        <f>SUMIFS('7月运营'!L:L,'7月运营'!$A:$A,D91,'7月运营'!$K:$K,$AL$2)</f>
        <v>0</v>
      </c>
      <c r="AM91" s="18">
        <f>SUMIFS('7月运营'!$F:$F,'7月运营'!$A:$A,D91,'7月运营'!$K:$K,'②7月-汇总'!$AM$2,'7月运营'!$G:$G,"岗位核算")</f>
        <v>0</v>
      </c>
      <c r="AN91" s="18">
        <f>SUMIFS('7月运营'!$F:$F,'7月运营'!$A:$A,D91,'7月运营'!$K:$K,$AN$2,'7月运营'!$G:$G,"岗位核算")</f>
        <v>0</v>
      </c>
      <c r="AO91" s="18" t="str">
        <f t="shared" si="19"/>
        <v/>
      </c>
      <c r="AP91" s="18">
        <f t="shared" si="11"/>
        <v>31</v>
      </c>
      <c r="AQ91" s="18">
        <f>_xlfn.XLOOKUP(D91,'7月运营'!A:A,'7月运营'!G:G,0)</f>
        <v>0</v>
      </c>
    </row>
    <row r="92" spans="1:43" x14ac:dyDescent="0.15">
      <c r="A92" s="11" t="str">
        <v>荣华北路</v>
      </c>
      <c r="B92" s="11" t="str">
        <v>健康师</v>
      </c>
      <c r="C92" s="11" t="str">
        <v>A</v>
      </c>
      <c r="D92" s="11" t="str">
        <v>谢娟</v>
      </c>
      <c r="E92" s="11" t="str">
        <v>在职</v>
      </c>
      <c r="F92" s="11" t="str">
        <v>事业部</v>
      </c>
      <c r="G92" s="11">
        <f>_xlfn.XLOOKUP(D92,'①7月-花名册'!E:E,'①7月-花名册'!U:U,0)</f>
        <v>0</v>
      </c>
      <c r="H92" s="11">
        <f>_xlfn.XLOOKUP(D92,'①7月-花名册'!E:E,'①7月-花名册'!M:M,0)</f>
        <v>31</v>
      </c>
      <c r="I92" s="11">
        <f>_xlfn.XLOOKUP(D92,'①7月-花名册'!E:E,'①7月-花名册'!S:S,0)</f>
        <v>4</v>
      </c>
      <c r="J92" s="14">
        <f t="shared" si="12"/>
        <v>4</v>
      </c>
      <c r="K92" s="23">
        <v>4</v>
      </c>
      <c r="L92" s="23"/>
      <c r="M92" s="23"/>
      <c r="N92" s="23"/>
      <c r="O92" s="23"/>
      <c r="P92" s="15">
        <f t="shared" si="13"/>
        <v>27</v>
      </c>
      <c r="Q92" s="15">
        <f t="shared" si="14"/>
        <v>31</v>
      </c>
      <c r="R92" s="15">
        <f>IF(F92="事业部",LOOKUP(Q92,基础设置!$T$2:$T$6,基础设置!$U$2:$U$6),IF(F92="总部",LOOKUP(Q92,基础设置!$T$8:$T$13,基础设置!$V$8:$V$13),IF(F92="拓展部",LOOKUP(Q92,基础设置!$T$8:$T$13,基础设置!$W$8:$W$13),2000)))</f>
        <v>4</v>
      </c>
      <c r="S92" s="15">
        <f t="shared" si="15"/>
        <v>31</v>
      </c>
      <c r="T92" s="15">
        <f t="shared" si="16"/>
        <v>0</v>
      </c>
      <c r="U92" s="15">
        <f t="shared" si="17"/>
        <v>0</v>
      </c>
      <c r="V92" s="15">
        <f t="shared" si="10"/>
        <v>0</v>
      </c>
      <c r="W92" s="15">
        <f t="shared" si="18"/>
        <v>0</v>
      </c>
      <c r="X92" s="26"/>
      <c r="Y92" s="26"/>
      <c r="Z92" s="26">
        <v>50</v>
      </c>
      <c r="AA92" s="26"/>
      <c r="AB92" s="27"/>
      <c r="AC92" s="27">
        <v>100</v>
      </c>
      <c r="AD92" s="27"/>
      <c r="AE92" s="27"/>
      <c r="AF92" s="27"/>
      <c r="AG92" s="27"/>
      <c r="AH92" s="17">
        <f>_xlfn.XLOOKUP(D92,'①7月-花名册'!E:E,'①7月-花名册'!T:T,0)</f>
        <v>0</v>
      </c>
      <c r="AI92" s="15">
        <f>SUMIFS('7月运营'!$L:$L,'7月运营'!$A:$A,D92,'7月运营'!$K:$K,$A$1)</f>
        <v>0</v>
      </c>
      <c r="AJ92" s="15">
        <f>SUMIFS('7月运营'!H:H,'7月运营'!$A:$A,D92,'7月运营'!$K:$K,$A$1)</f>
        <v>0</v>
      </c>
      <c r="AK92" s="15">
        <f>SUMIFS(上月未发人员明细!I:I,上月未发人员明细!J:J,$AK$2,上月未发人员明细!A:A,D92)</f>
        <v>0</v>
      </c>
      <c r="AL92" s="15">
        <f>SUMIFS('7月运营'!L:L,'7月运营'!$A:$A,D92,'7月运营'!$K:$K,$AL$2)</f>
        <v>0</v>
      </c>
      <c r="AM92" s="18">
        <f>SUMIFS('7月运营'!$F:$F,'7月运营'!$A:$A,D92,'7月运营'!$K:$K,'②7月-汇总'!$AM$2,'7月运营'!$G:$G,"岗位核算")</f>
        <v>0</v>
      </c>
      <c r="AN92" s="18">
        <f>SUMIFS('7月运营'!$F:$F,'7月运营'!$A:$A,D92,'7月运营'!$K:$K,$AN$2,'7月运营'!$G:$G,"岗位核算")</f>
        <v>0</v>
      </c>
      <c r="AO92" s="18" t="str">
        <f t="shared" si="19"/>
        <v/>
      </c>
      <c r="AP92" s="18">
        <f t="shared" si="11"/>
        <v>31</v>
      </c>
      <c r="AQ92" s="18">
        <f>_xlfn.XLOOKUP(D92,'7月运营'!A:A,'7月运营'!G:G,0)</f>
        <v>0</v>
      </c>
    </row>
    <row r="93" spans="1:43" x14ac:dyDescent="0.15">
      <c r="A93" s="11" t="str">
        <v>荣华北路</v>
      </c>
      <c r="B93" s="11" t="str">
        <v>健康师</v>
      </c>
      <c r="C93" s="11" t="str">
        <v>A</v>
      </c>
      <c r="D93" s="11" t="str">
        <v>陈美合</v>
      </c>
      <c r="E93" s="11" t="str">
        <v>在职</v>
      </c>
      <c r="F93" s="11" t="str">
        <v>事业部</v>
      </c>
      <c r="G93" s="11">
        <f>_xlfn.XLOOKUP(D93,'①7月-花名册'!E:E,'①7月-花名册'!U:U,0)</f>
        <v>0</v>
      </c>
      <c r="H93" s="11">
        <f>_xlfn.XLOOKUP(D93,'①7月-花名册'!E:E,'①7月-花名册'!M:M,0)</f>
        <v>31</v>
      </c>
      <c r="I93" s="11">
        <f>_xlfn.XLOOKUP(D93,'①7月-花名册'!E:E,'①7月-花名册'!S:S,0)</f>
        <v>4</v>
      </c>
      <c r="J93" s="14">
        <f t="shared" si="12"/>
        <v>4</v>
      </c>
      <c r="K93" s="23">
        <v>4</v>
      </c>
      <c r="L93" s="23"/>
      <c r="M93" s="23"/>
      <c r="N93" s="23"/>
      <c r="O93" s="23"/>
      <c r="P93" s="15">
        <f t="shared" si="13"/>
        <v>27</v>
      </c>
      <c r="Q93" s="15">
        <f t="shared" si="14"/>
        <v>31</v>
      </c>
      <c r="R93" s="15">
        <f>IF(F93="事业部",LOOKUP(Q93,基础设置!$T$2:$T$6,基础设置!$U$2:$U$6),IF(F93="总部",LOOKUP(Q93,基础设置!$T$8:$T$13,基础设置!$V$8:$V$13),IF(F93="拓展部",LOOKUP(Q93,基础设置!$T$8:$T$13,基础设置!$W$8:$W$13),2000)))</f>
        <v>4</v>
      </c>
      <c r="S93" s="15">
        <f t="shared" si="15"/>
        <v>31</v>
      </c>
      <c r="T93" s="15">
        <f t="shared" si="16"/>
        <v>0</v>
      </c>
      <c r="U93" s="15">
        <f t="shared" si="17"/>
        <v>0</v>
      </c>
      <c r="V93" s="15">
        <f t="shared" si="10"/>
        <v>0</v>
      </c>
      <c r="W93" s="15">
        <f t="shared" si="18"/>
        <v>0</v>
      </c>
      <c r="X93" s="26">
        <v>10</v>
      </c>
      <c r="Y93" s="26"/>
      <c r="Z93" s="26"/>
      <c r="AA93" s="26"/>
      <c r="AB93" s="28"/>
      <c r="AC93" s="27">
        <v>100</v>
      </c>
      <c r="AD93" s="28"/>
      <c r="AE93" s="28"/>
      <c r="AF93" s="28"/>
      <c r="AG93" s="28"/>
      <c r="AH93" s="17">
        <f>_xlfn.XLOOKUP(D93,'①7月-花名册'!E:E,'①7月-花名册'!T:T,0)</f>
        <v>0</v>
      </c>
      <c r="AI93" s="15">
        <f>SUMIFS('7月运营'!$L:$L,'7月运营'!$A:$A,D93,'7月运营'!$K:$K,$A$1)</f>
        <v>0</v>
      </c>
      <c r="AJ93" s="15">
        <f>SUMIFS('7月运营'!H:H,'7月运营'!$A:$A,D93,'7月运营'!$K:$K,$A$1)</f>
        <v>0</v>
      </c>
      <c r="AK93" s="15">
        <f>SUMIFS(上月未发人员明细!I:I,上月未发人员明细!J:J,$AK$2,上月未发人员明细!A:A,D93)</f>
        <v>0</v>
      </c>
      <c r="AL93" s="15">
        <f>SUMIFS('7月运营'!L:L,'7月运营'!$A:$A,D93,'7月运营'!$K:$K,$AL$2)</f>
        <v>0</v>
      </c>
      <c r="AM93" s="18">
        <f>SUMIFS('7月运营'!$F:$F,'7月运营'!$A:$A,D93,'7月运营'!$K:$K,'②7月-汇总'!$AM$2,'7月运营'!$G:$G,"岗位核算")</f>
        <v>0</v>
      </c>
      <c r="AN93" s="18">
        <f>SUMIFS('7月运营'!$F:$F,'7月运营'!$A:$A,D93,'7月运营'!$K:$K,$AN$2,'7月运营'!$G:$G,"岗位核算")</f>
        <v>0</v>
      </c>
      <c r="AO93" s="18" t="str">
        <f t="shared" si="19"/>
        <v/>
      </c>
      <c r="AP93" s="18">
        <f t="shared" si="11"/>
        <v>31</v>
      </c>
      <c r="AQ93" s="18">
        <f>_xlfn.XLOOKUP(D93,'7月运营'!A:A,'7月运营'!G:G,0)</f>
        <v>0</v>
      </c>
    </row>
    <row r="94" spans="1:43" x14ac:dyDescent="0.15">
      <c r="A94" s="11" t="str">
        <v>荣华北路</v>
      </c>
      <c r="B94" s="11" t="str">
        <v>健康师</v>
      </c>
      <c r="C94" s="11" t="str">
        <v>A</v>
      </c>
      <c r="D94" s="11" t="str">
        <v>郝莉娜</v>
      </c>
      <c r="E94" s="11" t="str">
        <v>在职</v>
      </c>
      <c r="F94" s="11" t="str">
        <v>事业部</v>
      </c>
      <c r="G94" s="11">
        <f>_xlfn.XLOOKUP(D94,'①7月-花名册'!E:E,'①7月-花名册'!U:U,0)</f>
        <v>0</v>
      </c>
      <c r="H94" s="11">
        <f>_xlfn.XLOOKUP(D94,'①7月-花名册'!E:E,'①7月-花名册'!M:M,0)</f>
        <v>31</v>
      </c>
      <c r="I94" s="11">
        <f>_xlfn.XLOOKUP(D94,'①7月-花名册'!E:E,'①7月-花名册'!S:S,0)</f>
        <v>4</v>
      </c>
      <c r="J94" s="14">
        <f t="shared" si="12"/>
        <v>4</v>
      </c>
      <c r="K94" s="23">
        <v>4</v>
      </c>
      <c r="L94" s="23"/>
      <c r="M94" s="23"/>
      <c r="N94" s="23"/>
      <c r="O94" s="23"/>
      <c r="P94" s="15">
        <f t="shared" si="13"/>
        <v>27</v>
      </c>
      <c r="Q94" s="15">
        <f t="shared" si="14"/>
        <v>31</v>
      </c>
      <c r="R94" s="15">
        <f>IF(F94="事业部",LOOKUP(Q94,基础设置!$T$2:$T$6,基础设置!$U$2:$U$6),IF(F94="总部",LOOKUP(Q94,基础设置!$T$8:$T$13,基础设置!$V$8:$V$13),IF(F94="拓展部",LOOKUP(Q94,基础设置!$T$8:$T$13,基础设置!$W$8:$W$13),2000)))</f>
        <v>4</v>
      </c>
      <c r="S94" s="15">
        <f t="shared" si="15"/>
        <v>31</v>
      </c>
      <c r="T94" s="15">
        <f t="shared" si="16"/>
        <v>0</v>
      </c>
      <c r="U94" s="15">
        <f t="shared" si="17"/>
        <v>0</v>
      </c>
      <c r="V94" s="15">
        <f t="shared" si="10"/>
        <v>0</v>
      </c>
      <c r="W94" s="15">
        <f t="shared" si="18"/>
        <v>0</v>
      </c>
      <c r="X94" s="26">
        <v>20</v>
      </c>
      <c r="Y94" s="26"/>
      <c r="Z94" s="26"/>
      <c r="AA94" s="26"/>
      <c r="AB94" s="27"/>
      <c r="AC94" s="27"/>
      <c r="AD94" s="27"/>
      <c r="AE94" s="27"/>
      <c r="AF94" s="27"/>
      <c r="AG94" s="27"/>
      <c r="AH94" s="17">
        <f>_xlfn.XLOOKUP(D94,'①7月-花名册'!E:E,'①7月-花名册'!T:T,0)</f>
        <v>3500</v>
      </c>
      <c r="AI94" s="15">
        <f>SUMIFS('7月运营'!$L:$L,'7月运营'!$A:$A,D94,'7月运营'!$K:$K,$A$1)</f>
        <v>0</v>
      </c>
      <c r="AJ94" s="15">
        <f>SUMIFS('7月运营'!H:H,'7月运营'!$A:$A,D94,'7月运营'!$K:$K,$A$1)</f>
        <v>0</v>
      </c>
      <c r="AK94" s="15">
        <f>SUMIFS(上月未发人员明细!I:I,上月未发人员明细!J:J,$AK$2,上月未发人员明细!A:A,D94)</f>
        <v>0</v>
      </c>
      <c r="AL94" s="15">
        <f>SUMIFS('7月运营'!L:L,'7月运营'!$A:$A,D94,'7月运营'!$K:$K,$AL$2)</f>
        <v>0</v>
      </c>
      <c r="AM94" s="18">
        <f>SUMIFS('7月运营'!$F:$F,'7月运营'!$A:$A,D94,'7月运营'!$K:$K,'②7月-汇总'!$AM$2,'7月运营'!$G:$G,"岗位核算")</f>
        <v>0</v>
      </c>
      <c r="AN94" s="18">
        <f>SUMIFS('7月运营'!$F:$F,'7月运营'!$A:$A,D94,'7月运营'!$K:$K,$AN$2,'7月运营'!$G:$G,"岗位核算")</f>
        <v>0</v>
      </c>
      <c r="AO94" s="18" t="str">
        <f t="shared" si="19"/>
        <v/>
      </c>
      <c r="AP94" s="18">
        <f t="shared" si="11"/>
        <v>31</v>
      </c>
      <c r="AQ94" s="18">
        <f>_xlfn.XLOOKUP(D94,'7月运营'!A:A,'7月运营'!G:G,0)</f>
        <v>0</v>
      </c>
    </row>
    <row r="95" spans="1:43" x14ac:dyDescent="0.15">
      <c r="A95" s="11" t="str">
        <v>荣华南路</v>
      </c>
      <c r="B95" s="11" t="str">
        <v>店长</v>
      </c>
      <c r="C95" s="11" t="str">
        <v>B</v>
      </c>
      <c r="D95" s="11" t="str">
        <v>邓丽莉</v>
      </c>
      <c r="E95" s="11" t="str">
        <v>在职</v>
      </c>
      <c r="F95" s="11" t="str">
        <v>事业部</v>
      </c>
      <c r="G95" s="11">
        <f>_xlfn.XLOOKUP(D95,'①7月-花名册'!E:E,'①7月-花名册'!U:U,0)</f>
        <v>0</v>
      </c>
      <c r="H95" s="11">
        <f>_xlfn.XLOOKUP(D95,'①7月-花名册'!E:E,'①7月-花名册'!M:M,0)</f>
        <v>31</v>
      </c>
      <c r="I95" s="11">
        <f>_xlfn.XLOOKUP(D95,'①7月-花名册'!E:E,'①7月-花名册'!S:S,0)</f>
        <v>4</v>
      </c>
      <c r="J95" s="14">
        <f t="shared" si="12"/>
        <v>5</v>
      </c>
      <c r="K95" s="23">
        <v>4</v>
      </c>
      <c r="L95" s="23"/>
      <c r="M95" s="23">
        <v>1</v>
      </c>
      <c r="N95" s="23"/>
      <c r="O95" s="23"/>
      <c r="P95" s="15">
        <f t="shared" si="13"/>
        <v>26</v>
      </c>
      <c r="Q95" s="15">
        <f t="shared" si="14"/>
        <v>31</v>
      </c>
      <c r="R95" s="15">
        <f>IF(F95="事业部",LOOKUP(Q95,基础设置!$T$2:$T$6,基础设置!$U$2:$U$6),IF(F95="总部",LOOKUP(Q95,基础设置!$T$8:$T$13,基础设置!$V$8:$V$13),IF(F95="拓展部",LOOKUP(Q95,基础设置!$T$8:$T$13,基础设置!$W$8:$W$13),2000)))</f>
        <v>4</v>
      </c>
      <c r="S95" s="15">
        <f t="shared" si="15"/>
        <v>31</v>
      </c>
      <c r="T95" s="15">
        <f t="shared" si="16"/>
        <v>0</v>
      </c>
      <c r="U95" s="15">
        <f t="shared" si="17"/>
        <v>0</v>
      </c>
      <c r="V95" s="15">
        <f t="shared" si="10"/>
        <v>0</v>
      </c>
      <c r="W95" s="15">
        <f t="shared" si="18"/>
        <v>0</v>
      </c>
      <c r="X95" s="26">
        <v>90</v>
      </c>
      <c r="Y95" s="26"/>
      <c r="Z95" s="26"/>
      <c r="AA95" s="26"/>
      <c r="AB95" s="27"/>
      <c r="AC95" s="27"/>
      <c r="AD95" s="27"/>
      <c r="AE95" s="27"/>
      <c r="AF95" s="27"/>
      <c r="AG95" s="27"/>
      <c r="AH95" s="17">
        <f>_xlfn.XLOOKUP(D95,'①7月-花名册'!E:E,'①7月-花名册'!T:T,0)</f>
        <v>0</v>
      </c>
      <c r="AI95" s="15">
        <f>SUMIFS('7月运营'!$L:$L,'7月运营'!$A:$A,D95,'7月运营'!$K:$K,$A$1)</f>
        <v>0</v>
      </c>
      <c r="AJ95" s="15">
        <f>SUMIFS('7月运营'!H:H,'7月运营'!$A:$A,D95,'7月运营'!$K:$K,$A$1)</f>
        <v>0</v>
      </c>
      <c r="AK95" s="15">
        <f>SUMIFS(上月未发人员明细!I:I,上月未发人员明细!J:J,$AK$2,上月未发人员明细!A:A,D95)</f>
        <v>0</v>
      </c>
      <c r="AL95" s="15">
        <f>SUMIFS('7月运营'!L:L,'7月运营'!$A:$A,D95,'7月运营'!$K:$K,$AL$2)</f>
        <v>0</v>
      </c>
      <c r="AM95" s="18">
        <f>SUMIFS('7月运营'!$F:$F,'7月运营'!$A:$A,D95,'7月运营'!$K:$K,'②7月-汇总'!$AM$2,'7月运营'!$G:$G,"岗位核算")</f>
        <v>0</v>
      </c>
      <c r="AN95" s="18">
        <f>SUMIFS('7月运营'!$F:$F,'7月运营'!$A:$A,D95,'7月运营'!$K:$K,$AN$2,'7月运营'!$G:$G,"岗位核算")</f>
        <v>0</v>
      </c>
      <c r="AO95" s="18" t="str">
        <f t="shared" si="19"/>
        <v/>
      </c>
      <c r="AP95" s="18">
        <f t="shared" si="11"/>
        <v>31</v>
      </c>
      <c r="AQ95" s="18">
        <f>_xlfn.XLOOKUP(D95,'7月运营'!A:A,'7月运营'!G:G,0)</f>
        <v>0</v>
      </c>
    </row>
    <row r="96" spans="1:43" x14ac:dyDescent="0.15">
      <c r="A96" s="11" t="str">
        <v>荣华南路</v>
      </c>
      <c r="B96" s="11" t="str">
        <v>店助</v>
      </c>
      <c r="C96" s="11" t="str">
        <v>A</v>
      </c>
      <c r="D96" s="11" t="str">
        <v>张明艳</v>
      </c>
      <c r="E96" s="11" t="str">
        <v>在职</v>
      </c>
      <c r="F96" s="11" t="str">
        <v>事业部</v>
      </c>
      <c r="G96" s="11">
        <f>_xlfn.XLOOKUP(D96,'①7月-花名册'!E:E,'①7月-花名册'!U:U,0)</f>
        <v>0</v>
      </c>
      <c r="H96" s="11">
        <f>_xlfn.XLOOKUP(D96,'①7月-花名册'!E:E,'①7月-花名册'!M:M,0)</f>
        <v>31</v>
      </c>
      <c r="I96" s="11">
        <f>_xlfn.XLOOKUP(D96,'①7月-花名册'!E:E,'①7月-花名册'!S:S,0)</f>
        <v>4</v>
      </c>
      <c r="J96" s="14">
        <f t="shared" si="12"/>
        <v>4</v>
      </c>
      <c r="K96" s="23">
        <v>4</v>
      </c>
      <c r="L96" s="23"/>
      <c r="M96" s="23"/>
      <c r="N96" s="23"/>
      <c r="O96" s="23"/>
      <c r="P96" s="15">
        <f t="shared" si="13"/>
        <v>27</v>
      </c>
      <c r="Q96" s="15">
        <f t="shared" si="14"/>
        <v>31</v>
      </c>
      <c r="R96" s="15">
        <f>IF(F96="事业部",LOOKUP(Q96,基础设置!$T$2:$T$6,基础设置!$U$2:$U$6),IF(F96="总部",LOOKUP(Q96,基础设置!$T$8:$T$13,基础设置!$V$8:$V$13),IF(F96="拓展部",LOOKUP(Q96,基础设置!$T$8:$T$13,基础设置!$W$8:$W$13),2000)))</f>
        <v>4</v>
      </c>
      <c r="S96" s="15">
        <f t="shared" si="15"/>
        <v>31</v>
      </c>
      <c r="T96" s="15">
        <f t="shared" si="16"/>
        <v>0</v>
      </c>
      <c r="U96" s="15">
        <f t="shared" si="17"/>
        <v>0</v>
      </c>
      <c r="V96" s="15">
        <f t="shared" si="10"/>
        <v>0</v>
      </c>
      <c r="W96" s="15">
        <f t="shared" si="18"/>
        <v>0</v>
      </c>
      <c r="X96" s="26"/>
      <c r="Y96" s="26"/>
      <c r="Z96" s="26"/>
      <c r="AA96" s="26"/>
      <c r="AB96" s="27"/>
      <c r="AC96" s="27"/>
      <c r="AD96" s="27"/>
      <c r="AE96" s="27"/>
      <c r="AF96" s="27"/>
      <c r="AG96" s="27"/>
      <c r="AH96" s="17">
        <f>_xlfn.XLOOKUP(D96,'①7月-花名册'!E:E,'①7月-花名册'!T:T,0)</f>
        <v>0</v>
      </c>
      <c r="AI96" s="15">
        <f>SUMIFS('7月运营'!$L:$L,'7月运营'!$A:$A,D96,'7月运营'!$K:$K,$A$1)</f>
        <v>0</v>
      </c>
      <c r="AJ96" s="15">
        <f>SUMIFS('7月运营'!H:H,'7月运营'!$A:$A,D96,'7月运营'!$K:$K,$A$1)</f>
        <v>0</v>
      </c>
      <c r="AK96" s="15">
        <f>SUMIFS(上月未发人员明细!I:I,上月未发人员明细!J:J,$AK$2,上月未发人员明细!A:A,D96)</f>
        <v>0</v>
      </c>
      <c r="AL96" s="15">
        <f>SUMIFS('7月运营'!L:L,'7月运营'!$A:$A,D96,'7月运营'!$K:$K,$AL$2)</f>
        <v>0</v>
      </c>
      <c r="AM96" s="18">
        <f>SUMIFS('7月运营'!$F:$F,'7月运营'!$A:$A,D96,'7月运营'!$K:$K,'②7月-汇总'!$AM$2,'7月运营'!$G:$G,"岗位核算")</f>
        <v>0</v>
      </c>
      <c r="AN96" s="18">
        <f>SUMIFS('7月运营'!$F:$F,'7月运营'!$A:$A,D96,'7月运营'!$K:$K,$AN$2,'7月运营'!$G:$G,"岗位核算")</f>
        <v>0</v>
      </c>
      <c r="AO96" s="18" t="str">
        <f t="shared" si="19"/>
        <v/>
      </c>
      <c r="AP96" s="18">
        <f t="shared" si="11"/>
        <v>31</v>
      </c>
      <c r="AQ96" s="18">
        <f>_xlfn.XLOOKUP(D96,'7月运营'!A:A,'7月运营'!G:G,0)</f>
        <v>0</v>
      </c>
    </row>
    <row r="97" spans="1:43" x14ac:dyDescent="0.15">
      <c r="A97" s="11" t="str">
        <v>荣华南路</v>
      </c>
      <c r="B97" s="11" t="str">
        <v>健康师</v>
      </c>
      <c r="C97" s="11" t="str">
        <v>A</v>
      </c>
      <c r="D97" s="11" t="str">
        <v>马宏梅</v>
      </c>
      <c r="E97" s="11" t="str">
        <v>在职</v>
      </c>
      <c r="F97" s="11" t="str">
        <v>事业部</v>
      </c>
      <c r="G97" s="11">
        <f>_xlfn.XLOOKUP(D97,'①7月-花名册'!E:E,'①7月-花名册'!U:U,0)</f>
        <v>0</v>
      </c>
      <c r="H97" s="11">
        <f>_xlfn.XLOOKUP(D97,'①7月-花名册'!E:E,'①7月-花名册'!M:M,0)</f>
        <v>31</v>
      </c>
      <c r="I97" s="11">
        <f>_xlfn.XLOOKUP(D97,'①7月-花名册'!E:E,'①7月-花名册'!S:S,0)</f>
        <v>4</v>
      </c>
      <c r="J97" s="14">
        <f t="shared" si="12"/>
        <v>5</v>
      </c>
      <c r="K97" s="23">
        <v>4</v>
      </c>
      <c r="L97" s="23"/>
      <c r="M97" s="23">
        <v>1</v>
      </c>
      <c r="N97" s="23"/>
      <c r="O97" s="23"/>
      <c r="P97" s="15">
        <f t="shared" si="13"/>
        <v>26</v>
      </c>
      <c r="Q97" s="15">
        <f t="shared" si="14"/>
        <v>31</v>
      </c>
      <c r="R97" s="15">
        <f>IF(F97="事业部",LOOKUP(Q97,基础设置!$T$2:$T$6,基础设置!$U$2:$U$6),IF(F97="总部",LOOKUP(Q97,基础设置!$T$8:$T$13,基础设置!$V$8:$V$13),IF(F97="拓展部",LOOKUP(Q97,基础设置!$T$8:$T$13,基础设置!$W$8:$W$13),2000)))</f>
        <v>4</v>
      </c>
      <c r="S97" s="15">
        <f t="shared" si="15"/>
        <v>31</v>
      </c>
      <c r="T97" s="15">
        <f t="shared" si="16"/>
        <v>0</v>
      </c>
      <c r="U97" s="15">
        <f t="shared" si="17"/>
        <v>0</v>
      </c>
      <c r="V97" s="15">
        <f t="shared" si="10"/>
        <v>0</v>
      </c>
      <c r="W97" s="15">
        <f t="shared" si="18"/>
        <v>0</v>
      </c>
      <c r="X97" s="26"/>
      <c r="Y97" s="26"/>
      <c r="Z97" s="26"/>
      <c r="AA97" s="26"/>
      <c r="AB97" s="27"/>
      <c r="AC97" s="27"/>
      <c r="AD97" s="27"/>
      <c r="AE97" s="27"/>
      <c r="AF97" s="27"/>
      <c r="AG97" s="27"/>
      <c r="AH97" s="17">
        <f>_xlfn.XLOOKUP(D97,'①7月-花名册'!E:E,'①7月-花名册'!T:T,0)</f>
        <v>0</v>
      </c>
      <c r="AI97" s="15">
        <f>SUMIFS('7月运营'!$L:$L,'7月运营'!$A:$A,D97,'7月运营'!$K:$K,$A$1)</f>
        <v>0</v>
      </c>
      <c r="AJ97" s="15">
        <f>SUMIFS('7月运营'!H:H,'7月运营'!$A:$A,D97,'7月运营'!$K:$K,$A$1)</f>
        <v>0</v>
      </c>
      <c r="AK97" s="15">
        <f>SUMIFS(上月未发人员明细!I:I,上月未发人员明细!J:J,$AK$2,上月未发人员明细!A:A,D97)</f>
        <v>0</v>
      </c>
      <c r="AL97" s="15">
        <f>SUMIFS('7月运营'!L:L,'7月运营'!$A:$A,D97,'7月运营'!$K:$K,$AL$2)</f>
        <v>0</v>
      </c>
      <c r="AM97" s="18">
        <f>SUMIFS('7月运营'!$F:$F,'7月运营'!$A:$A,D97,'7月运营'!$K:$K,'②7月-汇总'!$AM$2,'7月运营'!$G:$G,"岗位核算")</f>
        <v>0</v>
      </c>
      <c r="AN97" s="18">
        <f>SUMIFS('7月运营'!$F:$F,'7月运营'!$A:$A,D97,'7月运营'!$K:$K,$AN$2,'7月运营'!$G:$G,"岗位核算")</f>
        <v>0</v>
      </c>
      <c r="AO97" s="18" t="str">
        <f t="shared" si="19"/>
        <v/>
      </c>
      <c r="AP97" s="18">
        <f t="shared" si="11"/>
        <v>31</v>
      </c>
      <c r="AQ97" s="18">
        <f>_xlfn.XLOOKUP(D97,'7月运营'!A:A,'7月运营'!G:G,0)</f>
        <v>0</v>
      </c>
    </row>
    <row r="98" spans="1:43" x14ac:dyDescent="0.15">
      <c r="A98" s="11" t="str">
        <v>荣华南路</v>
      </c>
      <c r="B98" s="11" t="str">
        <v>健康师</v>
      </c>
      <c r="C98" s="11" t="str">
        <v>A</v>
      </c>
      <c r="D98" s="11" t="str">
        <v>陈洁</v>
      </c>
      <c r="E98" s="11" t="str">
        <v>在职</v>
      </c>
      <c r="F98" s="11" t="str">
        <v>事业部</v>
      </c>
      <c r="G98" s="11">
        <f>_xlfn.XLOOKUP(D98,'①7月-花名册'!E:E,'①7月-花名册'!U:U,0)</f>
        <v>0</v>
      </c>
      <c r="H98" s="11">
        <f>_xlfn.XLOOKUP(D98,'①7月-花名册'!E:E,'①7月-花名册'!M:M,0)</f>
        <v>31</v>
      </c>
      <c r="I98" s="11">
        <f>_xlfn.XLOOKUP(D98,'①7月-花名册'!E:E,'①7月-花名册'!S:S,0)</f>
        <v>4</v>
      </c>
      <c r="J98" s="14">
        <f t="shared" si="12"/>
        <v>5</v>
      </c>
      <c r="K98" s="23">
        <v>4</v>
      </c>
      <c r="L98" s="23"/>
      <c r="M98" s="23">
        <v>1</v>
      </c>
      <c r="N98" s="23"/>
      <c r="O98" s="23"/>
      <c r="P98" s="15">
        <f t="shared" si="13"/>
        <v>26</v>
      </c>
      <c r="Q98" s="15">
        <f t="shared" si="14"/>
        <v>31</v>
      </c>
      <c r="R98" s="15">
        <f>IF(F98="事业部",LOOKUP(Q98,基础设置!$T$2:$T$6,基础设置!$U$2:$U$6),IF(F98="总部",LOOKUP(Q98,基础设置!$T$8:$T$13,基础设置!$V$8:$V$13),IF(F98="拓展部",LOOKUP(Q98,基础设置!$T$8:$T$13,基础设置!$W$8:$W$13),2000)))</f>
        <v>4</v>
      </c>
      <c r="S98" s="15">
        <f t="shared" si="15"/>
        <v>31</v>
      </c>
      <c r="T98" s="15">
        <f t="shared" si="16"/>
        <v>0</v>
      </c>
      <c r="U98" s="15">
        <f t="shared" si="17"/>
        <v>0</v>
      </c>
      <c r="V98" s="15">
        <f t="shared" si="10"/>
        <v>0</v>
      </c>
      <c r="W98" s="15">
        <f t="shared" si="18"/>
        <v>0</v>
      </c>
      <c r="X98" s="26">
        <v>10</v>
      </c>
      <c r="Y98" s="26"/>
      <c r="Z98" s="26"/>
      <c r="AA98" s="26"/>
      <c r="AB98" s="27"/>
      <c r="AC98" s="27"/>
      <c r="AD98" s="27"/>
      <c r="AE98" s="27"/>
      <c r="AF98" s="27"/>
      <c r="AG98" s="27"/>
      <c r="AH98" s="17">
        <f>_xlfn.XLOOKUP(D98,'①7月-花名册'!E:E,'①7月-花名册'!T:T,0)</f>
        <v>0</v>
      </c>
      <c r="AI98" s="15">
        <f>SUMIFS('7月运营'!$L:$L,'7月运营'!$A:$A,D98,'7月运营'!$K:$K,$A$1)</f>
        <v>0</v>
      </c>
      <c r="AJ98" s="15">
        <f>SUMIFS('7月运营'!H:H,'7月运营'!$A:$A,D98,'7月运营'!$K:$K,$A$1)</f>
        <v>0</v>
      </c>
      <c r="AK98" s="15">
        <f>SUMIFS(上月未发人员明细!I:I,上月未发人员明细!J:J,$AK$2,上月未发人员明细!A:A,D98)</f>
        <v>0</v>
      </c>
      <c r="AL98" s="15">
        <f>SUMIFS('7月运营'!L:L,'7月运营'!$A:$A,D98,'7月运营'!$K:$K,$AL$2)</f>
        <v>0</v>
      </c>
      <c r="AM98" s="18">
        <f>SUMIFS('7月运营'!$F:$F,'7月运营'!$A:$A,D98,'7月运营'!$K:$K,'②7月-汇总'!$AM$2,'7月运营'!$G:$G,"岗位核算")</f>
        <v>0</v>
      </c>
      <c r="AN98" s="18">
        <f>SUMIFS('7月运营'!$F:$F,'7月运营'!$A:$A,D98,'7月运营'!$K:$K,$AN$2,'7月运营'!$G:$G,"岗位核算")</f>
        <v>0</v>
      </c>
      <c r="AO98" s="18" t="str">
        <f t="shared" si="19"/>
        <v/>
      </c>
      <c r="AP98" s="18">
        <f t="shared" si="11"/>
        <v>31</v>
      </c>
      <c r="AQ98" s="18">
        <f>_xlfn.XLOOKUP(D98,'7月运营'!A:A,'7月运营'!G:G,0)</f>
        <v>0</v>
      </c>
    </row>
    <row r="99" spans="1:43" x14ac:dyDescent="0.15">
      <c r="A99" s="11" t="str">
        <v>荣华南路</v>
      </c>
      <c r="B99" s="11" t="str">
        <v>健康师</v>
      </c>
      <c r="C99" s="11" t="str">
        <v>A</v>
      </c>
      <c r="D99" s="11" t="str">
        <v>郑加焕</v>
      </c>
      <c r="E99" s="11" t="str">
        <v>在职</v>
      </c>
      <c r="F99" s="11" t="str">
        <v>事业部</v>
      </c>
      <c r="G99" s="11">
        <f>_xlfn.XLOOKUP(D99,'①7月-花名册'!E:E,'①7月-花名册'!U:U,0)</f>
        <v>0</v>
      </c>
      <c r="H99" s="11">
        <f>_xlfn.XLOOKUP(D99,'①7月-花名册'!E:E,'①7月-花名册'!M:M,0)</f>
        <v>31</v>
      </c>
      <c r="I99" s="11">
        <f>_xlfn.XLOOKUP(D99,'①7月-花名册'!E:E,'①7月-花名册'!S:S,0)</f>
        <v>4</v>
      </c>
      <c r="J99" s="14">
        <f t="shared" si="12"/>
        <v>5</v>
      </c>
      <c r="K99" s="23">
        <v>4</v>
      </c>
      <c r="L99" s="23"/>
      <c r="M99" s="23">
        <v>1</v>
      </c>
      <c r="N99" s="23"/>
      <c r="O99" s="23"/>
      <c r="P99" s="15">
        <f t="shared" si="13"/>
        <v>26</v>
      </c>
      <c r="Q99" s="15">
        <f t="shared" si="14"/>
        <v>31</v>
      </c>
      <c r="R99" s="15">
        <f>IF(F99="事业部",LOOKUP(Q99,基础设置!$T$2:$T$6,基础设置!$U$2:$U$6),IF(F99="总部",LOOKUP(Q99,基础设置!$T$8:$T$13,基础设置!$V$8:$V$13),IF(F99="拓展部",LOOKUP(Q99,基础设置!$T$8:$T$13,基础设置!$W$8:$W$13),2000)))</f>
        <v>4</v>
      </c>
      <c r="S99" s="15">
        <f t="shared" si="15"/>
        <v>31</v>
      </c>
      <c r="T99" s="15">
        <f t="shared" si="16"/>
        <v>0</v>
      </c>
      <c r="U99" s="15">
        <f t="shared" si="17"/>
        <v>0</v>
      </c>
      <c r="V99" s="15">
        <f t="shared" si="10"/>
        <v>0</v>
      </c>
      <c r="W99" s="15">
        <f t="shared" si="18"/>
        <v>0</v>
      </c>
      <c r="X99" s="26">
        <v>90</v>
      </c>
      <c r="Y99" s="26"/>
      <c r="Z99" s="26"/>
      <c r="AA99" s="26"/>
      <c r="AB99" s="27"/>
      <c r="AC99" s="27"/>
      <c r="AD99" s="27"/>
      <c r="AE99" s="27"/>
      <c r="AF99" s="27"/>
      <c r="AG99" s="27"/>
      <c r="AH99" s="17">
        <f>_xlfn.XLOOKUP(D99,'①7月-花名册'!E:E,'①7月-花名册'!T:T,0)</f>
        <v>0</v>
      </c>
      <c r="AI99" s="15">
        <f>SUMIFS('7月运营'!$L:$L,'7月运营'!$A:$A,D99,'7月运营'!$K:$K,$A$1)</f>
        <v>0</v>
      </c>
      <c r="AJ99" s="15">
        <f>SUMIFS('7月运营'!H:H,'7月运营'!$A:$A,D99,'7月运营'!$K:$K,$A$1)</f>
        <v>0</v>
      </c>
      <c r="AK99" s="15">
        <f>SUMIFS(上月未发人员明细!I:I,上月未发人员明细!J:J,$AK$2,上月未发人员明细!A:A,D99)</f>
        <v>0</v>
      </c>
      <c r="AL99" s="15">
        <f>SUMIFS('7月运营'!L:L,'7月运营'!$A:$A,D99,'7月运营'!$K:$K,$AL$2)</f>
        <v>0</v>
      </c>
      <c r="AM99" s="18">
        <f>SUMIFS('7月运营'!$F:$F,'7月运营'!$A:$A,D99,'7月运营'!$K:$K,'②7月-汇总'!$AM$2,'7月运营'!$G:$G,"岗位核算")</f>
        <v>0</v>
      </c>
      <c r="AN99" s="18">
        <f>SUMIFS('7月运营'!$F:$F,'7月运营'!$A:$A,D99,'7月运营'!$K:$K,$AN$2,'7月运营'!$G:$G,"岗位核算")</f>
        <v>0</v>
      </c>
      <c r="AO99" s="18" t="str">
        <f t="shared" si="19"/>
        <v/>
      </c>
      <c r="AP99" s="18">
        <f t="shared" si="11"/>
        <v>31</v>
      </c>
      <c r="AQ99" s="18">
        <f>_xlfn.XLOOKUP(D99,'7月运营'!A:A,'7月运营'!G:G,0)</f>
        <v>0</v>
      </c>
    </row>
    <row r="100" spans="1:43" x14ac:dyDescent="0.15">
      <c r="A100" s="11" t="str">
        <v>荣华南路</v>
      </c>
      <c r="B100" s="11" t="str">
        <v>健康师</v>
      </c>
      <c r="C100" s="11" t="str">
        <v>A</v>
      </c>
      <c r="D100" s="11" t="str">
        <v>侯英</v>
      </c>
      <c r="E100" s="11" t="str">
        <v>在职</v>
      </c>
      <c r="F100" s="11" t="str">
        <v>事业部</v>
      </c>
      <c r="G100" s="11">
        <f>_xlfn.XLOOKUP(D100,'①7月-花名册'!E:E,'①7月-花名册'!U:U,0)</f>
        <v>0</v>
      </c>
      <c r="H100" s="11">
        <f>_xlfn.XLOOKUP(D100,'①7月-花名册'!E:E,'①7月-花名册'!M:M,0)</f>
        <v>31</v>
      </c>
      <c r="I100" s="11">
        <f>_xlfn.XLOOKUP(D100,'①7月-花名册'!E:E,'①7月-花名册'!S:S,0)</f>
        <v>4</v>
      </c>
      <c r="J100" s="14">
        <f t="shared" si="12"/>
        <v>5</v>
      </c>
      <c r="K100" s="23">
        <v>4</v>
      </c>
      <c r="L100" s="23"/>
      <c r="M100" s="23">
        <v>1</v>
      </c>
      <c r="N100" s="23"/>
      <c r="O100" s="23"/>
      <c r="P100" s="15">
        <f t="shared" si="13"/>
        <v>26</v>
      </c>
      <c r="Q100" s="15">
        <f t="shared" si="14"/>
        <v>31</v>
      </c>
      <c r="R100" s="15">
        <f>IF(F100="事业部",LOOKUP(Q100,基础设置!$T$2:$T$6,基础设置!$U$2:$U$6),IF(F100="总部",LOOKUP(Q100,基础设置!$T$8:$T$13,基础设置!$V$8:$V$13),IF(F100="拓展部",LOOKUP(Q100,基础设置!$T$8:$T$13,基础设置!$W$8:$W$13),2000)))</f>
        <v>4</v>
      </c>
      <c r="S100" s="15">
        <f t="shared" si="15"/>
        <v>31</v>
      </c>
      <c r="T100" s="15">
        <f t="shared" si="16"/>
        <v>0</v>
      </c>
      <c r="U100" s="15">
        <f t="shared" si="17"/>
        <v>0</v>
      </c>
      <c r="V100" s="15">
        <f t="shared" si="10"/>
        <v>0</v>
      </c>
      <c r="W100" s="15">
        <f t="shared" si="18"/>
        <v>0</v>
      </c>
      <c r="X100" s="26"/>
      <c r="Y100" s="26"/>
      <c r="Z100" s="26"/>
      <c r="AA100" s="26"/>
      <c r="AB100" s="27"/>
      <c r="AC100" s="27"/>
      <c r="AD100" s="27"/>
      <c r="AE100" s="27"/>
      <c r="AF100" s="27"/>
      <c r="AG100" s="27"/>
      <c r="AH100" s="17">
        <f>_xlfn.XLOOKUP(D100,'①7月-花名册'!E:E,'①7月-花名册'!T:T,0)</f>
        <v>0</v>
      </c>
      <c r="AI100" s="15">
        <f>SUMIFS('7月运营'!$L:$L,'7月运营'!$A:$A,D100,'7月运营'!$K:$K,$A$1)</f>
        <v>0</v>
      </c>
      <c r="AJ100" s="15">
        <f>SUMIFS('7月运营'!H:H,'7月运营'!$A:$A,D100,'7月运营'!$K:$K,$A$1)</f>
        <v>0</v>
      </c>
      <c r="AK100" s="15">
        <f>SUMIFS(上月未发人员明细!I:I,上月未发人员明细!J:J,$AK$2,上月未发人员明细!A:A,D100)</f>
        <v>0</v>
      </c>
      <c r="AL100" s="15">
        <f>SUMIFS('7月运营'!L:L,'7月运营'!$A:$A,D100,'7月运营'!$K:$K,$AL$2)</f>
        <v>0</v>
      </c>
      <c r="AM100" s="18">
        <f>SUMIFS('7月运营'!$F:$F,'7月运营'!$A:$A,D100,'7月运营'!$K:$K,'②7月-汇总'!$AM$2,'7月运营'!$G:$G,"岗位核算")</f>
        <v>0</v>
      </c>
      <c r="AN100" s="18">
        <f>SUMIFS('7月运营'!$F:$F,'7月运营'!$A:$A,D100,'7月运营'!$K:$K,$AN$2,'7月运营'!$G:$G,"岗位核算")</f>
        <v>0</v>
      </c>
      <c r="AO100" s="18" t="str">
        <f t="shared" si="19"/>
        <v/>
      </c>
      <c r="AP100" s="18">
        <f t="shared" si="11"/>
        <v>31</v>
      </c>
      <c r="AQ100" s="18">
        <f>_xlfn.XLOOKUP(D100,'7月运营'!A:A,'7月运营'!G:G,0)</f>
        <v>0</v>
      </c>
    </row>
    <row r="101" spans="1:43" x14ac:dyDescent="0.15">
      <c r="A101" s="11" t="str">
        <v>荣华南路</v>
      </c>
      <c r="B101" s="11" t="str">
        <v>健康师</v>
      </c>
      <c r="C101" s="11" t="str">
        <v>A</v>
      </c>
      <c r="D101" s="11" t="str">
        <v>谢德芳</v>
      </c>
      <c r="E101" s="11" t="str">
        <v>在职</v>
      </c>
      <c r="F101" s="11" t="str">
        <v>事业部</v>
      </c>
      <c r="G101" s="11">
        <f>_xlfn.XLOOKUP(D101,'①7月-花名册'!E:E,'①7月-花名册'!U:U,0)</f>
        <v>0</v>
      </c>
      <c r="H101" s="11">
        <f>_xlfn.XLOOKUP(D101,'①7月-花名册'!E:E,'①7月-花名册'!M:M,0)</f>
        <v>31</v>
      </c>
      <c r="I101" s="11">
        <f>_xlfn.XLOOKUP(D101,'①7月-花名册'!E:E,'①7月-花名册'!S:S,0)</f>
        <v>4</v>
      </c>
      <c r="J101" s="14">
        <f t="shared" si="12"/>
        <v>5</v>
      </c>
      <c r="K101" s="23">
        <v>4</v>
      </c>
      <c r="L101" s="23"/>
      <c r="M101" s="31">
        <v>1</v>
      </c>
      <c r="N101" s="23"/>
      <c r="O101" s="23"/>
      <c r="P101" s="15">
        <f t="shared" si="13"/>
        <v>26</v>
      </c>
      <c r="Q101" s="15">
        <f t="shared" si="14"/>
        <v>31</v>
      </c>
      <c r="R101" s="15">
        <f>IF(F101="事业部",LOOKUP(Q101,基础设置!$T$2:$T$6,基础设置!$U$2:$U$6),IF(F101="总部",LOOKUP(Q101,基础设置!$T$8:$T$13,基础设置!$V$8:$V$13),IF(F101="拓展部",LOOKUP(Q101,基础设置!$T$8:$T$13,基础设置!$W$8:$W$13),2000)))</f>
        <v>4</v>
      </c>
      <c r="S101" s="15">
        <f t="shared" si="15"/>
        <v>31</v>
      </c>
      <c r="T101" s="15">
        <f t="shared" si="16"/>
        <v>0</v>
      </c>
      <c r="U101" s="15">
        <f t="shared" si="17"/>
        <v>0</v>
      </c>
      <c r="V101" s="15">
        <f t="shared" si="10"/>
        <v>0</v>
      </c>
      <c r="W101" s="15">
        <f t="shared" si="18"/>
        <v>0</v>
      </c>
      <c r="X101" s="26">
        <v>90</v>
      </c>
      <c r="Y101" s="26"/>
      <c r="Z101" s="26"/>
      <c r="AA101" s="26"/>
      <c r="AB101" s="27"/>
      <c r="AC101" s="27"/>
      <c r="AD101" s="27"/>
      <c r="AE101" s="27"/>
      <c r="AF101" s="27"/>
      <c r="AG101" s="27"/>
      <c r="AH101" s="17">
        <f>_xlfn.XLOOKUP(D101,'①7月-花名册'!E:E,'①7月-花名册'!T:T,0)</f>
        <v>0</v>
      </c>
      <c r="AI101" s="15">
        <f>SUMIFS('7月运营'!$L:$L,'7月运营'!$A:$A,D101,'7月运营'!$K:$K,$A$1)</f>
        <v>0</v>
      </c>
      <c r="AJ101" s="15">
        <f>SUMIFS('7月运营'!H:H,'7月运营'!$A:$A,D101,'7月运营'!$K:$K,$A$1)</f>
        <v>0</v>
      </c>
      <c r="AK101" s="15">
        <f>SUMIFS(上月未发人员明细!I:I,上月未发人员明细!J:J,$AK$2,上月未发人员明细!A:A,D101)</f>
        <v>0</v>
      </c>
      <c r="AL101" s="15">
        <f>SUMIFS('7月运营'!L:L,'7月运营'!$A:$A,D101,'7月运营'!$K:$K,$AL$2)</f>
        <v>0</v>
      </c>
      <c r="AM101" s="18">
        <f>SUMIFS('7月运营'!$F:$F,'7月运营'!$A:$A,D101,'7月运营'!$K:$K,'②7月-汇总'!$AM$2,'7月运营'!$G:$G,"岗位核算")</f>
        <v>0</v>
      </c>
      <c r="AN101" s="18">
        <f>SUMIFS('7月运营'!$F:$F,'7月运营'!$A:$A,D101,'7月运营'!$K:$K,$AN$2,'7月运营'!$G:$G,"岗位核算")</f>
        <v>0</v>
      </c>
      <c r="AO101" s="18" t="str">
        <f t="shared" si="19"/>
        <v/>
      </c>
      <c r="AP101" s="18">
        <f t="shared" si="11"/>
        <v>31</v>
      </c>
      <c r="AQ101" s="18">
        <f>_xlfn.XLOOKUP(D101,'7月运营'!A:A,'7月运营'!G:G,0)</f>
        <v>0</v>
      </c>
    </row>
    <row r="102" spans="1:43" x14ac:dyDescent="0.15">
      <c r="A102" s="11" t="str">
        <v>事业六部</v>
      </c>
      <c r="B102" s="11" t="str">
        <v>总经理</v>
      </c>
      <c r="C102" s="11" t="str">
        <v>B</v>
      </c>
      <c r="D102" s="11" t="str">
        <v>蒲草</v>
      </c>
      <c r="E102" s="11" t="str">
        <v>在职</v>
      </c>
      <c r="F102" s="11" t="str">
        <v>事业部</v>
      </c>
      <c r="G102" s="11">
        <f>_xlfn.XLOOKUP(D102,'①7月-花名册'!E:E,'①7月-花名册'!U:U,0)</f>
        <v>0</v>
      </c>
      <c r="H102" s="11">
        <f>_xlfn.XLOOKUP(D102,'①7月-花名册'!E:E,'①7月-花名册'!M:M,0)</f>
        <v>31</v>
      </c>
      <c r="I102" s="11">
        <f>_xlfn.XLOOKUP(D102,'①7月-花名册'!E:E,'①7月-花名册'!S:S,0)</f>
        <v>4</v>
      </c>
      <c r="J102" s="14">
        <f t="shared" si="12"/>
        <v>4</v>
      </c>
      <c r="K102" s="23">
        <v>4</v>
      </c>
      <c r="L102" s="23"/>
      <c r="M102" s="23"/>
      <c r="N102" s="23"/>
      <c r="O102" s="23"/>
      <c r="P102" s="15">
        <f t="shared" si="13"/>
        <v>27</v>
      </c>
      <c r="Q102" s="15">
        <f t="shared" si="14"/>
        <v>31</v>
      </c>
      <c r="R102" s="15">
        <f>IF(F102="事业部",LOOKUP(Q102,基础设置!$T$2:$T$6,基础设置!$U$2:$U$6),IF(F102="总部",LOOKUP(Q102,基础设置!$T$8:$T$13,基础设置!$V$8:$V$13),IF(F102="拓展部",LOOKUP(Q102,基础设置!$T$8:$T$13,基础设置!$W$8:$W$13),2000)))</f>
        <v>4</v>
      </c>
      <c r="S102" s="15">
        <f t="shared" si="15"/>
        <v>31</v>
      </c>
      <c r="T102" s="15">
        <f t="shared" si="16"/>
        <v>0</v>
      </c>
      <c r="U102" s="15">
        <f t="shared" si="17"/>
        <v>0</v>
      </c>
      <c r="V102" s="15">
        <f t="shared" si="10"/>
        <v>0</v>
      </c>
      <c r="W102" s="15">
        <f t="shared" si="18"/>
        <v>0</v>
      </c>
      <c r="X102" s="26">
        <v>90</v>
      </c>
      <c r="Y102" s="26"/>
      <c r="Z102" s="26"/>
      <c r="AA102" s="26"/>
      <c r="AB102" s="27"/>
      <c r="AC102" s="27"/>
      <c r="AD102" s="27"/>
      <c r="AE102" s="27"/>
      <c r="AF102" s="27"/>
      <c r="AG102" s="27"/>
      <c r="AH102" s="17">
        <f>_xlfn.XLOOKUP(D102,'①7月-花名册'!E:E,'①7月-花名册'!T:T,0)</f>
        <v>0</v>
      </c>
      <c r="AI102" s="15">
        <f>SUMIFS('7月运营'!$L:$L,'7月运营'!$A:$A,D102,'7月运营'!$K:$K,$A$1)</f>
        <v>0</v>
      </c>
      <c r="AJ102" s="15">
        <f>SUMIFS('7月运营'!H:H,'7月运营'!$A:$A,D102,'7月运营'!$K:$K,$A$1)</f>
        <v>0</v>
      </c>
      <c r="AK102" s="15">
        <f>SUMIFS(上月未发人员明细!I:I,上月未发人员明细!J:J,$AK$2,上月未发人员明细!A:A,D102)</f>
        <v>0</v>
      </c>
      <c r="AL102" s="15">
        <f>SUMIFS('7月运营'!L:L,'7月运营'!$A:$A,D102,'7月运营'!$K:$K,$AL$2)</f>
        <v>0</v>
      </c>
      <c r="AM102" s="18">
        <f>SUMIFS('7月运营'!$F:$F,'7月运营'!$A:$A,D102,'7月运营'!$K:$K,'②7月-汇总'!$AM$2,'7月运营'!$G:$G,"岗位核算")</f>
        <v>0</v>
      </c>
      <c r="AN102" s="18">
        <f>SUMIFS('7月运营'!$F:$F,'7月运营'!$A:$A,D102,'7月运营'!$K:$K,$AN$2,'7月运营'!$G:$G,"岗位核算")</f>
        <v>0</v>
      </c>
      <c r="AO102" s="18" t="str">
        <f t="shared" si="19"/>
        <v/>
      </c>
      <c r="AP102" s="18">
        <f t="shared" si="11"/>
        <v>31</v>
      </c>
      <c r="AQ102" s="18">
        <f>_xlfn.XLOOKUP(D102,'7月运营'!A:A,'7月运营'!G:G,0)</f>
        <v>0</v>
      </c>
    </row>
    <row r="103" spans="1:43" x14ac:dyDescent="0.15">
      <c r="A103" s="11" t="str">
        <v>大丰</v>
      </c>
      <c r="B103" s="11" t="str">
        <v>店助</v>
      </c>
      <c r="C103" s="11" t="str">
        <v>A</v>
      </c>
      <c r="D103" s="11" t="str">
        <v>郑华跃</v>
      </c>
      <c r="E103" s="11" t="str">
        <v>在职</v>
      </c>
      <c r="F103" s="11" t="str">
        <v>事业部</v>
      </c>
      <c r="G103" s="11">
        <f>_xlfn.XLOOKUP(D103,'①7月-花名册'!E:E,'①7月-花名册'!U:U,0)</f>
        <v>0</v>
      </c>
      <c r="H103" s="11">
        <f>_xlfn.XLOOKUP(D103,'①7月-花名册'!E:E,'①7月-花名册'!M:M,0)</f>
        <v>31</v>
      </c>
      <c r="I103" s="11">
        <f>_xlfn.XLOOKUP(D103,'①7月-花名册'!E:E,'①7月-花名册'!S:S,0)</f>
        <v>4</v>
      </c>
      <c r="J103" s="14">
        <f t="shared" si="12"/>
        <v>5</v>
      </c>
      <c r="K103" s="23">
        <v>4</v>
      </c>
      <c r="L103" s="23"/>
      <c r="M103" s="32">
        <v>1</v>
      </c>
      <c r="N103" s="23"/>
      <c r="O103" s="23"/>
      <c r="P103" s="15">
        <f t="shared" si="13"/>
        <v>26</v>
      </c>
      <c r="Q103" s="15">
        <f t="shared" si="14"/>
        <v>31</v>
      </c>
      <c r="R103" s="15">
        <f>IF(F103="事业部",LOOKUP(Q103,基础设置!$T$2:$T$6,基础设置!$U$2:$U$6),IF(F103="总部",LOOKUP(Q103,基础设置!$T$8:$T$13,基础设置!$V$8:$V$13),IF(F103="拓展部",LOOKUP(Q103,基础设置!$T$8:$T$13,基础设置!$W$8:$W$13),2000)))</f>
        <v>4</v>
      </c>
      <c r="S103" s="15">
        <f t="shared" si="15"/>
        <v>31</v>
      </c>
      <c r="T103" s="15">
        <f t="shared" si="16"/>
        <v>0</v>
      </c>
      <c r="U103" s="15">
        <f t="shared" si="17"/>
        <v>0</v>
      </c>
      <c r="V103" s="15">
        <f t="shared" si="10"/>
        <v>0</v>
      </c>
      <c r="W103" s="15">
        <f t="shared" si="18"/>
        <v>0</v>
      </c>
      <c r="X103" s="26"/>
      <c r="Y103" s="26"/>
      <c r="Z103" s="26"/>
      <c r="AA103" s="26"/>
      <c r="AB103" s="27"/>
      <c r="AC103" s="27"/>
      <c r="AD103" s="27"/>
      <c r="AE103" s="27"/>
      <c r="AF103" s="27"/>
      <c r="AG103" s="27"/>
      <c r="AH103" s="17">
        <f>_xlfn.XLOOKUP(D103,'①7月-花名册'!E:E,'①7月-花名册'!T:T,0)</f>
        <v>0</v>
      </c>
      <c r="AI103" s="15">
        <f>SUMIFS('7月运营'!$L:$L,'7月运营'!$A:$A,D103,'7月运营'!$K:$K,$A$1)</f>
        <v>0</v>
      </c>
      <c r="AJ103" s="15">
        <f>SUMIFS('7月运营'!H:H,'7月运营'!$A:$A,D103,'7月运营'!$K:$K,$A$1)</f>
        <v>0</v>
      </c>
      <c r="AK103" s="15">
        <f>SUMIFS(上月未发人员明细!I:I,上月未发人员明细!J:J,$AK$2,上月未发人员明细!A:A,D103)</f>
        <v>0</v>
      </c>
      <c r="AL103" s="15">
        <f>SUMIFS('7月运营'!L:L,'7月运营'!$A:$A,D103,'7月运营'!$K:$K,$AL$2)</f>
        <v>0</v>
      </c>
      <c r="AM103" s="18">
        <f>SUMIFS('7月运营'!$F:$F,'7月运营'!$A:$A,D103,'7月运营'!$K:$K,'②7月-汇总'!$AM$2,'7月运营'!$G:$G,"岗位核算")</f>
        <v>0</v>
      </c>
      <c r="AN103" s="18">
        <f>SUMIFS('7月运营'!$F:$F,'7月运营'!$A:$A,D103,'7月运营'!$K:$K,$AN$2,'7月运营'!$G:$G,"岗位核算")</f>
        <v>0</v>
      </c>
      <c r="AO103" s="18" t="str">
        <f t="shared" si="19"/>
        <v/>
      </c>
      <c r="AP103" s="18">
        <f t="shared" si="11"/>
        <v>31</v>
      </c>
      <c r="AQ103" s="18">
        <f>_xlfn.XLOOKUP(D103,'7月运营'!A:A,'7月运营'!G:G,0)</f>
        <v>0</v>
      </c>
    </row>
    <row r="104" spans="1:43" x14ac:dyDescent="0.15">
      <c r="A104" s="11" t="str">
        <v>大丰</v>
      </c>
      <c r="B104" s="11" t="str">
        <v>店长</v>
      </c>
      <c r="C104" s="11" t="str">
        <v>B</v>
      </c>
      <c r="D104" s="11" t="str">
        <v>李茂</v>
      </c>
      <c r="E104" s="11" t="str">
        <v>在职</v>
      </c>
      <c r="F104" s="11" t="str">
        <v>事业部</v>
      </c>
      <c r="G104" s="11">
        <f>_xlfn.XLOOKUP(D104,'①7月-花名册'!E:E,'①7月-花名册'!U:U,0)</f>
        <v>0</v>
      </c>
      <c r="H104" s="11">
        <f>_xlfn.XLOOKUP(D104,'①7月-花名册'!E:E,'①7月-花名册'!M:M,0)</f>
        <v>31</v>
      </c>
      <c r="I104" s="11">
        <f>_xlfn.XLOOKUP(D104,'①7月-花名册'!E:E,'①7月-花名册'!S:S,0)</f>
        <v>4</v>
      </c>
      <c r="J104" s="14">
        <f t="shared" si="12"/>
        <v>3</v>
      </c>
      <c r="K104" s="23">
        <v>3</v>
      </c>
      <c r="L104" s="23"/>
      <c r="M104" s="23"/>
      <c r="N104" s="23"/>
      <c r="O104" s="23"/>
      <c r="P104" s="15">
        <f t="shared" si="13"/>
        <v>28</v>
      </c>
      <c r="Q104" s="15">
        <f t="shared" si="14"/>
        <v>31</v>
      </c>
      <c r="R104" s="15">
        <f>IF(F104="事业部",LOOKUP(Q104,基础设置!$T$2:$T$6,基础设置!$U$2:$U$6),IF(F104="总部",LOOKUP(Q104,基础设置!$T$8:$T$13,基础设置!$V$8:$V$13),IF(F104="拓展部",LOOKUP(Q104,基础设置!$T$8:$T$13,基础设置!$W$8:$W$13),2000)))</f>
        <v>4</v>
      </c>
      <c r="S104" s="15">
        <f t="shared" si="15"/>
        <v>31</v>
      </c>
      <c r="T104" s="15">
        <f t="shared" si="16"/>
        <v>0</v>
      </c>
      <c r="U104" s="15">
        <f t="shared" si="17"/>
        <v>0</v>
      </c>
      <c r="V104" s="15">
        <f t="shared" si="10"/>
        <v>0</v>
      </c>
      <c r="W104" s="15">
        <f t="shared" si="18"/>
        <v>0</v>
      </c>
      <c r="X104" s="26">
        <v>20</v>
      </c>
      <c r="Y104" s="26"/>
      <c r="Z104" s="26"/>
      <c r="AA104" s="26"/>
      <c r="AB104" s="27"/>
      <c r="AC104" s="27"/>
      <c r="AD104" s="27"/>
      <c r="AE104" s="27"/>
      <c r="AF104" s="27"/>
      <c r="AG104" s="27"/>
      <c r="AH104" s="17">
        <f>_xlfn.XLOOKUP(D104,'①7月-花名册'!E:E,'①7月-花名册'!T:T,0)</f>
        <v>0</v>
      </c>
      <c r="AI104" s="15">
        <f>SUMIFS('7月运营'!$L:$L,'7月运营'!$A:$A,D104,'7月运营'!$K:$K,$A$1)</f>
        <v>0</v>
      </c>
      <c r="AJ104" s="15">
        <f>SUMIFS('7月运营'!H:H,'7月运营'!$A:$A,D104,'7月运营'!$K:$K,$A$1)</f>
        <v>0</v>
      </c>
      <c r="AK104" s="15">
        <f>SUMIFS(上月未发人员明细!I:I,上月未发人员明细!J:J,$AK$2,上月未发人员明细!A:A,D104)</f>
        <v>0</v>
      </c>
      <c r="AL104" s="15">
        <f>SUMIFS('7月运营'!L:L,'7月运营'!$A:$A,D104,'7月运营'!$K:$K,$AL$2)</f>
        <v>0</v>
      </c>
      <c r="AM104" s="18">
        <f>SUMIFS('7月运营'!$F:$F,'7月运营'!$A:$A,D104,'7月运营'!$K:$K,'②7月-汇总'!$AM$2,'7月运营'!$G:$G,"岗位核算")</f>
        <v>0</v>
      </c>
      <c r="AN104" s="18">
        <f>SUMIFS('7月运营'!$F:$F,'7月运营'!$A:$A,D104,'7月运营'!$K:$K,$AN$2,'7月运营'!$G:$G,"岗位核算")</f>
        <v>0</v>
      </c>
      <c r="AO104" s="18" t="str">
        <f t="shared" si="19"/>
        <v/>
      </c>
      <c r="AP104" s="18">
        <f t="shared" si="11"/>
        <v>31</v>
      </c>
      <c r="AQ104" s="18">
        <f>_xlfn.XLOOKUP(D104,'7月运营'!A:A,'7月运营'!G:G,0)</f>
        <v>0</v>
      </c>
    </row>
    <row r="105" spans="1:43" x14ac:dyDescent="0.15">
      <c r="A105" s="11" t="str">
        <v>大丰</v>
      </c>
      <c r="B105" s="11" t="str">
        <v>健康师</v>
      </c>
      <c r="C105" s="11" t="str">
        <v>A</v>
      </c>
      <c r="D105" s="11" t="str">
        <v>孙红梅</v>
      </c>
      <c r="E105" s="11" t="str">
        <v>在职</v>
      </c>
      <c r="F105" s="11" t="str">
        <v>事业部</v>
      </c>
      <c r="G105" s="11">
        <f>_xlfn.XLOOKUP(D105,'①7月-花名册'!E:E,'①7月-花名册'!U:U,0)</f>
        <v>0</v>
      </c>
      <c r="H105" s="11">
        <f>_xlfn.XLOOKUP(D105,'①7月-花名册'!E:E,'①7月-花名册'!M:M,0)</f>
        <v>31</v>
      </c>
      <c r="I105" s="11">
        <f>_xlfn.XLOOKUP(D105,'①7月-花名册'!E:E,'①7月-花名册'!S:S,0)</f>
        <v>4</v>
      </c>
      <c r="J105" s="14">
        <f t="shared" si="12"/>
        <v>4</v>
      </c>
      <c r="K105" s="23">
        <v>4</v>
      </c>
      <c r="L105" s="23"/>
      <c r="M105" s="23"/>
      <c r="N105" s="23"/>
      <c r="O105" s="23"/>
      <c r="P105" s="15">
        <f t="shared" si="13"/>
        <v>27</v>
      </c>
      <c r="Q105" s="15">
        <f t="shared" si="14"/>
        <v>31</v>
      </c>
      <c r="R105" s="15">
        <f>IF(F105="事业部",LOOKUP(Q105,基础设置!$T$2:$T$6,基础设置!$U$2:$U$6),IF(F105="总部",LOOKUP(Q105,基础设置!$T$8:$T$13,基础设置!$V$8:$V$13),IF(F105="拓展部",LOOKUP(Q105,基础设置!$T$8:$T$13,基础设置!$W$8:$W$13),2000)))</f>
        <v>4</v>
      </c>
      <c r="S105" s="15">
        <f t="shared" si="15"/>
        <v>31</v>
      </c>
      <c r="T105" s="15">
        <f t="shared" si="16"/>
        <v>0</v>
      </c>
      <c r="U105" s="15">
        <f t="shared" si="17"/>
        <v>0</v>
      </c>
      <c r="V105" s="15">
        <f t="shared" si="10"/>
        <v>0</v>
      </c>
      <c r="W105" s="15">
        <f t="shared" si="18"/>
        <v>0</v>
      </c>
      <c r="X105" s="26"/>
      <c r="Y105" s="26"/>
      <c r="Z105" s="26">
        <v>50</v>
      </c>
      <c r="AA105" s="26"/>
      <c r="AB105" s="27"/>
      <c r="AC105" s="27"/>
      <c r="AD105" s="27"/>
      <c r="AE105" s="27"/>
      <c r="AF105" s="27"/>
      <c r="AG105" s="27"/>
      <c r="AH105" s="17">
        <f>_xlfn.XLOOKUP(D105,'①7月-花名册'!E:E,'①7月-花名册'!T:T,0)</f>
        <v>0</v>
      </c>
      <c r="AI105" s="15">
        <f>SUMIFS('7月运营'!$L:$L,'7月运营'!$A:$A,D105,'7月运营'!$K:$K,$A$1)</f>
        <v>0</v>
      </c>
      <c r="AJ105" s="15">
        <f>SUMIFS('7月运营'!H:H,'7月运营'!$A:$A,D105,'7月运营'!$K:$K,$A$1)</f>
        <v>0</v>
      </c>
      <c r="AK105" s="15">
        <f>SUMIFS(上月未发人员明细!I:I,上月未发人员明细!J:J,$AK$2,上月未发人员明细!A:A,D105)</f>
        <v>0</v>
      </c>
      <c r="AL105" s="15">
        <f>SUMIFS('7月运营'!L:L,'7月运营'!$A:$A,D105,'7月运营'!$K:$K,$AL$2)</f>
        <v>0</v>
      </c>
      <c r="AM105" s="18">
        <f>SUMIFS('7月运营'!$F:$F,'7月运营'!$A:$A,D105,'7月运营'!$K:$K,'②7月-汇总'!$AM$2,'7月运营'!$G:$G,"岗位核算")</f>
        <v>0</v>
      </c>
      <c r="AN105" s="18">
        <f>SUMIFS('7月运营'!$F:$F,'7月运营'!$A:$A,D105,'7月运营'!$K:$K,$AN$2,'7月运营'!$G:$G,"岗位核算")</f>
        <v>0</v>
      </c>
      <c r="AO105" s="18" t="str">
        <f t="shared" si="19"/>
        <v/>
      </c>
      <c r="AP105" s="18">
        <f t="shared" si="11"/>
        <v>31</v>
      </c>
      <c r="AQ105" s="18">
        <f>_xlfn.XLOOKUP(D105,'7月运营'!A:A,'7月运营'!G:G,0)</f>
        <v>0</v>
      </c>
    </row>
    <row r="106" spans="1:43" x14ac:dyDescent="0.15">
      <c r="A106" s="11" t="str">
        <v>大丰</v>
      </c>
      <c r="B106" s="11" t="str">
        <v>健康师</v>
      </c>
      <c r="C106" s="11" t="str">
        <v>A</v>
      </c>
      <c r="D106" s="11" t="str">
        <v>黎红花</v>
      </c>
      <c r="E106" s="11" t="str">
        <v>在职</v>
      </c>
      <c r="F106" s="11" t="str">
        <v>事业部</v>
      </c>
      <c r="G106" s="11">
        <f>_xlfn.XLOOKUP(D106,'①7月-花名册'!E:E,'①7月-花名册'!U:U,0)</f>
        <v>0</v>
      </c>
      <c r="H106" s="11">
        <f>_xlfn.XLOOKUP(D106,'①7月-花名册'!E:E,'①7月-花名册'!M:M,0)</f>
        <v>31</v>
      </c>
      <c r="I106" s="11">
        <f>_xlfn.XLOOKUP(D106,'①7月-花名册'!E:E,'①7月-花名册'!S:S,0)</f>
        <v>4</v>
      </c>
      <c r="J106" s="14">
        <f t="shared" si="12"/>
        <v>5</v>
      </c>
      <c r="K106" s="23">
        <v>4</v>
      </c>
      <c r="L106" s="23"/>
      <c r="M106" s="23">
        <v>1</v>
      </c>
      <c r="N106" s="23"/>
      <c r="O106" s="23"/>
      <c r="P106" s="15">
        <f t="shared" si="13"/>
        <v>26</v>
      </c>
      <c r="Q106" s="15">
        <f t="shared" si="14"/>
        <v>31</v>
      </c>
      <c r="R106" s="15">
        <f>IF(F106="事业部",LOOKUP(Q106,基础设置!$T$2:$T$6,基础设置!$U$2:$U$6),IF(F106="总部",LOOKUP(Q106,基础设置!$T$8:$T$13,基础设置!$V$8:$V$13),IF(F106="拓展部",LOOKUP(Q106,基础设置!$T$8:$T$13,基础设置!$W$8:$W$13),2000)))</f>
        <v>4</v>
      </c>
      <c r="S106" s="15">
        <f t="shared" si="15"/>
        <v>31</v>
      </c>
      <c r="T106" s="15">
        <f t="shared" si="16"/>
        <v>0</v>
      </c>
      <c r="U106" s="15">
        <f t="shared" si="17"/>
        <v>0</v>
      </c>
      <c r="V106" s="15">
        <f t="shared" si="10"/>
        <v>0</v>
      </c>
      <c r="W106" s="15">
        <f t="shared" si="18"/>
        <v>0</v>
      </c>
      <c r="X106" s="26"/>
      <c r="Y106" s="26"/>
      <c r="Z106" s="26"/>
      <c r="AA106" s="26"/>
      <c r="AB106" s="27"/>
      <c r="AC106" s="27"/>
      <c r="AD106" s="27"/>
      <c r="AE106" s="27"/>
      <c r="AF106" s="27"/>
      <c r="AG106" s="27"/>
      <c r="AH106" s="17">
        <f>_xlfn.XLOOKUP(D106,'①7月-花名册'!E:E,'①7月-花名册'!T:T,0)</f>
        <v>0</v>
      </c>
      <c r="AI106" s="15">
        <f>SUMIFS('7月运营'!$L:$L,'7月运营'!$A:$A,D106,'7月运营'!$K:$K,$A$1)</f>
        <v>0</v>
      </c>
      <c r="AJ106" s="15">
        <f>SUMIFS('7月运营'!H:H,'7月运营'!$A:$A,D106,'7月运营'!$K:$K,$A$1)</f>
        <v>0</v>
      </c>
      <c r="AK106" s="15">
        <f>SUMIFS(上月未发人员明细!I:I,上月未发人员明细!J:J,$AK$2,上月未发人员明细!A:A,D106)</f>
        <v>0</v>
      </c>
      <c r="AL106" s="15">
        <f>SUMIFS('7月运营'!L:L,'7月运营'!$A:$A,D106,'7月运营'!$K:$K,$AL$2)</f>
        <v>0</v>
      </c>
      <c r="AM106" s="18">
        <f>SUMIFS('7月运营'!$F:$F,'7月运营'!$A:$A,D106,'7月运营'!$K:$K,'②7月-汇总'!$AM$2,'7月运营'!$G:$G,"岗位核算")</f>
        <v>0</v>
      </c>
      <c r="AN106" s="18">
        <f>SUMIFS('7月运营'!$F:$F,'7月运营'!$A:$A,D106,'7月运营'!$K:$K,$AN$2,'7月运营'!$G:$G,"岗位核算")</f>
        <v>0</v>
      </c>
      <c r="AO106" s="18" t="str">
        <f t="shared" si="19"/>
        <v/>
      </c>
      <c r="AP106" s="18">
        <f t="shared" si="11"/>
        <v>31</v>
      </c>
      <c r="AQ106" s="18">
        <f>_xlfn.XLOOKUP(D106,'7月运营'!A:A,'7月运营'!G:G,0)</f>
        <v>0</v>
      </c>
    </row>
    <row r="107" spans="1:43" x14ac:dyDescent="0.15">
      <c r="A107" s="11" t="str">
        <v>大丰</v>
      </c>
      <c r="B107" s="11" t="str">
        <v>健康师</v>
      </c>
      <c r="C107" s="11" t="str">
        <v>A</v>
      </c>
      <c r="D107" s="11" t="str">
        <v>蒲艳婷</v>
      </c>
      <c r="E107" s="11" t="str">
        <v>在职</v>
      </c>
      <c r="F107" s="11" t="str">
        <v>事业部</v>
      </c>
      <c r="G107" s="11">
        <f>_xlfn.XLOOKUP(D107,'①7月-花名册'!E:E,'①7月-花名册'!U:U,0)</f>
        <v>0</v>
      </c>
      <c r="H107" s="11">
        <f>_xlfn.XLOOKUP(D107,'①7月-花名册'!E:E,'①7月-花名册'!M:M,0)</f>
        <v>31</v>
      </c>
      <c r="I107" s="11">
        <f>_xlfn.XLOOKUP(D107,'①7月-花名册'!E:E,'①7月-花名册'!S:S,0)</f>
        <v>4</v>
      </c>
      <c r="J107" s="14">
        <f t="shared" si="12"/>
        <v>5</v>
      </c>
      <c r="K107" s="23">
        <v>4</v>
      </c>
      <c r="L107" s="23"/>
      <c r="M107" s="23">
        <v>1</v>
      </c>
      <c r="N107" s="23"/>
      <c r="O107" s="23"/>
      <c r="P107" s="15">
        <f t="shared" si="13"/>
        <v>26</v>
      </c>
      <c r="Q107" s="15">
        <f t="shared" si="14"/>
        <v>31</v>
      </c>
      <c r="R107" s="15">
        <f>IF(F107="事业部",LOOKUP(Q107,基础设置!$T$2:$T$6,基础设置!$U$2:$U$6),IF(F107="总部",LOOKUP(Q107,基础设置!$T$8:$T$13,基础设置!$V$8:$V$13),IF(F107="拓展部",LOOKUP(Q107,基础设置!$T$8:$T$13,基础设置!$W$8:$W$13),2000)))</f>
        <v>4</v>
      </c>
      <c r="S107" s="15">
        <f t="shared" si="15"/>
        <v>31</v>
      </c>
      <c r="T107" s="15">
        <f t="shared" si="16"/>
        <v>0</v>
      </c>
      <c r="U107" s="15">
        <f t="shared" si="17"/>
        <v>0</v>
      </c>
      <c r="V107" s="15">
        <f t="shared" si="10"/>
        <v>0</v>
      </c>
      <c r="W107" s="15">
        <f t="shared" si="18"/>
        <v>0</v>
      </c>
      <c r="X107" s="26"/>
      <c r="Y107" s="26"/>
      <c r="Z107" s="26"/>
      <c r="AA107" s="26"/>
      <c r="AB107" s="27"/>
      <c r="AC107" s="27"/>
      <c r="AD107" s="27"/>
      <c r="AE107" s="27"/>
      <c r="AF107" s="27"/>
      <c r="AG107" s="27"/>
      <c r="AH107" s="17">
        <f>_xlfn.XLOOKUP(D107,'①7月-花名册'!E:E,'①7月-花名册'!T:T,0)</f>
        <v>0</v>
      </c>
      <c r="AI107" s="15">
        <f>SUMIFS('7月运营'!$L:$L,'7月运营'!$A:$A,D107,'7月运营'!$K:$K,$A$1)</f>
        <v>0</v>
      </c>
      <c r="AJ107" s="15">
        <f>SUMIFS('7月运营'!H:H,'7月运营'!$A:$A,D107,'7月运营'!$K:$K,$A$1)</f>
        <v>0</v>
      </c>
      <c r="AK107" s="15">
        <f>SUMIFS(上月未发人员明细!I:I,上月未发人员明细!J:J,$AK$2,上月未发人员明细!A:A,D107)</f>
        <v>0</v>
      </c>
      <c r="AL107" s="15">
        <f>SUMIFS('7月运营'!L:L,'7月运营'!$A:$A,D107,'7月运营'!$K:$K,$AL$2)</f>
        <v>0</v>
      </c>
      <c r="AM107" s="18">
        <f>SUMIFS('7月运营'!$F:$F,'7月运营'!$A:$A,D107,'7月运营'!$K:$K,'②7月-汇总'!$AM$2,'7月运营'!$G:$G,"岗位核算")</f>
        <v>0</v>
      </c>
      <c r="AN107" s="18">
        <f>SUMIFS('7月运营'!$F:$F,'7月运营'!$A:$A,D107,'7月运营'!$K:$K,$AN$2,'7月运营'!$G:$G,"岗位核算")</f>
        <v>0</v>
      </c>
      <c r="AO107" s="18" t="str">
        <f t="shared" si="19"/>
        <v/>
      </c>
      <c r="AP107" s="18">
        <f t="shared" si="11"/>
        <v>31</v>
      </c>
      <c r="AQ107" s="18">
        <f>_xlfn.XLOOKUP(D107,'7月运营'!A:A,'7月运营'!G:G,0)</f>
        <v>0</v>
      </c>
    </row>
    <row r="108" spans="1:43" x14ac:dyDescent="0.15">
      <c r="A108" s="11" t="str">
        <v>大丰</v>
      </c>
      <c r="B108" s="11" t="str">
        <v>健康师</v>
      </c>
      <c r="C108" s="11" t="str">
        <v>A</v>
      </c>
      <c r="D108" s="11" t="str">
        <v>刘帆</v>
      </c>
      <c r="E108" s="11" t="str">
        <v>在职</v>
      </c>
      <c r="F108" s="11" t="str">
        <v>事业部</v>
      </c>
      <c r="G108" s="11">
        <f>_xlfn.XLOOKUP(D108,'①7月-花名册'!E:E,'①7月-花名册'!U:U,0)</f>
        <v>0</v>
      </c>
      <c r="H108" s="11">
        <f>_xlfn.XLOOKUP(D108,'①7月-花名册'!E:E,'①7月-花名册'!M:M,0)</f>
        <v>31</v>
      </c>
      <c r="I108" s="11">
        <f>_xlfn.XLOOKUP(D108,'①7月-花名册'!E:E,'①7月-花名册'!S:S,0)</f>
        <v>4</v>
      </c>
      <c r="J108" s="14">
        <f t="shared" si="12"/>
        <v>5</v>
      </c>
      <c r="K108" s="23">
        <v>4</v>
      </c>
      <c r="L108" s="23"/>
      <c r="M108" s="23">
        <v>1</v>
      </c>
      <c r="N108" s="23"/>
      <c r="O108" s="23"/>
      <c r="P108" s="15">
        <f t="shared" si="13"/>
        <v>26</v>
      </c>
      <c r="Q108" s="15">
        <f t="shared" si="14"/>
        <v>31</v>
      </c>
      <c r="R108" s="15">
        <f>IF(F108="事业部",LOOKUP(Q108,基础设置!$T$2:$T$6,基础设置!$U$2:$U$6),IF(F108="总部",LOOKUP(Q108,基础设置!$T$8:$T$13,基础设置!$V$8:$V$13),IF(F108="拓展部",LOOKUP(Q108,基础设置!$T$8:$T$13,基础设置!$W$8:$W$13),2000)))</f>
        <v>4</v>
      </c>
      <c r="S108" s="15">
        <f t="shared" si="15"/>
        <v>31</v>
      </c>
      <c r="T108" s="15">
        <f t="shared" si="16"/>
        <v>0</v>
      </c>
      <c r="U108" s="15">
        <f t="shared" si="17"/>
        <v>0</v>
      </c>
      <c r="V108" s="15">
        <f t="shared" si="10"/>
        <v>0</v>
      </c>
      <c r="W108" s="15">
        <f t="shared" si="18"/>
        <v>0</v>
      </c>
      <c r="X108" s="26"/>
      <c r="Y108" s="26"/>
      <c r="Z108" s="26"/>
      <c r="AA108" s="26"/>
      <c r="AB108" s="27"/>
      <c r="AC108" s="27"/>
      <c r="AD108" s="27"/>
      <c r="AE108" s="27"/>
      <c r="AF108" s="27"/>
      <c r="AG108" s="27"/>
      <c r="AH108" s="17">
        <f>_xlfn.XLOOKUP(D108,'①7月-花名册'!E:E,'①7月-花名册'!T:T,0)</f>
        <v>0</v>
      </c>
      <c r="AI108" s="15">
        <f>SUMIFS('7月运营'!$L:$L,'7月运营'!$A:$A,D108,'7月运营'!$K:$K,$A$1)</f>
        <v>0</v>
      </c>
      <c r="AJ108" s="15">
        <f>SUMIFS('7月运营'!H:H,'7月运营'!$A:$A,D108,'7月运营'!$K:$K,$A$1)</f>
        <v>0</v>
      </c>
      <c r="AK108" s="15">
        <f>SUMIFS(上月未发人员明细!I:I,上月未发人员明细!J:J,$AK$2,上月未发人员明细!A:A,D108)</f>
        <v>0</v>
      </c>
      <c r="AL108" s="15">
        <f>SUMIFS('7月运营'!L:L,'7月运营'!$A:$A,D108,'7月运营'!$K:$K,$AL$2)</f>
        <v>0</v>
      </c>
      <c r="AM108" s="18">
        <f>SUMIFS('7月运营'!$F:$F,'7月运营'!$A:$A,D108,'7月运营'!$K:$K,'②7月-汇总'!$AM$2,'7月运营'!$G:$G,"岗位核算")</f>
        <v>0</v>
      </c>
      <c r="AN108" s="18">
        <f>SUMIFS('7月运营'!$F:$F,'7月运营'!$A:$A,D108,'7月运营'!$K:$K,$AN$2,'7月运营'!$G:$G,"岗位核算")</f>
        <v>0</v>
      </c>
      <c r="AO108" s="18" t="str">
        <f t="shared" si="19"/>
        <v/>
      </c>
      <c r="AP108" s="18">
        <f t="shared" si="11"/>
        <v>31</v>
      </c>
      <c r="AQ108" s="18">
        <f>_xlfn.XLOOKUP(D108,'7月运营'!A:A,'7月运营'!G:G,0)</f>
        <v>0</v>
      </c>
    </row>
    <row r="109" spans="1:43" x14ac:dyDescent="0.15">
      <c r="A109" s="11" t="str">
        <v>大丰</v>
      </c>
      <c r="B109" s="11" t="str">
        <v>健康师</v>
      </c>
      <c r="C109" s="11" t="str">
        <v>A</v>
      </c>
      <c r="D109" s="11" t="str">
        <v>杨艳</v>
      </c>
      <c r="E109" s="11" t="str">
        <v>离职</v>
      </c>
      <c r="F109" s="11" t="str">
        <v>事业部</v>
      </c>
      <c r="G109" s="11">
        <f>_xlfn.XLOOKUP(D109,'①7月-花名册'!E:E,'①7月-花名册'!U:U,0)</f>
        <v>0</v>
      </c>
      <c r="H109" s="11">
        <f>_xlfn.XLOOKUP(D109,'①7月-花名册'!E:E,'①7月-花名册'!M:M,0)</f>
        <v>31</v>
      </c>
      <c r="I109" s="11">
        <f>_xlfn.XLOOKUP(D109,'①7月-花名册'!E:E,'①7月-花名册'!S:S,0)</f>
        <v>4</v>
      </c>
      <c r="J109" s="14">
        <f t="shared" si="12"/>
        <v>4</v>
      </c>
      <c r="K109" s="23">
        <v>4</v>
      </c>
      <c r="L109" s="23"/>
      <c r="M109" s="23"/>
      <c r="N109" s="23"/>
      <c r="O109" s="23"/>
      <c r="P109" s="15">
        <f t="shared" si="13"/>
        <v>27</v>
      </c>
      <c r="Q109" s="15">
        <f t="shared" si="14"/>
        <v>31</v>
      </c>
      <c r="R109" s="15">
        <f>IF(F109="事业部",LOOKUP(Q109,基础设置!$T$2:$T$6,基础设置!$U$2:$U$6),IF(F109="总部",LOOKUP(Q109,基础设置!$T$8:$T$13,基础设置!$V$8:$V$13),IF(F109="拓展部",LOOKUP(Q109,基础设置!$T$8:$T$13,基础设置!$W$8:$W$13),2000)))</f>
        <v>4</v>
      </c>
      <c r="S109" s="15">
        <f t="shared" si="15"/>
        <v>31</v>
      </c>
      <c r="T109" s="15">
        <f t="shared" si="16"/>
        <v>0</v>
      </c>
      <c r="U109" s="15">
        <f t="shared" si="17"/>
        <v>0</v>
      </c>
      <c r="V109" s="15">
        <f t="shared" si="10"/>
        <v>0</v>
      </c>
      <c r="W109" s="15">
        <f t="shared" si="18"/>
        <v>0</v>
      </c>
      <c r="X109" s="26"/>
      <c r="Y109" s="26"/>
      <c r="Z109" s="26"/>
      <c r="AA109" s="26"/>
      <c r="AB109" s="27">
        <v>900</v>
      </c>
      <c r="AC109" s="27"/>
      <c r="AD109" s="27"/>
      <c r="AE109" s="27">
        <v>300</v>
      </c>
      <c r="AF109" s="27"/>
      <c r="AG109" s="27"/>
      <c r="AH109" s="17">
        <f>_xlfn.XLOOKUP(D109,'①7月-花名册'!E:E,'①7月-花名册'!T:T,0)</f>
        <v>0</v>
      </c>
      <c r="AI109" s="15">
        <f>SUMIFS('7月运营'!$L:$L,'7月运营'!$A:$A,D109,'7月运营'!$K:$K,$A$1)</f>
        <v>0</v>
      </c>
      <c r="AJ109" s="15">
        <f>SUMIFS('7月运营'!H:H,'7月运营'!$A:$A,D109,'7月运营'!$K:$K,$A$1)</f>
        <v>0</v>
      </c>
      <c r="AK109" s="15">
        <f>SUMIFS(上月未发人员明细!I:I,上月未发人员明细!J:J,$AK$2,上月未发人员明细!A:A,D109)</f>
        <v>0</v>
      </c>
      <c r="AL109" s="15">
        <f>SUMIFS('7月运营'!L:L,'7月运营'!$A:$A,D109,'7月运营'!$K:$K,$AL$2)</f>
        <v>0</v>
      </c>
      <c r="AM109" s="18">
        <f>SUMIFS('7月运营'!$F:$F,'7月运营'!$A:$A,D109,'7月运营'!$K:$K,'②7月-汇总'!$AM$2,'7月运营'!$G:$G,"岗位核算")</f>
        <v>0</v>
      </c>
      <c r="AN109" s="18">
        <f>SUMIFS('7月运营'!$F:$F,'7月运营'!$A:$A,D109,'7月运营'!$K:$K,$AN$2,'7月运营'!$G:$G,"岗位核算")</f>
        <v>0</v>
      </c>
      <c r="AO109" s="18" t="str">
        <f t="shared" si="19"/>
        <v/>
      </c>
      <c r="AP109" s="18">
        <f t="shared" si="11"/>
        <v>31</v>
      </c>
      <c r="AQ109" s="18">
        <f>_xlfn.XLOOKUP(D109,'7月运营'!A:A,'7月运营'!G:G,0)</f>
        <v>0</v>
      </c>
    </row>
    <row r="110" spans="1:43" x14ac:dyDescent="0.15">
      <c r="A110" s="11" t="str">
        <v>事业四部</v>
      </c>
      <c r="B110" s="11" t="str">
        <v>经理</v>
      </c>
      <c r="C110" s="11" t="str">
        <v>B</v>
      </c>
      <c r="D110" s="11" t="str">
        <v>肖静梅</v>
      </c>
      <c r="E110" s="11" t="str">
        <v>在职</v>
      </c>
      <c r="F110" s="11" t="str">
        <v>事业部</v>
      </c>
      <c r="G110" s="11">
        <f>_xlfn.XLOOKUP(D110,'①7月-花名册'!E:E,'①7月-花名册'!U:U,0)</f>
        <v>0</v>
      </c>
      <c r="H110" s="11">
        <f>_xlfn.XLOOKUP(D110,'①7月-花名册'!E:E,'①7月-花名册'!M:M,0)</f>
        <v>31</v>
      </c>
      <c r="I110" s="11">
        <f>_xlfn.XLOOKUP(D110,'①7月-花名册'!E:E,'①7月-花名册'!S:S,0)</f>
        <v>4</v>
      </c>
      <c r="J110" s="14">
        <f t="shared" si="12"/>
        <v>5</v>
      </c>
      <c r="K110" s="23">
        <v>4</v>
      </c>
      <c r="L110" s="23"/>
      <c r="M110" s="23">
        <v>1</v>
      </c>
      <c r="N110" s="23"/>
      <c r="O110" s="23"/>
      <c r="P110" s="15">
        <f t="shared" si="13"/>
        <v>26</v>
      </c>
      <c r="Q110" s="15">
        <f t="shared" si="14"/>
        <v>31</v>
      </c>
      <c r="R110" s="15">
        <f>IF(F110="事业部",LOOKUP(Q110,基础设置!$T$2:$T$6,基础设置!$U$2:$U$6),IF(F110="总部",LOOKUP(Q110,基础设置!$T$8:$T$13,基础设置!$V$8:$V$13),IF(F110="拓展部",LOOKUP(Q110,基础设置!$T$8:$T$13,基础设置!$W$8:$W$13),2000)))</f>
        <v>4</v>
      </c>
      <c r="S110" s="15">
        <f t="shared" si="15"/>
        <v>31</v>
      </c>
      <c r="T110" s="15">
        <f t="shared" si="16"/>
        <v>0</v>
      </c>
      <c r="U110" s="15">
        <f t="shared" si="17"/>
        <v>0</v>
      </c>
      <c r="V110" s="15">
        <f t="shared" si="10"/>
        <v>0</v>
      </c>
      <c r="W110" s="15">
        <f t="shared" si="18"/>
        <v>0</v>
      </c>
      <c r="X110" s="26">
        <v>180</v>
      </c>
      <c r="Y110" s="26">
        <v>10</v>
      </c>
      <c r="Z110" s="26"/>
      <c r="AA110" s="26"/>
      <c r="AB110" s="27"/>
      <c r="AC110" s="27"/>
      <c r="AD110" s="27"/>
      <c r="AE110" s="27"/>
      <c r="AF110" s="27"/>
      <c r="AG110" s="27"/>
      <c r="AH110" s="17">
        <f>_xlfn.XLOOKUP(D110,'①7月-花名册'!E:E,'①7月-花名册'!T:T,0)</f>
        <v>0</v>
      </c>
      <c r="AI110" s="15">
        <f>SUMIFS('7月运营'!$L:$L,'7月运营'!$A:$A,D110,'7月运营'!$K:$K,$A$1)</f>
        <v>0</v>
      </c>
      <c r="AJ110" s="15">
        <f>SUMIFS('7月运营'!H:H,'7月运营'!$A:$A,D110,'7月运营'!$K:$K,$A$1)</f>
        <v>0</v>
      </c>
      <c r="AK110" s="15">
        <f>SUMIFS(上月未发人员明细!I:I,上月未发人员明细!J:J,$AK$2,上月未发人员明细!A:A,D110)</f>
        <v>0</v>
      </c>
      <c r="AL110" s="15">
        <f>SUMIFS('7月运营'!L:L,'7月运营'!$A:$A,D110,'7月运营'!$K:$K,$AL$2)</f>
        <v>0</v>
      </c>
      <c r="AM110" s="18">
        <f>SUMIFS('7月运营'!$F:$F,'7月运营'!$A:$A,D110,'7月运营'!$K:$K,'②7月-汇总'!$AM$2,'7月运营'!$G:$G,"岗位核算")</f>
        <v>0</v>
      </c>
      <c r="AN110" s="18">
        <f>SUMIFS('7月运营'!$F:$F,'7月运营'!$A:$A,D110,'7月运营'!$K:$K,$AN$2,'7月运营'!$G:$G,"岗位核算")</f>
        <v>0</v>
      </c>
      <c r="AO110" s="18" t="str">
        <f t="shared" si="19"/>
        <v/>
      </c>
      <c r="AP110" s="18">
        <f t="shared" si="11"/>
        <v>31</v>
      </c>
      <c r="AQ110" s="18">
        <f>_xlfn.XLOOKUP(D110,'7月运营'!A:A,'7月运营'!G:G,0)</f>
        <v>0</v>
      </c>
    </row>
    <row r="111" spans="1:43" x14ac:dyDescent="0.15">
      <c r="A111" s="11" t="str">
        <v>双流</v>
      </c>
      <c r="B111" s="11" t="str">
        <v>店长</v>
      </c>
      <c r="C111" s="11" t="str">
        <v>B</v>
      </c>
      <c r="D111" s="11" t="str">
        <v>王晓琳</v>
      </c>
      <c r="E111" s="11" t="str">
        <v>在职</v>
      </c>
      <c r="F111" s="11" t="str">
        <v>事业部</v>
      </c>
      <c r="G111" s="11">
        <f>_xlfn.XLOOKUP(D111,'①7月-花名册'!E:E,'①7月-花名册'!U:U,0)</f>
        <v>0</v>
      </c>
      <c r="H111" s="11">
        <f>_xlfn.XLOOKUP(D111,'①7月-花名册'!E:E,'①7月-花名册'!M:M,0)</f>
        <v>31</v>
      </c>
      <c r="I111" s="11">
        <f>_xlfn.XLOOKUP(D111,'①7月-花名册'!E:E,'①7月-花名册'!S:S,0)</f>
        <v>4</v>
      </c>
      <c r="J111" s="14">
        <f t="shared" si="12"/>
        <v>4</v>
      </c>
      <c r="K111" s="23">
        <v>4</v>
      </c>
      <c r="L111" s="23"/>
      <c r="M111" s="23"/>
      <c r="N111" s="23"/>
      <c r="O111" s="23"/>
      <c r="P111" s="15">
        <f t="shared" si="13"/>
        <v>27</v>
      </c>
      <c r="Q111" s="15">
        <f t="shared" si="14"/>
        <v>31</v>
      </c>
      <c r="R111" s="15">
        <f>IF(F111="事业部",LOOKUP(Q111,基础设置!$T$2:$T$6,基础设置!$U$2:$U$6),IF(F111="总部",LOOKUP(Q111,基础设置!$T$8:$T$13,基础设置!$V$8:$V$13),IF(F111="拓展部",LOOKUP(Q111,基础设置!$T$8:$T$13,基础设置!$W$8:$W$13),2000)))</f>
        <v>4</v>
      </c>
      <c r="S111" s="15">
        <f t="shared" si="15"/>
        <v>31</v>
      </c>
      <c r="T111" s="15">
        <f t="shared" si="16"/>
        <v>0</v>
      </c>
      <c r="U111" s="15">
        <f t="shared" si="17"/>
        <v>0</v>
      </c>
      <c r="V111" s="15">
        <f t="shared" si="10"/>
        <v>0</v>
      </c>
      <c r="W111" s="15">
        <f t="shared" si="18"/>
        <v>0</v>
      </c>
      <c r="X111" s="26"/>
      <c r="Y111" s="26"/>
      <c r="Z111" s="26"/>
      <c r="AA111" s="26"/>
      <c r="AB111" s="27"/>
      <c r="AC111" s="27"/>
      <c r="AD111" s="27"/>
      <c r="AE111" s="27"/>
      <c r="AF111" s="27"/>
      <c r="AG111" s="27"/>
      <c r="AH111" s="17">
        <f>_xlfn.XLOOKUP(D111,'①7月-花名册'!E:E,'①7月-花名册'!T:T,0)</f>
        <v>0</v>
      </c>
      <c r="AI111" s="15">
        <f>SUMIFS('7月运营'!$L:$L,'7月运营'!$A:$A,D111,'7月运营'!$K:$K,$A$1)</f>
        <v>0</v>
      </c>
      <c r="AJ111" s="15">
        <f>SUMIFS('7月运营'!H:H,'7月运营'!$A:$A,D111,'7月运营'!$K:$K,$A$1)</f>
        <v>0</v>
      </c>
      <c r="AK111" s="15">
        <f>SUMIFS(上月未发人员明细!I:I,上月未发人员明细!J:J,$AK$2,上月未发人员明细!A:A,D111)</f>
        <v>0</v>
      </c>
      <c r="AL111" s="15">
        <f>SUMIFS('7月运营'!L:L,'7月运营'!$A:$A,D111,'7月运营'!$K:$K,$AL$2)</f>
        <v>0</v>
      </c>
      <c r="AM111" s="18">
        <f>SUMIFS('7月运营'!$F:$F,'7月运营'!$A:$A,D111,'7月运营'!$K:$K,'②7月-汇总'!$AM$2,'7月运营'!$G:$G,"岗位核算")</f>
        <v>0</v>
      </c>
      <c r="AN111" s="18">
        <f>SUMIFS('7月运营'!$F:$F,'7月运营'!$A:$A,D111,'7月运营'!$K:$K,$AN$2,'7月运营'!$G:$G,"岗位核算")</f>
        <v>0</v>
      </c>
      <c r="AO111" s="18" t="str">
        <f t="shared" si="19"/>
        <v/>
      </c>
      <c r="AP111" s="18">
        <f t="shared" si="11"/>
        <v>31</v>
      </c>
      <c r="AQ111" s="18">
        <f>_xlfn.XLOOKUP(D111,'7月运营'!A:A,'7月运营'!G:G,0)</f>
        <v>0</v>
      </c>
    </row>
    <row r="112" spans="1:43" x14ac:dyDescent="0.15">
      <c r="A112" s="11" t="str">
        <v>双流</v>
      </c>
      <c r="B112" s="11" t="str">
        <v>健康师</v>
      </c>
      <c r="C112" s="11" t="str">
        <v>A</v>
      </c>
      <c r="D112" s="11" t="str">
        <v>彭措志玛</v>
      </c>
      <c r="E112" s="11" t="str">
        <v>在职</v>
      </c>
      <c r="F112" s="11" t="str">
        <v>事业部</v>
      </c>
      <c r="G112" s="11">
        <f>_xlfn.XLOOKUP(D112,'①7月-花名册'!E:E,'①7月-花名册'!U:U,0)</f>
        <v>0</v>
      </c>
      <c r="H112" s="11">
        <f>_xlfn.XLOOKUP(D112,'①7月-花名册'!E:E,'①7月-花名册'!M:M,0)</f>
        <v>31</v>
      </c>
      <c r="I112" s="11">
        <f>_xlfn.XLOOKUP(D112,'①7月-花名册'!E:E,'①7月-花名册'!S:S,0)</f>
        <v>4</v>
      </c>
      <c r="J112" s="14">
        <f t="shared" si="12"/>
        <v>4</v>
      </c>
      <c r="K112" s="23">
        <v>4</v>
      </c>
      <c r="L112" s="23"/>
      <c r="M112" s="23"/>
      <c r="N112" s="23"/>
      <c r="O112" s="23"/>
      <c r="P112" s="15">
        <f t="shared" si="13"/>
        <v>27</v>
      </c>
      <c r="Q112" s="15">
        <f t="shared" si="14"/>
        <v>31</v>
      </c>
      <c r="R112" s="15">
        <f>IF(F112="事业部",LOOKUP(Q112,基础设置!$T$2:$T$6,基础设置!$U$2:$U$6),IF(F112="总部",LOOKUP(Q112,基础设置!$T$8:$T$13,基础设置!$V$8:$V$13),IF(F112="拓展部",LOOKUP(Q112,基础设置!$T$8:$T$13,基础设置!$W$8:$W$13),2000)))</f>
        <v>4</v>
      </c>
      <c r="S112" s="15">
        <f t="shared" si="15"/>
        <v>31</v>
      </c>
      <c r="T112" s="15">
        <f t="shared" si="16"/>
        <v>0</v>
      </c>
      <c r="U112" s="15">
        <f t="shared" si="17"/>
        <v>0</v>
      </c>
      <c r="V112" s="15">
        <f t="shared" si="10"/>
        <v>0</v>
      </c>
      <c r="W112" s="15">
        <f t="shared" si="18"/>
        <v>0</v>
      </c>
      <c r="X112" s="26"/>
      <c r="Y112" s="26"/>
      <c r="Z112" s="26"/>
      <c r="AA112" s="26"/>
      <c r="AB112" s="27"/>
      <c r="AC112" s="27">
        <v>100</v>
      </c>
      <c r="AD112" s="27"/>
      <c r="AE112" s="27"/>
      <c r="AF112" s="27"/>
      <c r="AG112" s="27"/>
      <c r="AH112" s="17">
        <f>_xlfn.XLOOKUP(D112,'①7月-花名册'!E:E,'①7月-花名册'!T:T,0)</f>
        <v>0</v>
      </c>
      <c r="AI112" s="15">
        <f>SUMIFS('7月运营'!$L:$L,'7月运营'!$A:$A,D112,'7月运营'!$K:$K,$A$1)</f>
        <v>0</v>
      </c>
      <c r="AJ112" s="15">
        <f>SUMIFS('7月运营'!H:H,'7月运营'!$A:$A,D112,'7月运营'!$K:$K,$A$1)</f>
        <v>0</v>
      </c>
      <c r="AK112" s="15">
        <f>SUMIFS(上月未发人员明细!I:I,上月未发人员明细!J:J,$AK$2,上月未发人员明细!A:A,D112)</f>
        <v>0</v>
      </c>
      <c r="AL112" s="15">
        <f>SUMIFS('7月运营'!L:L,'7月运营'!$A:$A,D112,'7月运营'!$K:$K,$AL$2)</f>
        <v>0</v>
      </c>
      <c r="AM112" s="18">
        <f>SUMIFS('7月运营'!$F:$F,'7月运营'!$A:$A,D112,'7月运营'!$K:$K,'②7月-汇总'!$AM$2,'7月运营'!$G:$G,"岗位核算")</f>
        <v>0</v>
      </c>
      <c r="AN112" s="18">
        <f>SUMIFS('7月运营'!$F:$F,'7月运营'!$A:$A,D112,'7月运营'!$K:$K,$AN$2,'7月运营'!$G:$G,"岗位核算")</f>
        <v>0</v>
      </c>
      <c r="AO112" s="18" t="str">
        <f t="shared" si="19"/>
        <v/>
      </c>
      <c r="AP112" s="18">
        <f t="shared" si="11"/>
        <v>31</v>
      </c>
      <c r="AQ112" s="18">
        <f>_xlfn.XLOOKUP(D112,'7月运营'!A:A,'7月运营'!G:G,0)</f>
        <v>0</v>
      </c>
    </row>
    <row r="113" spans="1:43" x14ac:dyDescent="0.15">
      <c r="A113" s="11" t="str">
        <v>双流</v>
      </c>
      <c r="B113" s="11" t="str">
        <v>健康师</v>
      </c>
      <c r="C113" s="11" t="str">
        <v>A</v>
      </c>
      <c r="D113" s="11" t="str">
        <v>郝中南</v>
      </c>
      <c r="E113" s="11" t="str">
        <v>在职</v>
      </c>
      <c r="F113" s="11" t="str">
        <v>事业部</v>
      </c>
      <c r="G113" s="11">
        <f>_xlfn.XLOOKUP(D113,'①7月-花名册'!E:E,'①7月-花名册'!U:U,0)</f>
        <v>0</v>
      </c>
      <c r="H113" s="11">
        <f>_xlfn.XLOOKUP(D113,'①7月-花名册'!E:E,'①7月-花名册'!M:M,0)</f>
        <v>31</v>
      </c>
      <c r="I113" s="11">
        <f>_xlfn.XLOOKUP(D113,'①7月-花名册'!E:E,'①7月-花名册'!S:S,0)</f>
        <v>4</v>
      </c>
      <c r="J113" s="14">
        <f t="shared" si="12"/>
        <v>4</v>
      </c>
      <c r="K113" s="23">
        <v>4</v>
      </c>
      <c r="L113" s="23"/>
      <c r="M113" s="23"/>
      <c r="N113" s="23"/>
      <c r="O113" s="23"/>
      <c r="P113" s="15">
        <f t="shared" si="13"/>
        <v>27</v>
      </c>
      <c r="Q113" s="15">
        <f t="shared" si="14"/>
        <v>31</v>
      </c>
      <c r="R113" s="15">
        <f>IF(F113="事业部",LOOKUP(Q113,基础设置!$T$2:$T$6,基础设置!$U$2:$U$6),IF(F113="总部",LOOKUP(Q113,基础设置!$T$8:$T$13,基础设置!$V$8:$V$13),IF(F113="拓展部",LOOKUP(Q113,基础设置!$T$8:$T$13,基础设置!$W$8:$W$13),2000)))</f>
        <v>4</v>
      </c>
      <c r="S113" s="15">
        <f t="shared" si="15"/>
        <v>31</v>
      </c>
      <c r="T113" s="15">
        <f t="shared" si="16"/>
        <v>0</v>
      </c>
      <c r="U113" s="15">
        <f t="shared" si="17"/>
        <v>0</v>
      </c>
      <c r="V113" s="15">
        <f t="shared" si="10"/>
        <v>0</v>
      </c>
      <c r="W113" s="15">
        <f t="shared" si="18"/>
        <v>0</v>
      </c>
      <c r="X113" s="26">
        <v>20</v>
      </c>
      <c r="Y113" s="26"/>
      <c r="Z113" s="26"/>
      <c r="AA113" s="26"/>
      <c r="AB113" s="27"/>
      <c r="AC113" s="27">
        <v>100</v>
      </c>
      <c r="AD113" s="27"/>
      <c r="AE113" s="27">
        <v>300</v>
      </c>
      <c r="AF113" s="27"/>
      <c r="AG113" s="27"/>
      <c r="AH113" s="17">
        <f>_xlfn.XLOOKUP(D113,'①7月-花名册'!E:E,'①7月-花名册'!T:T,0)</f>
        <v>0</v>
      </c>
      <c r="AI113" s="15">
        <f>SUMIFS('7月运营'!$L:$L,'7月运营'!$A:$A,D113,'7月运营'!$K:$K,$A$1)</f>
        <v>0</v>
      </c>
      <c r="AJ113" s="15">
        <f>SUMIFS('7月运营'!H:H,'7月运营'!$A:$A,D113,'7月运营'!$K:$K,$A$1)</f>
        <v>0</v>
      </c>
      <c r="AK113" s="15">
        <f>SUMIFS(上月未发人员明细!I:I,上月未发人员明细!J:J,$AK$2,上月未发人员明细!A:A,D113)</f>
        <v>0</v>
      </c>
      <c r="AL113" s="15">
        <f>SUMIFS('7月运营'!L:L,'7月运营'!$A:$A,D113,'7月运营'!$K:$K,$AL$2)</f>
        <v>0</v>
      </c>
      <c r="AM113" s="18">
        <f>SUMIFS('7月运营'!$F:$F,'7月运营'!$A:$A,D113,'7月运营'!$K:$K,'②7月-汇总'!$AM$2,'7月运营'!$G:$G,"岗位核算")</f>
        <v>0</v>
      </c>
      <c r="AN113" s="18">
        <f>SUMIFS('7月运营'!$F:$F,'7月运营'!$A:$A,D113,'7月运营'!$K:$K,$AN$2,'7月运营'!$G:$G,"岗位核算")</f>
        <v>0</v>
      </c>
      <c r="AO113" s="18" t="str">
        <f t="shared" si="19"/>
        <v/>
      </c>
      <c r="AP113" s="18">
        <f t="shared" si="11"/>
        <v>31</v>
      </c>
      <c r="AQ113" s="18">
        <f>_xlfn.XLOOKUP(D113,'7月运营'!A:A,'7月运营'!G:G,0)</f>
        <v>0</v>
      </c>
    </row>
    <row r="114" spans="1:43" x14ac:dyDescent="0.15">
      <c r="A114" s="11" t="str">
        <v>双流</v>
      </c>
      <c r="B114" s="11" t="str">
        <v>健康师</v>
      </c>
      <c r="C114" s="11" t="str">
        <v>A</v>
      </c>
      <c r="D114" s="11" t="str">
        <v>冉芳霞</v>
      </c>
      <c r="E114" s="11" t="str">
        <v>在职</v>
      </c>
      <c r="F114" s="11" t="str">
        <v>事业部</v>
      </c>
      <c r="G114" s="11">
        <f>_xlfn.XLOOKUP(D114,'①7月-花名册'!E:E,'①7月-花名册'!U:U,0)</f>
        <v>0</v>
      </c>
      <c r="H114" s="11">
        <f>_xlfn.XLOOKUP(D114,'①7月-花名册'!E:E,'①7月-花名册'!M:M,0)</f>
        <v>31</v>
      </c>
      <c r="I114" s="11">
        <f>_xlfn.XLOOKUP(D114,'①7月-花名册'!E:E,'①7月-花名册'!S:S,0)</f>
        <v>4</v>
      </c>
      <c r="J114" s="14">
        <f t="shared" si="12"/>
        <v>4</v>
      </c>
      <c r="K114" s="23">
        <v>4</v>
      </c>
      <c r="L114" s="23"/>
      <c r="M114" s="23"/>
      <c r="N114" s="23"/>
      <c r="O114" s="23"/>
      <c r="P114" s="15">
        <f t="shared" si="13"/>
        <v>27</v>
      </c>
      <c r="Q114" s="15">
        <f t="shared" si="14"/>
        <v>31</v>
      </c>
      <c r="R114" s="15">
        <f>IF(F114="事业部",LOOKUP(Q114,基础设置!$T$2:$T$6,基础设置!$U$2:$U$6),IF(F114="总部",LOOKUP(Q114,基础设置!$T$8:$T$13,基础设置!$V$8:$V$13),IF(F114="拓展部",LOOKUP(Q114,基础设置!$T$8:$T$13,基础设置!$W$8:$W$13),2000)))</f>
        <v>4</v>
      </c>
      <c r="S114" s="15">
        <f t="shared" si="15"/>
        <v>31</v>
      </c>
      <c r="T114" s="15">
        <f t="shared" si="16"/>
        <v>0</v>
      </c>
      <c r="U114" s="15">
        <f t="shared" si="17"/>
        <v>0</v>
      </c>
      <c r="V114" s="15">
        <f t="shared" si="10"/>
        <v>0</v>
      </c>
      <c r="W114" s="15">
        <f t="shared" si="18"/>
        <v>0</v>
      </c>
      <c r="X114" s="26"/>
      <c r="Y114" s="26"/>
      <c r="Z114" s="26">
        <v>50</v>
      </c>
      <c r="AA114" s="26"/>
      <c r="AB114" s="27"/>
      <c r="AC114" s="27"/>
      <c r="AD114" s="27"/>
      <c r="AE114" s="27"/>
      <c r="AF114" s="27"/>
      <c r="AG114" s="27"/>
      <c r="AH114" s="17">
        <f>_xlfn.XLOOKUP(D114,'①7月-花名册'!E:E,'①7月-花名册'!T:T,0)</f>
        <v>0</v>
      </c>
      <c r="AI114" s="15">
        <f>SUMIFS('7月运营'!$L:$L,'7月运营'!$A:$A,D114,'7月运营'!$K:$K,$A$1)</f>
        <v>0</v>
      </c>
      <c r="AJ114" s="15">
        <f>SUMIFS('7月运营'!H:H,'7月运营'!$A:$A,D114,'7月运营'!$K:$K,$A$1)</f>
        <v>0</v>
      </c>
      <c r="AK114" s="15">
        <f>SUMIFS(上月未发人员明细!I:I,上月未发人员明细!J:J,$AK$2,上月未发人员明细!A:A,D114)</f>
        <v>0</v>
      </c>
      <c r="AL114" s="15">
        <f>SUMIFS('7月运营'!L:L,'7月运营'!$A:$A,D114,'7月运营'!$K:$K,$AL$2)</f>
        <v>0</v>
      </c>
      <c r="AM114" s="18">
        <f>SUMIFS('7月运营'!$F:$F,'7月运营'!$A:$A,D114,'7月运营'!$K:$K,'②7月-汇总'!$AM$2,'7月运营'!$G:$G,"岗位核算")</f>
        <v>0</v>
      </c>
      <c r="AN114" s="18">
        <f>SUMIFS('7月运营'!$F:$F,'7月运营'!$A:$A,D114,'7月运营'!$K:$K,$AN$2,'7月运营'!$G:$G,"岗位核算")</f>
        <v>0</v>
      </c>
      <c r="AO114" s="18" t="str">
        <f t="shared" si="19"/>
        <v/>
      </c>
      <c r="AP114" s="18">
        <f t="shared" si="11"/>
        <v>31</v>
      </c>
      <c r="AQ114" s="18">
        <f>_xlfn.XLOOKUP(D114,'7月运营'!A:A,'7月运营'!G:G,0)</f>
        <v>0</v>
      </c>
    </row>
    <row r="115" spans="1:43" x14ac:dyDescent="0.15">
      <c r="A115" s="11" t="str">
        <v>双流</v>
      </c>
      <c r="B115" s="11" t="str">
        <v>健康师</v>
      </c>
      <c r="C115" s="11" t="str">
        <v>A</v>
      </c>
      <c r="D115" s="11" t="str">
        <v>谭萍</v>
      </c>
      <c r="E115" s="11" t="str">
        <v>在职</v>
      </c>
      <c r="F115" s="11" t="str">
        <v>事业部</v>
      </c>
      <c r="G115" s="11">
        <f>_xlfn.XLOOKUP(D115,'①7月-花名册'!E:E,'①7月-花名册'!U:U,0)</f>
        <v>0</v>
      </c>
      <c r="H115" s="11">
        <f>_xlfn.XLOOKUP(D115,'①7月-花名册'!E:E,'①7月-花名册'!M:M,0)</f>
        <v>31</v>
      </c>
      <c r="I115" s="11">
        <f>_xlfn.XLOOKUP(D115,'①7月-花名册'!E:E,'①7月-花名册'!S:S,0)</f>
        <v>4</v>
      </c>
      <c r="J115" s="14">
        <f t="shared" si="12"/>
        <v>4</v>
      </c>
      <c r="K115" s="23">
        <v>4</v>
      </c>
      <c r="L115" s="23"/>
      <c r="M115" s="23"/>
      <c r="N115" s="23"/>
      <c r="O115" s="23"/>
      <c r="P115" s="15">
        <f t="shared" si="13"/>
        <v>27</v>
      </c>
      <c r="Q115" s="15">
        <f t="shared" si="14"/>
        <v>31</v>
      </c>
      <c r="R115" s="15">
        <f>IF(F115="事业部",LOOKUP(Q115,基础设置!$T$2:$T$6,基础设置!$U$2:$U$6),IF(F115="总部",LOOKUP(Q115,基础设置!$T$8:$T$13,基础设置!$V$8:$V$13),IF(F115="拓展部",LOOKUP(Q115,基础设置!$T$8:$T$13,基础设置!$W$8:$W$13),2000)))</f>
        <v>4</v>
      </c>
      <c r="S115" s="15">
        <f t="shared" si="15"/>
        <v>31</v>
      </c>
      <c r="T115" s="15">
        <f t="shared" si="16"/>
        <v>0</v>
      </c>
      <c r="U115" s="15">
        <f t="shared" si="17"/>
        <v>0</v>
      </c>
      <c r="V115" s="15">
        <f t="shared" si="10"/>
        <v>0</v>
      </c>
      <c r="W115" s="15">
        <f t="shared" si="18"/>
        <v>0</v>
      </c>
      <c r="X115" s="26">
        <v>20</v>
      </c>
      <c r="Y115" s="26"/>
      <c r="Z115" s="26"/>
      <c r="AA115" s="26"/>
      <c r="AB115" s="27"/>
      <c r="AC115" s="27">
        <v>100</v>
      </c>
      <c r="AD115" s="27"/>
      <c r="AE115" s="27"/>
      <c r="AF115" s="27"/>
      <c r="AG115" s="27"/>
      <c r="AH115" s="17">
        <f>_xlfn.XLOOKUP(D115,'①7月-花名册'!E:E,'①7月-花名册'!T:T,0)</f>
        <v>0</v>
      </c>
      <c r="AI115" s="15">
        <f>SUMIFS('7月运营'!$L:$L,'7月运营'!$A:$A,D115,'7月运营'!$K:$K,$A$1)</f>
        <v>0</v>
      </c>
      <c r="AJ115" s="15">
        <f>SUMIFS('7月运营'!H:H,'7月运营'!$A:$A,D115,'7月运营'!$K:$K,$A$1)</f>
        <v>0</v>
      </c>
      <c r="AK115" s="15">
        <f>SUMIFS(上月未发人员明细!I:I,上月未发人员明细!J:J,$AK$2,上月未发人员明细!A:A,D115)</f>
        <v>0</v>
      </c>
      <c r="AL115" s="15">
        <f>SUMIFS('7月运营'!L:L,'7月运营'!$A:$A,D115,'7月运营'!$K:$K,$AL$2)</f>
        <v>0</v>
      </c>
      <c r="AM115" s="18">
        <f>SUMIFS('7月运营'!$F:$F,'7月运营'!$A:$A,D115,'7月运营'!$K:$K,'②7月-汇总'!$AM$2,'7月运营'!$G:$G,"岗位核算")</f>
        <v>0</v>
      </c>
      <c r="AN115" s="18">
        <f>SUMIFS('7月运营'!$F:$F,'7月运营'!$A:$A,D115,'7月运营'!$K:$K,$AN$2,'7月运营'!$G:$G,"岗位核算")</f>
        <v>0</v>
      </c>
      <c r="AO115" s="18" t="str">
        <f t="shared" si="19"/>
        <v/>
      </c>
      <c r="AP115" s="18">
        <f t="shared" si="11"/>
        <v>31</v>
      </c>
      <c r="AQ115" s="18">
        <f>_xlfn.XLOOKUP(D115,'7月运营'!A:A,'7月运营'!G:G,0)</f>
        <v>0</v>
      </c>
    </row>
    <row r="116" spans="1:43" x14ac:dyDescent="0.15">
      <c r="A116" s="11" t="str">
        <v>双流</v>
      </c>
      <c r="B116" s="11" t="str">
        <v>店助</v>
      </c>
      <c r="C116" s="11" t="str">
        <v>A</v>
      </c>
      <c r="D116" s="11" t="str">
        <v>陈琳</v>
      </c>
      <c r="E116" s="11" t="str">
        <v>离职</v>
      </c>
      <c r="F116" s="11" t="str">
        <v>事业部</v>
      </c>
      <c r="G116" s="11">
        <f>_xlfn.XLOOKUP(D116,'①7月-花名册'!E:E,'①7月-花名册'!U:U,0)</f>
        <v>0</v>
      </c>
      <c r="H116" s="11">
        <f>_xlfn.XLOOKUP(D116,'①7月-花名册'!E:E,'①7月-花名册'!M:M,0)</f>
        <v>15</v>
      </c>
      <c r="I116" s="11">
        <f>_xlfn.XLOOKUP(D116,'①7月-花名册'!E:E,'①7月-花名册'!S:S,0)</f>
        <v>2</v>
      </c>
      <c r="J116" s="14">
        <f t="shared" si="12"/>
        <v>2</v>
      </c>
      <c r="K116" s="23">
        <v>2</v>
      </c>
      <c r="L116" s="23"/>
      <c r="M116" s="23"/>
      <c r="N116" s="23"/>
      <c r="O116" s="23"/>
      <c r="P116" s="15">
        <f t="shared" si="13"/>
        <v>13</v>
      </c>
      <c r="Q116" s="15">
        <f t="shared" si="14"/>
        <v>15</v>
      </c>
      <c r="R116" s="15">
        <f>IF(F116="事业部",LOOKUP(Q116,基础设置!$T$2:$T$6,基础设置!$U$2:$U$6),IF(F116="总部",LOOKUP(Q116,基础设置!$T$8:$T$13,基础设置!$V$8:$V$13),IF(F116="拓展部",LOOKUP(Q116,基础设置!$T$8:$T$13,基础设置!$W$8:$W$13),2000)))</f>
        <v>2</v>
      </c>
      <c r="S116" s="15">
        <f t="shared" si="15"/>
        <v>15</v>
      </c>
      <c r="T116" s="15">
        <f t="shared" si="16"/>
        <v>0</v>
      </c>
      <c r="U116" s="15">
        <f t="shared" si="17"/>
        <v>0</v>
      </c>
      <c r="V116" s="15">
        <f t="shared" si="10"/>
        <v>0</v>
      </c>
      <c r="W116" s="15">
        <f t="shared" si="18"/>
        <v>0</v>
      </c>
      <c r="X116" s="26">
        <v>10</v>
      </c>
      <c r="Y116" s="26"/>
      <c r="Z116" s="26"/>
      <c r="AA116" s="26"/>
      <c r="AB116" s="27"/>
      <c r="AC116" s="27"/>
      <c r="AD116" s="27"/>
      <c r="AE116" s="27"/>
      <c r="AF116" s="27"/>
      <c r="AG116" s="27"/>
      <c r="AH116" s="17">
        <f>_xlfn.XLOOKUP(D116,'①7月-花名册'!E:E,'①7月-花名册'!T:T,0)</f>
        <v>0</v>
      </c>
      <c r="AI116" s="15">
        <f>SUMIFS('7月运营'!$L:$L,'7月运营'!$A:$A,D116,'7月运营'!$K:$K,$A$1)</f>
        <v>0</v>
      </c>
      <c r="AJ116" s="15">
        <f>SUMIFS('7月运营'!H:H,'7月运营'!$A:$A,D116,'7月运营'!$K:$K,$A$1)</f>
        <v>0</v>
      </c>
      <c r="AK116" s="15">
        <f>SUMIFS(上月未发人员明细!I:I,上月未发人员明细!J:J,$AK$2,上月未发人员明细!A:A,D116)</f>
        <v>0</v>
      </c>
      <c r="AL116" s="15">
        <f>SUMIFS('7月运营'!L:L,'7月运营'!$A:$A,D116,'7月运营'!$K:$K,$AL$2)</f>
        <v>0</v>
      </c>
      <c r="AM116" s="18">
        <f>SUMIFS('7月运营'!$F:$F,'7月运营'!$A:$A,D116,'7月运营'!$K:$K,'②7月-汇总'!$AM$2,'7月运营'!$G:$G,"岗位核算")</f>
        <v>0</v>
      </c>
      <c r="AN116" s="18">
        <f>SUMIFS('7月运营'!$F:$F,'7月运营'!$A:$A,D116,'7月运营'!$K:$K,$AN$2,'7月运营'!$G:$G,"岗位核算")</f>
        <v>0</v>
      </c>
      <c r="AO116" s="18" t="str">
        <f t="shared" si="19"/>
        <v/>
      </c>
      <c r="AP116" s="18">
        <f t="shared" si="11"/>
        <v>15</v>
      </c>
      <c r="AQ116" s="18">
        <f>_xlfn.XLOOKUP(D116,'7月运营'!A:A,'7月运营'!G:G,0)</f>
        <v>0</v>
      </c>
    </row>
    <row r="117" spans="1:43" x14ac:dyDescent="0.15">
      <c r="A117" s="11" t="str">
        <v>双流</v>
      </c>
      <c r="B117" s="11" t="str">
        <v>健康师</v>
      </c>
      <c r="C117" s="11" t="str">
        <v>A</v>
      </c>
      <c r="D117" s="11" t="str">
        <v>罗湘湘</v>
      </c>
      <c r="E117" s="11" t="str">
        <v>在职</v>
      </c>
      <c r="F117" s="11" t="str">
        <v>事业部</v>
      </c>
      <c r="G117" s="11">
        <f>_xlfn.XLOOKUP(D117,'①7月-花名册'!E:E,'①7月-花名册'!U:U,0)</f>
        <v>0</v>
      </c>
      <c r="H117" s="11">
        <f>_xlfn.XLOOKUP(D117,'①7月-花名册'!E:E,'①7月-花名册'!M:M,0)</f>
        <v>31</v>
      </c>
      <c r="I117" s="11">
        <f>_xlfn.XLOOKUP(D117,'①7月-花名册'!E:E,'①7月-花名册'!S:S,0)</f>
        <v>4</v>
      </c>
      <c r="J117" s="14">
        <f t="shared" si="12"/>
        <v>4</v>
      </c>
      <c r="K117" s="23">
        <v>4</v>
      </c>
      <c r="L117" s="23"/>
      <c r="M117" s="23"/>
      <c r="N117" s="23"/>
      <c r="O117" s="23"/>
      <c r="P117" s="15">
        <f t="shared" si="13"/>
        <v>27</v>
      </c>
      <c r="Q117" s="15">
        <f t="shared" si="14"/>
        <v>31</v>
      </c>
      <c r="R117" s="15">
        <f>IF(F117="事业部",LOOKUP(Q117,基础设置!$T$2:$T$6,基础设置!$U$2:$U$6),IF(F117="总部",LOOKUP(Q117,基础设置!$T$8:$T$13,基础设置!$V$8:$V$13),IF(F117="拓展部",LOOKUP(Q117,基础设置!$T$8:$T$13,基础设置!$W$8:$W$13),2000)))</f>
        <v>4</v>
      </c>
      <c r="S117" s="15">
        <f t="shared" si="15"/>
        <v>31</v>
      </c>
      <c r="T117" s="15">
        <f t="shared" si="16"/>
        <v>0</v>
      </c>
      <c r="U117" s="15">
        <f t="shared" si="17"/>
        <v>0</v>
      </c>
      <c r="V117" s="15">
        <f t="shared" si="10"/>
        <v>0</v>
      </c>
      <c r="W117" s="15">
        <f t="shared" si="18"/>
        <v>0</v>
      </c>
      <c r="X117" s="26">
        <v>10</v>
      </c>
      <c r="Y117" s="26">
        <v>20</v>
      </c>
      <c r="Z117" s="26"/>
      <c r="AA117" s="26"/>
      <c r="AB117" s="27"/>
      <c r="AC117" s="27"/>
      <c r="AD117" s="27"/>
      <c r="AE117" s="27"/>
      <c r="AF117" s="27"/>
      <c r="AG117" s="27"/>
      <c r="AH117" s="17">
        <f>_xlfn.XLOOKUP(D117,'①7月-花名册'!E:E,'①7月-花名册'!T:T,0)</f>
        <v>4000</v>
      </c>
      <c r="AI117" s="15">
        <f>SUMIFS('7月运营'!$L:$L,'7月运营'!$A:$A,D117,'7月运营'!$K:$K,$A$1)</f>
        <v>0</v>
      </c>
      <c r="AJ117" s="15">
        <f>SUMIFS('7月运营'!H:H,'7月运营'!$A:$A,D117,'7月运营'!$K:$K,$A$1)</f>
        <v>0</v>
      </c>
      <c r="AK117" s="15">
        <f>SUMIFS(上月未发人员明细!I:I,上月未发人员明细!J:J,$AK$2,上月未发人员明细!A:A,D117)</f>
        <v>0</v>
      </c>
      <c r="AL117" s="15">
        <f>SUMIFS('7月运营'!L:L,'7月运营'!$A:$A,D117,'7月运营'!$K:$K,$AL$2)</f>
        <v>0</v>
      </c>
      <c r="AM117" s="18">
        <f>SUMIFS('7月运营'!$F:$F,'7月运营'!$A:$A,D117,'7月运营'!$K:$K,'②7月-汇总'!$AM$2,'7月运营'!$G:$G,"岗位核算")</f>
        <v>0</v>
      </c>
      <c r="AN117" s="18">
        <f>SUMIFS('7月运营'!$F:$F,'7月运营'!$A:$A,D117,'7月运营'!$K:$K,$AN$2,'7月运营'!$G:$G,"岗位核算")</f>
        <v>0</v>
      </c>
      <c r="AO117" s="18" t="str">
        <f t="shared" si="19"/>
        <v/>
      </c>
      <c r="AP117" s="18">
        <f t="shared" si="11"/>
        <v>31</v>
      </c>
      <c r="AQ117" s="18">
        <f>_xlfn.XLOOKUP(D117,'7月运营'!A:A,'7月运营'!G:G,0)</f>
        <v>0</v>
      </c>
    </row>
    <row r="118" spans="1:43" x14ac:dyDescent="0.15">
      <c r="A118" s="11" t="str">
        <v>骑士郡</v>
      </c>
      <c r="B118" s="11" t="str">
        <v>健康师</v>
      </c>
      <c r="C118" s="11" t="str">
        <v>A</v>
      </c>
      <c r="D118" s="11" t="str">
        <v>唐玉芳</v>
      </c>
      <c r="E118" s="11" t="str">
        <v>在职</v>
      </c>
      <c r="F118" s="11" t="str">
        <v>事业部</v>
      </c>
      <c r="G118" s="11">
        <f>_xlfn.XLOOKUP(D118,'①7月-花名册'!E:E,'①7月-花名册'!U:U,0)</f>
        <v>0</v>
      </c>
      <c r="H118" s="11">
        <f>_xlfn.XLOOKUP(D118,'①7月-花名册'!E:E,'①7月-花名册'!M:M,0)</f>
        <v>31</v>
      </c>
      <c r="I118" s="11">
        <f>_xlfn.XLOOKUP(D118,'①7月-花名册'!E:E,'①7月-花名册'!S:S,0)</f>
        <v>4</v>
      </c>
      <c r="J118" s="14">
        <f t="shared" si="12"/>
        <v>5</v>
      </c>
      <c r="K118" s="23">
        <v>4</v>
      </c>
      <c r="L118" s="23"/>
      <c r="M118" s="23">
        <v>1</v>
      </c>
      <c r="N118" s="23"/>
      <c r="O118" s="23"/>
      <c r="P118" s="15">
        <f t="shared" si="13"/>
        <v>26</v>
      </c>
      <c r="Q118" s="15">
        <f t="shared" si="14"/>
        <v>31</v>
      </c>
      <c r="R118" s="15">
        <f>IF(F118="事业部",LOOKUP(Q118,基础设置!$T$2:$T$6,基础设置!$U$2:$U$6),IF(F118="总部",LOOKUP(Q118,基础设置!$T$8:$T$13,基础设置!$V$8:$V$13),IF(F118="拓展部",LOOKUP(Q118,基础设置!$T$8:$T$13,基础设置!$W$8:$W$13),2000)))</f>
        <v>4</v>
      </c>
      <c r="S118" s="15">
        <f t="shared" si="15"/>
        <v>31</v>
      </c>
      <c r="T118" s="15">
        <f t="shared" si="16"/>
        <v>0</v>
      </c>
      <c r="U118" s="15">
        <f t="shared" si="17"/>
        <v>0</v>
      </c>
      <c r="V118" s="15">
        <f t="shared" si="10"/>
        <v>0</v>
      </c>
      <c r="W118" s="15">
        <f t="shared" si="18"/>
        <v>0</v>
      </c>
      <c r="X118" s="26"/>
      <c r="Y118" s="26"/>
      <c r="Z118" s="26"/>
      <c r="AA118" s="26"/>
      <c r="AB118" s="27"/>
      <c r="AC118" s="27"/>
      <c r="AD118" s="27"/>
      <c r="AE118" s="27"/>
      <c r="AF118" s="27"/>
      <c r="AG118" s="27"/>
      <c r="AH118" s="17">
        <f>_xlfn.XLOOKUP(D118,'①7月-花名册'!E:E,'①7月-花名册'!T:T,0)</f>
        <v>0</v>
      </c>
      <c r="AI118" s="15">
        <f>SUMIFS('7月运营'!$L:$L,'7月运营'!$A:$A,D118,'7月运营'!$K:$K,$A$1)</f>
        <v>0</v>
      </c>
      <c r="AJ118" s="15">
        <f>SUMIFS('7月运营'!H:H,'7月运营'!$A:$A,D118,'7月运营'!$K:$K,$A$1)</f>
        <v>0</v>
      </c>
      <c r="AK118" s="15">
        <f>SUMIFS(上月未发人员明细!I:I,上月未发人员明细!J:J,$AK$2,上月未发人员明细!A:A,D118)</f>
        <v>0</v>
      </c>
      <c r="AL118" s="15">
        <f>SUMIFS('7月运营'!L:L,'7月运营'!$A:$A,D118,'7月运营'!$K:$K,$AL$2)</f>
        <v>0</v>
      </c>
      <c r="AM118" s="18">
        <f>SUMIFS('7月运营'!$F:$F,'7月运营'!$A:$A,D118,'7月运营'!$K:$K,'②7月-汇总'!$AM$2,'7月运营'!$G:$G,"岗位核算")</f>
        <v>0</v>
      </c>
      <c r="AN118" s="18">
        <f>SUMIFS('7月运营'!$F:$F,'7月运营'!$A:$A,D118,'7月运营'!$K:$K,$AN$2,'7月运营'!$G:$G,"岗位核算")</f>
        <v>0</v>
      </c>
      <c r="AO118" s="18" t="str">
        <f t="shared" si="19"/>
        <v/>
      </c>
      <c r="AP118" s="18">
        <f t="shared" si="11"/>
        <v>31</v>
      </c>
      <c r="AQ118" s="18">
        <f>_xlfn.XLOOKUP(D118,'7月运营'!A:A,'7月运营'!G:G,0)</f>
        <v>0</v>
      </c>
    </row>
    <row r="119" spans="1:43" x14ac:dyDescent="0.15">
      <c r="A119" s="11" t="str">
        <v>骑士郡</v>
      </c>
      <c r="B119" s="11" t="str">
        <v>店助</v>
      </c>
      <c r="C119" s="11" t="str">
        <v>A</v>
      </c>
      <c r="D119" s="11" t="str">
        <v>雷怡</v>
      </c>
      <c r="E119" s="11" t="str">
        <v>在职</v>
      </c>
      <c r="F119" s="11" t="str">
        <v>事业部</v>
      </c>
      <c r="G119" s="11">
        <f>_xlfn.XLOOKUP(D119,'①7月-花名册'!E:E,'①7月-花名册'!U:U,0)</f>
        <v>0</v>
      </c>
      <c r="H119" s="11">
        <f>_xlfn.XLOOKUP(D119,'①7月-花名册'!E:E,'①7月-花名册'!M:M,0)</f>
        <v>31</v>
      </c>
      <c r="I119" s="11">
        <f>_xlfn.XLOOKUP(D119,'①7月-花名册'!E:E,'①7月-花名册'!S:S,0)</f>
        <v>4</v>
      </c>
      <c r="J119" s="14">
        <f t="shared" si="12"/>
        <v>4</v>
      </c>
      <c r="K119" s="23">
        <v>4</v>
      </c>
      <c r="L119" s="23"/>
      <c r="M119" s="23"/>
      <c r="N119" s="23"/>
      <c r="O119" s="23"/>
      <c r="P119" s="15">
        <f t="shared" si="13"/>
        <v>27</v>
      </c>
      <c r="Q119" s="15">
        <f t="shared" si="14"/>
        <v>31</v>
      </c>
      <c r="R119" s="15">
        <f>IF(F119="事业部",LOOKUP(Q119,基础设置!$T$2:$T$6,基础设置!$U$2:$U$6),IF(F119="总部",LOOKUP(Q119,基础设置!$T$8:$T$13,基础设置!$V$8:$V$13),IF(F119="拓展部",LOOKUP(Q119,基础设置!$T$8:$T$13,基础设置!$W$8:$W$13),2000)))</f>
        <v>4</v>
      </c>
      <c r="S119" s="15">
        <f t="shared" si="15"/>
        <v>31</v>
      </c>
      <c r="T119" s="15">
        <f t="shared" si="16"/>
        <v>0</v>
      </c>
      <c r="U119" s="15">
        <f t="shared" si="17"/>
        <v>0</v>
      </c>
      <c r="V119" s="15">
        <f t="shared" si="10"/>
        <v>0</v>
      </c>
      <c r="W119" s="15">
        <f t="shared" si="18"/>
        <v>0</v>
      </c>
      <c r="X119" s="26"/>
      <c r="Y119" s="26"/>
      <c r="Z119" s="26"/>
      <c r="AA119" s="26"/>
      <c r="AB119" s="27"/>
      <c r="AC119" s="27"/>
      <c r="AD119" s="27"/>
      <c r="AE119" s="27"/>
      <c r="AF119" s="27"/>
      <c r="AG119" s="27"/>
      <c r="AH119" s="17">
        <f>_xlfn.XLOOKUP(D119,'①7月-花名册'!E:E,'①7月-花名册'!T:T,0)</f>
        <v>0</v>
      </c>
      <c r="AI119" s="15">
        <f>SUMIFS('7月运营'!$L:$L,'7月运营'!$A:$A,D119,'7月运营'!$K:$K,$A$1)</f>
        <v>0</v>
      </c>
      <c r="AJ119" s="15">
        <f>SUMIFS('7月运营'!H:H,'7月运营'!$A:$A,D119,'7月运营'!$K:$K,$A$1)</f>
        <v>0</v>
      </c>
      <c r="AK119" s="15">
        <f>SUMIFS(上月未发人员明细!I:I,上月未发人员明细!J:J,$AK$2,上月未发人员明细!A:A,D119)</f>
        <v>0</v>
      </c>
      <c r="AL119" s="15">
        <f>SUMIFS('7月运营'!L:L,'7月运营'!$A:$A,D119,'7月运营'!$K:$K,$AL$2)</f>
        <v>0</v>
      </c>
      <c r="AM119" s="18">
        <f>SUMIFS('7月运营'!$F:$F,'7月运营'!$A:$A,D119,'7月运营'!$K:$K,'②7月-汇总'!$AM$2,'7月运营'!$G:$G,"岗位核算")</f>
        <v>0</v>
      </c>
      <c r="AN119" s="18">
        <f>SUMIFS('7月运营'!$F:$F,'7月运营'!$A:$A,D119,'7月运营'!$K:$K,$AN$2,'7月运营'!$G:$G,"岗位核算")</f>
        <v>0</v>
      </c>
      <c r="AO119" s="18" t="str">
        <f t="shared" si="19"/>
        <v/>
      </c>
      <c r="AP119" s="18">
        <f t="shared" si="11"/>
        <v>31</v>
      </c>
      <c r="AQ119" s="18">
        <f>_xlfn.XLOOKUP(D119,'7月运营'!A:A,'7月运营'!G:G,0)</f>
        <v>0</v>
      </c>
    </row>
    <row r="120" spans="1:43" x14ac:dyDescent="0.15">
      <c r="A120" s="11" t="str">
        <v>骑士郡</v>
      </c>
      <c r="B120" s="11" t="str">
        <v>健康师</v>
      </c>
      <c r="C120" s="11" t="str">
        <v>A</v>
      </c>
      <c r="D120" s="11" t="str">
        <v>龙巧云</v>
      </c>
      <c r="E120" s="11" t="str">
        <v>在职</v>
      </c>
      <c r="F120" s="11" t="str">
        <v>事业部</v>
      </c>
      <c r="G120" s="11">
        <f>_xlfn.XLOOKUP(D120,'①7月-花名册'!E:E,'①7月-花名册'!U:U,0)</f>
        <v>0</v>
      </c>
      <c r="H120" s="11">
        <f>_xlfn.XLOOKUP(D120,'①7月-花名册'!E:E,'①7月-花名册'!M:M,0)</f>
        <v>31</v>
      </c>
      <c r="I120" s="11">
        <f>_xlfn.XLOOKUP(D120,'①7月-花名册'!E:E,'①7月-花名册'!S:S,0)</f>
        <v>4</v>
      </c>
      <c r="J120" s="14">
        <f t="shared" si="12"/>
        <v>4</v>
      </c>
      <c r="K120" s="23">
        <v>4</v>
      </c>
      <c r="L120" s="23"/>
      <c r="M120" s="23"/>
      <c r="N120" s="23"/>
      <c r="O120" s="23"/>
      <c r="P120" s="15">
        <f t="shared" si="13"/>
        <v>27</v>
      </c>
      <c r="Q120" s="15">
        <f t="shared" si="14"/>
        <v>31</v>
      </c>
      <c r="R120" s="15">
        <f>IF(F120="事业部",LOOKUP(Q120,基础设置!$T$2:$T$6,基础设置!$U$2:$U$6),IF(F120="总部",LOOKUP(Q120,基础设置!$T$8:$T$13,基础设置!$V$8:$V$13),IF(F120="拓展部",LOOKUP(Q120,基础设置!$T$8:$T$13,基础设置!$W$8:$W$13),2000)))</f>
        <v>4</v>
      </c>
      <c r="S120" s="15">
        <f t="shared" si="15"/>
        <v>31</v>
      </c>
      <c r="T120" s="15">
        <f t="shared" si="16"/>
        <v>0</v>
      </c>
      <c r="U120" s="15">
        <f t="shared" si="17"/>
        <v>0</v>
      </c>
      <c r="V120" s="15">
        <f t="shared" si="10"/>
        <v>0</v>
      </c>
      <c r="W120" s="15">
        <f t="shared" si="18"/>
        <v>0</v>
      </c>
      <c r="X120" s="26"/>
      <c r="Y120" s="26"/>
      <c r="Z120" s="26"/>
      <c r="AA120" s="26"/>
      <c r="AB120" s="27"/>
      <c r="AC120" s="27"/>
      <c r="AD120" s="27"/>
      <c r="AE120" s="27"/>
      <c r="AF120" s="27"/>
      <c r="AG120" s="27"/>
      <c r="AH120" s="17">
        <f>_xlfn.XLOOKUP(D120,'①7月-花名册'!E:E,'①7月-花名册'!T:T,0)</f>
        <v>0</v>
      </c>
      <c r="AI120" s="15">
        <f>SUMIFS('7月运营'!$L:$L,'7月运营'!$A:$A,D120,'7月运营'!$K:$K,$A$1)</f>
        <v>0</v>
      </c>
      <c r="AJ120" s="15">
        <f>SUMIFS('7月运营'!H:H,'7月运营'!$A:$A,D120,'7月运营'!$K:$K,$A$1)</f>
        <v>0</v>
      </c>
      <c r="AK120" s="15">
        <f>SUMIFS(上月未发人员明细!I:I,上月未发人员明细!J:J,$AK$2,上月未发人员明细!A:A,D120)</f>
        <v>0</v>
      </c>
      <c r="AL120" s="15">
        <f>SUMIFS('7月运营'!L:L,'7月运营'!$A:$A,D120,'7月运营'!$K:$K,$AL$2)</f>
        <v>0</v>
      </c>
      <c r="AM120" s="18">
        <f>SUMIFS('7月运营'!$F:$F,'7月运营'!$A:$A,D120,'7月运营'!$K:$K,'②7月-汇总'!$AM$2,'7月运营'!$G:$G,"岗位核算")</f>
        <v>0</v>
      </c>
      <c r="AN120" s="18">
        <f>SUMIFS('7月运营'!$F:$F,'7月运营'!$A:$A,D120,'7月运营'!$K:$K,$AN$2,'7月运营'!$G:$G,"岗位核算")</f>
        <v>0</v>
      </c>
      <c r="AO120" s="18" t="str">
        <f t="shared" si="19"/>
        <v/>
      </c>
      <c r="AP120" s="18">
        <f t="shared" si="11"/>
        <v>31</v>
      </c>
      <c r="AQ120" s="18">
        <f>_xlfn.XLOOKUP(D120,'7月运营'!A:A,'7月运营'!G:G,0)</f>
        <v>0</v>
      </c>
    </row>
    <row r="121" spans="1:43" x14ac:dyDescent="0.15">
      <c r="A121" s="11" t="str">
        <v>骑士郡</v>
      </c>
      <c r="B121" s="11" t="str">
        <v>店长</v>
      </c>
      <c r="C121" s="11" t="str">
        <v>B</v>
      </c>
      <c r="D121" s="11" t="str">
        <v>张勤</v>
      </c>
      <c r="E121" s="11" t="str">
        <v>在职</v>
      </c>
      <c r="F121" s="11" t="str">
        <v>事业部</v>
      </c>
      <c r="G121" s="11">
        <f>_xlfn.XLOOKUP(D121,'①7月-花名册'!E:E,'①7月-花名册'!U:U,0)</f>
        <v>0</v>
      </c>
      <c r="H121" s="11">
        <f>_xlfn.XLOOKUP(D121,'①7月-花名册'!E:E,'①7月-花名册'!M:M,0)</f>
        <v>31</v>
      </c>
      <c r="I121" s="11">
        <f>_xlfn.XLOOKUP(D121,'①7月-花名册'!E:E,'①7月-花名册'!S:S,0)</f>
        <v>4</v>
      </c>
      <c r="J121" s="14">
        <f t="shared" si="12"/>
        <v>5</v>
      </c>
      <c r="K121" s="23">
        <v>4</v>
      </c>
      <c r="L121" s="23"/>
      <c r="M121" s="23">
        <v>1</v>
      </c>
      <c r="N121" s="23"/>
      <c r="O121" s="23"/>
      <c r="P121" s="15">
        <f t="shared" si="13"/>
        <v>26</v>
      </c>
      <c r="Q121" s="15">
        <f t="shared" si="14"/>
        <v>31</v>
      </c>
      <c r="R121" s="15">
        <f>IF(F121="事业部",LOOKUP(Q121,基础设置!$T$2:$T$6,基础设置!$U$2:$U$6),IF(F121="总部",LOOKUP(Q121,基础设置!$T$8:$T$13,基础设置!$V$8:$V$13),IF(F121="拓展部",LOOKUP(Q121,基础设置!$T$8:$T$13,基础设置!$W$8:$W$13),2000)))</f>
        <v>4</v>
      </c>
      <c r="S121" s="15">
        <f t="shared" si="15"/>
        <v>31</v>
      </c>
      <c r="T121" s="15">
        <f t="shared" si="16"/>
        <v>0</v>
      </c>
      <c r="U121" s="15">
        <f t="shared" si="17"/>
        <v>0</v>
      </c>
      <c r="V121" s="15">
        <f t="shared" si="10"/>
        <v>0</v>
      </c>
      <c r="W121" s="15">
        <f t="shared" si="18"/>
        <v>0</v>
      </c>
      <c r="X121" s="26">
        <v>10</v>
      </c>
      <c r="Y121" s="26"/>
      <c r="Z121" s="26"/>
      <c r="AA121" s="26"/>
      <c r="AB121" s="28"/>
      <c r="AC121" s="28"/>
      <c r="AD121" s="28"/>
      <c r="AE121" s="28"/>
      <c r="AF121" s="28"/>
      <c r="AG121" s="28"/>
      <c r="AH121" s="17">
        <f>_xlfn.XLOOKUP(D121,'①7月-花名册'!E:E,'①7月-花名册'!T:T,0)</f>
        <v>0</v>
      </c>
      <c r="AI121" s="15">
        <f>SUMIFS('7月运营'!$L:$L,'7月运营'!$A:$A,D121,'7月运营'!$K:$K,$A$1)</f>
        <v>0</v>
      </c>
      <c r="AJ121" s="15">
        <f>SUMIFS('7月运营'!H:H,'7月运营'!$A:$A,D121,'7月运营'!$K:$K,$A$1)</f>
        <v>0</v>
      </c>
      <c r="AK121" s="15">
        <f>SUMIFS(上月未发人员明细!I:I,上月未发人员明细!J:J,$AK$2,上月未发人员明细!A:A,D121)</f>
        <v>0</v>
      </c>
      <c r="AL121" s="15">
        <f>SUMIFS('7月运营'!L:L,'7月运营'!$A:$A,D121,'7月运营'!$K:$K,$AL$2)</f>
        <v>0</v>
      </c>
      <c r="AM121" s="18">
        <f>SUMIFS('7月运营'!$F:$F,'7月运营'!$A:$A,D121,'7月运营'!$K:$K,'②7月-汇总'!$AM$2,'7月运营'!$G:$G,"岗位核算")</f>
        <v>0</v>
      </c>
      <c r="AN121" s="18">
        <f>SUMIFS('7月运营'!$F:$F,'7月运营'!$A:$A,D121,'7月运营'!$K:$K,$AN$2,'7月运营'!$G:$G,"岗位核算")</f>
        <v>0</v>
      </c>
      <c r="AO121" s="18" t="str">
        <f t="shared" si="19"/>
        <v/>
      </c>
      <c r="AP121" s="18">
        <f t="shared" si="11"/>
        <v>31</v>
      </c>
      <c r="AQ121" s="18">
        <f>_xlfn.XLOOKUP(D121,'7月运营'!A:A,'7月运营'!G:G,0)</f>
        <v>0</v>
      </c>
    </row>
    <row r="122" spans="1:43" x14ac:dyDescent="0.15">
      <c r="A122" s="11" t="str">
        <v>骑士郡</v>
      </c>
      <c r="B122" s="11" t="str">
        <v>健康师</v>
      </c>
      <c r="C122" s="11" t="str">
        <v>A</v>
      </c>
      <c r="D122" s="11" t="str">
        <v>刘裕琼</v>
      </c>
      <c r="E122" s="11" t="str">
        <v>在职</v>
      </c>
      <c r="F122" s="11" t="str">
        <v>事业部</v>
      </c>
      <c r="G122" s="11">
        <f>_xlfn.XLOOKUP(D122,'①7月-花名册'!E:E,'①7月-花名册'!U:U,0)</f>
        <v>0</v>
      </c>
      <c r="H122" s="11">
        <f>_xlfn.XLOOKUP(D122,'①7月-花名册'!E:E,'①7月-花名册'!M:M,0)</f>
        <v>31</v>
      </c>
      <c r="I122" s="11">
        <f>_xlfn.XLOOKUP(D122,'①7月-花名册'!E:E,'①7月-花名册'!S:S,0)</f>
        <v>4</v>
      </c>
      <c r="J122" s="14">
        <f t="shared" si="12"/>
        <v>4</v>
      </c>
      <c r="K122" s="23">
        <v>4</v>
      </c>
      <c r="L122" s="23"/>
      <c r="M122" s="23"/>
      <c r="N122" s="23"/>
      <c r="O122" s="23"/>
      <c r="P122" s="15">
        <f t="shared" si="13"/>
        <v>27</v>
      </c>
      <c r="Q122" s="15">
        <f t="shared" si="14"/>
        <v>31</v>
      </c>
      <c r="R122" s="15">
        <f>IF(F122="事业部",LOOKUP(Q122,基础设置!$T$2:$T$6,基础设置!$U$2:$U$6),IF(F122="总部",LOOKUP(Q122,基础设置!$T$8:$T$13,基础设置!$V$8:$V$13),IF(F122="拓展部",LOOKUP(Q122,基础设置!$T$8:$T$13,基础设置!$W$8:$W$13),2000)))</f>
        <v>4</v>
      </c>
      <c r="S122" s="15">
        <f t="shared" si="15"/>
        <v>31</v>
      </c>
      <c r="T122" s="15">
        <f t="shared" si="16"/>
        <v>0</v>
      </c>
      <c r="U122" s="15">
        <f t="shared" si="17"/>
        <v>0</v>
      </c>
      <c r="V122" s="15">
        <f t="shared" si="10"/>
        <v>0</v>
      </c>
      <c r="W122" s="15">
        <f t="shared" si="18"/>
        <v>0</v>
      </c>
      <c r="X122" s="26"/>
      <c r="Y122" s="26"/>
      <c r="Z122" s="26">
        <v>50</v>
      </c>
      <c r="AA122" s="26"/>
      <c r="AB122" s="27"/>
      <c r="AC122" s="27"/>
      <c r="AD122" s="27"/>
      <c r="AE122" s="27"/>
      <c r="AF122" s="27"/>
      <c r="AG122" s="27"/>
      <c r="AH122" s="17">
        <f>_xlfn.XLOOKUP(D122,'①7月-花名册'!E:E,'①7月-花名册'!T:T,0)</f>
        <v>0</v>
      </c>
      <c r="AI122" s="15">
        <f>SUMIFS('7月运营'!$L:$L,'7月运营'!$A:$A,D122,'7月运营'!$K:$K,$A$1)</f>
        <v>0</v>
      </c>
      <c r="AJ122" s="15">
        <f>SUMIFS('7月运营'!H:H,'7月运营'!$A:$A,D122,'7月运营'!$K:$K,$A$1)</f>
        <v>0</v>
      </c>
      <c r="AK122" s="15">
        <f>SUMIFS(上月未发人员明细!I:I,上月未发人员明细!J:J,$AK$2,上月未发人员明细!A:A,D122)</f>
        <v>0</v>
      </c>
      <c r="AL122" s="15">
        <f>SUMIFS('7月运营'!L:L,'7月运营'!$A:$A,D122,'7月运营'!$K:$K,$AL$2)</f>
        <v>0</v>
      </c>
      <c r="AM122" s="18">
        <f>SUMIFS('7月运营'!$F:$F,'7月运营'!$A:$A,D122,'7月运营'!$K:$K,'②7月-汇总'!$AM$2,'7月运营'!$G:$G,"岗位核算")</f>
        <v>0</v>
      </c>
      <c r="AN122" s="18">
        <f>SUMIFS('7月运营'!$F:$F,'7月运营'!$A:$A,D122,'7月运营'!$K:$K,$AN$2,'7月运营'!$G:$G,"岗位核算")</f>
        <v>0</v>
      </c>
      <c r="AO122" s="18" t="str">
        <f t="shared" si="19"/>
        <v/>
      </c>
      <c r="AP122" s="18">
        <f t="shared" si="11"/>
        <v>31</v>
      </c>
      <c r="AQ122" s="18">
        <f>_xlfn.XLOOKUP(D122,'7月运营'!A:A,'7月运营'!G:G,0)</f>
        <v>0</v>
      </c>
    </row>
    <row r="123" spans="1:43" x14ac:dyDescent="0.15">
      <c r="A123" s="11" t="str">
        <v>骑士郡</v>
      </c>
      <c r="B123" s="11" t="str">
        <v>健康师</v>
      </c>
      <c r="C123" s="11" t="str">
        <v>A</v>
      </c>
      <c r="D123" s="11" t="str">
        <v>唐施语</v>
      </c>
      <c r="E123" s="11" t="str">
        <v>在职</v>
      </c>
      <c r="F123" s="11" t="str">
        <v>事业部</v>
      </c>
      <c r="G123" s="11">
        <f>_xlfn.XLOOKUP(D123,'①7月-花名册'!E:E,'①7月-花名册'!U:U,0)</f>
        <v>0</v>
      </c>
      <c r="H123" s="11">
        <f>_xlfn.XLOOKUP(D123,'①7月-花名册'!E:E,'①7月-花名册'!M:M,0)</f>
        <v>31</v>
      </c>
      <c r="I123" s="11">
        <f>_xlfn.XLOOKUP(D123,'①7月-花名册'!E:E,'①7月-花名册'!S:S,0)</f>
        <v>4</v>
      </c>
      <c r="J123" s="14">
        <f t="shared" si="12"/>
        <v>5</v>
      </c>
      <c r="K123" s="23">
        <v>4</v>
      </c>
      <c r="L123" s="23"/>
      <c r="M123" s="23">
        <v>1</v>
      </c>
      <c r="N123" s="23"/>
      <c r="O123" s="23"/>
      <c r="P123" s="15">
        <f t="shared" si="13"/>
        <v>26</v>
      </c>
      <c r="Q123" s="15">
        <f t="shared" si="14"/>
        <v>31</v>
      </c>
      <c r="R123" s="15">
        <f>IF(F123="事业部",LOOKUP(Q123,基础设置!$T$2:$T$6,基础设置!$U$2:$U$6),IF(F123="总部",LOOKUP(Q123,基础设置!$T$8:$T$13,基础设置!$V$8:$V$13),IF(F123="拓展部",LOOKUP(Q123,基础设置!$T$8:$T$13,基础设置!$W$8:$W$13),2000)))</f>
        <v>4</v>
      </c>
      <c r="S123" s="15">
        <f t="shared" si="15"/>
        <v>31</v>
      </c>
      <c r="T123" s="15">
        <f t="shared" si="16"/>
        <v>0</v>
      </c>
      <c r="U123" s="15">
        <f t="shared" si="17"/>
        <v>0</v>
      </c>
      <c r="V123" s="15">
        <f t="shared" si="10"/>
        <v>0</v>
      </c>
      <c r="W123" s="15">
        <f t="shared" si="18"/>
        <v>0</v>
      </c>
      <c r="X123" s="26"/>
      <c r="Y123" s="26"/>
      <c r="Z123" s="26"/>
      <c r="AA123" s="26"/>
      <c r="AB123" s="27"/>
      <c r="AC123" s="27"/>
      <c r="AD123" s="27"/>
      <c r="AE123" s="27"/>
      <c r="AF123" s="27"/>
      <c r="AG123" s="27"/>
      <c r="AH123" s="17">
        <f>_xlfn.XLOOKUP(D123,'①7月-花名册'!E:E,'①7月-花名册'!T:T,0)</f>
        <v>0</v>
      </c>
      <c r="AI123" s="15">
        <f>SUMIFS('7月运营'!$L:$L,'7月运营'!$A:$A,D123,'7月运营'!$K:$K,$A$1)</f>
        <v>0</v>
      </c>
      <c r="AJ123" s="15">
        <f>SUMIFS('7月运营'!H:H,'7月运营'!$A:$A,D123,'7月运营'!$K:$K,$A$1)</f>
        <v>0</v>
      </c>
      <c r="AK123" s="15">
        <f>SUMIFS(上月未发人员明细!I:I,上月未发人员明细!J:J,$AK$2,上月未发人员明细!A:A,D123)</f>
        <v>0</v>
      </c>
      <c r="AL123" s="15">
        <f>SUMIFS('7月运营'!L:L,'7月运营'!$A:$A,D123,'7月运营'!$K:$K,$AL$2)</f>
        <v>0</v>
      </c>
      <c r="AM123" s="18">
        <f>SUMIFS('7月运营'!$F:$F,'7月运营'!$A:$A,D123,'7月运营'!$K:$K,'②7月-汇总'!$AM$2,'7月运营'!$G:$G,"岗位核算")</f>
        <v>0</v>
      </c>
      <c r="AN123" s="18">
        <f>SUMIFS('7月运营'!$F:$F,'7月运营'!$A:$A,D123,'7月运营'!$K:$K,$AN$2,'7月运营'!$G:$G,"岗位核算")</f>
        <v>0</v>
      </c>
      <c r="AO123" s="18" t="str">
        <f t="shared" si="19"/>
        <v/>
      </c>
      <c r="AP123" s="18">
        <f t="shared" si="11"/>
        <v>31</v>
      </c>
      <c r="AQ123" s="18">
        <f>_xlfn.XLOOKUP(D123,'7月运营'!A:A,'7月运营'!G:G,0)</f>
        <v>0</v>
      </c>
    </row>
    <row r="124" spans="1:43" x14ac:dyDescent="0.15">
      <c r="A124" s="11" t="str">
        <v>骑士郡</v>
      </c>
      <c r="B124" s="11" t="str">
        <v>健康师</v>
      </c>
      <c r="C124" s="11" t="str">
        <v>A</v>
      </c>
      <c r="D124" s="11" t="str">
        <v>谭福英</v>
      </c>
      <c r="E124" s="11" t="str">
        <v>在职</v>
      </c>
      <c r="F124" s="11" t="str">
        <v>事业部</v>
      </c>
      <c r="G124" s="11">
        <f>_xlfn.XLOOKUP(D124,'①7月-花名册'!E:E,'①7月-花名册'!U:U,0)</f>
        <v>0</v>
      </c>
      <c r="H124" s="11">
        <f>_xlfn.XLOOKUP(D124,'①7月-花名册'!E:E,'①7月-花名册'!M:M,0)</f>
        <v>31</v>
      </c>
      <c r="I124" s="11">
        <f>_xlfn.XLOOKUP(D124,'①7月-花名册'!E:E,'①7月-花名册'!S:S,0)</f>
        <v>4</v>
      </c>
      <c r="J124" s="14">
        <f t="shared" si="12"/>
        <v>5</v>
      </c>
      <c r="K124" s="23">
        <v>4</v>
      </c>
      <c r="L124" s="23"/>
      <c r="M124" s="23">
        <v>1</v>
      </c>
      <c r="N124" s="23"/>
      <c r="O124" s="23"/>
      <c r="P124" s="15">
        <f t="shared" si="13"/>
        <v>26</v>
      </c>
      <c r="Q124" s="15">
        <f t="shared" si="14"/>
        <v>31</v>
      </c>
      <c r="R124" s="15">
        <f>IF(F124="事业部",LOOKUP(Q124,基础设置!$T$2:$T$6,基础设置!$U$2:$U$6),IF(F124="总部",LOOKUP(Q124,基础设置!$T$8:$T$13,基础设置!$V$8:$V$13),IF(F124="拓展部",LOOKUP(Q124,基础设置!$T$8:$T$13,基础设置!$W$8:$W$13),2000)))</f>
        <v>4</v>
      </c>
      <c r="S124" s="15">
        <f t="shared" si="15"/>
        <v>31</v>
      </c>
      <c r="T124" s="15">
        <f t="shared" si="16"/>
        <v>0</v>
      </c>
      <c r="U124" s="15">
        <f t="shared" si="17"/>
        <v>0</v>
      </c>
      <c r="V124" s="15">
        <f t="shared" si="10"/>
        <v>0</v>
      </c>
      <c r="W124" s="15">
        <f t="shared" si="18"/>
        <v>0</v>
      </c>
      <c r="X124" s="26"/>
      <c r="Y124" s="26"/>
      <c r="Z124" s="26"/>
      <c r="AA124" s="26"/>
      <c r="AB124" s="27"/>
      <c r="AC124" s="27"/>
      <c r="AD124" s="27"/>
      <c r="AE124" s="27"/>
      <c r="AF124" s="27"/>
      <c r="AG124" s="27"/>
      <c r="AH124" s="17">
        <f>_xlfn.XLOOKUP(D124,'①7月-花名册'!E:E,'①7月-花名册'!T:T,0)</f>
        <v>4000</v>
      </c>
      <c r="AI124" s="15">
        <f>SUMIFS('7月运营'!$L:$L,'7月运营'!$A:$A,D124,'7月运营'!$K:$K,$A$1)</f>
        <v>0</v>
      </c>
      <c r="AJ124" s="15">
        <f>SUMIFS('7月运营'!H:H,'7月运营'!$A:$A,D124,'7月运营'!$K:$K,$A$1)</f>
        <v>0</v>
      </c>
      <c r="AK124" s="15">
        <f>SUMIFS(上月未发人员明细!I:I,上月未发人员明细!J:J,$AK$2,上月未发人员明细!A:A,D124)</f>
        <v>0</v>
      </c>
      <c r="AL124" s="15">
        <f>SUMIFS('7月运营'!L:L,'7月运营'!$A:$A,D124,'7月运营'!$K:$K,$AL$2)</f>
        <v>0</v>
      </c>
      <c r="AM124" s="18">
        <f>SUMIFS('7月运营'!$F:$F,'7月运营'!$A:$A,D124,'7月运营'!$K:$K,'②7月-汇总'!$AM$2,'7月运营'!$G:$G,"岗位核算")</f>
        <v>0</v>
      </c>
      <c r="AN124" s="18">
        <f>SUMIFS('7月运营'!$F:$F,'7月运营'!$A:$A,D124,'7月运营'!$K:$K,$AN$2,'7月运营'!$G:$G,"岗位核算")</f>
        <v>0</v>
      </c>
      <c r="AO124" s="18" t="str">
        <f t="shared" si="19"/>
        <v/>
      </c>
      <c r="AP124" s="18">
        <f t="shared" si="11"/>
        <v>31</v>
      </c>
      <c r="AQ124" s="18">
        <f>_xlfn.XLOOKUP(D124,'7月运营'!A:A,'7月运营'!G:G,0)</f>
        <v>0</v>
      </c>
    </row>
    <row r="125" spans="1:43" x14ac:dyDescent="0.15">
      <c r="A125" s="11" t="str">
        <v>骑士郡</v>
      </c>
      <c r="B125" s="11" t="str">
        <v>健康师</v>
      </c>
      <c r="C125" s="11" t="str">
        <v>A</v>
      </c>
      <c r="D125" s="11" t="str">
        <v>李凤</v>
      </c>
      <c r="E125" s="11" t="str">
        <v>在职</v>
      </c>
      <c r="F125" s="11" t="str">
        <v>事业部</v>
      </c>
      <c r="G125" s="11">
        <f>_xlfn.XLOOKUP(D125,'①7月-花名册'!E:E,'①7月-花名册'!U:U,0)</f>
        <v>0</v>
      </c>
      <c r="H125" s="11">
        <f>_xlfn.XLOOKUP(D125,'①7月-花名册'!E:E,'①7月-花名册'!M:M,0)</f>
        <v>31</v>
      </c>
      <c r="I125" s="11">
        <f>_xlfn.XLOOKUP(D125,'①7月-花名册'!E:E,'①7月-花名册'!S:S,0)</f>
        <v>4</v>
      </c>
      <c r="J125" s="14">
        <f t="shared" si="12"/>
        <v>5</v>
      </c>
      <c r="K125" s="23">
        <v>4</v>
      </c>
      <c r="L125" s="23"/>
      <c r="M125" s="23">
        <v>1</v>
      </c>
      <c r="N125" s="23"/>
      <c r="O125" s="23"/>
      <c r="P125" s="15">
        <f t="shared" si="13"/>
        <v>26</v>
      </c>
      <c r="Q125" s="15">
        <f t="shared" si="14"/>
        <v>31</v>
      </c>
      <c r="R125" s="15">
        <f>IF(F125="事业部",LOOKUP(Q125,基础设置!$T$2:$T$6,基础设置!$U$2:$U$6),IF(F125="总部",LOOKUP(Q125,基础设置!$T$8:$T$13,基础设置!$V$8:$V$13),IF(F125="拓展部",LOOKUP(Q125,基础设置!$T$8:$T$13,基础设置!$W$8:$W$13),2000)))</f>
        <v>4</v>
      </c>
      <c r="S125" s="15">
        <f t="shared" si="15"/>
        <v>31</v>
      </c>
      <c r="T125" s="15">
        <f t="shared" si="16"/>
        <v>0</v>
      </c>
      <c r="U125" s="15">
        <f t="shared" si="17"/>
        <v>0</v>
      </c>
      <c r="V125" s="15">
        <f t="shared" si="10"/>
        <v>0</v>
      </c>
      <c r="W125" s="15">
        <f t="shared" si="18"/>
        <v>0</v>
      </c>
      <c r="X125" s="26"/>
      <c r="Y125" s="26"/>
      <c r="Z125" s="26"/>
      <c r="AA125" s="26"/>
      <c r="AB125" s="27"/>
      <c r="AC125" s="27"/>
      <c r="AD125" s="27"/>
      <c r="AE125" s="27"/>
      <c r="AF125" s="27"/>
      <c r="AG125" s="27"/>
      <c r="AH125" s="17">
        <f>_xlfn.XLOOKUP(D125,'①7月-花名册'!E:E,'①7月-花名册'!T:T,0)</f>
        <v>4000</v>
      </c>
      <c r="AI125" s="15">
        <f>SUMIFS('7月运营'!$L:$L,'7月运营'!$A:$A,D125,'7月运营'!$K:$K,$A$1)</f>
        <v>0</v>
      </c>
      <c r="AJ125" s="15">
        <f>SUMIFS('7月运营'!H:H,'7月运营'!$A:$A,D125,'7月运营'!$K:$K,$A$1)</f>
        <v>0</v>
      </c>
      <c r="AK125" s="15">
        <f>SUMIFS(上月未发人员明细!I:I,上月未发人员明细!J:J,$AK$2,上月未发人员明细!A:A,D125)</f>
        <v>0</v>
      </c>
      <c r="AL125" s="15">
        <f>SUMIFS('7月运营'!L:L,'7月运营'!$A:$A,D125,'7月运营'!$K:$K,$AL$2)</f>
        <v>0</v>
      </c>
      <c r="AM125" s="18">
        <f>SUMIFS('7月运营'!$F:$F,'7月运营'!$A:$A,D125,'7月运营'!$K:$K,'②7月-汇总'!$AM$2,'7月运营'!$G:$G,"岗位核算")</f>
        <v>0</v>
      </c>
      <c r="AN125" s="18">
        <f>SUMIFS('7月运营'!$F:$F,'7月运营'!$A:$A,D125,'7月运营'!$K:$K,$AN$2,'7月运营'!$G:$G,"岗位核算")</f>
        <v>0</v>
      </c>
      <c r="AO125" s="18" t="str">
        <f t="shared" si="19"/>
        <v/>
      </c>
      <c r="AP125" s="18">
        <f t="shared" si="11"/>
        <v>31</v>
      </c>
      <c r="AQ125" s="18">
        <f>_xlfn.XLOOKUP(D125,'7月运营'!A:A,'7月运营'!G:G,0)</f>
        <v>0</v>
      </c>
    </row>
    <row r="126" spans="1:43" x14ac:dyDescent="0.15">
      <c r="A126" s="11" t="str">
        <v>明信</v>
      </c>
      <c r="B126" s="11" t="str">
        <v>店助</v>
      </c>
      <c r="C126" s="11" t="str">
        <v>A</v>
      </c>
      <c r="D126" s="11" t="str">
        <v>陈嘉仪</v>
      </c>
      <c r="E126" s="11" t="str">
        <v>在职</v>
      </c>
      <c r="F126" s="11" t="str">
        <v>事业部</v>
      </c>
      <c r="G126" s="11">
        <f>_xlfn.XLOOKUP(D126,'①7月-花名册'!E:E,'①7月-花名册'!U:U,0)</f>
        <v>0</v>
      </c>
      <c r="H126" s="11">
        <f>_xlfn.XLOOKUP(D126,'①7月-花名册'!E:E,'①7月-花名册'!M:M,0)</f>
        <v>31</v>
      </c>
      <c r="I126" s="11">
        <f>_xlfn.XLOOKUP(D126,'①7月-花名册'!E:E,'①7月-花名册'!S:S,0)</f>
        <v>4</v>
      </c>
      <c r="J126" s="14">
        <f t="shared" si="12"/>
        <v>6</v>
      </c>
      <c r="K126" s="23">
        <v>4</v>
      </c>
      <c r="L126" s="23"/>
      <c r="M126" s="23"/>
      <c r="N126" s="23"/>
      <c r="O126" s="23">
        <v>2</v>
      </c>
      <c r="P126" s="15">
        <f t="shared" si="13"/>
        <v>25</v>
      </c>
      <c r="Q126" s="15">
        <f t="shared" si="14"/>
        <v>31</v>
      </c>
      <c r="R126" s="15">
        <f>IF(F126="事业部",LOOKUP(Q126,基础设置!$T$2:$T$6,基础设置!$U$2:$U$6),IF(F126="总部",LOOKUP(Q126,基础设置!$T$8:$T$13,基础设置!$V$8:$V$13),IF(F126="拓展部",LOOKUP(Q126,基础设置!$T$8:$T$13,基础设置!$W$8:$W$13),2000)))</f>
        <v>4</v>
      </c>
      <c r="S126" s="15">
        <f t="shared" si="15"/>
        <v>31</v>
      </c>
      <c r="T126" s="15">
        <f t="shared" si="16"/>
        <v>0</v>
      </c>
      <c r="U126" s="15">
        <f t="shared" si="17"/>
        <v>0</v>
      </c>
      <c r="V126" s="15">
        <f t="shared" si="10"/>
        <v>0</v>
      </c>
      <c r="W126" s="15">
        <f t="shared" si="18"/>
        <v>0</v>
      </c>
      <c r="X126" s="26">
        <v>20</v>
      </c>
      <c r="Y126" s="26"/>
      <c r="Z126" s="26"/>
      <c r="AA126" s="26"/>
      <c r="AB126" s="27"/>
      <c r="AC126" s="27"/>
      <c r="AD126" s="27"/>
      <c r="AE126" s="27"/>
      <c r="AF126" s="27"/>
      <c r="AG126" s="27"/>
      <c r="AH126" s="17">
        <f>_xlfn.XLOOKUP(D126,'①7月-花名册'!E:E,'①7月-花名册'!T:T,0)</f>
        <v>0</v>
      </c>
      <c r="AI126" s="15">
        <f>SUMIFS('7月运营'!$L:$L,'7月运营'!$A:$A,D126,'7月运营'!$K:$K,$A$1)</f>
        <v>0</v>
      </c>
      <c r="AJ126" s="15">
        <f>SUMIFS('7月运营'!H:H,'7月运营'!$A:$A,D126,'7月运营'!$K:$K,$A$1)</f>
        <v>0</v>
      </c>
      <c r="AK126" s="15">
        <f>SUMIFS(上月未发人员明细!I:I,上月未发人员明细!J:J,$AK$2,上月未发人员明细!A:A,D126)</f>
        <v>0</v>
      </c>
      <c r="AL126" s="15">
        <f>SUMIFS('7月运营'!L:L,'7月运营'!$A:$A,D126,'7月运营'!$K:$K,$AL$2)</f>
        <v>0</v>
      </c>
      <c r="AM126" s="18">
        <f>SUMIFS('7月运营'!$F:$F,'7月运营'!$A:$A,D126,'7月运营'!$K:$K,'②7月-汇总'!$AM$2,'7月运营'!$G:$G,"岗位核算")</f>
        <v>0</v>
      </c>
      <c r="AN126" s="18">
        <f>SUMIFS('7月运营'!$F:$F,'7月运营'!$A:$A,D126,'7月运营'!$K:$K,$AN$2,'7月运营'!$G:$G,"岗位核算")</f>
        <v>0</v>
      </c>
      <c r="AO126" s="18" t="str">
        <f t="shared" si="19"/>
        <v/>
      </c>
      <c r="AP126" s="18">
        <f t="shared" si="11"/>
        <v>31</v>
      </c>
      <c r="AQ126" s="18">
        <f>_xlfn.XLOOKUP(D126,'7月运营'!A:A,'7月运营'!G:G,0)</f>
        <v>0</v>
      </c>
    </row>
    <row r="127" spans="1:43" x14ac:dyDescent="0.15">
      <c r="A127" s="11" t="str">
        <v>明信</v>
      </c>
      <c r="B127" s="11" t="str">
        <v>健康师</v>
      </c>
      <c r="C127" s="11" t="str">
        <v>A</v>
      </c>
      <c r="D127" s="11" t="str">
        <v>王红</v>
      </c>
      <c r="E127" s="11" t="str">
        <v>在职</v>
      </c>
      <c r="F127" s="11" t="str">
        <v>事业部</v>
      </c>
      <c r="G127" s="11">
        <f>_xlfn.XLOOKUP(D127,'①7月-花名册'!E:E,'①7月-花名册'!U:U,0)</f>
        <v>0</v>
      </c>
      <c r="H127" s="11">
        <f>_xlfn.XLOOKUP(D127,'①7月-花名册'!E:E,'①7月-花名册'!M:M,0)</f>
        <v>31</v>
      </c>
      <c r="I127" s="11">
        <f>_xlfn.XLOOKUP(D127,'①7月-花名册'!E:E,'①7月-花名册'!S:S,0)</f>
        <v>4</v>
      </c>
      <c r="J127" s="14">
        <f t="shared" si="12"/>
        <v>4</v>
      </c>
      <c r="K127" s="23">
        <v>4</v>
      </c>
      <c r="L127" s="23"/>
      <c r="M127" s="23"/>
      <c r="N127" s="23"/>
      <c r="O127" s="23"/>
      <c r="P127" s="15">
        <f t="shared" si="13"/>
        <v>27</v>
      </c>
      <c r="Q127" s="15">
        <f t="shared" si="14"/>
        <v>31</v>
      </c>
      <c r="R127" s="15">
        <f>IF(F127="事业部",LOOKUP(Q127,基础设置!$T$2:$T$6,基础设置!$U$2:$U$6),IF(F127="总部",LOOKUP(Q127,基础设置!$T$8:$T$13,基础设置!$V$8:$V$13),IF(F127="拓展部",LOOKUP(Q127,基础设置!$T$8:$T$13,基础设置!$W$8:$W$13),2000)))</f>
        <v>4</v>
      </c>
      <c r="S127" s="15">
        <f t="shared" si="15"/>
        <v>31</v>
      </c>
      <c r="T127" s="15">
        <f t="shared" si="16"/>
        <v>0</v>
      </c>
      <c r="U127" s="15">
        <f t="shared" si="17"/>
        <v>0</v>
      </c>
      <c r="V127" s="15">
        <f t="shared" si="10"/>
        <v>0</v>
      </c>
      <c r="W127" s="15">
        <f t="shared" si="18"/>
        <v>0</v>
      </c>
      <c r="X127" s="26"/>
      <c r="Y127" s="26"/>
      <c r="Z127" s="26">
        <v>50</v>
      </c>
      <c r="AA127" s="26"/>
      <c r="AB127" s="27"/>
      <c r="AC127" s="27"/>
      <c r="AD127" s="27"/>
      <c r="AE127" s="27"/>
      <c r="AF127" s="27"/>
      <c r="AG127" s="27"/>
      <c r="AH127" s="17">
        <f>_xlfn.XLOOKUP(D127,'①7月-花名册'!E:E,'①7月-花名册'!T:T,0)</f>
        <v>0</v>
      </c>
      <c r="AI127" s="15">
        <f>SUMIFS('7月运营'!$L:$L,'7月运营'!$A:$A,D127,'7月运营'!$K:$K,$A$1)</f>
        <v>0</v>
      </c>
      <c r="AJ127" s="15">
        <f>SUMIFS('7月运营'!H:H,'7月运营'!$A:$A,D127,'7月运营'!$K:$K,$A$1)</f>
        <v>0</v>
      </c>
      <c r="AK127" s="15">
        <f>SUMIFS(上月未发人员明细!I:I,上月未发人员明细!J:J,$AK$2,上月未发人员明细!A:A,D127)</f>
        <v>0</v>
      </c>
      <c r="AL127" s="15">
        <f>SUMIFS('7月运营'!L:L,'7月运营'!$A:$A,D127,'7月运营'!$K:$K,$AL$2)</f>
        <v>0</v>
      </c>
      <c r="AM127" s="18">
        <f>SUMIFS('7月运营'!$F:$F,'7月运营'!$A:$A,D127,'7月运营'!$K:$K,'②7月-汇总'!$AM$2,'7月运营'!$G:$G,"岗位核算")</f>
        <v>0</v>
      </c>
      <c r="AN127" s="18">
        <f>SUMIFS('7月运营'!$F:$F,'7月运营'!$A:$A,D127,'7月运营'!$K:$K,$AN$2,'7月运营'!$G:$G,"岗位核算")</f>
        <v>0</v>
      </c>
      <c r="AO127" s="18" t="str">
        <f t="shared" si="19"/>
        <v/>
      </c>
      <c r="AP127" s="18">
        <f t="shared" si="11"/>
        <v>31</v>
      </c>
      <c r="AQ127" s="18">
        <f>_xlfn.XLOOKUP(D127,'7月运营'!A:A,'7月运营'!G:G,0)</f>
        <v>0</v>
      </c>
    </row>
    <row r="128" spans="1:43" x14ac:dyDescent="0.15">
      <c r="A128" s="11" t="str">
        <v>明信</v>
      </c>
      <c r="B128" s="11" t="str">
        <v>健康师</v>
      </c>
      <c r="C128" s="11" t="str">
        <v>A</v>
      </c>
      <c r="D128" s="11" t="str">
        <v>冷忠翠</v>
      </c>
      <c r="E128" s="11" t="str">
        <v>在职</v>
      </c>
      <c r="F128" s="11" t="str">
        <v>事业部</v>
      </c>
      <c r="G128" s="11">
        <f>_xlfn.XLOOKUP(D128,'①7月-花名册'!E:E,'①7月-花名册'!U:U,0)</f>
        <v>0</v>
      </c>
      <c r="H128" s="11">
        <f>_xlfn.XLOOKUP(D128,'①7月-花名册'!E:E,'①7月-花名册'!M:M,0)</f>
        <v>31</v>
      </c>
      <c r="I128" s="11">
        <f>_xlfn.XLOOKUP(D128,'①7月-花名册'!E:E,'①7月-花名册'!S:S,0)</f>
        <v>4</v>
      </c>
      <c r="J128" s="14">
        <f t="shared" si="12"/>
        <v>4</v>
      </c>
      <c r="K128" s="23">
        <v>4</v>
      </c>
      <c r="L128" s="23"/>
      <c r="M128" s="23"/>
      <c r="N128" s="23"/>
      <c r="O128" s="23"/>
      <c r="P128" s="15">
        <f t="shared" si="13"/>
        <v>27</v>
      </c>
      <c r="Q128" s="15">
        <f t="shared" si="14"/>
        <v>31</v>
      </c>
      <c r="R128" s="15">
        <f>IF(F128="事业部",LOOKUP(Q128,基础设置!$T$2:$T$6,基础设置!$U$2:$U$6),IF(F128="总部",LOOKUP(Q128,基础设置!$T$8:$T$13,基础设置!$V$8:$V$13),IF(F128="拓展部",LOOKUP(Q128,基础设置!$T$8:$T$13,基础设置!$W$8:$W$13),2000)))</f>
        <v>4</v>
      </c>
      <c r="S128" s="15">
        <f t="shared" si="15"/>
        <v>31</v>
      </c>
      <c r="T128" s="15">
        <f t="shared" si="16"/>
        <v>0</v>
      </c>
      <c r="U128" s="15">
        <f t="shared" si="17"/>
        <v>0</v>
      </c>
      <c r="V128" s="15">
        <f t="shared" si="10"/>
        <v>0</v>
      </c>
      <c r="W128" s="15">
        <f t="shared" si="18"/>
        <v>0</v>
      </c>
      <c r="X128" s="26">
        <v>10</v>
      </c>
      <c r="Y128" s="26"/>
      <c r="Z128" s="26"/>
      <c r="AA128" s="26"/>
      <c r="AB128" s="27"/>
      <c r="AC128" s="27"/>
      <c r="AD128" s="27"/>
      <c r="AE128" s="27"/>
      <c r="AF128" s="27"/>
      <c r="AG128" s="27"/>
      <c r="AH128" s="17">
        <f>_xlfn.XLOOKUP(D128,'①7月-花名册'!E:E,'①7月-花名册'!T:T,0)</f>
        <v>0</v>
      </c>
      <c r="AI128" s="15">
        <f>SUMIFS('7月运营'!$L:$L,'7月运营'!$A:$A,D128,'7月运营'!$K:$K,$A$1)</f>
        <v>0</v>
      </c>
      <c r="AJ128" s="15">
        <f>SUMIFS('7月运营'!H:H,'7月运营'!$A:$A,D128,'7月运营'!$K:$K,$A$1)</f>
        <v>0</v>
      </c>
      <c r="AK128" s="15">
        <f>SUMIFS(上月未发人员明细!I:I,上月未发人员明细!J:J,$AK$2,上月未发人员明细!A:A,D128)</f>
        <v>0</v>
      </c>
      <c r="AL128" s="15">
        <f>SUMIFS('7月运营'!L:L,'7月运营'!$A:$A,D128,'7月运营'!$K:$K,$AL$2)</f>
        <v>0</v>
      </c>
      <c r="AM128" s="18">
        <f>SUMIFS('7月运营'!$F:$F,'7月运营'!$A:$A,D128,'7月运营'!$K:$K,'②7月-汇总'!$AM$2,'7月运营'!$G:$G,"岗位核算")</f>
        <v>0</v>
      </c>
      <c r="AN128" s="18">
        <f>SUMIFS('7月运营'!$F:$F,'7月运营'!$A:$A,D128,'7月运营'!$K:$K,$AN$2,'7月运营'!$G:$G,"岗位核算")</f>
        <v>0</v>
      </c>
      <c r="AO128" s="18" t="str">
        <f t="shared" si="19"/>
        <v/>
      </c>
      <c r="AP128" s="18">
        <f t="shared" si="11"/>
        <v>31</v>
      </c>
      <c r="AQ128" s="18">
        <f>_xlfn.XLOOKUP(D128,'7月运营'!A:A,'7月运营'!G:G,0)</f>
        <v>0</v>
      </c>
    </row>
    <row r="129" spans="1:43" x14ac:dyDescent="0.15">
      <c r="A129" s="11" t="str">
        <v>明信</v>
      </c>
      <c r="B129" s="11" t="str">
        <v>店长</v>
      </c>
      <c r="C129" s="11" t="str">
        <v>B</v>
      </c>
      <c r="D129" s="11" t="str">
        <v>糜清云</v>
      </c>
      <c r="E129" s="11" t="str">
        <v>在职</v>
      </c>
      <c r="F129" s="11" t="str">
        <v>事业部</v>
      </c>
      <c r="G129" s="11">
        <f>_xlfn.XLOOKUP(D129,'①7月-花名册'!E:E,'①7月-花名册'!U:U,0)</f>
        <v>0</v>
      </c>
      <c r="H129" s="11">
        <f>_xlfn.XLOOKUP(D129,'①7月-花名册'!E:E,'①7月-花名册'!M:M,0)</f>
        <v>31</v>
      </c>
      <c r="I129" s="11">
        <f>_xlfn.XLOOKUP(D129,'①7月-花名册'!E:E,'①7月-花名册'!S:S,0)</f>
        <v>4</v>
      </c>
      <c r="J129" s="14">
        <f t="shared" si="12"/>
        <v>5</v>
      </c>
      <c r="K129" s="23">
        <v>4</v>
      </c>
      <c r="L129" s="23">
        <v>1</v>
      </c>
      <c r="M129" s="23"/>
      <c r="N129" s="23"/>
      <c r="O129" s="23"/>
      <c r="P129" s="15">
        <f t="shared" si="13"/>
        <v>26</v>
      </c>
      <c r="Q129" s="15">
        <f t="shared" si="14"/>
        <v>30</v>
      </c>
      <c r="R129" s="15">
        <f>IF(F129="事业部",LOOKUP(Q129,基础设置!$T$2:$T$6,基础设置!$U$2:$U$6),IF(F129="总部",LOOKUP(Q129,基础设置!$T$8:$T$13,基础设置!$V$8:$V$13),IF(F129="拓展部",LOOKUP(Q129,基础设置!$T$8:$T$13,基础设置!$W$8:$W$13),2000)))</f>
        <v>4</v>
      </c>
      <c r="S129" s="15">
        <f t="shared" si="15"/>
        <v>30</v>
      </c>
      <c r="T129" s="15">
        <f t="shared" si="16"/>
        <v>0</v>
      </c>
      <c r="U129" s="15">
        <f t="shared" si="17"/>
        <v>1</v>
      </c>
      <c r="V129" s="15">
        <f t="shared" si="10"/>
        <v>0</v>
      </c>
      <c r="W129" s="15">
        <f t="shared" si="18"/>
        <v>0</v>
      </c>
      <c r="X129" s="26"/>
      <c r="Y129" s="26">
        <v>10</v>
      </c>
      <c r="Z129" s="26"/>
      <c r="AA129" s="26"/>
      <c r="AB129" s="28"/>
      <c r="AC129" s="28"/>
      <c r="AD129" s="28"/>
      <c r="AE129" s="28"/>
      <c r="AF129" s="28"/>
      <c r="AG129" s="28"/>
      <c r="AH129" s="17">
        <f>_xlfn.XLOOKUP(D129,'①7月-花名册'!E:E,'①7月-花名册'!T:T,0)</f>
        <v>0</v>
      </c>
      <c r="AI129" s="15">
        <f>SUMIFS('7月运营'!$L:$L,'7月运营'!$A:$A,D129,'7月运营'!$K:$K,$A$1)</f>
        <v>0</v>
      </c>
      <c r="AJ129" s="15">
        <f>SUMIFS('7月运营'!H:H,'7月运营'!$A:$A,D129,'7月运营'!$K:$K,$A$1)</f>
        <v>0</v>
      </c>
      <c r="AK129" s="15">
        <f>SUMIFS(上月未发人员明细!I:I,上月未发人员明细!J:J,$AK$2,上月未发人员明细!A:A,D129)</f>
        <v>0</v>
      </c>
      <c r="AL129" s="15">
        <f>SUMIFS('7月运营'!L:L,'7月运营'!$A:$A,D129,'7月运营'!$K:$K,$AL$2)</f>
        <v>0</v>
      </c>
      <c r="AM129" s="18">
        <f>SUMIFS('7月运营'!$F:$F,'7月运营'!$A:$A,D129,'7月运营'!$K:$K,'②7月-汇总'!$AM$2,'7月运营'!$G:$G,"岗位核算")</f>
        <v>0</v>
      </c>
      <c r="AN129" s="18">
        <f>SUMIFS('7月运营'!$F:$F,'7月运营'!$A:$A,D129,'7月运营'!$K:$K,$AN$2,'7月运营'!$G:$G,"岗位核算")</f>
        <v>0</v>
      </c>
      <c r="AO129" s="18" t="str">
        <f t="shared" si="19"/>
        <v/>
      </c>
      <c r="AP129" s="18">
        <f t="shared" si="11"/>
        <v>30</v>
      </c>
      <c r="AQ129" s="18">
        <f>_xlfn.XLOOKUP(D129,'7月运营'!A:A,'7月运营'!G:G,0)</f>
        <v>0</v>
      </c>
    </row>
    <row r="130" spans="1:43" x14ac:dyDescent="0.15">
      <c r="A130" s="11" t="str">
        <v>明信</v>
      </c>
      <c r="B130" s="11" t="str">
        <v>健康师</v>
      </c>
      <c r="C130" s="11" t="str">
        <v>A</v>
      </c>
      <c r="D130" s="11" t="str">
        <v>贺金云</v>
      </c>
      <c r="E130" s="11" t="str">
        <v>离职</v>
      </c>
      <c r="F130" s="11" t="str">
        <v>事业部</v>
      </c>
      <c r="G130" s="11">
        <f>_xlfn.XLOOKUP(D130,'①7月-花名册'!E:E,'①7月-花名册'!U:U,0)</f>
        <v>0</v>
      </c>
      <c r="H130" s="11">
        <f>_xlfn.XLOOKUP(D130,'①7月-花名册'!E:E,'①7月-花名册'!M:M,0)</f>
        <v>20</v>
      </c>
      <c r="I130" s="11">
        <f>_xlfn.XLOOKUP(D130,'①7月-花名册'!E:E,'①7月-花名册'!S:S,0)</f>
        <v>2</v>
      </c>
      <c r="J130" s="14">
        <f t="shared" si="12"/>
        <v>3</v>
      </c>
      <c r="K130" s="23">
        <v>2</v>
      </c>
      <c r="L130" s="23">
        <v>1</v>
      </c>
      <c r="M130" s="23"/>
      <c r="N130" s="23"/>
      <c r="O130" s="23"/>
      <c r="P130" s="15">
        <f t="shared" si="13"/>
        <v>17</v>
      </c>
      <c r="Q130" s="15">
        <f t="shared" si="14"/>
        <v>19</v>
      </c>
      <c r="R130" s="15">
        <f>IF(F130="事业部",LOOKUP(Q130,基础设置!$T$2:$T$6,基础设置!$U$2:$U$6),IF(F130="总部",LOOKUP(Q130,基础设置!$T$8:$T$13,基础设置!$V$8:$V$13),IF(F130="拓展部",LOOKUP(Q130,基础设置!$T$8:$T$13,基础设置!$W$8:$W$13),2000)))</f>
        <v>2</v>
      </c>
      <c r="S130" s="15">
        <f t="shared" si="15"/>
        <v>19</v>
      </c>
      <c r="T130" s="15">
        <f t="shared" si="16"/>
        <v>0</v>
      </c>
      <c r="U130" s="15">
        <f t="shared" si="17"/>
        <v>1</v>
      </c>
      <c r="V130" s="15">
        <f t="shared" si="10"/>
        <v>0</v>
      </c>
      <c r="W130" s="15">
        <f t="shared" si="18"/>
        <v>0</v>
      </c>
      <c r="X130" s="26"/>
      <c r="Y130" s="26"/>
      <c r="Z130" s="26"/>
      <c r="AA130" s="26"/>
      <c r="AB130" s="27">
        <v>760</v>
      </c>
      <c r="AC130" s="27"/>
      <c r="AD130" s="27"/>
      <c r="AE130" s="27">
        <v>300</v>
      </c>
      <c r="AF130" s="27"/>
      <c r="AG130" s="27"/>
      <c r="AH130" s="17">
        <f>_xlfn.XLOOKUP(D130,'①7月-花名册'!E:E,'①7月-花名册'!T:T,0)</f>
        <v>0</v>
      </c>
      <c r="AI130" s="15">
        <f>SUMIFS('7月运营'!$L:$L,'7月运营'!$A:$A,D130,'7月运营'!$K:$K,$A$1)</f>
        <v>0</v>
      </c>
      <c r="AJ130" s="15">
        <f>SUMIFS('7月运营'!H:H,'7月运营'!$A:$A,D130,'7月运营'!$K:$K,$A$1)</f>
        <v>0</v>
      </c>
      <c r="AK130" s="15">
        <f>SUMIFS(上月未发人员明细!I:I,上月未发人员明细!J:J,$AK$2,上月未发人员明细!A:A,D130)</f>
        <v>0</v>
      </c>
      <c r="AL130" s="15">
        <f>SUMIFS('7月运营'!L:L,'7月运营'!$A:$A,D130,'7月运营'!$K:$K,$AL$2)</f>
        <v>0</v>
      </c>
      <c r="AM130" s="18">
        <f>SUMIFS('7月运营'!$F:$F,'7月运营'!$A:$A,D130,'7月运营'!$K:$K,'②7月-汇总'!$AM$2,'7月运营'!$G:$G,"岗位核算")</f>
        <v>0</v>
      </c>
      <c r="AN130" s="18">
        <f>SUMIFS('7月运营'!$F:$F,'7月运营'!$A:$A,D130,'7月运营'!$K:$K,$AN$2,'7月运营'!$G:$G,"岗位核算")</f>
        <v>0</v>
      </c>
      <c r="AO130" s="18" t="str">
        <f t="shared" si="19"/>
        <v/>
      </c>
      <c r="AP130" s="18">
        <f t="shared" si="11"/>
        <v>19</v>
      </c>
      <c r="AQ130" s="18">
        <f>_xlfn.XLOOKUP(D130,'7月运营'!A:A,'7月运营'!G:G,0)</f>
        <v>0</v>
      </c>
    </row>
    <row r="131" spans="1:43" x14ac:dyDescent="0.15">
      <c r="A131" s="11" t="str">
        <v>明信</v>
      </c>
      <c r="B131" s="11" t="str">
        <v>健康师</v>
      </c>
      <c r="C131" s="11" t="str">
        <v>A</v>
      </c>
      <c r="D131" s="11" t="str">
        <v>舒许芳</v>
      </c>
      <c r="E131" s="11" t="str">
        <v>在职</v>
      </c>
      <c r="F131" s="11" t="str">
        <v>事业部</v>
      </c>
      <c r="G131" s="11">
        <f>_xlfn.XLOOKUP(D131,'①7月-花名册'!E:E,'①7月-花名册'!U:U,0)</f>
        <v>0</v>
      </c>
      <c r="H131" s="11">
        <f>_xlfn.XLOOKUP(D131,'①7月-花名册'!E:E,'①7月-花名册'!M:M,0)</f>
        <v>31</v>
      </c>
      <c r="I131" s="11">
        <f>_xlfn.XLOOKUP(D131,'①7月-花名册'!E:E,'①7月-花名册'!S:S,0)</f>
        <v>4</v>
      </c>
      <c r="J131" s="14">
        <f t="shared" si="12"/>
        <v>5</v>
      </c>
      <c r="K131" s="23">
        <v>4</v>
      </c>
      <c r="L131" s="23">
        <v>1</v>
      </c>
      <c r="M131" s="23"/>
      <c r="N131" s="23"/>
      <c r="O131" s="23"/>
      <c r="P131" s="15">
        <f t="shared" si="13"/>
        <v>26</v>
      </c>
      <c r="Q131" s="15">
        <f t="shared" si="14"/>
        <v>30</v>
      </c>
      <c r="R131" s="15">
        <f>IF(F131="事业部",LOOKUP(Q131,基础设置!$T$2:$T$6,基础设置!$U$2:$U$6),IF(F131="总部",LOOKUP(Q131,基础设置!$T$8:$T$13,基础设置!$V$8:$V$13),IF(F131="拓展部",LOOKUP(Q131,基础设置!$T$8:$T$13,基础设置!$W$8:$W$13),2000)))</f>
        <v>4</v>
      </c>
      <c r="S131" s="15">
        <f t="shared" si="15"/>
        <v>30</v>
      </c>
      <c r="T131" s="15">
        <f t="shared" si="16"/>
        <v>0</v>
      </c>
      <c r="U131" s="15">
        <f t="shared" si="17"/>
        <v>1</v>
      </c>
      <c r="V131" s="15">
        <f t="shared" si="10"/>
        <v>0</v>
      </c>
      <c r="W131" s="15">
        <f t="shared" si="18"/>
        <v>0</v>
      </c>
      <c r="X131" s="26"/>
      <c r="Y131" s="26"/>
      <c r="Z131" s="26"/>
      <c r="AA131" s="26"/>
      <c r="AB131" s="27"/>
      <c r="AC131" s="27"/>
      <c r="AD131" s="27"/>
      <c r="AE131" s="27"/>
      <c r="AF131" s="27"/>
      <c r="AG131" s="27"/>
      <c r="AH131" s="17">
        <f>_xlfn.XLOOKUP(D131,'①7月-花名册'!E:E,'①7月-花名册'!T:T,0)</f>
        <v>3500</v>
      </c>
      <c r="AI131" s="15">
        <f>SUMIFS('7月运营'!$L:$L,'7月运营'!$A:$A,D131,'7月运营'!$K:$K,$A$1)</f>
        <v>0</v>
      </c>
      <c r="AJ131" s="15">
        <f>SUMIFS('7月运营'!H:H,'7月运营'!$A:$A,D131,'7月运营'!$K:$K,$A$1)</f>
        <v>0</v>
      </c>
      <c r="AK131" s="15">
        <f>SUMIFS(上月未发人员明细!I:I,上月未发人员明细!J:J,$AK$2,上月未发人员明细!A:A,D131)</f>
        <v>0</v>
      </c>
      <c r="AL131" s="15">
        <f>SUMIFS('7月运营'!L:L,'7月运营'!$A:$A,D131,'7月运营'!$K:$K,$AL$2)</f>
        <v>0</v>
      </c>
      <c r="AM131" s="18">
        <f>SUMIFS('7月运营'!$F:$F,'7月运营'!$A:$A,D131,'7月运营'!$K:$K,'②7月-汇总'!$AM$2,'7月运营'!$G:$G,"岗位核算")</f>
        <v>0</v>
      </c>
      <c r="AN131" s="18">
        <f>SUMIFS('7月运营'!$F:$F,'7月运营'!$A:$A,D131,'7月运营'!$K:$K,$AN$2,'7月运营'!$G:$G,"岗位核算")</f>
        <v>0</v>
      </c>
      <c r="AO131" s="18" t="str">
        <f t="shared" si="19"/>
        <v/>
      </c>
      <c r="AP131" s="18">
        <f t="shared" si="11"/>
        <v>30</v>
      </c>
      <c r="AQ131" s="18">
        <f>_xlfn.XLOOKUP(D131,'7月运营'!A:A,'7月运营'!G:G,0)</f>
        <v>0</v>
      </c>
    </row>
    <row r="132" spans="1:43" x14ac:dyDescent="0.15">
      <c r="A132" s="11" t="str">
        <v>红光</v>
      </c>
      <c r="B132" s="11" t="str">
        <v>健康师</v>
      </c>
      <c r="C132" s="11" t="str">
        <v>A</v>
      </c>
      <c r="D132" s="11" t="str">
        <v>包竹梅</v>
      </c>
      <c r="E132" s="11" t="str">
        <v>在职</v>
      </c>
      <c r="F132" s="11" t="str">
        <v>事业部</v>
      </c>
      <c r="G132" s="11">
        <f>_xlfn.XLOOKUP(D132,'①7月-花名册'!E:E,'①7月-花名册'!U:U,0)</f>
        <v>0</v>
      </c>
      <c r="H132" s="11">
        <f>_xlfn.XLOOKUP(D132,'①7月-花名册'!E:E,'①7月-花名册'!M:M,0)</f>
        <v>31</v>
      </c>
      <c r="I132" s="11">
        <f>_xlfn.XLOOKUP(D132,'①7月-花名册'!E:E,'①7月-花名册'!S:S,0)</f>
        <v>4</v>
      </c>
      <c r="J132" s="14">
        <f t="shared" si="12"/>
        <v>4</v>
      </c>
      <c r="K132" s="23">
        <v>4</v>
      </c>
      <c r="L132" s="23"/>
      <c r="M132" s="23"/>
      <c r="N132" s="23"/>
      <c r="O132" s="23"/>
      <c r="P132" s="15">
        <f t="shared" si="13"/>
        <v>27</v>
      </c>
      <c r="Q132" s="15">
        <f t="shared" si="14"/>
        <v>31</v>
      </c>
      <c r="R132" s="15">
        <f>IF(F132="事业部",LOOKUP(Q132,基础设置!$T$2:$T$6,基础设置!$U$2:$U$6),IF(F132="总部",LOOKUP(Q132,基础设置!$T$8:$T$13,基础设置!$V$8:$V$13),IF(F132="拓展部",LOOKUP(Q132,基础设置!$T$8:$T$13,基础设置!$W$8:$W$13),2000)))</f>
        <v>4</v>
      </c>
      <c r="S132" s="15">
        <f t="shared" si="15"/>
        <v>31</v>
      </c>
      <c r="T132" s="15">
        <f t="shared" si="16"/>
        <v>0</v>
      </c>
      <c r="U132" s="15">
        <f t="shared" si="17"/>
        <v>0</v>
      </c>
      <c r="V132" s="15">
        <f t="shared" ref="V132:V195" si="20">IF(AND(E132="离职",H132&lt;=26),0,IF(AND(X132=0,Y132=0,AH132=0),IF(B132="保洁",0,IF(R132-K132&lt;0,0,R132-K132)),0))</f>
        <v>0</v>
      </c>
      <c r="W132" s="15">
        <f t="shared" si="18"/>
        <v>0</v>
      </c>
      <c r="X132" s="26"/>
      <c r="Y132" s="26"/>
      <c r="Z132" s="26"/>
      <c r="AA132" s="26"/>
      <c r="AB132" s="27"/>
      <c r="AC132" s="27"/>
      <c r="AD132" s="27"/>
      <c r="AE132" s="27"/>
      <c r="AF132" s="27"/>
      <c r="AG132" s="27"/>
      <c r="AH132" s="17">
        <f>_xlfn.XLOOKUP(D132,'①7月-花名册'!E:E,'①7月-花名册'!T:T,0)</f>
        <v>0</v>
      </c>
      <c r="AI132" s="15">
        <f>SUMIFS('7月运营'!$L:$L,'7月运营'!$A:$A,D132,'7月运营'!$K:$K,$A$1)</f>
        <v>0</v>
      </c>
      <c r="AJ132" s="15">
        <f>SUMIFS('7月运营'!H:H,'7月运营'!$A:$A,D132,'7月运营'!$K:$K,$A$1)</f>
        <v>0</v>
      </c>
      <c r="AK132" s="15">
        <f>SUMIFS(上月未发人员明细!I:I,上月未发人员明细!J:J,$AK$2,上月未发人员明细!A:A,D132)</f>
        <v>0</v>
      </c>
      <c r="AL132" s="15">
        <f>SUMIFS('7月运营'!L:L,'7月运营'!$A:$A,D132,'7月运营'!$K:$K,$AL$2)</f>
        <v>0</v>
      </c>
      <c r="AM132" s="18">
        <f>SUMIFS('7月运营'!$F:$F,'7月运营'!$A:$A,D132,'7月运营'!$K:$K,'②7月-汇总'!$AM$2,'7月运营'!$G:$G,"岗位核算")</f>
        <v>0</v>
      </c>
      <c r="AN132" s="18">
        <f>SUMIFS('7月运营'!$F:$F,'7月运营'!$A:$A,D132,'7月运营'!$K:$K,$AN$2,'7月运营'!$G:$G,"岗位核算")</f>
        <v>0</v>
      </c>
      <c r="AO132" s="18" t="str">
        <f t="shared" si="19"/>
        <v/>
      </c>
      <c r="AP132" s="18">
        <f t="shared" ref="AP132:AP195" si="21">IF(AM132=0,S132,AM132)</f>
        <v>31</v>
      </c>
      <c r="AQ132" s="18">
        <f>_xlfn.XLOOKUP(D132,'7月运营'!A:A,'7月运营'!G:G,0)</f>
        <v>0</v>
      </c>
    </row>
    <row r="133" spans="1:43" x14ac:dyDescent="0.15">
      <c r="A133" s="11" t="str">
        <v>犀浦</v>
      </c>
      <c r="B133" s="11" t="str">
        <v>健康师</v>
      </c>
      <c r="C133" s="11" t="str">
        <v>A</v>
      </c>
      <c r="D133" s="11" t="str">
        <v>欧迎春</v>
      </c>
      <c r="E133" s="11" t="str">
        <v>在职</v>
      </c>
      <c r="F133" s="11" t="str">
        <v>事业部</v>
      </c>
      <c r="G133" s="11">
        <f>_xlfn.XLOOKUP(D133,'①7月-花名册'!E:E,'①7月-花名册'!U:U,0)</f>
        <v>0</v>
      </c>
      <c r="H133" s="11">
        <f>_xlfn.XLOOKUP(D133,'①7月-花名册'!E:E,'①7月-花名册'!M:M,0)</f>
        <v>31</v>
      </c>
      <c r="I133" s="11">
        <f>_xlfn.XLOOKUP(D133,'①7月-花名册'!E:E,'①7月-花名册'!S:S,0)</f>
        <v>4</v>
      </c>
      <c r="J133" s="14">
        <f t="shared" ref="J133:J196" si="22">SUM(K133:O133)</f>
        <v>4</v>
      </c>
      <c r="K133" s="23">
        <v>4</v>
      </c>
      <c r="L133" s="23"/>
      <c r="M133" s="23"/>
      <c r="N133" s="23"/>
      <c r="O133" s="23"/>
      <c r="P133" s="15">
        <f t="shared" ref="P133:P196" si="23">H133-SUM(K133:O133)</f>
        <v>27</v>
      </c>
      <c r="Q133" s="15">
        <f t="shared" ref="Q133:Q196" si="24">P133+K133+O133+N133+M133</f>
        <v>31</v>
      </c>
      <c r="R133" s="15">
        <f>IF(F133="事业部",LOOKUP(Q133,基础设置!$T$2:$T$6,基础设置!$U$2:$U$6),IF(F133="总部",LOOKUP(Q133,基础设置!$T$8:$T$13,基础设置!$V$8:$V$13),IF(F133="拓展部",LOOKUP(Q133,基础设置!$T$8:$T$13,基础设置!$W$8:$W$13),2000)))</f>
        <v>4</v>
      </c>
      <c r="S133" s="15">
        <f t="shared" ref="S133:S196" si="25">K133+M133+N133+O133+P133</f>
        <v>31</v>
      </c>
      <c r="T133" s="15">
        <f t="shared" ref="T133:T196" si="26">IF(K133-R133&lt;0,0,K133-R133)</f>
        <v>0</v>
      </c>
      <c r="U133" s="15">
        <f t="shared" ref="U133:U196" si="27">T133+L133</f>
        <v>0</v>
      </c>
      <c r="V133" s="15">
        <f t="shared" si="20"/>
        <v>0</v>
      </c>
      <c r="W133" s="15">
        <f t="shared" ref="W133:W196" si="28">V133*20</f>
        <v>0</v>
      </c>
      <c r="X133" s="26">
        <v>90</v>
      </c>
      <c r="Y133" s="26"/>
      <c r="Z133" s="26"/>
      <c r="AA133" s="26"/>
      <c r="AB133" s="27"/>
      <c r="AC133" s="27"/>
      <c r="AD133" s="27"/>
      <c r="AE133" s="27"/>
      <c r="AF133" s="27"/>
      <c r="AG133" s="27"/>
      <c r="AH133" s="17">
        <f>_xlfn.XLOOKUP(D133,'①7月-花名册'!E:E,'①7月-花名册'!T:T,0)</f>
        <v>0</v>
      </c>
      <c r="AI133" s="15">
        <f>SUMIFS('7月运营'!$L:$L,'7月运营'!$A:$A,D133,'7月运营'!$K:$K,$A$1)</f>
        <v>0</v>
      </c>
      <c r="AJ133" s="15">
        <f>SUMIFS('7月运营'!H:H,'7月运营'!$A:$A,D133,'7月运营'!$K:$K,$A$1)</f>
        <v>0</v>
      </c>
      <c r="AK133" s="15">
        <f>SUMIFS(上月未发人员明细!I:I,上月未发人员明细!J:J,$AK$2,上月未发人员明细!A:A,D133)</f>
        <v>0</v>
      </c>
      <c r="AL133" s="15">
        <f>SUMIFS('7月运营'!L:L,'7月运营'!$A:$A,D133,'7月运营'!$K:$K,$AL$2)</f>
        <v>0</v>
      </c>
      <c r="AM133" s="18">
        <f>SUMIFS('7月运营'!$F:$F,'7月运营'!$A:$A,D133,'7月运营'!$K:$K,'②7月-汇总'!$AM$2,'7月运营'!$G:$G,"岗位核算")</f>
        <v>0</v>
      </c>
      <c r="AN133" s="18">
        <f>SUMIFS('7月运营'!$F:$F,'7月运营'!$A:$A,D133,'7月运营'!$K:$K,$AN$2,'7月运营'!$G:$G,"岗位核算")</f>
        <v>0</v>
      </c>
      <c r="AO133" s="18" t="str">
        <f t="shared" ref="AO133:AO196" si="29">IF(AN133&lt;&gt;0,"有","")</f>
        <v/>
      </c>
      <c r="AP133" s="18">
        <f t="shared" si="21"/>
        <v>31</v>
      </c>
      <c r="AQ133" s="18">
        <f>_xlfn.XLOOKUP(D133,'7月运营'!A:A,'7月运营'!G:G,0)</f>
        <v>0</v>
      </c>
    </row>
    <row r="134" spans="1:43" x14ac:dyDescent="0.15">
      <c r="A134" s="11" t="str">
        <v>犀浦</v>
      </c>
      <c r="B134" s="11" t="str">
        <v>健康师</v>
      </c>
      <c r="C134" s="11" t="str">
        <v>A</v>
      </c>
      <c r="D134" s="11" t="str">
        <v>谭芙蓉</v>
      </c>
      <c r="E134" s="11" t="str">
        <v>在职</v>
      </c>
      <c r="F134" s="11" t="str">
        <v>事业部</v>
      </c>
      <c r="G134" s="11">
        <f>_xlfn.XLOOKUP(D134,'①7月-花名册'!E:E,'①7月-花名册'!U:U,0)</f>
        <v>0</v>
      </c>
      <c r="H134" s="11">
        <f>_xlfn.XLOOKUP(D134,'①7月-花名册'!E:E,'①7月-花名册'!M:M,0)</f>
        <v>31</v>
      </c>
      <c r="I134" s="11">
        <f>_xlfn.XLOOKUP(D134,'①7月-花名册'!E:E,'①7月-花名册'!S:S,0)</f>
        <v>4</v>
      </c>
      <c r="J134" s="14">
        <f t="shared" si="22"/>
        <v>4</v>
      </c>
      <c r="K134" s="23">
        <v>4</v>
      </c>
      <c r="L134" s="23"/>
      <c r="M134" s="23"/>
      <c r="N134" s="23"/>
      <c r="O134" s="23"/>
      <c r="P134" s="15">
        <f t="shared" si="23"/>
        <v>27</v>
      </c>
      <c r="Q134" s="15">
        <f t="shared" si="24"/>
        <v>31</v>
      </c>
      <c r="R134" s="15">
        <f>IF(F134="事业部",LOOKUP(Q134,基础设置!$T$2:$T$6,基础设置!$U$2:$U$6),IF(F134="总部",LOOKUP(Q134,基础设置!$T$8:$T$13,基础设置!$V$8:$V$13),IF(F134="拓展部",LOOKUP(Q134,基础设置!$T$8:$T$13,基础设置!$W$8:$W$13),2000)))</f>
        <v>4</v>
      </c>
      <c r="S134" s="15">
        <f t="shared" si="25"/>
        <v>31</v>
      </c>
      <c r="T134" s="15">
        <f t="shared" si="26"/>
        <v>0</v>
      </c>
      <c r="U134" s="15">
        <f t="shared" si="27"/>
        <v>0</v>
      </c>
      <c r="V134" s="15">
        <f t="shared" si="20"/>
        <v>0</v>
      </c>
      <c r="W134" s="15">
        <f t="shared" si="28"/>
        <v>0</v>
      </c>
      <c r="X134" s="26">
        <v>10</v>
      </c>
      <c r="Y134" s="26"/>
      <c r="Z134" s="26"/>
      <c r="AA134" s="26"/>
      <c r="AB134" s="27"/>
      <c r="AC134" s="27"/>
      <c r="AD134" s="27"/>
      <c r="AE134" s="27"/>
      <c r="AF134" s="27"/>
      <c r="AG134" s="27"/>
      <c r="AH134" s="17">
        <f>_xlfn.XLOOKUP(D134,'①7月-花名册'!E:E,'①7月-花名册'!T:T,0)</f>
        <v>0</v>
      </c>
      <c r="AI134" s="15">
        <f>SUMIFS('7月运营'!$L:$L,'7月运营'!$A:$A,D134,'7月运营'!$K:$K,$A$1)</f>
        <v>0</v>
      </c>
      <c r="AJ134" s="15">
        <f>SUMIFS('7月运营'!H:H,'7月运营'!$A:$A,D134,'7月运营'!$K:$K,$A$1)</f>
        <v>0</v>
      </c>
      <c r="AK134" s="15">
        <f>SUMIFS(上月未发人员明细!I:I,上月未发人员明细!J:J,$AK$2,上月未发人员明细!A:A,D134)</f>
        <v>0</v>
      </c>
      <c r="AL134" s="15">
        <f>SUMIFS('7月运营'!L:L,'7月运营'!$A:$A,D134,'7月运营'!$K:$K,$AL$2)</f>
        <v>0</v>
      </c>
      <c r="AM134" s="18">
        <f>SUMIFS('7月运营'!$F:$F,'7月运营'!$A:$A,D134,'7月运营'!$K:$K,'②7月-汇总'!$AM$2,'7月运营'!$G:$G,"岗位核算")</f>
        <v>0</v>
      </c>
      <c r="AN134" s="18">
        <f>SUMIFS('7月运营'!$F:$F,'7月运营'!$A:$A,D134,'7月运营'!$K:$K,$AN$2,'7月运营'!$G:$G,"岗位核算")</f>
        <v>0</v>
      </c>
      <c r="AO134" s="18" t="str">
        <f t="shared" si="29"/>
        <v/>
      </c>
      <c r="AP134" s="18">
        <f t="shared" si="21"/>
        <v>31</v>
      </c>
      <c r="AQ134" s="18">
        <f>_xlfn.XLOOKUP(D134,'7月运营'!A:A,'7月运营'!G:G,0)</f>
        <v>0</v>
      </c>
    </row>
    <row r="135" spans="1:43" x14ac:dyDescent="0.15">
      <c r="A135" s="11" t="str">
        <v>犀浦</v>
      </c>
      <c r="B135" s="11" t="str">
        <v>店长</v>
      </c>
      <c r="C135" s="11" t="str">
        <v>B</v>
      </c>
      <c r="D135" s="11" t="str">
        <v>曾玉莲</v>
      </c>
      <c r="E135" s="11" t="str">
        <v>在职</v>
      </c>
      <c r="F135" s="11" t="str">
        <v>事业部</v>
      </c>
      <c r="G135" s="11">
        <f>_xlfn.XLOOKUP(D135,'①7月-花名册'!E:E,'①7月-花名册'!U:U,0)</f>
        <v>0</v>
      </c>
      <c r="H135" s="11">
        <f>_xlfn.XLOOKUP(D135,'①7月-花名册'!E:E,'①7月-花名册'!M:M,0)</f>
        <v>31</v>
      </c>
      <c r="I135" s="11">
        <f>_xlfn.XLOOKUP(D135,'①7月-花名册'!E:E,'①7月-花名册'!S:S,0)</f>
        <v>4</v>
      </c>
      <c r="J135" s="14">
        <f t="shared" si="22"/>
        <v>4</v>
      </c>
      <c r="K135" s="23">
        <v>4</v>
      </c>
      <c r="L135" s="23"/>
      <c r="M135" s="23"/>
      <c r="N135" s="23"/>
      <c r="O135" s="23"/>
      <c r="P135" s="15">
        <f t="shared" si="23"/>
        <v>27</v>
      </c>
      <c r="Q135" s="15">
        <f t="shared" si="24"/>
        <v>31</v>
      </c>
      <c r="R135" s="15">
        <f>IF(F135="事业部",LOOKUP(Q135,基础设置!$T$2:$T$6,基础设置!$U$2:$U$6),IF(F135="总部",LOOKUP(Q135,基础设置!$T$8:$T$13,基础设置!$V$8:$V$13),IF(F135="拓展部",LOOKUP(Q135,基础设置!$T$8:$T$13,基础设置!$W$8:$W$13),2000)))</f>
        <v>4</v>
      </c>
      <c r="S135" s="15">
        <f t="shared" si="25"/>
        <v>31</v>
      </c>
      <c r="T135" s="15">
        <f t="shared" si="26"/>
        <v>0</v>
      </c>
      <c r="U135" s="15">
        <f t="shared" si="27"/>
        <v>0</v>
      </c>
      <c r="V135" s="15">
        <f t="shared" si="20"/>
        <v>0</v>
      </c>
      <c r="W135" s="15">
        <f t="shared" si="28"/>
        <v>0</v>
      </c>
      <c r="X135" s="26">
        <v>10</v>
      </c>
      <c r="Y135" s="26"/>
      <c r="Z135" s="26"/>
      <c r="AA135" s="26"/>
      <c r="AB135" s="27"/>
      <c r="AC135" s="27"/>
      <c r="AD135" s="27"/>
      <c r="AE135" s="27"/>
      <c r="AF135" s="27"/>
      <c r="AG135" s="27"/>
      <c r="AH135" s="17">
        <f>_xlfn.XLOOKUP(D135,'①7月-花名册'!E:E,'①7月-花名册'!T:T,0)</f>
        <v>0</v>
      </c>
      <c r="AI135" s="15">
        <f>SUMIFS('7月运营'!$L:$L,'7月运营'!$A:$A,D135,'7月运营'!$K:$K,$A$1)</f>
        <v>0</v>
      </c>
      <c r="AJ135" s="15">
        <f>SUMIFS('7月运营'!H:H,'7月运营'!$A:$A,D135,'7月运营'!$K:$K,$A$1)</f>
        <v>0</v>
      </c>
      <c r="AK135" s="15">
        <f>SUMIFS(上月未发人员明细!I:I,上月未发人员明细!J:J,$AK$2,上月未发人员明细!A:A,D135)</f>
        <v>0</v>
      </c>
      <c r="AL135" s="15">
        <f>SUMIFS('7月运营'!L:L,'7月运营'!$A:$A,D135,'7月运营'!$K:$K,$AL$2)</f>
        <v>0</v>
      </c>
      <c r="AM135" s="18">
        <f>SUMIFS('7月运营'!$F:$F,'7月运营'!$A:$A,D135,'7月运营'!$K:$K,'②7月-汇总'!$AM$2,'7月运营'!$G:$G,"岗位核算")</f>
        <v>0</v>
      </c>
      <c r="AN135" s="18">
        <f>SUMIFS('7月运营'!$F:$F,'7月运营'!$A:$A,D135,'7月运营'!$K:$K,$AN$2,'7月运营'!$G:$G,"岗位核算")</f>
        <v>0</v>
      </c>
      <c r="AO135" s="18" t="str">
        <f t="shared" si="29"/>
        <v/>
      </c>
      <c r="AP135" s="18">
        <f t="shared" si="21"/>
        <v>31</v>
      </c>
      <c r="AQ135" s="18">
        <f>_xlfn.XLOOKUP(D135,'7月运营'!A:A,'7月运营'!G:G,0)</f>
        <v>0</v>
      </c>
    </row>
    <row r="136" spans="1:43" x14ac:dyDescent="0.15">
      <c r="A136" s="11" t="str">
        <v>犀浦</v>
      </c>
      <c r="B136" s="11" t="str">
        <v>店助</v>
      </c>
      <c r="C136" s="11" t="str">
        <v>A</v>
      </c>
      <c r="D136" s="11" t="str">
        <v>彭兰钦</v>
      </c>
      <c r="E136" s="11" t="str">
        <v>在职</v>
      </c>
      <c r="F136" s="11" t="str">
        <v>事业部</v>
      </c>
      <c r="G136" s="11">
        <f>_xlfn.XLOOKUP(D136,'①7月-花名册'!E:E,'①7月-花名册'!U:U,0)</f>
        <v>0</v>
      </c>
      <c r="H136" s="11">
        <f>_xlfn.XLOOKUP(D136,'①7月-花名册'!E:E,'①7月-花名册'!M:M,0)</f>
        <v>31</v>
      </c>
      <c r="I136" s="11">
        <f>_xlfn.XLOOKUP(D136,'①7月-花名册'!E:E,'①7月-花名册'!S:S,0)</f>
        <v>4</v>
      </c>
      <c r="J136" s="14">
        <f t="shared" si="22"/>
        <v>4</v>
      </c>
      <c r="K136" s="23">
        <v>4</v>
      </c>
      <c r="L136" s="23"/>
      <c r="M136" s="23"/>
      <c r="N136" s="23"/>
      <c r="O136" s="23"/>
      <c r="P136" s="15">
        <f t="shared" si="23"/>
        <v>27</v>
      </c>
      <c r="Q136" s="15">
        <f t="shared" si="24"/>
        <v>31</v>
      </c>
      <c r="R136" s="15">
        <f>IF(F136="事业部",LOOKUP(Q136,基础设置!$T$2:$T$6,基础设置!$U$2:$U$6),IF(F136="总部",LOOKUP(Q136,基础设置!$T$8:$T$13,基础设置!$V$8:$V$13),IF(F136="拓展部",LOOKUP(Q136,基础设置!$T$8:$T$13,基础设置!$W$8:$W$13),2000)))</f>
        <v>4</v>
      </c>
      <c r="S136" s="15">
        <f t="shared" si="25"/>
        <v>31</v>
      </c>
      <c r="T136" s="15">
        <f t="shared" si="26"/>
        <v>0</v>
      </c>
      <c r="U136" s="15">
        <f t="shared" si="27"/>
        <v>0</v>
      </c>
      <c r="V136" s="15">
        <f t="shared" si="20"/>
        <v>0</v>
      </c>
      <c r="W136" s="15">
        <f t="shared" si="28"/>
        <v>0</v>
      </c>
      <c r="X136" s="26"/>
      <c r="Y136" s="26"/>
      <c r="Z136" s="26"/>
      <c r="AA136" s="26"/>
      <c r="AB136" s="27"/>
      <c r="AC136" s="27"/>
      <c r="AD136" s="27"/>
      <c r="AE136" s="27"/>
      <c r="AF136" s="27"/>
      <c r="AG136" s="27"/>
      <c r="AH136" s="17">
        <f>_xlfn.XLOOKUP(D136,'①7月-花名册'!E:E,'①7月-花名册'!T:T,0)</f>
        <v>0</v>
      </c>
      <c r="AI136" s="15">
        <f>SUMIFS('7月运营'!$L:$L,'7月运营'!$A:$A,D136,'7月运营'!$K:$K,$A$1)</f>
        <v>0</v>
      </c>
      <c r="AJ136" s="15">
        <f>SUMIFS('7月运营'!H:H,'7月运营'!$A:$A,D136,'7月运营'!$K:$K,$A$1)</f>
        <v>0</v>
      </c>
      <c r="AK136" s="15">
        <f>SUMIFS(上月未发人员明细!I:I,上月未发人员明细!J:J,$AK$2,上月未发人员明细!A:A,D136)</f>
        <v>0</v>
      </c>
      <c r="AL136" s="15">
        <f>SUMIFS('7月运营'!L:L,'7月运营'!$A:$A,D136,'7月运营'!$K:$K,$AL$2)</f>
        <v>0</v>
      </c>
      <c r="AM136" s="18">
        <f>SUMIFS('7月运营'!$F:$F,'7月运营'!$A:$A,D136,'7月运营'!$K:$K,'②7月-汇总'!$AM$2,'7月运营'!$G:$G,"岗位核算")</f>
        <v>0</v>
      </c>
      <c r="AN136" s="18">
        <f>SUMIFS('7月运营'!$F:$F,'7月运营'!$A:$A,D136,'7月运营'!$K:$K,$AN$2,'7月运营'!$G:$G,"岗位核算")</f>
        <v>0</v>
      </c>
      <c r="AO136" s="18" t="str">
        <f t="shared" si="29"/>
        <v/>
      </c>
      <c r="AP136" s="18">
        <f t="shared" si="21"/>
        <v>31</v>
      </c>
      <c r="AQ136" s="18">
        <f>_xlfn.XLOOKUP(D136,'7月运营'!A:A,'7月运营'!G:G,0)</f>
        <v>0</v>
      </c>
    </row>
    <row r="137" spans="1:43" x14ac:dyDescent="0.15">
      <c r="A137" s="11" t="str">
        <v>犀浦</v>
      </c>
      <c r="B137" s="11" t="str">
        <v>健康师</v>
      </c>
      <c r="C137" s="11" t="str">
        <v>A</v>
      </c>
      <c r="D137" s="11" t="str">
        <v>刘婵琴</v>
      </c>
      <c r="E137" s="11" t="str">
        <v>在职</v>
      </c>
      <c r="F137" s="11" t="str">
        <v>事业部</v>
      </c>
      <c r="G137" s="11">
        <f>_xlfn.XLOOKUP(D137,'①7月-花名册'!E:E,'①7月-花名册'!U:U,0)</f>
        <v>0</v>
      </c>
      <c r="H137" s="11">
        <f>_xlfn.XLOOKUP(D137,'①7月-花名册'!E:E,'①7月-花名册'!M:M,0)</f>
        <v>31</v>
      </c>
      <c r="I137" s="11">
        <f>_xlfn.XLOOKUP(D137,'①7月-花名册'!E:E,'①7月-花名册'!S:S,0)</f>
        <v>4</v>
      </c>
      <c r="J137" s="14">
        <f t="shared" si="22"/>
        <v>5</v>
      </c>
      <c r="K137" s="23">
        <v>4</v>
      </c>
      <c r="L137" s="23"/>
      <c r="M137" s="23">
        <v>1</v>
      </c>
      <c r="N137" s="23"/>
      <c r="O137" s="23"/>
      <c r="P137" s="15">
        <f t="shared" si="23"/>
        <v>26</v>
      </c>
      <c r="Q137" s="15">
        <f t="shared" si="24"/>
        <v>31</v>
      </c>
      <c r="R137" s="15">
        <f>IF(F137="事业部",LOOKUP(Q137,基础设置!$T$2:$T$6,基础设置!$U$2:$U$6),IF(F137="总部",LOOKUP(Q137,基础设置!$T$8:$T$13,基础设置!$V$8:$V$13),IF(F137="拓展部",LOOKUP(Q137,基础设置!$T$8:$T$13,基础设置!$W$8:$W$13),2000)))</f>
        <v>4</v>
      </c>
      <c r="S137" s="15">
        <f t="shared" si="25"/>
        <v>31</v>
      </c>
      <c r="T137" s="15">
        <f t="shared" si="26"/>
        <v>0</v>
      </c>
      <c r="U137" s="15">
        <f t="shared" si="27"/>
        <v>0</v>
      </c>
      <c r="V137" s="15">
        <f t="shared" si="20"/>
        <v>0</v>
      </c>
      <c r="W137" s="15">
        <f t="shared" si="28"/>
        <v>0</v>
      </c>
      <c r="X137" s="26"/>
      <c r="Y137" s="26"/>
      <c r="Z137" s="26"/>
      <c r="AA137" s="26"/>
      <c r="AB137" s="27"/>
      <c r="AC137" s="27"/>
      <c r="AD137" s="27"/>
      <c r="AE137" s="27"/>
      <c r="AF137" s="27"/>
      <c r="AG137" s="27"/>
      <c r="AH137" s="17">
        <f>_xlfn.XLOOKUP(D137,'①7月-花名册'!E:E,'①7月-花名册'!T:T,0)</f>
        <v>0</v>
      </c>
      <c r="AI137" s="15">
        <f>SUMIFS('7月运营'!$L:$L,'7月运营'!$A:$A,D137,'7月运营'!$K:$K,$A$1)</f>
        <v>0</v>
      </c>
      <c r="AJ137" s="15">
        <f>SUMIFS('7月运营'!H:H,'7月运营'!$A:$A,D137,'7月运营'!$K:$K,$A$1)</f>
        <v>0</v>
      </c>
      <c r="AK137" s="15">
        <f>SUMIFS(上月未发人员明细!I:I,上月未发人员明细!J:J,$AK$2,上月未发人员明细!A:A,D137)</f>
        <v>0</v>
      </c>
      <c r="AL137" s="15">
        <f>SUMIFS('7月运营'!L:L,'7月运营'!$A:$A,D137,'7月运营'!$K:$K,$AL$2)</f>
        <v>0</v>
      </c>
      <c r="AM137" s="18">
        <f>SUMIFS('7月运营'!$F:$F,'7月运营'!$A:$A,D137,'7月运营'!$K:$K,'②7月-汇总'!$AM$2,'7月运营'!$G:$G,"岗位核算")</f>
        <v>0</v>
      </c>
      <c r="AN137" s="18">
        <f>SUMIFS('7月运营'!$F:$F,'7月运营'!$A:$A,D137,'7月运营'!$K:$K,$AN$2,'7月运营'!$G:$G,"岗位核算")</f>
        <v>0</v>
      </c>
      <c r="AO137" s="18" t="str">
        <f t="shared" si="29"/>
        <v/>
      </c>
      <c r="AP137" s="18">
        <f t="shared" si="21"/>
        <v>31</v>
      </c>
      <c r="AQ137" s="18">
        <f>_xlfn.XLOOKUP(D137,'7月运营'!A:A,'7月运营'!G:G,0)</f>
        <v>0</v>
      </c>
    </row>
    <row r="138" spans="1:43" x14ac:dyDescent="0.15">
      <c r="A138" s="11" t="str">
        <v>犀浦</v>
      </c>
      <c r="B138" s="11" t="str">
        <v>健康师</v>
      </c>
      <c r="C138" s="11" t="str">
        <v>A</v>
      </c>
      <c r="D138" s="11" t="str">
        <v>泽仁拉姆</v>
      </c>
      <c r="E138" s="11" t="str">
        <v>在职</v>
      </c>
      <c r="F138" s="11" t="str">
        <v>事业部</v>
      </c>
      <c r="G138" s="11">
        <f>_xlfn.XLOOKUP(D138,'①7月-花名册'!E:E,'①7月-花名册'!U:U,0)</f>
        <v>0</v>
      </c>
      <c r="H138" s="11">
        <f>_xlfn.XLOOKUP(D138,'①7月-花名册'!E:E,'①7月-花名册'!M:M,0)</f>
        <v>31</v>
      </c>
      <c r="I138" s="11">
        <f>_xlfn.XLOOKUP(D138,'①7月-花名册'!E:E,'①7月-花名册'!S:S,0)</f>
        <v>4</v>
      </c>
      <c r="J138" s="14">
        <f t="shared" si="22"/>
        <v>5</v>
      </c>
      <c r="K138" s="23">
        <v>4</v>
      </c>
      <c r="L138" s="23"/>
      <c r="M138" s="23">
        <v>1</v>
      </c>
      <c r="N138" s="23"/>
      <c r="O138" s="23"/>
      <c r="P138" s="15">
        <f t="shared" si="23"/>
        <v>26</v>
      </c>
      <c r="Q138" s="15">
        <f t="shared" si="24"/>
        <v>31</v>
      </c>
      <c r="R138" s="15">
        <f>IF(F138="事业部",LOOKUP(Q138,基础设置!$T$2:$T$6,基础设置!$U$2:$U$6),IF(F138="总部",LOOKUP(Q138,基础设置!$T$8:$T$13,基础设置!$V$8:$V$13),IF(F138="拓展部",LOOKUP(Q138,基础设置!$T$8:$T$13,基础设置!$W$8:$W$13),2000)))</f>
        <v>4</v>
      </c>
      <c r="S138" s="15">
        <f t="shared" si="25"/>
        <v>31</v>
      </c>
      <c r="T138" s="15">
        <f t="shared" si="26"/>
        <v>0</v>
      </c>
      <c r="U138" s="15">
        <f t="shared" si="27"/>
        <v>0</v>
      </c>
      <c r="V138" s="15">
        <f t="shared" si="20"/>
        <v>0</v>
      </c>
      <c r="W138" s="15">
        <f t="shared" si="28"/>
        <v>0</v>
      </c>
      <c r="X138" s="26">
        <v>10</v>
      </c>
      <c r="Y138" s="26"/>
      <c r="Z138" s="26"/>
      <c r="AA138" s="26"/>
      <c r="AB138" s="28"/>
      <c r="AC138" s="27">
        <v>100</v>
      </c>
      <c r="AD138" s="28"/>
      <c r="AE138" s="28"/>
      <c r="AF138" s="28"/>
      <c r="AG138" s="28"/>
      <c r="AH138" s="17">
        <f>_xlfn.XLOOKUP(D138,'①7月-花名册'!E:E,'①7月-花名册'!T:T,0)</f>
        <v>0</v>
      </c>
      <c r="AI138" s="15">
        <f>SUMIFS('7月运营'!$L:$L,'7月运营'!$A:$A,D138,'7月运营'!$K:$K,$A$1)</f>
        <v>0</v>
      </c>
      <c r="AJ138" s="15">
        <f>SUMIFS('7月运营'!H:H,'7月运营'!$A:$A,D138,'7月运营'!$K:$K,$A$1)</f>
        <v>0</v>
      </c>
      <c r="AK138" s="15">
        <f>SUMIFS(上月未发人员明细!I:I,上月未发人员明细!J:J,$AK$2,上月未发人员明细!A:A,D138)</f>
        <v>0</v>
      </c>
      <c r="AL138" s="15">
        <f>SUMIFS('7月运营'!L:L,'7月运营'!$A:$A,D138,'7月运营'!$K:$K,$AL$2)</f>
        <v>0</v>
      </c>
      <c r="AM138" s="18">
        <f>SUMIFS('7月运营'!$F:$F,'7月运营'!$A:$A,D138,'7月运营'!$K:$K,'②7月-汇总'!$AM$2,'7月运营'!$G:$G,"岗位核算")</f>
        <v>0</v>
      </c>
      <c r="AN138" s="18">
        <f>SUMIFS('7月运营'!$F:$F,'7月运营'!$A:$A,D138,'7月运营'!$K:$K,$AN$2,'7月运营'!$G:$G,"岗位核算")</f>
        <v>0</v>
      </c>
      <c r="AO138" s="18" t="str">
        <f t="shared" si="29"/>
        <v/>
      </c>
      <c r="AP138" s="18">
        <f t="shared" si="21"/>
        <v>31</v>
      </c>
      <c r="AQ138" s="18">
        <f>_xlfn.XLOOKUP(D138,'7月运营'!A:A,'7月运营'!G:G,0)</f>
        <v>0</v>
      </c>
    </row>
    <row r="139" spans="1:43" x14ac:dyDescent="0.15">
      <c r="A139" s="11" t="str">
        <v>犀浦</v>
      </c>
      <c r="B139" s="11" t="str">
        <v>健康师</v>
      </c>
      <c r="C139" s="11" t="str">
        <v>A</v>
      </c>
      <c r="D139" s="11" t="str">
        <v>舒阳</v>
      </c>
      <c r="E139" s="11" t="str">
        <v>在职</v>
      </c>
      <c r="F139" s="11" t="str">
        <v>事业部</v>
      </c>
      <c r="G139" s="11">
        <f>_xlfn.XLOOKUP(D139,'①7月-花名册'!E:E,'①7月-花名册'!U:U,0)</f>
        <v>0</v>
      </c>
      <c r="H139" s="11">
        <f>_xlfn.XLOOKUP(D139,'①7月-花名册'!E:E,'①7月-花名册'!M:M,0)</f>
        <v>31</v>
      </c>
      <c r="I139" s="11">
        <f>_xlfn.XLOOKUP(D139,'①7月-花名册'!E:E,'①7月-花名册'!S:S,0)</f>
        <v>4</v>
      </c>
      <c r="J139" s="14">
        <f t="shared" si="22"/>
        <v>4</v>
      </c>
      <c r="K139" s="23">
        <v>4</v>
      </c>
      <c r="L139" s="23"/>
      <c r="M139" s="23"/>
      <c r="N139" s="23"/>
      <c r="O139" s="23"/>
      <c r="P139" s="15">
        <f t="shared" si="23"/>
        <v>27</v>
      </c>
      <c r="Q139" s="15">
        <f t="shared" si="24"/>
        <v>31</v>
      </c>
      <c r="R139" s="15">
        <f>IF(F139="事业部",LOOKUP(Q139,基础设置!$T$2:$T$6,基础设置!$U$2:$U$6),IF(F139="总部",LOOKUP(Q139,基础设置!$T$8:$T$13,基础设置!$V$8:$V$13),IF(F139="拓展部",LOOKUP(Q139,基础设置!$T$8:$T$13,基础设置!$W$8:$W$13),2000)))</f>
        <v>4</v>
      </c>
      <c r="S139" s="15">
        <f t="shared" si="25"/>
        <v>31</v>
      </c>
      <c r="T139" s="15">
        <f t="shared" si="26"/>
        <v>0</v>
      </c>
      <c r="U139" s="15">
        <f t="shared" si="27"/>
        <v>0</v>
      </c>
      <c r="V139" s="15">
        <f t="shared" si="20"/>
        <v>0</v>
      </c>
      <c r="W139" s="15">
        <f t="shared" si="28"/>
        <v>0</v>
      </c>
      <c r="X139" s="26"/>
      <c r="Y139" s="26"/>
      <c r="Z139" s="26">
        <v>50</v>
      </c>
      <c r="AA139" s="26"/>
      <c r="AB139" s="27"/>
      <c r="AC139" s="27"/>
      <c r="AD139" s="27"/>
      <c r="AE139" s="27"/>
      <c r="AF139" s="27"/>
      <c r="AG139" s="27"/>
      <c r="AH139" s="17">
        <f>_xlfn.XLOOKUP(D139,'①7月-花名册'!E:E,'①7月-花名册'!T:T,0)</f>
        <v>4000</v>
      </c>
      <c r="AI139" s="15">
        <f>SUMIFS('7月运营'!$L:$L,'7月运营'!$A:$A,D139,'7月运营'!$K:$K,$A$1)</f>
        <v>0</v>
      </c>
      <c r="AJ139" s="15">
        <f>SUMIFS('7月运营'!H:H,'7月运营'!$A:$A,D139,'7月运营'!$K:$K,$A$1)</f>
        <v>0</v>
      </c>
      <c r="AK139" s="15">
        <f>SUMIFS(上月未发人员明细!I:I,上月未发人员明细!J:J,$AK$2,上月未发人员明细!A:A,D139)</f>
        <v>0</v>
      </c>
      <c r="AL139" s="15">
        <f>SUMIFS('7月运营'!L:L,'7月运营'!$A:$A,D139,'7月运营'!$K:$K,$AL$2)</f>
        <v>0</v>
      </c>
      <c r="AM139" s="18">
        <f>SUMIFS('7月运营'!$F:$F,'7月运营'!$A:$A,D139,'7月运营'!$K:$K,'②7月-汇总'!$AM$2,'7月运营'!$G:$G,"岗位核算")</f>
        <v>0</v>
      </c>
      <c r="AN139" s="18">
        <f>SUMIFS('7月运营'!$F:$F,'7月运营'!$A:$A,D139,'7月运营'!$K:$K,$AN$2,'7月运营'!$G:$G,"岗位核算")</f>
        <v>0</v>
      </c>
      <c r="AO139" s="18" t="str">
        <f t="shared" si="29"/>
        <v/>
      </c>
      <c r="AP139" s="18">
        <f t="shared" si="21"/>
        <v>31</v>
      </c>
      <c r="AQ139" s="18">
        <f>_xlfn.XLOOKUP(D139,'7月运营'!A:A,'7月运营'!G:G,0)</f>
        <v>0</v>
      </c>
    </row>
    <row r="140" spans="1:43" x14ac:dyDescent="0.15">
      <c r="A140" s="11" t="str">
        <v>千禧</v>
      </c>
      <c r="B140" s="11" t="str">
        <v>店长</v>
      </c>
      <c r="C140" s="11" t="str">
        <v>B</v>
      </c>
      <c r="D140" s="11" t="str">
        <v>白丽</v>
      </c>
      <c r="E140" s="11" t="str">
        <v>在职</v>
      </c>
      <c r="F140" s="11" t="str">
        <v>事业部</v>
      </c>
      <c r="G140" s="11">
        <f>_xlfn.XLOOKUP(D140,'①7月-花名册'!E:E,'①7月-花名册'!U:U,0)</f>
        <v>0</v>
      </c>
      <c r="H140" s="11">
        <f>_xlfn.XLOOKUP(D140,'①7月-花名册'!E:E,'①7月-花名册'!M:M,0)</f>
        <v>31</v>
      </c>
      <c r="I140" s="11">
        <f>_xlfn.XLOOKUP(D140,'①7月-花名册'!E:E,'①7月-花名册'!S:S,0)</f>
        <v>4</v>
      </c>
      <c r="J140" s="14">
        <f t="shared" si="22"/>
        <v>4</v>
      </c>
      <c r="K140" s="23">
        <v>4</v>
      </c>
      <c r="L140" s="23"/>
      <c r="M140" s="23"/>
      <c r="N140" s="23"/>
      <c r="O140" s="23"/>
      <c r="P140" s="15">
        <f t="shared" si="23"/>
        <v>27</v>
      </c>
      <c r="Q140" s="15">
        <f t="shared" si="24"/>
        <v>31</v>
      </c>
      <c r="R140" s="15">
        <f>IF(F140="事业部",LOOKUP(Q140,基础设置!$T$2:$T$6,基础设置!$U$2:$U$6),IF(F140="总部",LOOKUP(Q140,基础设置!$T$8:$T$13,基础设置!$V$8:$V$13),IF(F140="拓展部",LOOKUP(Q140,基础设置!$T$8:$T$13,基础设置!$W$8:$W$13),2000)))</f>
        <v>4</v>
      </c>
      <c r="S140" s="15">
        <f t="shared" si="25"/>
        <v>31</v>
      </c>
      <c r="T140" s="15">
        <f t="shared" si="26"/>
        <v>0</v>
      </c>
      <c r="U140" s="15">
        <f t="shared" si="27"/>
        <v>0</v>
      </c>
      <c r="V140" s="15">
        <f t="shared" si="20"/>
        <v>0</v>
      </c>
      <c r="W140" s="15">
        <f t="shared" si="28"/>
        <v>0</v>
      </c>
      <c r="X140" s="26"/>
      <c r="Y140" s="26"/>
      <c r="Z140" s="26"/>
      <c r="AA140" s="26"/>
      <c r="AB140" s="27"/>
      <c r="AC140" s="27"/>
      <c r="AD140" s="27"/>
      <c r="AE140" s="27"/>
      <c r="AF140" s="27"/>
      <c r="AG140" s="27"/>
      <c r="AH140" s="17">
        <f>_xlfn.XLOOKUP(D140,'①7月-花名册'!E:E,'①7月-花名册'!T:T,0)</f>
        <v>0</v>
      </c>
      <c r="AI140" s="15">
        <f>SUMIFS('7月运营'!$L:$L,'7月运营'!$A:$A,D140,'7月运营'!$K:$K,$A$1)</f>
        <v>0</v>
      </c>
      <c r="AJ140" s="15">
        <f>SUMIFS('7月运营'!H:H,'7月运营'!$A:$A,D140,'7月运营'!$K:$K,$A$1)</f>
        <v>0</v>
      </c>
      <c r="AK140" s="15">
        <f>SUMIFS(上月未发人员明细!I:I,上月未发人员明细!J:J,$AK$2,上月未发人员明细!A:A,D140)</f>
        <v>0</v>
      </c>
      <c r="AL140" s="15">
        <f>SUMIFS('7月运营'!L:L,'7月运营'!$A:$A,D140,'7月运营'!$K:$K,$AL$2)</f>
        <v>0</v>
      </c>
      <c r="AM140" s="18">
        <f>SUMIFS('7月运营'!$F:$F,'7月运营'!$A:$A,D140,'7月运营'!$K:$K,'②7月-汇总'!$AM$2,'7月运营'!$G:$G,"岗位核算")</f>
        <v>0</v>
      </c>
      <c r="AN140" s="18">
        <f>SUMIFS('7月运营'!$F:$F,'7月运营'!$A:$A,D140,'7月运营'!$K:$K,$AN$2,'7月运营'!$G:$G,"岗位核算")</f>
        <v>0</v>
      </c>
      <c r="AO140" s="18" t="str">
        <f t="shared" si="29"/>
        <v/>
      </c>
      <c r="AP140" s="18">
        <f t="shared" si="21"/>
        <v>31</v>
      </c>
      <c r="AQ140" s="18">
        <f>_xlfn.XLOOKUP(D140,'7月运营'!A:A,'7月运营'!G:G,0)</f>
        <v>0</v>
      </c>
    </row>
    <row r="141" spans="1:43" x14ac:dyDescent="0.15">
      <c r="A141" s="11" t="str">
        <v>千禧</v>
      </c>
      <c r="B141" s="11" t="str">
        <v>店助</v>
      </c>
      <c r="C141" s="11" t="str">
        <v>A</v>
      </c>
      <c r="D141" s="11" t="str">
        <v>郑巧玲</v>
      </c>
      <c r="E141" s="11" t="str">
        <v>在职</v>
      </c>
      <c r="F141" s="11" t="str">
        <v>事业部</v>
      </c>
      <c r="G141" s="11">
        <f>_xlfn.XLOOKUP(D141,'①7月-花名册'!E:E,'①7月-花名册'!U:U,0)</f>
        <v>0</v>
      </c>
      <c r="H141" s="11">
        <f>_xlfn.XLOOKUP(D141,'①7月-花名册'!E:E,'①7月-花名册'!M:M,0)</f>
        <v>31</v>
      </c>
      <c r="I141" s="11">
        <f>_xlfn.XLOOKUP(D141,'①7月-花名册'!E:E,'①7月-花名册'!S:S,0)</f>
        <v>4</v>
      </c>
      <c r="J141" s="14">
        <f t="shared" si="22"/>
        <v>5</v>
      </c>
      <c r="K141" s="23">
        <v>4</v>
      </c>
      <c r="L141" s="23"/>
      <c r="M141" s="23">
        <v>1</v>
      </c>
      <c r="N141" s="23"/>
      <c r="O141" s="23"/>
      <c r="P141" s="15">
        <f t="shared" si="23"/>
        <v>26</v>
      </c>
      <c r="Q141" s="15">
        <f t="shared" si="24"/>
        <v>31</v>
      </c>
      <c r="R141" s="15">
        <f>IF(F141="事业部",LOOKUP(Q141,基础设置!$T$2:$T$6,基础设置!$U$2:$U$6),IF(F141="总部",LOOKUP(Q141,基础设置!$T$8:$T$13,基础设置!$V$8:$V$13),IF(F141="拓展部",LOOKUP(Q141,基础设置!$T$8:$T$13,基础设置!$W$8:$W$13),2000)))</f>
        <v>4</v>
      </c>
      <c r="S141" s="15">
        <f t="shared" si="25"/>
        <v>31</v>
      </c>
      <c r="T141" s="15">
        <f t="shared" si="26"/>
        <v>0</v>
      </c>
      <c r="U141" s="15">
        <f t="shared" si="27"/>
        <v>0</v>
      </c>
      <c r="V141" s="15">
        <f t="shared" si="20"/>
        <v>0</v>
      </c>
      <c r="W141" s="15">
        <f t="shared" si="28"/>
        <v>0</v>
      </c>
      <c r="X141" s="26"/>
      <c r="Y141" s="26"/>
      <c r="Z141" s="26"/>
      <c r="AA141" s="26"/>
      <c r="AB141" s="27"/>
      <c r="AC141" s="27"/>
      <c r="AD141" s="27"/>
      <c r="AE141" s="27"/>
      <c r="AF141" s="27"/>
      <c r="AG141" s="27"/>
      <c r="AH141" s="17">
        <f>_xlfn.XLOOKUP(D141,'①7月-花名册'!E:E,'①7月-花名册'!T:T,0)</f>
        <v>0</v>
      </c>
      <c r="AI141" s="15">
        <f>SUMIFS('7月运营'!$L:$L,'7月运营'!$A:$A,D141,'7月运营'!$K:$K,$A$1)</f>
        <v>0</v>
      </c>
      <c r="AJ141" s="15">
        <f>SUMIFS('7月运营'!H:H,'7月运营'!$A:$A,D141,'7月运营'!$K:$K,$A$1)</f>
        <v>0</v>
      </c>
      <c r="AK141" s="15">
        <f>SUMIFS(上月未发人员明细!I:I,上月未发人员明细!J:J,$AK$2,上月未发人员明细!A:A,D141)</f>
        <v>0</v>
      </c>
      <c r="AL141" s="15">
        <f>SUMIFS('7月运营'!L:L,'7月运营'!$A:$A,D141,'7月运营'!$K:$K,$AL$2)</f>
        <v>0</v>
      </c>
      <c r="AM141" s="18">
        <f>SUMIFS('7月运营'!$F:$F,'7月运营'!$A:$A,D141,'7月运营'!$K:$K,'②7月-汇总'!$AM$2,'7月运营'!$G:$G,"岗位核算")</f>
        <v>0</v>
      </c>
      <c r="AN141" s="18">
        <f>SUMIFS('7月运营'!$F:$F,'7月运营'!$A:$A,D141,'7月运营'!$K:$K,$AN$2,'7月运营'!$G:$G,"岗位核算")</f>
        <v>0</v>
      </c>
      <c r="AO141" s="18" t="str">
        <f t="shared" si="29"/>
        <v/>
      </c>
      <c r="AP141" s="18">
        <f t="shared" si="21"/>
        <v>31</v>
      </c>
      <c r="AQ141" s="18">
        <f>_xlfn.XLOOKUP(D141,'7月运营'!A:A,'7月运营'!G:G,0)</f>
        <v>0</v>
      </c>
    </row>
    <row r="142" spans="1:43" x14ac:dyDescent="0.15">
      <c r="A142" s="11" t="str">
        <v>千禧</v>
      </c>
      <c r="B142" s="11" t="str">
        <v>健康师</v>
      </c>
      <c r="C142" s="11" t="str">
        <v>A</v>
      </c>
      <c r="D142" s="11" t="str">
        <v>张廷妍</v>
      </c>
      <c r="E142" s="11" t="str">
        <v>在职</v>
      </c>
      <c r="F142" s="11" t="str">
        <v>事业部</v>
      </c>
      <c r="G142" s="11">
        <f>_xlfn.XLOOKUP(D142,'①7月-花名册'!E:E,'①7月-花名册'!U:U,0)</f>
        <v>0</v>
      </c>
      <c r="H142" s="11">
        <f>_xlfn.XLOOKUP(D142,'①7月-花名册'!E:E,'①7月-花名册'!M:M,0)</f>
        <v>31</v>
      </c>
      <c r="I142" s="11">
        <f>_xlfn.XLOOKUP(D142,'①7月-花名册'!E:E,'①7月-花名册'!S:S,0)</f>
        <v>4</v>
      </c>
      <c r="J142" s="14">
        <f t="shared" si="22"/>
        <v>4</v>
      </c>
      <c r="K142" s="23">
        <v>4</v>
      </c>
      <c r="L142" s="23"/>
      <c r="M142" s="23"/>
      <c r="N142" s="23"/>
      <c r="O142" s="23"/>
      <c r="P142" s="15">
        <f t="shared" si="23"/>
        <v>27</v>
      </c>
      <c r="Q142" s="15">
        <f t="shared" si="24"/>
        <v>31</v>
      </c>
      <c r="R142" s="15">
        <f>IF(F142="事业部",LOOKUP(Q142,基础设置!$T$2:$T$6,基础设置!$U$2:$U$6),IF(F142="总部",LOOKUP(Q142,基础设置!$T$8:$T$13,基础设置!$V$8:$V$13),IF(F142="拓展部",LOOKUP(Q142,基础设置!$T$8:$T$13,基础设置!$W$8:$W$13),2000)))</f>
        <v>4</v>
      </c>
      <c r="S142" s="15">
        <f t="shared" si="25"/>
        <v>31</v>
      </c>
      <c r="T142" s="15">
        <f t="shared" si="26"/>
        <v>0</v>
      </c>
      <c r="U142" s="15">
        <f t="shared" si="27"/>
        <v>0</v>
      </c>
      <c r="V142" s="15">
        <f t="shared" si="20"/>
        <v>0</v>
      </c>
      <c r="W142" s="15">
        <f t="shared" si="28"/>
        <v>0</v>
      </c>
      <c r="X142" s="26">
        <v>10</v>
      </c>
      <c r="Y142" s="26"/>
      <c r="Z142" s="26"/>
      <c r="AA142" s="26"/>
      <c r="AB142" s="27"/>
      <c r="AC142" s="27"/>
      <c r="AD142" s="27"/>
      <c r="AE142" s="27"/>
      <c r="AF142" s="27"/>
      <c r="AG142" s="27"/>
      <c r="AH142" s="17">
        <f>_xlfn.XLOOKUP(D142,'①7月-花名册'!E:E,'①7月-花名册'!T:T,0)</f>
        <v>0</v>
      </c>
      <c r="AI142" s="15">
        <f>SUMIFS('7月运营'!$L:$L,'7月运营'!$A:$A,D142,'7月运营'!$K:$K,$A$1)</f>
        <v>0</v>
      </c>
      <c r="AJ142" s="15">
        <f>SUMIFS('7月运营'!H:H,'7月运营'!$A:$A,D142,'7月运营'!$K:$K,$A$1)</f>
        <v>0</v>
      </c>
      <c r="AK142" s="15">
        <f>SUMIFS(上月未发人员明细!I:I,上月未发人员明细!J:J,$AK$2,上月未发人员明细!A:A,D142)</f>
        <v>0</v>
      </c>
      <c r="AL142" s="15">
        <f>SUMIFS('7月运营'!L:L,'7月运营'!$A:$A,D142,'7月运营'!$K:$K,$AL$2)</f>
        <v>0</v>
      </c>
      <c r="AM142" s="18">
        <f>SUMIFS('7月运营'!$F:$F,'7月运营'!$A:$A,D142,'7月运营'!$K:$K,'②7月-汇总'!$AM$2,'7月运营'!$G:$G,"岗位核算")</f>
        <v>0</v>
      </c>
      <c r="AN142" s="18">
        <f>SUMIFS('7月运营'!$F:$F,'7月运营'!$A:$A,D142,'7月运营'!$K:$K,$AN$2,'7月运营'!$G:$G,"岗位核算")</f>
        <v>0</v>
      </c>
      <c r="AO142" s="18" t="str">
        <f t="shared" si="29"/>
        <v/>
      </c>
      <c r="AP142" s="18">
        <f t="shared" si="21"/>
        <v>31</v>
      </c>
      <c r="AQ142" s="18">
        <f>_xlfn.XLOOKUP(D142,'7月运营'!A:A,'7月运营'!G:G,0)</f>
        <v>0</v>
      </c>
    </row>
    <row r="143" spans="1:43" x14ac:dyDescent="0.15">
      <c r="A143" s="11" t="str">
        <v>千禧</v>
      </c>
      <c r="B143" s="11" t="str">
        <v>健康师</v>
      </c>
      <c r="C143" s="11" t="str">
        <v>A</v>
      </c>
      <c r="D143" s="11" t="str">
        <v>杜兰兰</v>
      </c>
      <c r="E143" s="11" t="str">
        <v>在职</v>
      </c>
      <c r="F143" s="11" t="str">
        <v>事业部</v>
      </c>
      <c r="G143" s="11">
        <f>_xlfn.XLOOKUP(D143,'①7月-花名册'!E:E,'①7月-花名册'!U:U,0)</f>
        <v>0</v>
      </c>
      <c r="H143" s="11">
        <f>_xlfn.XLOOKUP(D143,'①7月-花名册'!E:E,'①7月-花名册'!M:M,0)</f>
        <v>31</v>
      </c>
      <c r="I143" s="11">
        <f>_xlfn.XLOOKUP(D143,'①7月-花名册'!E:E,'①7月-花名册'!S:S,0)</f>
        <v>4</v>
      </c>
      <c r="J143" s="14">
        <f t="shared" si="22"/>
        <v>5</v>
      </c>
      <c r="K143" s="23">
        <v>4</v>
      </c>
      <c r="L143" s="23"/>
      <c r="M143" s="23">
        <v>1</v>
      </c>
      <c r="N143" s="23"/>
      <c r="O143" s="23"/>
      <c r="P143" s="15">
        <f t="shared" si="23"/>
        <v>26</v>
      </c>
      <c r="Q143" s="15">
        <f t="shared" si="24"/>
        <v>31</v>
      </c>
      <c r="R143" s="15">
        <f>IF(F143="事业部",LOOKUP(Q143,基础设置!$T$2:$T$6,基础设置!$U$2:$U$6),IF(F143="总部",LOOKUP(Q143,基础设置!$T$8:$T$13,基础设置!$V$8:$V$13),IF(F143="拓展部",LOOKUP(Q143,基础设置!$T$8:$T$13,基础设置!$W$8:$W$13),2000)))</f>
        <v>4</v>
      </c>
      <c r="S143" s="15">
        <f t="shared" si="25"/>
        <v>31</v>
      </c>
      <c r="T143" s="15">
        <f t="shared" si="26"/>
        <v>0</v>
      </c>
      <c r="U143" s="15">
        <f t="shared" si="27"/>
        <v>0</v>
      </c>
      <c r="V143" s="15">
        <f t="shared" si="20"/>
        <v>0</v>
      </c>
      <c r="W143" s="15">
        <f t="shared" si="28"/>
        <v>0</v>
      </c>
      <c r="X143" s="26"/>
      <c r="Y143" s="26"/>
      <c r="Z143" s="26"/>
      <c r="AA143" s="26"/>
      <c r="AB143" s="27"/>
      <c r="AC143" s="27"/>
      <c r="AD143" s="27"/>
      <c r="AE143" s="27"/>
      <c r="AF143" s="27"/>
      <c r="AG143" s="27"/>
      <c r="AH143" s="17">
        <f>_xlfn.XLOOKUP(D143,'①7月-花名册'!E:E,'①7月-花名册'!T:T,0)</f>
        <v>0</v>
      </c>
      <c r="AI143" s="15">
        <f>SUMIFS('7月运营'!$L:$L,'7月运营'!$A:$A,D143,'7月运营'!$K:$K,$A$1)</f>
        <v>0</v>
      </c>
      <c r="AJ143" s="15">
        <f>SUMIFS('7月运营'!H:H,'7月运营'!$A:$A,D143,'7月运营'!$K:$K,$A$1)</f>
        <v>0</v>
      </c>
      <c r="AK143" s="15">
        <f>SUMIFS(上月未发人员明细!I:I,上月未发人员明细!J:J,$AK$2,上月未发人员明细!A:A,D143)</f>
        <v>0</v>
      </c>
      <c r="AL143" s="15">
        <f>SUMIFS('7月运营'!L:L,'7月运营'!$A:$A,D143,'7月运营'!$K:$K,$AL$2)</f>
        <v>0</v>
      </c>
      <c r="AM143" s="18">
        <f>SUMIFS('7月运营'!$F:$F,'7月运营'!$A:$A,D143,'7月运营'!$K:$K,'②7月-汇总'!$AM$2,'7月运营'!$G:$G,"岗位核算")</f>
        <v>0</v>
      </c>
      <c r="AN143" s="18">
        <f>SUMIFS('7月运营'!$F:$F,'7月运营'!$A:$A,D143,'7月运营'!$K:$K,$AN$2,'7月运营'!$G:$G,"岗位核算")</f>
        <v>0</v>
      </c>
      <c r="AO143" s="18" t="str">
        <f t="shared" si="29"/>
        <v/>
      </c>
      <c r="AP143" s="18">
        <f t="shared" si="21"/>
        <v>31</v>
      </c>
      <c r="AQ143" s="18">
        <f>_xlfn.XLOOKUP(D143,'7月运营'!A:A,'7月运营'!G:G,0)</f>
        <v>0</v>
      </c>
    </row>
    <row r="144" spans="1:43" x14ac:dyDescent="0.15">
      <c r="A144" s="11" t="str">
        <v>千禧</v>
      </c>
      <c r="B144" s="11" t="str">
        <v>健康师</v>
      </c>
      <c r="C144" s="11" t="str">
        <v>A</v>
      </c>
      <c r="D144" s="11" t="str">
        <v>王显珍</v>
      </c>
      <c r="E144" s="11" t="str">
        <v>在职</v>
      </c>
      <c r="F144" s="11" t="str">
        <v>事业部</v>
      </c>
      <c r="G144" s="11">
        <f>_xlfn.XLOOKUP(D144,'①7月-花名册'!E:E,'①7月-花名册'!U:U,0)</f>
        <v>0</v>
      </c>
      <c r="H144" s="11">
        <f>_xlfn.XLOOKUP(D144,'①7月-花名册'!E:E,'①7月-花名册'!M:M,0)</f>
        <v>31</v>
      </c>
      <c r="I144" s="11">
        <f>_xlfn.XLOOKUP(D144,'①7月-花名册'!E:E,'①7月-花名册'!S:S,0)</f>
        <v>4</v>
      </c>
      <c r="J144" s="14">
        <f t="shared" si="22"/>
        <v>4</v>
      </c>
      <c r="K144" s="23">
        <v>4</v>
      </c>
      <c r="L144" s="23"/>
      <c r="M144" s="23"/>
      <c r="N144" s="23"/>
      <c r="O144" s="23"/>
      <c r="P144" s="15">
        <f t="shared" si="23"/>
        <v>27</v>
      </c>
      <c r="Q144" s="15">
        <f t="shared" si="24"/>
        <v>31</v>
      </c>
      <c r="R144" s="15">
        <f>IF(F144="事业部",LOOKUP(Q144,基础设置!$T$2:$T$6,基础设置!$U$2:$U$6),IF(F144="总部",LOOKUP(Q144,基础设置!$T$8:$T$13,基础设置!$V$8:$V$13),IF(F144="拓展部",LOOKUP(Q144,基础设置!$T$8:$T$13,基础设置!$W$8:$W$13),2000)))</f>
        <v>4</v>
      </c>
      <c r="S144" s="15">
        <f t="shared" si="25"/>
        <v>31</v>
      </c>
      <c r="T144" s="15">
        <f t="shared" si="26"/>
        <v>0</v>
      </c>
      <c r="U144" s="15">
        <f t="shared" si="27"/>
        <v>0</v>
      </c>
      <c r="V144" s="15">
        <f t="shared" si="20"/>
        <v>0</v>
      </c>
      <c r="W144" s="15">
        <f t="shared" si="28"/>
        <v>0</v>
      </c>
      <c r="X144" s="26"/>
      <c r="Y144" s="26"/>
      <c r="Z144" s="26">
        <v>50</v>
      </c>
      <c r="AA144" s="26"/>
      <c r="AB144" s="27"/>
      <c r="AC144" s="27"/>
      <c r="AD144" s="27"/>
      <c r="AE144" s="27"/>
      <c r="AF144" s="27"/>
      <c r="AG144" s="27"/>
      <c r="AH144" s="17">
        <f>_xlfn.XLOOKUP(D144,'①7月-花名册'!E:E,'①7月-花名册'!T:T,0)</f>
        <v>0</v>
      </c>
      <c r="AI144" s="15">
        <f>SUMIFS('7月运营'!$L:$L,'7月运营'!$A:$A,D144,'7月运营'!$K:$K,$A$1)</f>
        <v>0</v>
      </c>
      <c r="AJ144" s="15">
        <f>SUMIFS('7月运营'!H:H,'7月运营'!$A:$A,D144,'7月运营'!$K:$K,$A$1)</f>
        <v>0</v>
      </c>
      <c r="AK144" s="15">
        <f>SUMIFS(上月未发人员明细!I:I,上月未发人员明细!J:J,$AK$2,上月未发人员明细!A:A,D144)</f>
        <v>0</v>
      </c>
      <c r="AL144" s="15">
        <f>SUMIFS('7月运营'!L:L,'7月运营'!$A:$A,D144,'7月运营'!$K:$K,$AL$2)</f>
        <v>0</v>
      </c>
      <c r="AM144" s="18">
        <f>SUMIFS('7月运营'!$F:$F,'7月运营'!$A:$A,D144,'7月运营'!$K:$K,'②7月-汇总'!$AM$2,'7月运营'!$G:$G,"岗位核算")</f>
        <v>0</v>
      </c>
      <c r="AN144" s="18">
        <f>SUMIFS('7月运营'!$F:$F,'7月运营'!$A:$A,D144,'7月运营'!$K:$K,$AN$2,'7月运营'!$G:$G,"岗位核算")</f>
        <v>0</v>
      </c>
      <c r="AO144" s="18" t="str">
        <f t="shared" si="29"/>
        <v/>
      </c>
      <c r="AP144" s="18">
        <f t="shared" si="21"/>
        <v>31</v>
      </c>
      <c r="AQ144" s="18">
        <f>_xlfn.XLOOKUP(D144,'7月运营'!A:A,'7月运营'!G:G,0)</f>
        <v>0</v>
      </c>
    </row>
    <row r="145" spans="1:43" x14ac:dyDescent="0.15">
      <c r="A145" s="11" t="str">
        <v>千禧</v>
      </c>
      <c r="B145" s="11" t="str">
        <v>健康师</v>
      </c>
      <c r="C145" s="11" t="str">
        <v>A</v>
      </c>
      <c r="D145" s="11" t="str">
        <v>马冬梅</v>
      </c>
      <c r="E145" s="11" t="str">
        <v>在职</v>
      </c>
      <c r="F145" s="11" t="str">
        <v>事业部</v>
      </c>
      <c r="G145" s="11">
        <f>_xlfn.XLOOKUP(D145,'①7月-花名册'!E:E,'①7月-花名册'!U:U,0)</f>
        <v>0</v>
      </c>
      <c r="H145" s="11">
        <f>_xlfn.XLOOKUP(D145,'①7月-花名册'!E:E,'①7月-花名册'!M:M,0)</f>
        <v>31</v>
      </c>
      <c r="I145" s="11">
        <f>_xlfn.XLOOKUP(D145,'①7月-花名册'!E:E,'①7月-花名册'!S:S,0)</f>
        <v>4</v>
      </c>
      <c r="J145" s="14">
        <f t="shared" si="22"/>
        <v>4</v>
      </c>
      <c r="K145" s="23">
        <v>4</v>
      </c>
      <c r="L145" s="23"/>
      <c r="M145" s="23"/>
      <c r="N145" s="23"/>
      <c r="O145" s="23"/>
      <c r="P145" s="15">
        <f t="shared" si="23"/>
        <v>27</v>
      </c>
      <c r="Q145" s="15">
        <f t="shared" si="24"/>
        <v>31</v>
      </c>
      <c r="R145" s="15">
        <f>IF(F145="事业部",LOOKUP(Q145,基础设置!$T$2:$T$6,基础设置!$U$2:$U$6),IF(F145="总部",LOOKUP(Q145,基础设置!$T$8:$T$13,基础设置!$V$8:$V$13),IF(F145="拓展部",LOOKUP(Q145,基础设置!$T$8:$T$13,基础设置!$W$8:$W$13),2000)))</f>
        <v>4</v>
      </c>
      <c r="S145" s="15">
        <f t="shared" si="25"/>
        <v>31</v>
      </c>
      <c r="T145" s="15">
        <f t="shared" si="26"/>
        <v>0</v>
      </c>
      <c r="U145" s="15">
        <f t="shared" si="27"/>
        <v>0</v>
      </c>
      <c r="V145" s="15">
        <f t="shared" si="20"/>
        <v>0</v>
      </c>
      <c r="W145" s="15">
        <f t="shared" si="28"/>
        <v>0</v>
      </c>
      <c r="X145" s="26"/>
      <c r="Y145" s="26"/>
      <c r="Z145" s="26"/>
      <c r="AA145" s="26"/>
      <c r="AB145" s="27"/>
      <c r="AC145" s="27"/>
      <c r="AD145" s="27"/>
      <c r="AE145" s="27"/>
      <c r="AF145" s="27"/>
      <c r="AG145" s="27"/>
      <c r="AH145" s="17">
        <f>_xlfn.XLOOKUP(D145,'①7月-花名册'!E:E,'①7月-花名册'!T:T,0)</f>
        <v>4000</v>
      </c>
      <c r="AI145" s="15">
        <f>SUMIFS('7月运营'!$L:$L,'7月运营'!$A:$A,D145,'7月运营'!$K:$K,$A$1)</f>
        <v>0</v>
      </c>
      <c r="AJ145" s="15">
        <f>SUMIFS('7月运营'!H:H,'7月运营'!$A:$A,D145,'7月运营'!$K:$K,$A$1)</f>
        <v>0</v>
      </c>
      <c r="AK145" s="15">
        <f>SUMIFS(上月未发人员明细!I:I,上月未发人员明细!J:J,$AK$2,上月未发人员明细!A:A,D145)</f>
        <v>0</v>
      </c>
      <c r="AL145" s="15">
        <f>SUMIFS('7月运营'!L:L,'7月运营'!$A:$A,D145,'7月运营'!$K:$K,$AL$2)</f>
        <v>0</v>
      </c>
      <c r="AM145" s="18">
        <f>SUMIFS('7月运营'!$F:$F,'7月运营'!$A:$A,D145,'7月运营'!$K:$K,'②7月-汇总'!$AM$2,'7月运营'!$G:$G,"岗位核算")</f>
        <v>0</v>
      </c>
      <c r="AN145" s="18">
        <f>SUMIFS('7月运营'!$F:$F,'7月运营'!$A:$A,D145,'7月运营'!$K:$K,$AN$2,'7月运营'!$G:$G,"岗位核算")</f>
        <v>0</v>
      </c>
      <c r="AO145" s="18" t="str">
        <f t="shared" si="29"/>
        <v/>
      </c>
      <c r="AP145" s="18">
        <f t="shared" si="21"/>
        <v>31</v>
      </c>
      <c r="AQ145" s="18">
        <f>_xlfn.XLOOKUP(D145,'7月运营'!A:A,'7月运营'!G:G,0)</f>
        <v>0</v>
      </c>
    </row>
    <row r="146" spans="1:43" x14ac:dyDescent="0.15">
      <c r="A146" s="11" t="str">
        <v>千禧</v>
      </c>
      <c r="B146" s="11" t="str">
        <v>健康师</v>
      </c>
      <c r="C146" s="11" t="str">
        <v>A</v>
      </c>
      <c r="D146" s="11" t="str">
        <v>彭莉群</v>
      </c>
      <c r="E146" s="11" t="str">
        <v>在职</v>
      </c>
      <c r="F146" s="11" t="str">
        <v>事业部</v>
      </c>
      <c r="G146" s="11">
        <f>_xlfn.XLOOKUP(D146,'①7月-花名册'!E:E,'①7月-花名册'!U:U,0)</f>
        <v>0</v>
      </c>
      <c r="H146" s="11">
        <f>_xlfn.XLOOKUP(D146,'①7月-花名册'!E:E,'①7月-花名册'!M:M,0)</f>
        <v>31</v>
      </c>
      <c r="I146" s="11">
        <f>_xlfn.XLOOKUP(D146,'①7月-花名册'!E:E,'①7月-花名册'!S:S,0)</f>
        <v>4</v>
      </c>
      <c r="J146" s="14">
        <f t="shared" si="22"/>
        <v>4</v>
      </c>
      <c r="K146" s="23">
        <v>4</v>
      </c>
      <c r="L146" s="23"/>
      <c r="M146" s="23"/>
      <c r="N146" s="23"/>
      <c r="O146" s="23"/>
      <c r="P146" s="15">
        <f t="shared" si="23"/>
        <v>27</v>
      </c>
      <c r="Q146" s="15">
        <f t="shared" si="24"/>
        <v>31</v>
      </c>
      <c r="R146" s="15">
        <f>IF(F146="事业部",LOOKUP(Q146,基础设置!$T$2:$T$6,基础设置!$U$2:$U$6),IF(F146="总部",LOOKUP(Q146,基础设置!$T$8:$T$13,基础设置!$V$8:$V$13),IF(F146="拓展部",LOOKUP(Q146,基础设置!$T$8:$T$13,基础设置!$W$8:$W$13),2000)))</f>
        <v>4</v>
      </c>
      <c r="S146" s="15">
        <f t="shared" si="25"/>
        <v>31</v>
      </c>
      <c r="T146" s="15">
        <f t="shared" si="26"/>
        <v>0</v>
      </c>
      <c r="U146" s="15">
        <f t="shared" si="27"/>
        <v>0</v>
      </c>
      <c r="V146" s="15">
        <f t="shared" si="20"/>
        <v>0</v>
      </c>
      <c r="W146" s="15">
        <f t="shared" si="28"/>
        <v>0</v>
      </c>
      <c r="X146" s="26">
        <v>10</v>
      </c>
      <c r="Y146" s="26">
        <v>10</v>
      </c>
      <c r="Z146" s="26"/>
      <c r="AA146" s="26"/>
      <c r="AB146" s="27"/>
      <c r="AC146" s="27">
        <v>100</v>
      </c>
      <c r="AD146" s="27"/>
      <c r="AE146" s="27"/>
      <c r="AF146" s="27"/>
      <c r="AG146" s="27"/>
      <c r="AH146" s="17">
        <f>_xlfn.XLOOKUP(D146,'①7月-花名册'!E:E,'①7月-花名册'!T:T,0)</f>
        <v>3500</v>
      </c>
      <c r="AI146" s="15">
        <f>SUMIFS('7月运营'!$L:$L,'7月运营'!$A:$A,D146,'7月运营'!$K:$K,$A$1)</f>
        <v>0</v>
      </c>
      <c r="AJ146" s="15">
        <f>SUMIFS('7月运营'!H:H,'7月运营'!$A:$A,D146,'7月运营'!$K:$K,$A$1)</f>
        <v>0</v>
      </c>
      <c r="AK146" s="15">
        <f>SUMIFS(上月未发人员明细!I:I,上月未发人员明细!J:J,$AK$2,上月未发人员明细!A:A,D146)</f>
        <v>0</v>
      </c>
      <c r="AL146" s="15">
        <f>SUMIFS('7月运营'!L:L,'7月运营'!$A:$A,D146,'7月运营'!$K:$K,$AL$2)</f>
        <v>0</v>
      </c>
      <c r="AM146" s="18">
        <f>SUMIFS('7月运营'!$F:$F,'7月运营'!$A:$A,D146,'7月运营'!$K:$K,'②7月-汇总'!$AM$2,'7月运营'!$G:$G,"岗位核算")</f>
        <v>0</v>
      </c>
      <c r="AN146" s="18">
        <f>SUMIFS('7月运营'!$F:$F,'7月运营'!$A:$A,D146,'7月运营'!$K:$K,$AN$2,'7月运营'!$G:$G,"岗位核算")</f>
        <v>0</v>
      </c>
      <c r="AO146" s="18" t="str">
        <f t="shared" si="29"/>
        <v/>
      </c>
      <c r="AP146" s="18">
        <f t="shared" si="21"/>
        <v>31</v>
      </c>
      <c r="AQ146" s="18">
        <f>_xlfn.XLOOKUP(D146,'7月运营'!A:A,'7月运营'!G:G,0)</f>
        <v>0</v>
      </c>
    </row>
    <row r="147" spans="1:43" x14ac:dyDescent="0.15">
      <c r="A147" s="11" t="str">
        <v>光华</v>
      </c>
      <c r="B147" s="11" t="str">
        <v>主任</v>
      </c>
      <c r="C147" s="11" t="str">
        <v>B</v>
      </c>
      <c r="D147" s="11" t="str">
        <v>刘金凤</v>
      </c>
      <c r="E147" s="11" t="str">
        <v>在职</v>
      </c>
      <c r="F147" s="11" t="str">
        <v>事业部</v>
      </c>
      <c r="G147" s="11">
        <f>_xlfn.XLOOKUP(D147,'①7月-花名册'!E:E,'①7月-花名册'!U:U,0)</f>
        <v>0</v>
      </c>
      <c r="H147" s="11">
        <f>_xlfn.XLOOKUP(D147,'①7月-花名册'!E:E,'①7月-花名册'!M:M,0)</f>
        <v>31</v>
      </c>
      <c r="I147" s="11">
        <f>_xlfn.XLOOKUP(D147,'①7月-花名册'!E:E,'①7月-花名册'!S:S,0)</f>
        <v>4</v>
      </c>
      <c r="J147" s="14">
        <f t="shared" si="22"/>
        <v>4</v>
      </c>
      <c r="K147" s="23">
        <v>4</v>
      </c>
      <c r="L147" s="23"/>
      <c r="M147" s="23"/>
      <c r="N147" s="23"/>
      <c r="O147" s="23"/>
      <c r="P147" s="15">
        <f t="shared" si="23"/>
        <v>27</v>
      </c>
      <c r="Q147" s="15">
        <f t="shared" si="24"/>
        <v>31</v>
      </c>
      <c r="R147" s="15">
        <f>IF(F147="事业部",LOOKUP(Q147,基础设置!$T$2:$T$6,基础设置!$U$2:$U$6),IF(F147="总部",LOOKUP(Q147,基础设置!$T$8:$T$13,基础设置!$V$8:$V$13),IF(F147="拓展部",LOOKUP(Q147,基础设置!$T$8:$T$13,基础设置!$W$8:$W$13),2000)))</f>
        <v>4</v>
      </c>
      <c r="S147" s="15">
        <f t="shared" si="25"/>
        <v>31</v>
      </c>
      <c r="T147" s="15">
        <f t="shared" si="26"/>
        <v>0</v>
      </c>
      <c r="U147" s="15">
        <f t="shared" si="27"/>
        <v>0</v>
      </c>
      <c r="V147" s="15">
        <f t="shared" si="20"/>
        <v>0</v>
      </c>
      <c r="W147" s="15">
        <f t="shared" si="28"/>
        <v>0</v>
      </c>
      <c r="X147" s="26">
        <v>10</v>
      </c>
      <c r="Y147" s="26"/>
      <c r="Z147" s="26"/>
      <c r="AA147" s="26"/>
      <c r="AB147" s="27"/>
      <c r="AC147" s="27"/>
      <c r="AD147" s="27"/>
      <c r="AE147" s="27"/>
      <c r="AF147" s="27"/>
      <c r="AG147" s="27"/>
      <c r="AH147" s="17">
        <f>_xlfn.XLOOKUP(D147,'①7月-花名册'!E:E,'①7月-花名册'!T:T,0)</f>
        <v>0</v>
      </c>
      <c r="AI147" s="15">
        <f>SUMIFS('7月运营'!$L:$L,'7月运营'!$A:$A,D147,'7月运营'!$K:$K,$A$1)</f>
        <v>0</v>
      </c>
      <c r="AJ147" s="15">
        <f>SUMIFS('7月运营'!H:H,'7月运营'!$A:$A,D147,'7月运营'!$K:$K,$A$1)</f>
        <v>0</v>
      </c>
      <c r="AK147" s="15">
        <f>SUMIFS(上月未发人员明细!I:I,上月未发人员明细!J:J,$AK$2,上月未发人员明细!A:A,D147)</f>
        <v>0</v>
      </c>
      <c r="AL147" s="15">
        <f>SUMIFS('7月运营'!L:L,'7月运营'!$A:$A,D147,'7月运营'!$K:$K,$AL$2)</f>
        <v>0</v>
      </c>
      <c r="AM147" s="18">
        <f>SUMIFS('7月运营'!$F:$F,'7月运营'!$A:$A,D147,'7月运营'!$K:$K,'②7月-汇总'!$AM$2,'7月运营'!$G:$G,"岗位核算")</f>
        <v>0</v>
      </c>
      <c r="AN147" s="18">
        <f>SUMIFS('7月运营'!$F:$F,'7月运营'!$A:$A,D147,'7月运营'!$K:$K,$AN$2,'7月运营'!$G:$G,"岗位核算")</f>
        <v>0</v>
      </c>
      <c r="AO147" s="18" t="str">
        <f t="shared" si="29"/>
        <v/>
      </c>
      <c r="AP147" s="18">
        <f t="shared" si="21"/>
        <v>31</v>
      </c>
      <c r="AQ147" s="18">
        <f>_xlfn.XLOOKUP(D147,'7月运营'!A:A,'7月运营'!G:G,0)</f>
        <v>0</v>
      </c>
    </row>
    <row r="148" spans="1:43" x14ac:dyDescent="0.15">
      <c r="A148" s="11" t="str">
        <v>亚洲湾</v>
      </c>
      <c r="B148" s="11" t="str">
        <v>店助</v>
      </c>
      <c r="C148" s="11" t="str">
        <v>A</v>
      </c>
      <c r="D148" s="11" t="str">
        <v>谢珂欣</v>
      </c>
      <c r="E148" s="11" t="str">
        <v>在职</v>
      </c>
      <c r="F148" s="11" t="str">
        <v>事业部</v>
      </c>
      <c r="G148" s="11">
        <f>_xlfn.XLOOKUP(D148,'①7月-花名册'!E:E,'①7月-花名册'!U:U,0)</f>
        <v>0</v>
      </c>
      <c r="H148" s="11">
        <f>_xlfn.XLOOKUP(D148,'①7月-花名册'!E:E,'①7月-花名册'!M:M,0)</f>
        <v>31</v>
      </c>
      <c r="I148" s="11">
        <f>_xlfn.XLOOKUP(D148,'①7月-花名册'!E:E,'①7月-花名册'!S:S,0)</f>
        <v>4</v>
      </c>
      <c r="J148" s="14">
        <f t="shared" si="22"/>
        <v>12</v>
      </c>
      <c r="K148" s="23">
        <v>3</v>
      </c>
      <c r="L148" s="23">
        <v>7</v>
      </c>
      <c r="M148" s="23">
        <v>2</v>
      </c>
      <c r="N148" s="23"/>
      <c r="O148" s="23"/>
      <c r="P148" s="15">
        <f t="shared" si="23"/>
        <v>19</v>
      </c>
      <c r="Q148" s="15">
        <f t="shared" si="24"/>
        <v>24</v>
      </c>
      <c r="R148" s="15">
        <f>IF(F148="事业部",LOOKUP(Q148,基础设置!$T$2:$T$6,基础设置!$U$2:$U$6),IF(F148="总部",LOOKUP(Q148,基础设置!$T$8:$T$13,基础设置!$V$8:$V$13),IF(F148="拓展部",LOOKUP(Q148,基础设置!$T$8:$T$13,基础设置!$W$8:$W$13),2000)))</f>
        <v>3</v>
      </c>
      <c r="S148" s="15">
        <f t="shared" si="25"/>
        <v>24</v>
      </c>
      <c r="T148" s="15">
        <f t="shared" si="26"/>
        <v>0</v>
      </c>
      <c r="U148" s="15">
        <f t="shared" si="27"/>
        <v>7</v>
      </c>
      <c r="V148" s="15">
        <f t="shared" si="20"/>
        <v>0</v>
      </c>
      <c r="W148" s="15">
        <f t="shared" si="28"/>
        <v>0</v>
      </c>
      <c r="X148" s="26"/>
      <c r="Y148" s="26"/>
      <c r="Z148" s="26"/>
      <c r="AA148" s="26"/>
      <c r="AB148" s="27"/>
      <c r="AC148" s="27"/>
      <c r="AD148" s="27"/>
      <c r="AE148" s="27"/>
      <c r="AF148" s="27"/>
      <c r="AG148" s="27"/>
      <c r="AH148" s="17">
        <f>_xlfn.XLOOKUP(D148,'①7月-花名册'!E:E,'①7月-花名册'!T:T,0)</f>
        <v>0</v>
      </c>
      <c r="AI148" s="15">
        <f>SUMIFS('7月运营'!$L:$L,'7月运营'!$A:$A,D148,'7月运营'!$K:$K,$A$1)</f>
        <v>0</v>
      </c>
      <c r="AJ148" s="15">
        <f>SUMIFS('7月运营'!H:H,'7月运营'!$A:$A,D148,'7月运营'!$K:$K,$A$1)</f>
        <v>0</v>
      </c>
      <c r="AK148" s="15">
        <f>SUMIFS(上月未发人员明细!I:I,上月未发人员明细!J:J,$AK$2,上月未发人员明细!A:A,D148)</f>
        <v>0</v>
      </c>
      <c r="AL148" s="15">
        <f>SUMIFS('7月运营'!L:L,'7月运营'!$A:$A,D148,'7月运营'!$K:$K,$AL$2)</f>
        <v>0</v>
      </c>
      <c r="AM148" s="18">
        <f>SUMIFS('7月运营'!$F:$F,'7月运营'!$A:$A,D148,'7月运营'!$K:$K,'②7月-汇总'!$AM$2,'7月运营'!$G:$G,"岗位核算")</f>
        <v>0</v>
      </c>
      <c r="AN148" s="18">
        <f>SUMIFS('7月运营'!$F:$F,'7月运营'!$A:$A,D148,'7月运营'!$K:$K,$AN$2,'7月运营'!$G:$G,"岗位核算")</f>
        <v>0</v>
      </c>
      <c r="AO148" s="18" t="str">
        <f t="shared" si="29"/>
        <v/>
      </c>
      <c r="AP148" s="18">
        <f t="shared" si="21"/>
        <v>24</v>
      </c>
      <c r="AQ148" s="18">
        <f>_xlfn.XLOOKUP(D148,'7月运营'!A:A,'7月运营'!G:G,0)</f>
        <v>0</v>
      </c>
    </row>
    <row r="149" spans="1:43" x14ac:dyDescent="0.15">
      <c r="A149" s="11" t="str">
        <v>亚洲湾</v>
      </c>
      <c r="B149" s="11" t="str">
        <v>健康师</v>
      </c>
      <c r="C149" s="11" t="str">
        <v>A</v>
      </c>
      <c r="D149" s="11" t="str">
        <v>刘霞</v>
      </c>
      <c r="E149" s="11" t="str">
        <v>在职</v>
      </c>
      <c r="F149" s="11" t="str">
        <v>事业部</v>
      </c>
      <c r="G149" s="11">
        <f>_xlfn.XLOOKUP(D149,'①7月-花名册'!E:E,'①7月-花名册'!U:U,0)</f>
        <v>0</v>
      </c>
      <c r="H149" s="11">
        <f>_xlfn.XLOOKUP(D149,'①7月-花名册'!E:E,'①7月-花名册'!M:M,0)</f>
        <v>31</v>
      </c>
      <c r="I149" s="11">
        <f>_xlfn.XLOOKUP(D149,'①7月-花名册'!E:E,'①7月-花名册'!S:S,0)</f>
        <v>4</v>
      </c>
      <c r="J149" s="14">
        <f t="shared" si="22"/>
        <v>4</v>
      </c>
      <c r="K149" s="23">
        <v>4</v>
      </c>
      <c r="L149" s="23"/>
      <c r="M149" s="23"/>
      <c r="N149" s="23"/>
      <c r="O149" s="23"/>
      <c r="P149" s="15">
        <f t="shared" si="23"/>
        <v>27</v>
      </c>
      <c r="Q149" s="15">
        <f t="shared" si="24"/>
        <v>31</v>
      </c>
      <c r="R149" s="15">
        <f>IF(F149="事业部",LOOKUP(Q149,基础设置!$T$2:$T$6,基础设置!$U$2:$U$6),IF(F149="总部",LOOKUP(Q149,基础设置!$T$8:$T$13,基础设置!$V$8:$V$13),IF(F149="拓展部",LOOKUP(Q149,基础设置!$T$8:$T$13,基础设置!$W$8:$W$13),2000)))</f>
        <v>4</v>
      </c>
      <c r="S149" s="15">
        <f t="shared" si="25"/>
        <v>31</v>
      </c>
      <c r="T149" s="15">
        <f t="shared" si="26"/>
        <v>0</v>
      </c>
      <c r="U149" s="15">
        <f t="shared" si="27"/>
        <v>0</v>
      </c>
      <c r="V149" s="15">
        <f t="shared" si="20"/>
        <v>0</v>
      </c>
      <c r="W149" s="15">
        <f t="shared" si="28"/>
        <v>0</v>
      </c>
      <c r="X149" s="26"/>
      <c r="Y149" s="26"/>
      <c r="Z149" s="26"/>
      <c r="AA149" s="26"/>
      <c r="AB149" s="27"/>
      <c r="AC149" s="27"/>
      <c r="AD149" s="27"/>
      <c r="AE149" s="27"/>
      <c r="AF149" s="27"/>
      <c r="AG149" s="27"/>
      <c r="AH149" s="17">
        <f>_xlfn.XLOOKUP(D149,'①7月-花名册'!E:E,'①7月-花名册'!T:T,0)</f>
        <v>0</v>
      </c>
      <c r="AI149" s="15">
        <f>SUMIFS('7月运营'!$L:$L,'7月运营'!$A:$A,D149,'7月运营'!$K:$K,$A$1)</f>
        <v>0</v>
      </c>
      <c r="AJ149" s="15">
        <f>SUMIFS('7月运营'!H:H,'7月运营'!$A:$A,D149,'7月运营'!$K:$K,$A$1)</f>
        <v>0</v>
      </c>
      <c r="AK149" s="15">
        <f>SUMIFS(上月未发人员明细!I:I,上月未发人员明细!J:J,$AK$2,上月未发人员明细!A:A,D149)</f>
        <v>0</v>
      </c>
      <c r="AL149" s="15">
        <f>SUMIFS('7月运营'!L:L,'7月运营'!$A:$A,D149,'7月运营'!$K:$K,$AL$2)</f>
        <v>0</v>
      </c>
      <c r="AM149" s="18">
        <f>SUMIFS('7月运营'!$F:$F,'7月运营'!$A:$A,D149,'7月运营'!$K:$K,'②7月-汇总'!$AM$2,'7月运营'!$G:$G,"岗位核算")</f>
        <v>0</v>
      </c>
      <c r="AN149" s="18">
        <f>SUMIFS('7月运营'!$F:$F,'7月运营'!$A:$A,D149,'7月运营'!$K:$K,$AN$2,'7月运营'!$G:$G,"岗位核算")</f>
        <v>0</v>
      </c>
      <c r="AO149" s="18" t="str">
        <f t="shared" si="29"/>
        <v/>
      </c>
      <c r="AP149" s="18">
        <f t="shared" si="21"/>
        <v>31</v>
      </c>
      <c r="AQ149" s="18">
        <f>_xlfn.XLOOKUP(D149,'7月运营'!A:A,'7月运营'!G:G,0)</f>
        <v>0</v>
      </c>
    </row>
    <row r="150" spans="1:43" x14ac:dyDescent="0.15">
      <c r="A150" s="11" t="str">
        <v>亚洲湾</v>
      </c>
      <c r="B150" s="11" t="str">
        <v>店长</v>
      </c>
      <c r="C150" s="11" t="str">
        <v>B</v>
      </c>
      <c r="D150" s="11" t="str">
        <v>尧丹丹</v>
      </c>
      <c r="E150" s="11" t="str">
        <v>在职</v>
      </c>
      <c r="F150" s="11" t="str">
        <v>事业部</v>
      </c>
      <c r="G150" s="11">
        <f>_xlfn.XLOOKUP(D150,'①7月-花名册'!E:E,'①7月-花名册'!U:U,0)</f>
        <v>0</v>
      </c>
      <c r="H150" s="11">
        <f>_xlfn.XLOOKUP(D150,'①7月-花名册'!E:E,'①7月-花名册'!M:M,0)</f>
        <v>31</v>
      </c>
      <c r="I150" s="11">
        <f>_xlfn.XLOOKUP(D150,'①7月-花名册'!E:E,'①7月-花名册'!S:S,0)</f>
        <v>4</v>
      </c>
      <c r="J150" s="14">
        <f t="shared" si="22"/>
        <v>6</v>
      </c>
      <c r="K150" s="23">
        <v>4</v>
      </c>
      <c r="L150" s="23"/>
      <c r="M150" s="23">
        <v>2</v>
      </c>
      <c r="N150" s="23"/>
      <c r="O150" s="23"/>
      <c r="P150" s="15">
        <f t="shared" si="23"/>
        <v>25</v>
      </c>
      <c r="Q150" s="15">
        <f t="shared" si="24"/>
        <v>31</v>
      </c>
      <c r="R150" s="15">
        <f>IF(F150="事业部",LOOKUP(Q150,基础设置!$T$2:$T$6,基础设置!$U$2:$U$6),IF(F150="总部",LOOKUP(Q150,基础设置!$T$8:$T$13,基础设置!$V$8:$V$13),IF(F150="拓展部",LOOKUP(Q150,基础设置!$T$8:$T$13,基础设置!$W$8:$W$13),2000)))</f>
        <v>4</v>
      </c>
      <c r="S150" s="15">
        <f t="shared" si="25"/>
        <v>31</v>
      </c>
      <c r="T150" s="15">
        <f t="shared" si="26"/>
        <v>0</v>
      </c>
      <c r="U150" s="15">
        <f t="shared" si="27"/>
        <v>0</v>
      </c>
      <c r="V150" s="15">
        <f t="shared" si="20"/>
        <v>0</v>
      </c>
      <c r="W150" s="15">
        <f t="shared" si="28"/>
        <v>0</v>
      </c>
      <c r="X150" s="26"/>
      <c r="Y150" s="26"/>
      <c r="Z150" s="26"/>
      <c r="AA150" s="26"/>
      <c r="AB150" s="27"/>
      <c r="AC150" s="27"/>
      <c r="AD150" s="27"/>
      <c r="AE150" s="27"/>
      <c r="AF150" s="27"/>
      <c r="AG150" s="27"/>
      <c r="AH150" s="17">
        <f>_xlfn.XLOOKUP(D150,'①7月-花名册'!E:E,'①7月-花名册'!T:T,0)</f>
        <v>0</v>
      </c>
      <c r="AI150" s="15">
        <f>SUMIFS('7月运营'!$L:$L,'7月运营'!$A:$A,D150,'7月运营'!$K:$K,$A$1)</f>
        <v>0</v>
      </c>
      <c r="AJ150" s="15">
        <f>SUMIFS('7月运营'!H:H,'7月运营'!$A:$A,D150,'7月运营'!$K:$K,$A$1)</f>
        <v>0</v>
      </c>
      <c r="AK150" s="15">
        <f>SUMIFS(上月未发人员明细!I:I,上月未发人员明细!J:J,$AK$2,上月未发人员明细!A:A,D150)</f>
        <v>0</v>
      </c>
      <c r="AL150" s="15">
        <f>SUMIFS('7月运营'!L:L,'7月运营'!$A:$A,D150,'7月运营'!$K:$K,$AL$2)</f>
        <v>0</v>
      </c>
      <c r="AM150" s="18">
        <f>SUMIFS('7月运营'!$F:$F,'7月运营'!$A:$A,D150,'7月运营'!$K:$K,'②7月-汇总'!$AM$2,'7月运营'!$G:$G,"岗位核算")</f>
        <v>0</v>
      </c>
      <c r="AN150" s="18">
        <f>SUMIFS('7月运营'!$F:$F,'7月运营'!$A:$A,D150,'7月运营'!$K:$K,$AN$2,'7月运营'!$G:$G,"岗位核算")</f>
        <v>0</v>
      </c>
      <c r="AO150" s="18" t="str">
        <f t="shared" si="29"/>
        <v/>
      </c>
      <c r="AP150" s="18">
        <f t="shared" si="21"/>
        <v>31</v>
      </c>
      <c r="AQ150" s="18">
        <f>_xlfn.XLOOKUP(D150,'7月运营'!A:A,'7月运营'!G:G,0)</f>
        <v>0</v>
      </c>
    </row>
    <row r="151" spans="1:43" x14ac:dyDescent="0.15">
      <c r="A151" s="11" t="str">
        <v>亚洲湾</v>
      </c>
      <c r="B151" s="11" t="str">
        <v>健康师</v>
      </c>
      <c r="C151" s="11" t="str">
        <v>A</v>
      </c>
      <c r="D151" s="11" t="str">
        <v>李科</v>
      </c>
      <c r="E151" s="11" t="str">
        <v>在职</v>
      </c>
      <c r="F151" s="11" t="str">
        <v>事业部</v>
      </c>
      <c r="G151" s="11">
        <f>_xlfn.XLOOKUP(D151,'①7月-花名册'!E:E,'①7月-花名册'!U:U,0)</f>
        <v>0</v>
      </c>
      <c r="H151" s="11">
        <f>_xlfn.XLOOKUP(D151,'①7月-花名册'!E:E,'①7月-花名册'!M:M,0)</f>
        <v>31</v>
      </c>
      <c r="I151" s="11">
        <f>_xlfn.XLOOKUP(D151,'①7月-花名册'!E:E,'①7月-花名册'!S:S,0)</f>
        <v>4</v>
      </c>
      <c r="J151" s="14">
        <f t="shared" si="22"/>
        <v>6</v>
      </c>
      <c r="K151" s="23">
        <v>4</v>
      </c>
      <c r="L151" s="23"/>
      <c r="M151" s="23">
        <v>2</v>
      </c>
      <c r="N151" s="23"/>
      <c r="O151" s="23"/>
      <c r="P151" s="15">
        <f t="shared" si="23"/>
        <v>25</v>
      </c>
      <c r="Q151" s="15">
        <f t="shared" si="24"/>
        <v>31</v>
      </c>
      <c r="R151" s="15">
        <f>IF(F151="事业部",LOOKUP(Q151,基础设置!$T$2:$T$6,基础设置!$U$2:$U$6),IF(F151="总部",LOOKUP(Q151,基础设置!$T$8:$T$13,基础设置!$V$8:$V$13),IF(F151="拓展部",LOOKUP(Q151,基础设置!$T$8:$T$13,基础设置!$W$8:$W$13),2000)))</f>
        <v>4</v>
      </c>
      <c r="S151" s="15">
        <f t="shared" si="25"/>
        <v>31</v>
      </c>
      <c r="T151" s="15">
        <f t="shared" si="26"/>
        <v>0</v>
      </c>
      <c r="U151" s="15">
        <f t="shared" si="27"/>
        <v>0</v>
      </c>
      <c r="V151" s="15">
        <f t="shared" si="20"/>
        <v>0</v>
      </c>
      <c r="W151" s="15">
        <f t="shared" si="28"/>
        <v>0</v>
      </c>
      <c r="X151" s="26"/>
      <c r="Y151" s="26"/>
      <c r="Z151" s="26"/>
      <c r="AA151" s="26"/>
      <c r="AB151" s="27"/>
      <c r="AC151" s="27"/>
      <c r="AD151" s="27"/>
      <c r="AE151" s="27"/>
      <c r="AF151" s="27"/>
      <c r="AG151" s="27"/>
      <c r="AH151" s="17">
        <f>_xlfn.XLOOKUP(D151,'①7月-花名册'!E:E,'①7月-花名册'!T:T,0)</f>
        <v>0</v>
      </c>
      <c r="AI151" s="15">
        <f>SUMIFS('7月运营'!$L:$L,'7月运营'!$A:$A,D151,'7月运营'!$K:$K,$A$1)</f>
        <v>0</v>
      </c>
      <c r="AJ151" s="15">
        <f>SUMIFS('7月运营'!H:H,'7月运营'!$A:$A,D151,'7月运营'!$K:$K,$A$1)</f>
        <v>0</v>
      </c>
      <c r="AK151" s="15">
        <f>SUMIFS(上月未发人员明细!I:I,上月未发人员明细!J:J,$AK$2,上月未发人员明细!A:A,D151)</f>
        <v>0</v>
      </c>
      <c r="AL151" s="15">
        <f>SUMIFS('7月运营'!L:L,'7月运营'!$A:$A,D151,'7月运营'!$K:$K,$AL$2)</f>
        <v>0</v>
      </c>
      <c r="AM151" s="18">
        <f>SUMIFS('7月运营'!$F:$F,'7月运营'!$A:$A,D151,'7月运营'!$K:$K,'②7月-汇总'!$AM$2,'7月运营'!$G:$G,"岗位核算")</f>
        <v>0</v>
      </c>
      <c r="AN151" s="18">
        <f>SUMIFS('7月运营'!$F:$F,'7月运营'!$A:$A,D151,'7月运营'!$K:$K,$AN$2,'7月运营'!$G:$G,"岗位核算")</f>
        <v>0</v>
      </c>
      <c r="AO151" s="18" t="str">
        <f t="shared" si="29"/>
        <v/>
      </c>
      <c r="AP151" s="18">
        <f t="shared" si="21"/>
        <v>31</v>
      </c>
      <c r="AQ151" s="18">
        <f>_xlfn.XLOOKUP(D151,'7月运营'!A:A,'7月运营'!G:G,0)</f>
        <v>0</v>
      </c>
    </row>
    <row r="152" spans="1:43" x14ac:dyDescent="0.15">
      <c r="A152" s="11" t="str">
        <v>亚洲湾</v>
      </c>
      <c r="B152" s="11" t="str">
        <v>健康师</v>
      </c>
      <c r="C152" s="11" t="str">
        <v>A</v>
      </c>
      <c r="D152" s="11" t="str">
        <v>石海力</v>
      </c>
      <c r="E152" s="11" t="str">
        <v>在职</v>
      </c>
      <c r="F152" s="11" t="str">
        <v>事业部</v>
      </c>
      <c r="G152" s="11" t="str">
        <f>_xlfn.XLOOKUP(D152,'①7月-花名册'!E:E,'①7月-花名册'!U:U,0)</f>
        <v>不发</v>
      </c>
      <c r="H152" s="11">
        <f>_xlfn.XLOOKUP(D152,'①7月-花名册'!E:E,'①7月-花名册'!M:M,0)</f>
        <v>31</v>
      </c>
      <c r="I152" s="11">
        <f>_xlfn.XLOOKUP(D152,'①7月-花名册'!E:E,'①7月-花名册'!S:S,0)</f>
        <v>4</v>
      </c>
      <c r="J152" s="14">
        <f t="shared" si="22"/>
        <v>6</v>
      </c>
      <c r="K152" s="23">
        <v>4</v>
      </c>
      <c r="L152" s="23"/>
      <c r="M152" s="23">
        <v>2</v>
      </c>
      <c r="N152" s="23"/>
      <c r="O152" s="23"/>
      <c r="P152" s="15">
        <f t="shared" si="23"/>
        <v>25</v>
      </c>
      <c r="Q152" s="15">
        <f t="shared" si="24"/>
        <v>31</v>
      </c>
      <c r="R152" s="15">
        <f>IF(F152="事业部",LOOKUP(Q152,基础设置!$T$2:$T$6,基础设置!$U$2:$U$6),IF(F152="总部",LOOKUP(Q152,基础设置!$T$8:$T$13,基础设置!$V$8:$V$13),IF(F152="拓展部",LOOKUP(Q152,基础设置!$T$8:$T$13,基础设置!$W$8:$W$13),2000)))</f>
        <v>4</v>
      </c>
      <c r="S152" s="15">
        <f t="shared" si="25"/>
        <v>31</v>
      </c>
      <c r="T152" s="15">
        <f t="shared" si="26"/>
        <v>0</v>
      </c>
      <c r="U152" s="15">
        <f t="shared" si="27"/>
        <v>0</v>
      </c>
      <c r="V152" s="15">
        <f t="shared" si="20"/>
        <v>0</v>
      </c>
      <c r="W152" s="15">
        <f t="shared" si="28"/>
        <v>0</v>
      </c>
      <c r="X152" s="26"/>
      <c r="Y152" s="26"/>
      <c r="Z152" s="26"/>
      <c r="AA152" s="26"/>
      <c r="AB152" s="27"/>
      <c r="AC152" s="27"/>
      <c r="AD152" s="27"/>
      <c r="AE152" s="27"/>
      <c r="AF152" s="27"/>
      <c r="AG152" s="27"/>
      <c r="AH152" s="17">
        <f>_xlfn.XLOOKUP(D152,'①7月-花名册'!E:E,'①7月-花名册'!T:T,0)</f>
        <v>0</v>
      </c>
      <c r="AI152" s="15">
        <f>SUMIFS('7月运营'!$L:$L,'7月运营'!$A:$A,D152,'7月运营'!$K:$K,$A$1)</f>
        <v>0</v>
      </c>
      <c r="AJ152" s="15">
        <f>SUMIFS('7月运营'!H:H,'7月运营'!$A:$A,D152,'7月运营'!$K:$K,$A$1)</f>
        <v>0</v>
      </c>
      <c r="AK152" s="15">
        <f>SUMIFS(上月未发人员明细!I:I,上月未发人员明细!J:J,$AK$2,上月未发人员明细!A:A,D152)</f>
        <v>0</v>
      </c>
      <c r="AL152" s="15">
        <f>SUMIFS('7月运营'!L:L,'7月运营'!$A:$A,D152,'7月运营'!$K:$K,$AL$2)</f>
        <v>0</v>
      </c>
      <c r="AM152" s="18">
        <f>SUMIFS('7月运营'!$F:$F,'7月运营'!$A:$A,D152,'7月运营'!$K:$K,'②7月-汇总'!$AM$2,'7月运营'!$G:$G,"岗位核算")</f>
        <v>0</v>
      </c>
      <c r="AN152" s="18">
        <f>SUMIFS('7月运营'!$F:$F,'7月运营'!$A:$A,D152,'7月运营'!$K:$K,$AN$2,'7月运营'!$G:$G,"岗位核算")</f>
        <v>0</v>
      </c>
      <c r="AO152" s="18" t="str">
        <f t="shared" si="29"/>
        <v/>
      </c>
      <c r="AP152" s="18">
        <f t="shared" si="21"/>
        <v>31</v>
      </c>
      <c r="AQ152" s="18">
        <f>_xlfn.XLOOKUP(D152,'7月运营'!A:A,'7月运营'!G:G,0)</f>
        <v>0</v>
      </c>
    </row>
    <row r="153" spans="1:43" x14ac:dyDescent="0.15">
      <c r="A153" s="11" t="str">
        <v>亚洲湾</v>
      </c>
      <c r="B153" s="11" t="str">
        <v>健康师</v>
      </c>
      <c r="C153" s="11" t="str">
        <v>A</v>
      </c>
      <c r="D153" s="11" t="str">
        <v>付薪燕</v>
      </c>
      <c r="E153" s="11" t="str">
        <v>在职</v>
      </c>
      <c r="F153" s="11" t="str">
        <v>事业部</v>
      </c>
      <c r="G153" s="11">
        <f>_xlfn.XLOOKUP(D153,'①7月-花名册'!E:E,'①7月-花名册'!U:U,0)</f>
        <v>0</v>
      </c>
      <c r="H153" s="11">
        <f>_xlfn.XLOOKUP(D153,'①7月-花名册'!E:E,'①7月-花名册'!M:M,0)</f>
        <v>31</v>
      </c>
      <c r="I153" s="11">
        <f>_xlfn.XLOOKUP(D153,'①7月-花名册'!E:E,'①7月-花名册'!S:S,0)</f>
        <v>4</v>
      </c>
      <c r="J153" s="14">
        <f t="shared" si="22"/>
        <v>4</v>
      </c>
      <c r="K153" s="23">
        <v>4</v>
      </c>
      <c r="L153" s="23"/>
      <c r="M153" s="23"/>
      <c r="N153" s="23"/>
      <c r="O153" s="23"/>
      <c r="P153" s="15">
        <f t="shared" si="23"/>
        <v>27</v>
      </c>
      <c r="Q153" s="15">
        <f t="shared" si="24"/>
        <v>31</v>
      </c>
      <c r="R153" s="15">
        <f>IF(F153="事业部",LOOKUP(Q153,基础设置!$T$2:$T$6,基础设置!$U$2:$U$6),IF(F153="总部",LOOKUP(Q153,基础设置!$T$8:$T$13,基础设置!$V$8:$V$13),IF(F153="拓展部",LOOKUP(Q153,基础设置!$T$8:$T$13,基础设置!$W$8:$W$13),2000)))</f>
        <v>4</v>
      </c>
      <c r="S153" s="15">
        <f t="shared" si="25"/>
        <v>31</v>
      </c>
      <c r="T153" s="15">
        <f t="shared" si="26"/>
        <v>0</v>
      </c>
      <c r="U153" s="15">
        <f t="shared" si="27"/>
        <v>0</v>
      </c>
      <c r="V153" s="15">
        <f t="shared" si="20"/>
        <v>0</v>
      </c>
      <c r="W153" s="15">
        <f t="shared" si="28"/>
        <v>0</v>
      </c>
      <c r="X153" s="26"/>
      <c r="Y153" s="26"/>
      <c r="Z153" s="26">
        <v>50</v>
      </c>
      <c r="AA153" s="26"/>
      <c r="AB153" s="27"/>
      <c r="AC153" s="27"/>
      <c r="AD153" s="27"/>
      <c r="AE153" s="27"/>
      <c r="AF153" s="27"/>
      <c r="AG153" s="27"/>
      <c r="AH153" s="17">
        <f>_xlfn.XLOOKUP(D153,'①7月-花名册'!E:E,'①7月-花名册'!T:T,0)</f>
        <v>0</v>
      </c>
      <c r="AI153" s="15">
        <f>SUMIFS('7月运营'!$L:$L,'7月运营'!$A:$A,D153,'7月运营'!$K:$K,$A$1)</f>
        <v>0</v>
      </c>
      <c r="AJ153" s="15">
        <f>SUMIFS('7月运营'!H:H,'7月运营'!$A:$A,D153,'7月运营'!$K:$K,$A$1)</f>
        <v>0</v>
      </c>
      <c r="AK153" s="15">
        <f>SUMIFS(上月未发人员明细!I:I,上月未发人员明细!J:J,$AK$2,上月未发人员明细!A:A,D153)</f>
        <v>0</v>
      </c>
      <c r="AL153" s="15">
        <f>SUMIFS('7月运营'!L:L,'7月运营'!$A:$A,D153,'7月运营'!$K:$K,$AL$2)</f>
        <v>0</v>
      </c>
      <c r="AM153" s="18">
        <f>SUMIFS('7月运营'!$F:$F,'7月运营'!$A:$A,D153,'7月运营'!$K:$K,'②7月-汇总'!$AM$2,'7月运营'!$G:$G,"岗位核算")</f>
        <v>0</v>
      </c>
      <c r="AN153" s="18">
        <f>SUMIFS('7月运营'!$F:$F,'7月运营'!$A:$A,D153,'7月运营'!$K:$K,$AN$2,'7月运营'!$G:$G,"岗位核算")</f>
        <v>0</v>
      </c>
      <c r="AO153" s="18" t="str">
        <f t="shared" si="29"/>
        <v/>
      </c>
      <c r="AP153" s="18">
        <f t="shared" si="21"/>
        <v>31</v>
      </c>
      <c r="AQ153" s="18">
        <f>_xlfn.XLOOKUP(D153,'7月运营'!A:A,'7月运营'!G:G,0)</f>
        <v>0</v>
      </c>
    </row>
    <row r="154" spans="1:43" x14ac:dyDescent="0.15">
      <c r="A154" s="11" t="str">
        <v>亚洲湾</v>
      </c>
      <c r="B154" s="11" t="str">
        <v>健康师</v>
      </c>
      <c r="C154" s="11" t="str">
        <v>A</v>
      </c>
      <c r="D154" s="11" t="str">
        <v>陈定坤</v>
      </c>
      <c r="E154" s="11" t="str">
        <v>在职</v>
      </c>
      <c r="F154" s="11" t="str">
        <v>事业部</v>
      </c>
      <c r="G154" s="11">
        <f>_xlfn.XLOOKUP(D154,'①7月-花名册'!E:E,'①7月-花名册'!U:U,0)</f>
        <v>0</v>
      </c>
      <c r="H154" s="11">
        <f>_xlfn.XLOOKUP(D154,'①7月-花名册'!E:E,'①7月-花名册'!M:M,0)</f>
        <v>31</v>
      </c>
      <c r="I154" s="11">
        <f>_xlfn.XLOOKUP(D154,'①7月-花名册'!E:E,'①7月-花名册'!S:S,0)</f>
        <v>4</v>
      </c>
      <c r="J154" s="14">
        <f t="shared" si="22"/>
        <v>6</v>
      </c>
      <c r="K154" s="23">
        <v>4</v>
      </c>
      <c r="L154" s="23"/>
      <c r="M154" s="23">
        <v>2</v>
      </c>
      <c r="N154" s="23"/>
      <c r="O154" s="23"/>
      <c r="P154" s="15">
        <f t="shared" si="23"/>
        <v>25</v>
      </c>
      <c r="Q154" s="15">
        <f t="shared" si="24"/>
        <v>31</v>
      </c>
      <c r="R154" s="15">
        <f>IF(F154="事业部",LOOKUP(Q154,基础设置!$T$2:$T$6,基础设置!$U$2:$U$6),IF(F154="总部",LOOKUP(Q154,基础设置!$T$8:$T$13,基础设置!$V$8:$V$13),IF(F154="拓展部",LOOKUP(Q154,基础设置!$T$8:$T$13,基础设置!$W$8:$W$13),2000)))</f>
        <v>4</v>
      </c>
      <c r="S154" s="15">
        <f t="shared" si="25"/>
        <v>31</v>
      </c>
      <c r="T154" s="15">
        <f t="shared" si="26"/>
        <v>0</v>
      </c>
      <c r="U154" s="15">
        <f t="shared" si="27"/>
        <v>0</v>
      </c>
      <c r="V154" s="15">
        <f t="shared" si="20"/>
        <v>0</v>
      </c>
      <c r="W154" s="15">
        <f t="shared" si="28"/>
        <v>0</v>
      </c>
      <c r="X154" s="26"/>
      <c r="Y154" s="26"/>
      <c r="Z154" s="26"/>
      <c r="AA154" s="26"/>
      <c r="AB154" s="27"/>
      <c r="AC154" s="27"/>
      <c r="AD154" s="27"/>
      <c r="AE154" s="27"/>
      <c r="AF154" s="27"/>
      <c r="AG154" s="27"/>
      <c r="AH154" s="17">
        <f>_xlfn.XLOOKUP(D154,'①7月-花名册'!E:E,'①7月-花名册'!T:T,0)</f>
        <v>0</v>
      </c>
      <c r="AI154" s="15">
        <f>SUMIFS('7月运营'!$L:$L,'7月运营'!$A:$A,D154,'7月运营'!$K:$K,$A$1)</f>
        <v>0</v>
      </c>
      <c r="AJ154" s="15">
        <f>SUMIFS('7月运营'!H:H,'7月运营'!$A:$A,D154,'7月运营'!$K:$K,$A$1)</f>
        <v>0</v>
      </c>
      <c r="AK154" s="15">
        <f>SUMIFS(上月未发人员明细!I:I,上月未发人员明细!J:J,$AK$2,上月未发人员明细!A:A,D154)</f>
        <v>0</v>
      </c>
      <c r="AL154" s="15">
        <f>SUMIFS('7月运营'!L:L,'7月运营'!$A:$A,D154,'7月运营'!$K:$K,$AL$2)</f>
        <v>0</v>
      </c>
      <c r="AM154" s="18">
        <f>SUMIFS('7月运营'!$F:$F,'7月运营'!$A:$A,D154,'7月运营'!$K:$K,'②7月-汇总'!$AM$2,'7月运营'!$G:$G,"岗位核算")</f>
        <v>0</v>
      </c>
      <c r="AN154" s="18">
        <f>SUMIFS('7月运营'!$F:$F,'7月运营'!$A:$A,D154,'7月运营'!$K:$K,$AN$2,'7月运营'!$G:$G,"岗位核算")</f>
        <v>0</v>
      </c>
      <c r="AO154" s="18" t="str">
        <f t="shared" si="29"/>
        <v/>
      </c>
      <c r="AP154" s="18">
        <f t="shared" si="21"/>
        <v>31</v>
      </c>
      <c r="AQ154" s="18">
        <f>_xlfn.XLOOKUP(D154,'7月运营'!A:A,'7月运营'!G:G,0)</f>
        <v>0</v>
      </c>
    </row>
    <row r="155" spans="1:43" x14ac:dyDescent="0.15">
      <c r="A155" s="11" t="str">
        <v>事业一部</v>
      </c>
      <c r="B155" s="11" t="str">
        <v>经理</v>
      </c>
      <c r="C155" s="11" t="str">
        <v>B</v>
      </c>
      <c r="D155" s="11" t="str">
        <v>王桂明</v>
      </c>
      <c r="E155" s="11" t="str">
        <v>在职</v>
      </c>
      <c r="F155" s="11" t="str">
        <v>事业部</v>
      </c>
      <c r="G155" s="11">
        <f>_xlfn.XLOOKUP(D155,'①7月-花名册'!E:E,'①7月-花名册'!U:U,0)</f>
        <v>0</v>
      </c>
      <c r="H155" s="11">
        <f>_xlfn.XLOOKUP(D155,'①7月-花名册'!E:E,'①7月-花名册'!M:M,0)</f>
        <v>31</v>
      </c>
      <c r="I155" s="11">
        <f>_xlfn.XLOOKUP(D155,'①7月-花名册'!E:E,'①7月-花名册'!S:S,0)</f>
        <v>4</v>
      </c>
      <c r="J155" s="14">
        <f t="shared" si="22"/>
        <v>4</v>
      </c>
      <c r="K155" s="23">
        <v>4</v>
      </c>
      <c r="L155" s="23"/>
      <c r="M155" s="23"/>
      <c r="N155" s="23"/>
      <c r="O155" s="23"/>
      <c r="P155" s="15">
        <f t="shared" si="23"/>
        <v>27</v>
      </c>
      <c r="Q155" s="15">
        <f t="shared" si="24"/>
        <v>31</v>
      </c>
      <c r="R155" s="15">
        <f>IF(F155="事业部",LOOKUP(Q155,基础设置!$T$2:$T$6,基础设置!$U$2:$U$6),IF(F155="总部",LOOKUP(Q155,基础设置!$T$8:$T$13,基础设置!$V$8:$V$13),IF(F155="拓展部",LOOKUP(Q155,基础设置!$T$8:$T$13,基础设置!$W$8:$W$13),2000)))</f>
        <v>4</v>
      </c>
      <c r="S155" s="15">
        <f t="shared" si="25"/>
        <v>31</v>
      </c>
      <c r="T155" s="15">
        <f t="shared" si="26"/>
        <v>0</v>
      </c>
      <c r="U155" s="15">
        <f t="shared" si="27"/>
        <v>0</v>
      </c>
      <c r="V155" s="15">
        <f t="shared" si="20"/>
        <v>0</v>
      </c>
      <c r="W155" s="15">
        <f t="shared" si="28"/>
        <v>0</v>
      </c>
      <c r="X155" s="26">
        <v>10</v>
      </c>
      <c r="Y155" s="26"/>
      <c r="Z155" s="26"/>
      <c r="AA155" s="26"/>
      <c r="AB155" s="28"/>
      <c r="AC155" s="28"/>
      <c r="AD155" s="28"/>
      <c r="AE155" s="28"/>
      <c r="AF155" s="28"/>
      <c r="AG155" s="28"/>
      <c r="AH155" s="17">
        <f>_xlfn.XLOOKUP(D155,'①7月-花名册'!E:E,'①7月-花名册'!T:T,0)</f>
        <v>0</v>
      </c>
      <c r="AI155" s="15">
        <f>SUMIFS('7月运营'!$L:$L,'7月运营'!$A:$A,D155,'7月运营'!$K:$K,$A$1)</f>
        <v>0</v>
      </c>
      <c r="AJ155" s="15">
        <f>SUMIFS('7月运营'!H:H,'7月运营'!$A:$A,D155,'7月运营'!$K:$K,$A$1)</f>
        <v>0</v>
      </c>
      <c r="AK155" s="15">
        <f>SUMIFS(上月未发人员明细!I:I,上月未发人员明细!J:J,$AK$2,上月未发人员明细!A:A,D155)</f>
        <v>0</v>
      </c>
      <c r="AL155" s="15">
        <f>SUMIFS('7月运营'!L:L,'7月运营'!$A:$A,D155,'7月运营'!$K:$K,$AL$2)</f>
        <v>0</v>
      </c>
      <c r="AM155" s="18">
        <f>SUMIFS('7月运营'!$F:$F,'7月运营'!$A:$A,D155,'7月运营'!$K:$K,'②7月-汇总'!$AM$2,'7月运营'!$G:$G,"岗位核算")</f>
        <v>0</v>
      </c>
      <c r="AN155" s="18">
        <f>SUMIFS('7月运营'!$F:$F,'7月运营'!$A:$A,D155,'7月运营'!$K:$K,$AN$2,'7月运营'!$G:$G,"岗位核算")</f>
        <v>0</v>
      </c>
      <c r="AO155" s="18" t="str">
        <f t="shared" si="29"/>
        <v/>
      </c>
      <c r="AP155" s="18">
        <f t="shared" si="21"/>
        <v>31</v>
      </c>
      <c r="AQ155" s="18">
        <f>_xlfn.XLOOKUP(D155,'7月运营'!A:A,'7月运营'!G:G,0)</f>
        <v>0</v>
      </c>
    </row>
    <row r="156" spans="1:43" x14ac:dyDescent="0.15">
      <c r="A156" s="11" t="str">
        <v>中和</v>
      </c>
      <c r="B156" s="11" t="str">
        <v>店长</v>
      </c>
      <c r="C156" s="11" t="str">
        <v>B</v>
      </c>
      <c r="D156" s="11" t="str">
        <v>关晓燕</v>
      </c>
      <c r="E156" s="11" t="str">
        <v>在职</v>
      </c>
      <c r="F156" s="11" t="str">
        <v>事业部</v>
      </c>
      <c r="G156" s="11">
        <f>_xlfn.XLOOKUP(D156,'①7月-花名册'!E:E,'①7月-花名册'!U:U,0)</f>
        <v>0</v>
      </c>
      <c r="H156" s="11">
        <f>_xlfn.XLOOKUP(D156,'①7月-花名册'!E:E,'①7月-花名册'!M:M,0)</f>
        <v>31</v>
      </c>
      <c r="I156" s="11">
        <f>_xlfn.XLOOKUP(D156,'①7月-花名册'!E:E,'①7月-花名册'!S:S,0)</f>
        <v>4</v>
      </c>
      <c r="J156" s="14">
        <f t="shared" si="22"/>
        <v>6</v>
      </c>
      <c r="K156" s="23">
        <v>4</v>
      </c>
      <c r="L156" s="23"/>
      <c r="M156" s="23">
        <v>2</v>
      </c>
      <c r="N156" s="23"/>
      <c r="O156" s="23"/>
      <c r="P156" s="15">
        <f t="shared" si="23"/>
        <v>25</v>
      </c>
      <c r="Q156" s="15">
        <f t="shared" si="24"/>
        <v>31</v>
      </c>
      <c r="R156" s="15">
        <f>IF(F156="事业部",LOOKUP(Q156,基础设置!$T$2:$T$6,基础设置!$U$2:$U$6),IF(F156="总部",LOOKUP(Q156,基础设置!$T$8:$T$13,基础设置!$V$8:$V$13),IF(F156="拓展部",LOOKUP(Q156,基础设置!$T$8:$T$13,基础设置!$W$8:$W$13),2000)))</f>
        <v>4</v>
      </c>
      <c r="S156" s="15">
        <f t="shared" si="25"/>
        <v>31</v>
      </c>
      <c r="T156" s="15">
        <f t="shared" si="26"/>
        <v>0</v>
      </c>
      <c r="U156" s="15">
        <f t="shared" si="27"/>
        <v>0</v>
      </c>
      <c r="V156" s="15">
        <f t="shared" si="20"/>
        <v>0</v>
      </c>
      <c r="W156" s="15">
        <f t="shared" si="28"/>
        <v>0</v>
      </c>
      <c r="X156" s="26">
        <v>10</v>
      </c>
      <c r="Y156" s="26"/>
      <c r="Z156" s="26"/>
      <c r="AA156" s="26"/>
      <c r="AB156" s="27"/>
      <c r="AC156" s="27"/>
      <c r="AD156" s="27"/>
      <c r="AE156" s="27"/>
      <c r="AF156" s="27"/>
      <c r="AG156" s="27"/>
      <c r="AH156" s="17">
        <f>_xlfn.XLOOKUP(D156,'①7月-花名册'!E:E,'①7月-花名册'!T:T,0)</f>
        <v>0</v>
      </c>
      <c r="AI156" s="15">
        <f>SUMIFS('7月运营'!$L:$L,'7月运营'!$A:$A,D156,'7月运营'!$K:$K,$A$1)</f>
        <v>0</v>
      </c>
      <c r="AJ156" s="15">
        <f>SUMIFS('7月运营'!H:H,'7月运营'!$A:$A,D156,'7月运营'!$K:$K,$A$1)</f>
        <v>0</v>
      </c>
      <c r="AK156" s="15">
        <f>SUMIFS(上月未发人员明细!I:I,上月未发人员明细!J:J,$AK$2,上月未发人员明细!A:A,D156)</f>
        <v>0</v>
      </c>
      <c r="AL156" s="15">
        <f>SUMIFS('7月运营'!L:L,'7月运营'!$A:$A,D156,'7月运营'!$K:$K,$AL$2)</f>
        <v>0</v>
      </c>
      <c r="AM156" s="18">
        <f>SUMIFS('7月运营'!$F:$F,'7月运营'!$A:$A,D156,'7月运营'!$K:$K,'②7月-汇总'!$AM$2,'7月运营'!$G:$G,"岗位核算")</f>
        <v>0</v>
      </c>
      <c r="AN156" s="18">
        <f>SUMIFS('7月运营'!$F:$F,'7月运营'!$A:$A,D156,'7月运营'!$K:$K,$AN$2,'7月运营'!$G:$G,"岗位核算")</f>
        <v>0</v>
      </c>
      <c r="AO156" s="18" t="str">
        <f t="shared" si="29"/>
        <v/>
      </c>
      <c r="AP156" s="18">
        <f t="shared" si="21"/>
        <v>31</v>
      </c>
      <c r="AQ156" s="18">
        <f>_xlfn.XLOOKUP(D156,'7月运营'!A:A,'7月运营'!G:G,0)</f>
        <v>0</v>
      </c>
    </row>
    <row r="157" spans="1:43" x14ac:dyDescent="0.15">
      <c r="A157" s="11" t="str">
        <v>中和</v>
      </c>
      <c r="B157" s="11" t="str">
        <v>健康师</v>
      </c>
      <c r="C157" s="11" t="str">
        <v>A</v>
      </c>
      <c r="D157" s="11" t="str">
        <v>唐尹</v>
      </c>
      <c r="E157" s="11" t="str">
        <v>在职</v>
      </c>
      <c r="F157" s="11" t="str">
        <v>事业部</v>
      </c>
      <c r="G157" s="11">
        <f>_xlfn.XLOOKUP(D157,'①7月-花名册'!E:E,'①7月-花名册'!U:U,0)</f>
        <v>0</v>
      </c>
      <c r="H157" s="11">
        <f>_xlfn.XLOOKUP(D157,'①7月-花名册'!E:E,'①7月-花名册'!M:M,0)</f>
        <v>31</v>
      </c>
      <c r="I157" s="11">
        <f>_xlfn.XLOOKUP(D157,'①7月-花名册'!E:E,'①7月-花名册'!S:S,0)</f>
        <v>4</v>
      </c>
      <c r="J157" s="14">
        <f t="shared" si="22"/>
        <v>6</v>
      </c>
      <c r="K157" s="23">
        <v>4</v>
      </c>
      <c r="L157" s="23"/>
      <c r="M157" s="23">
        <v>2</v>
      </c>
      <c r="N157" s="23"/>
      <c r="O157" s="23"/>
      <c r="P157" s="15">
        <f t="shared" si="23"/>
        <v>25</v>
      </c>
      <c r="Q157" s="15">
        <f t="shared" si="24"/>
        <v>31</v>
      </c>
      <c r="R157" s="15">
        <f>IF(F157="事业部",LOOKUP(Q157,基础设置!$T$2:$T$6,基础设置!$U$2:$U$6),IF(F157="总部",LOOKUP(Q157,基础设置!$T$8:$T$13,基础设置!$V$8:$V$13),IF(F157="拓展部",LOOKUP(Q157,基础设置!$T$8:$T$13,基础设置!$W$8:$W$13),2000)))</f>
        <v>4</v>
      </c>
      <c r="S157" s="15">
        <f t="shared" si="25"/>
        <v>31</v>
      </c>
      <c r="T157" s="15">
        <f t="shared" si="26"/>
        <v>0</v>
      </c>
      <c r="U157" s="15">
        <f t="shared" si="27"/>
        <v>0</v>
      </c>
      <c r="V157" s="15">
        <f t="shared" si="20"/>
        <v>0</v>
      </c>
      <c r="W157" s="15">
        <f t="shared" si="28"/>
        <v>0</v>
      </c>
      <c r="X157" s="26">
        <v>10</v>
      </c>
      <c r="Y157" s="26"/>
      <c r="Z157" s="26"/>
      <c r="AA157" s="26"/>
      <c r="AB157" s="27"/>
      <c r="AC157" s="27"/>
      <c r="AD157" s="27"/>
      <c r="AE157" s="27"/>
      <c r="AF157" s="27"/>
      <c r="AG157" s="27"/>
      <c r="AH157" s="17">
        <f>_xlfn.XLOOKUP(D157,'①7月-花名册'!E:E,'①7月-花名册'!T:T,0)</f>
        <v>0</v>
      </c>
      <c r="AI157" s="15">
        <f>SUMIFS('7月运营'!$L:$L,'7月运营'!$A:$A,D157,'7月运营'!$K:$K,$A$1)</f>
        <v>0</v>
      </c>
      <c r="AJ157" s="15">
        <f>SUMIFS('7月运营'!H:H,'7月运营'!$A:$A,D157,'7月运营'!$K:$K,$A$1)</f>
        <v>0</v>
      </c>
      <c r="AK157" s="15">
        <f>SUMIFS(上月未发人员明细!I:I,上月未发人员明细!J:J,$AK$2,上月未发人员明细!A:A,D157)</f>
        <v>0</v>
      </c>
      <c r="AL157" s="15">
        <f>SUMIFS('7月运营'!L:L,'7月运营'!$A:$A,D157,'7月运营'!$K:$K,$AL$2)</f>
        <v>0</v>
      </c>
      <c r="AM157" s="18">
        <f>SUMIFS('7月运营'!$F:$F,'7月运营'!$A:$A,D157,'7月运营'!$K:$K,'②7月-汇总'!$AM$2,'7月运营'!$G:$G,"岗位核算")</f>
        <v>0</v>
      </c>
      <c r="AN157" s="18">
        <f>SUMIFS('7月运营'!$F:$F,'7月运营'!$A:$A,D157,'7月运营'!$K:$K,$AN$2,'7月运营'!$G:$G,"岗位核算")</f>
        <v>0</v>
      </c>
      <c r="AO157" s="18" t="str">
        <f t="shared" si="29"/>
        <v/>
      </c>
      <c r="AP157" s="18">
        <f t="shared" si="21"/>
        <v>31</v>
      </c>
      <c r="AQ157" s="18">
        <f>_xlfn.XLOOKUP(D157,'7月运营'!A:A,'7月运营'!G:G,0)</f>
        <v>0</v>
      </c>
    </row>
    <row r="158" spans="1:43" x14ac:dyDescent="0.15">
      <c r="A158" s="11" t="str">
        <v>中和</v>
      </c>
      <c r="B158" s="11" t="str">
        <v>店助</v>
      </c>
      <c r="C158" s="11" t="str">
        <v>A</v>
      </c>
      <c r="D158" s="11" t="str">
        <v>贺慧</v>
      </c>
      <c r="E158" s="11" t="str">
        <v>在职</v>
      </c>
      <c r="F158" s="11" t="str">
        <v>事业部</v>
      </c>
      <c r="G158" s="11">
        <f>_xlfn.XLOOKUP(D158,'①7月-花名册'!E:E,'①7月-花名册'!U:U,0)</f>
        <v>0</v>
      </c>
      <c r="H158" s="11">
        <f>_xlfn.XLOOKUP(D158,'①7月-花名册'!E:E,'①7月-花名册'!M:M,0)</f>
        <v>31</v>
      </c>
      <c r="I158" s="11">
        <f>_xlfn.XLOOKUP(D158,'①7月-花名册'!E:E,'①7月-花名册'!S:S,0)</f>
        <v>4</v>
      </c>
      <c r="J158" s="14">
        <f t="shared" si="22"/>
        <v>8</v>
      </c>
      <c r="K158" s="23">
        <v>4</v>
      </c>
      <c r="L158" s="23">
        <v>2</v>
      </c>
      <c r="M158" s="23">
        <v>2</v>
      </c>
      <c r="N158" s="23"/>
      <c r="O158" s="23"/>
      <c r="P158" s="15">
        <f t="shared" si="23"/>
        <v>23</v>
      </c>
      <c r="Q158" s="15">
        <f t="shared" si="24"/>
        <v>29</v>
      </c>
      <c r="R158" s="15">
        <f>IF(F158="事业部",LOOKUP(Q158,基础设置!$T$2:$T$6,基础设置!$U$2:$U$6),IF(F158="总部",LOOKUP(Q158,基础设置!$T$8:$T$13,基础设置!$V$8:$V$13),IF(F158="拓展部",LOOKUP(Q158,基础设置!$T$8:$T$13,基础设置!$W$8:$W$13),2000)))</f>
        <v>4</v>
      </c>
      <c r="S158" s="15">
        <f t="shared" si="25"/>
        <v>29</v>
      </c>
      <c r="T158" s="15">
        <f t="shared" si="26"/>
        <v>0</v>
      </c>
      <c r="U158" s="15">
        <f t="shared" si="27"/>
        <v>2</v>
      </c>
      <c r="V158" s="15">
        <f t="shared" si="20"/>
        <v>0</v>
      </c>
      <c r="W158" s="15">
        <f t="shared" si="28"/>
        <v>0</v>
      </c>
      <c r="X158" s="26"/>
      <c r="Y158" s="26"/>
      <c r="Z158" s="26"/>
      <c r="AA158" s="26"/>
      <c r="AB158" s="27"/>
      <c r="AC158" s="27"/>
      <c r="AD158" s="27"/>
      <c r="AE158" s="27"/>
      <c r="AF158" s="27"/>
      <c r="AG158" s="27"/>
      <c r="AH158" s="17">
        <f>_xlfn.XLOOKUP(D158,'①7月-花名册'!E:E,'①7月-花名册'!T:T,0)</f>
        <v>0</v>
      </c>
      <c r="AI158" s="15">
        <f>SUMIFS('7月运营'!$L:$L,'7月运营'!$A:$A,D158,'7月运营'!$K:$K,$A$1)</f>
        <v>0</v>
      </c>
      <c r="AJ158" s="15">
        <f>SUMIFS('7月运营'!H:H,'7月运营'!$A:$A,D158,'7月运营'!$K:$K,$A$1)</f>
        <v>0</v>
      </c>
      <c r="AK158" s="15">
        <f>SUMIFS(上月未发人员明细!I:I,上月未发人员明细!J:J,$AK$2,上月未发人员明细!A:A,D158)</f>
        <v>0</v>
      </c>
      <c r="AL158" s="15">
        <f>SUMIFS('7月运营'!L:L,'7月运营'!$A:$A,D158,'7月运营'!$K:$K,$AL$2)</f>
        <v>0</v>
      </c>
      <c r="AM158" s="18">
        <f>SUMIFS('7月运营'!$F:$F,'7月运营'!$A:$A,D158,'7月运营'!$K:$K,'②7月-汇总'!$AM$2,'7月运营'!$G:$G,"岗位核算")</f>
        <v>0</v>
      </c>
      <c r="AN158" s="18">
        <f>SUMIFS('7月运营'!$F:$F,'7月运营'!$A:$A,D158,'7月运营'!$K:$K,$AN$2,'7月运营'!$G:$G,"岗位核算")</f>
        <v>0</v>
      </c>
      <c r="AO158" s="18" t="str">
        <f t="shared" si="29"/>
        <v/>
      </c>
      <c r="AP158" s="18">
        <f t="shared" si="21"/>
        <v>29</v>
      </c>
      <c r="AQ158" s="18">
        <f>_xlfn.XLOOKUP(D158,'7月运营'!A:A,'7月运营'!G:G,0)</f>
        <v>0</v>
      </c>
    </row>
    <row r="159" spans="1:43" x14ac:dyDescent="0.15">
      <c r="A159" s="11" t="str">
        <v>中和</v>
      </c>
      <c r="B159" s="11" t="str">
        <v>健康师</v>
      </c>
      <c r="C159" s="11" t="str">
        <v>A</v>
      </c>
      <c r="D159" s="11" t="str">
        <v>李红梅</v>
      </c>
      <c r="E159" s="11" t="str">
        <v>在职</v>
      </c>
      <c r="F159" s="11" t="str">
        <v>事业部</v>
      </c>
      <c r="G159" s="11">
        <f>_xlfn.XLOOKUP(D159,'①7月-花名册'!E:E,'①7月-花名册'!U:U,0)</f>
        <v>0</v>
      </c>
      <c r="H159" s="11">
        <f>_xlfn.XLOOKUP(D159,'①7月-花名册'!E:E,'①7月-花名册'!M:M,0)</f>
        <v>31</v>
      </c>
      <c r="I159" s="11">
        <f>_xlfn.XLOOKUP(D159,'①7月-花名册'!E:E,'①7月-花名册'!S:S,0)</f>
        <v>4</v>
      </c>
      <c r="J159" s="14">
        <f t="shared" si="22"/>
        <v>6</v>
      </c>
      <c r="K159" s="23">
        <v>4</v>
      </c>
      <c r="L159" s="23"/>
      <c r="M159" s="23">
        <v>2</v>
      </c>
      <c r="N159" s="23"/>
      <c r="O159" s="23"/>
      <c r="P159" s="15">
        <f t="shared" si="23"/>
        <v>25</v>
      </c>
      <c r="Q159" s="15">
        <f t="shared" si="24"/>
        <v>31</v>
      </c>
      <c r="R159" s="15">
        <f>IF(F159="事业部",LOOKUP(Q159,基础设置!$T$2:$T$6,基础设置!$U$2:$U$6),IF(F159="总部",LOOKUP(Q159,基础设置!$T$8:$T$13,基础设置!$V$8:$V$13),IF(F159="拓展部",LOOKUP(Q159,基础设置!$T$8:$T$13,基础设置!$W$8:$W$13),2000)))</f>
        <v>4</v>
      </c>
      <c r="S159" s="15">
        <f t="shared" si="25"/>
        <v>31</v>
      </c>
      <c r="T159" s="15">
        <f t="shared" si="26"/>
        <v>0</v>
      </c>
      <c r="U159" s="15">
        <f t="shared" si="27"/>
        <v>0</v>
      </c>
      <c r="V159" s="15">
        <f t="shared" si="20"/>
        <v>0</v>
      </c>
      <c r="W159" s="15">
        <f t="shared" si="28"/>
        <v>0</v>
      </c>
      <c r="X159" s="26">
        <v>20</v>
      </c>
      <c r="Y159" s="26"/>
      <c r="Z159" s="26"/>
      <c r="AA159" s="26"/>
      <c r="AB159" s="27"/>
      <c r="AC159" s="27"/>
      <c r="AD159" s="27"/>
      <c r="AE159" s="27"/>
      <c r="AF159" s="27"/>
      <c r="AG159" s="27"/>
      <c r="AH159" s="17">
        <f>_xlfn.XLOOKUP(D159,'①7月-花名册'!E:E,'①7月-花名册'!T:T,0)</f>
        <v>0</v>
      </c>
      <c r="AI159" s="15">
        <f>SUMIFS('7月运营'!$L:$L,'7月运营'!$A:$A,D159,'7月运营'!$K:$K,$A$1)</f>
        <v>0</v>
      </c>
      <c r="AJ159" s="15">
        <f>SUMIFS('7月运营'!H:H,'7月运营'!$A:$A,D159,'7月运营'!$K:$K,$A$1)</f>
        <v>0</v>
      </c>
      <c r="AK159" s="15">
        <f>SUMIFS(上月未发人员明细!I:I,上月未发人员明细!J:J,$AK$2,上月未发人员明细!A:A,D159)</f>
        <v>0</v>
      </c>
      <c r="AL159" s="15">
        <f>SUMIFS('7月运营'!L:L,'7月运营'!$A:$A,D159,'7月运营'!$K:$K,$AL$2)</f>
        <v>0</v>
      </c>
      <c r="AM159" s="18">
        <f>SUMIFS('7月运营'!$F:$F,'7月运营'!$A:$A,D159,'7月运营'!$K:$K,'②7月-汇总'!$AM$2,'7月运营'!$G:$G,"岗位核算")</f>
        <v>0</v>
      </c>
      <c r="AN159" s="18">
        <f>SUMIFS('7月运营'!$F:$F,'7月运营'!$A:$A,D159,'7月运营'!$K:$K,$AN$2,'7月运营'!$G:$G,"岗位核算")</f>
        <v>0</v>
      </c>
      <c r="AO159" s="18" t="str">
        <f t="shared" si="29"/>
        <v/>
      </c>
      <c r="AP159" s="18">
        <f t="shared" si="21"/>
        <v>31</v>
      </c>
      <c r="AQ159" s="18">
        <f>_xlfn.XLOOKUP(D159,'7月运营'!A:A,'7月运营'!G:G,0)</f>
        <v>0</v>
      </c>
    </row>
    <row r="160" spans="1:43" x14ac:dyDescent="0.15">
      <c r="A160" s="11" t="str">
        <v>中和</v>
      </c>
      <c r="B160" s="11" t="str">
        <v>健康师</v>
      </c>
      <c r="C160" s="11" t="str">
        <v>A</v>
      </c>
      <c r="D160" s="11" t="str">
        <v>龚艳</v>
      </c>
      <c r="E160" s="11" t="str">
        <v>在职</v>
      </c>
      <c r="F160" s="11" t="str">
        <v>事业部</v>
      </c>
      <c r="G160" s="11">
        <f>_xlfn.XLOOKUP(D160,'①7月-花名册'!E:E,'①7月-花名册'!U:U,0)</f>
        <v>0</v>
      </c>
      <c r="H160" s="11">
        <f>_xlfn.XLOOKUP(D160,'①7月-花名册'!E:E,'①7月-花名册'!M:M,0)</f>
        <v>31</v>
      </c>
      <c r="I160" s="11">
        <f>_xlfn.XLOOKUP(D160,'①7月-花名册'!E:E,'①7月-花名册'!S:S,0)</f>
        <v>4</v>
      </c>
      <c r="J160" s="14">
        <f t="shared" si="22"/>
        <v>6</v>
      </c>
      <c r="K160" s="23">
        <v>4</v>
      </c>
      <c r="L160" s="23"/>
      <c r="M160" s="23">
        <v>2</v>
      </c>
      <c r="N160" s="23"/>
      <c r="O160" s="23"/>
      <c r="P160" s="15">
        <f t="shared" si="23"/>
        <v>25</v>
      </c>
      <c r="Q160" s="15">
        <f t="shared" si="24"/>
        <v>31</v>
      </c>
      <c r="R160" s="15">
        <f>IF(F160="事业部",LOOKUP(Q160,基础设置!$T$2:$T$6,基础设置!$U$2:$U$6),IF(F160="总部",LOOKUP(Q160,基础设置!$T$8:$T$13,基础设置!$V$8:$V$13),IF(F160="拓展部",LOOKUP(Q160,基础设置!$T$8:$T$13,基础设置!$W$8:$W$13),2000)))</f>
        <v>4</v>
      </c>
      <c r="S160" s="15">
        <f t="shared" si="25"/>
        <v>31</v>
      </c>
      <c r="T160" s="15">
        <f t="shared" si="26"/>
        <v>0</v>
      </c>
      <c r="U160" s="15">
        <f t="shared" si="27"/>
        <v>0</v>
      </c>
      <c r="V160" s="15">
        <f t="shared" si="20"/>
        <v>0</v>
      </c>
      <c r="W160" s="15">
        <f t="shared" si="28"/>
        <v>0</v>
      </c>
      <c r="X160" s="26"/>
      <c r="Y160" s="26"/>
      <c r="Z160" s="26"/>
      <c r="AA160" s="26"/>
      <c r="AB160" s="27"/>
      <c r="AC160" s="27"/>
      <c r="AD160" s="27"/>
      <c r="AE160" s="27"/>
      <c r="AF160" s="27"/>
      <c r="AG160" s="27"/>
      <c r="AH160" s="17">
        <f>_xlfn.XLOOKUP(D160,'①7月-花名册'!E:E,'①7月-花名册'!T:T,0)</f>
        <v>0</v>
      </c>
      <c r="AI160" s="15">
        <f>SUMIFS('7月运营'!$L:$L,'7月运营'!$A:$A,D160,'7月运营'!$K:$K,$A$1)</f>
        <v>0</v>
      </c>
      <c r="AJ160" s="15">
        <f>SUMIFS('7月运营'!H:H,'7月运营'!$A:$A,D160,'7月运营'!$K:$K,$A$1)</f>
        <v>0</v>
      </c>
      <c r="AK160" s="15">
        <f>SUMIFS(上月未发人员明细!I:I,上月未发人员明细!J:J,$AK$2,上月未发人员明细!A:A,D160)</f>
        <v>0</v>
      </c>
      <c r="AL160" s="15">
        <f>SUMIFS('7月运营'!L:L,'7月运营'!$A:$A,D160,'7月运营'!$K:$K,$AL$2)</f>
        <v>0</v>
      </c>
      <c r="AM160" s="18">
        <f>SUMIFS('7月运营'!$F:$F,'7月运营'!$A:$A,D160,'7月运营'!$K:$K,'②7月-汇总'!$AM$2,'7月运营'!$G:$G,"岗位核算")</f>
        <v>0</v>
      </c>
      <c r="AN160" s="18">
        <f>SUMIFS('7月运营'!$F:$F,'7月运营'!$A:$A,D160,'7月运营'!$K:$K,$AN$2,'7月运营'!$G:$G,"岗位核算")</f>
        <v>0</v>
      </c>
      <c r="AO160" s="18" t="str">
        <f t="shared" si="29"/>
        <v/>
      </c>
      <c r="AP160" s="18">
        <f t="shared" si="21"/>
        <v>31</v>
      </c>
      <c r="AQ160" s="18">
        <f>_xlfn.XLOOKUP(D160,'7月运营'!A:A,'7月运营'!G:G,0)</f>
        <v>0</v>
      </c>
    </row>
    <row r="161" spans="1:43" x14ac:dyDescent="0.15">
      <c r="A161" s="11" t="str">
        <v>中和</v>
      </c>
      <c r="B161" s="11" t="str">
        <v>健康师</v>
      </c>
      <c r="C161" s="11" t="str">
        <v>A</v>
      </c>
      <c r="D161" s="11" t="str">
        <v>余姣姣</v>
      </c>
      <c r="E161" s="11" t="str">
        <v>在职</v>
      </c>
      <c r="F161" s="11" t="str">
        <v>事业部</v>
      </c>
      <c r="G161" s="11">
        <f>_xlfn.XLOOKUP(D161,'①7月-花名册'!E:E,'①7月-花名册'!U:U,0)</f>
        <v>0</v>
      </c>
      <c r="H161" s="11">
        <f>_xlfn.XLOOKUP(D161,'①7月-花名册'!E:E,'①7月-花名册'!M:M,0)</f>
        <v>31</v>
      </c>
      <c r="I161" s="11">
        <f>_xlfn.XLOOKUP(D161,'①7月-花名册'!E:E,'①7月-花名册'!S:S,0)</f>
        <v>4</v>
      </c>
      <c r="J161" s="14">
        <f t="shared" si="22"/>
        <v>4</v>
      </c>
      <c r="K161" s="23">
        <v>4</v>
      </c>
      <c r="L161" s="23"/>
      <c r="M161" s="23"/>
      <c r="N161" s="23"/>
      <c r="O161" s="23"/>
      <c r="P161" s="15">
        <f t="shared" si="23"/>
        <v>27</v>
      </c>
      <c r="Q161" s="15">
        <f t="shared" si="24"/>
        <v>31</v>
      </c>
      <c r="R161" s="15">
        <f>IF(F161="事业部",LOOKUP(Q161,基础设置!$T$2:$T$6,基础设置!$U$2:$U$6),IF(F161="总部",LOOKUP(Q161,基础设置!$T$8:$T$13,基础设置!$V$8:$V$13),IF(F161="拓展部",LOOKUP(Q161,基础设置!$T$8:$T$13,基础设置!$W$8:$W$13),2000)))</f>
        <v>4</v>
      </c>
      <c r="S161" s="15">
        <f t="shared" si="25"/>
        <v>31</v>
      </c>
      <c r="T161" s="15">
        <f t="shared" si="26"/>
        <v>0</v>
      </c>
      <c r="U161" s="15">
        <f t="shared" si="27"/>
        <v>0</v>
      </c>
      <c r="V161" s="15">
        <f t="shared" si="20"/>
        <v>0</v>
      </c>
      <c r="W161" s="15">
        <f t="shared" si="28"/>
        <v>0</v>
      </c>
      <c r="X161" s="26">
        <v>10</v>
      </c>
      <c r="Y161" s="26"/>
      <c r="Z161" s="26"/>
      <c r="AA161" s="26"/>
      <c r="AB161" s="27"/>
      <c r="AC161" s="27"/>
      <c r="AD161" s="27"/>
      <c r="AE161" s="27"/>
      <c r="AF161" s="27"/>
      <c r="AG161" s="27"/>
      <c r="AH161" s="17">
        <f>_xlfn.XLOOKUP(D161,'①7月-花名册'!E:E,'①7月-花名册'!T:T,0)</f>
        <v>0</v>
      </c>
      <c r="AI161" s="15">
        <f>SUMIFS('7月运营'!$L:$L,'7月运营'!$A:$A,D161,'7月运营'!$K:$K,$A$1)</f>
        <v>0</v>
      </c>
      <c r="AJ161" s="15">
        <f>SUMIFS('7月运营'!H:H,'7月运营'!$A:$A,D161,'7月运营'!$K:$K,$A$1)</f>
        <v>0</v>
      </c>
      <c r="AK161" s="15">
        <f>SUMIFS(上月未发人员明细!I:I,上月未发人员明细!J:J,$AK$2,上月未发人员明细!A:A,D161)</f>
        <v>0</v>
      </c>
      <c r="AL161" s="15">
        <f>SUMIFS('7月运营'!L:L,'7月运营'!$A:$A,D161,'7月运营'!$K:$K,$AL$2)</f>
        <v>0</v>
      </c>
      <c r="AM161" s="18">
        <f>SUMIFS('7月运营'!$F:$F,'7月运营'!$A:$A,D161,'7月运营'!$K:$K,'②7月-汇总'!$AM$2,'7月运营'!$G:$G,"岗位核算")</f>
        <v>0</v>
      </c>
      <c r="AN161" s="18">
        <f>SUMIFS('7月运营'!$F:$F,'7月运营'!$A:$A,D161,'7月运营'!$K:$K,$AN$2,'7月运营'!$G:$G,"岗位核算")</f>
        <v>0</v>
      </c>
      <c r="AO161" s="18" t="str">
        <f t="shared" si="29"/>
        <v/>
      </c>
      <c r="AP161" s="18">
        <f t="shared" si="21"/>
        <v>31</v>
      </c>
      <c r="AQ161" s="18">
        <f>_xlfn.XLOOKUP(D161,'7月运营'!A:A,'7月运营'!G:G,0)</f>
        <v>0</v>
      </c>
    </row>
    <row r="162" spans="1:43" x14ac:dyDescent="0.15">
      <c r="A162" s="11" t="str">
        <v>龙城国际</v>
      </c>
      <c r="B162" s="11" t="str">
        <v>主任</v>
      </c>
      <c r="C162" s="11" t="str">
        <v>B</v>
      </c>
      <c r="D162" s="11" t="str">
        <v>竹艳梅</v>
      </c>
      <c r="E162" s="11" t="str">
        <v>在职</v>
      </c>
      <c r="F162" s="11" t="str">
        <v>事业部</v>
      </c>
      <c r="G162" s="11">
        <f>_xlfn.XLOOKUP(D162,'①7月-花名册'!E:E,'①7月-花名册'!U:U,0)</f>
        <v>0</v>
      </c>
      <c r="H162" s="11">
        <f>_xlfn.XLOOKUP(D162,'①7月-花名册'!E:E,'①7月-花名册'!M:M,0)</f>
        <v>31</v>
      </c>
      <c r="I162" s="11">
        <f>_xlfn.XLOOKUP(D162,'①7月-花名册'!E:E,'①7月-花名册'!S:S,0)</f>
        <v>4</v>
      </c>
      <c r="J162" s="14">
        <f t="shared" si="22"/>
        <v>2</v>
      </c>
      <c r="K162" s="23">
        <v>2</v>
      </c>
      <c r="L162" s="23"/>
      <c r="M162" s="23"/>
      <c r="N162" s="23"/>
      <c r="O162" s="23"/>
      <c r="P162" s="15">
        <f t="shared" si="23"/>
        <v>29</v>
      </c>
      <c r="Q162" s="15">
        <f t="shared" si="24"/>
        <v>31</v>
      </c>
      <c r="R162" s="15">
        <f>IF(F162="事业部",LOOKUP(Q162,基础设置!$T$2:$T$6,基础设置!$U$2:$U$6),IF(F162="总部",LOOKUP(Q162,基础设置!$T$8:$T$13,基础设置!$V$8:$V$13),IF(F162="拓展部",LOOKUP(Q162,基础设置!$T$8:$T$13,基础设置!$W$8:$W$13),2000)))</f>
        <v>4</v>
      </c>
      <c r="S162" s="15">
        <f t="shared" si="25"/>
        <v>31</v>
      </c>
      <c r="T162" s="15">
        <f t="shared" si="26"/>
        <v>0</v>
      </c>
      <c r="U162" s="15">
        <f t="shared" si="27"/>
        <v>0</v>
      </c>
      <c r="V162" s="15">
        <f t="shared" si="20"/>
        <v>0</v>
      </c>
      <c r="W162" s="15">
        <f t="shared" si="28"/>
        <v>0</v>
      </c>
      <c r="X162" s="26">
        <v>90</v>
      </c>
      <c r="Y162" s="26">
        <v>20</v>
      </c>
      <c r="Z162" s="26"/>
      <c r="AA162" s="26"/>
      <c r="AB162" s="27"/>
      <c r="AC162" s="27"/>
      <c r="AD162" s="27"/>
      <c r="AE162" s="27"/>
      <c r="AF162" s="27"/>
      <c r="AG162" s="27"/>
      <c r="AH162" s="17">
        <f>_xlfn.XLOOKUP(D162,'①7月-花名册'!E:E,'①7月-花名册'!T:T,0)</f>
        <v>0</v>
      </c>
      <c r="AI162" s="15">
        <f>SUMIFS('7月运营'!$L:$L,'7月运营'!$A:$A,D162,'7月运营'!$K:$K,$A$1)</f>
        <v>0</v>
      </c>
      <c r="AJ162" s="15">
        <f>SUMIFS('7月运营'!H:H,'7月运营'!$A:$A,D162,'7月运营'!$K:$K,$A$1)</f>
        <v>0</v>
      </c>
      <c r="AK162" s="15">
        <f>SUMIFS(上月未发人员明细!I:I,上月未发人员明细!J:J,$AK$2,上月未发人员明细!A:A,D162)</f>
        <v>0</v>
      </c>
      <c r="AL162" s="15">
        <f>SUMIFS('7月运营'!L:L,'7月运营'!$A:$A,D162,'7月运营'!$K:$K,$AL$2)</f>
        <v>0</v>
      </c>
      <c r="AM162" s="18">
        <f>SUMIFS('7月运营'!$F:$F,'7月运营'!$A:$A,D162,'7月运营'!$K:$K,'②7月-汇总'!$AM$2,'7月运营'!$G:$G,"岗位核算")</f>
        <v>0</v>
      </c>
      <c r="AN162" s="18">
        <f>SUMIFS('7月运营'!$F:$F,'7月运营'!$A:$A,D162,'7月运营'!$K:$K,$AN$2,'7月运营'!$G:$G,"岗位核算")</f>
        <v>0</v>
      </c>
      <c r="AO162" s="18" t="str">
        <f t="shared" si="29"/>
        <v/>
      </c>
      <c r="AP162" s="18">
        <f t="shared" si="21"/>
        <v>31</v>
      </c>
      <c r="AQ162" s="18">
        <f>_xlfn.XLOOKUP(D162,'7月运营'!A:A,'7月运营'!G:G,0)</f>
        <v>0</v>
      </c>
    </row>
    <row r="163" spans="1:43" x14ac:dyDescent="0.15">
      <c r="A163" s="11" t="str">
        <v>中和</v>
      </c>
      <c r="B163" s="11" t="str">
        <v>健康师</v>
      </c>
      <c r="C163" s="11" t="str">
        <v>A</v>
      </c>
      <c r="D163" s="11" t="str">
        <v>叶朝春</v>
      </c>
      <c r="E163" s="11" t="str">
        <v>在职</v>
      </c>
      <c r="F163" s="11" t="str">
        <v>事业部</v>
      </c>
      <c r="G163" s="11">
        <f>_xlfn.XLOOKUP(D163,'①7月-花名册'!E:E,'①7月-花名册'!U:U,0)</f>
        <v>0</v>
      </c>
      <c r="H163" s="11">
        <f>_xlfn.XLOOKUP(D163,'①7月-花名册'!E:E,'①7月-花名册'!M:M,0)</f>
        <v>31</v>
      </c>
      <c r="I163" s="11">
        <f>_xlfn.XLOOKUP(D163,'①7月-花名册'!E:E,'①7月-花名册'!S:S,0)</f>
        <v>4</v>
      </c>
      <c r="J163" s="14">
        <f t="shared" si="22"/>
        <v>4</v>
      </c>
      <c r="K163" s="23">
        <v>4</v>
      </c>
      <c r="L163" s="23"/>
      <c r="M163" s="23"/>
      <c r="N163" s="23"/>
      <c r="O163" s="23"/>
      <c r="P163" s="15">
        <f t="shared" si="23"/>
        <v>27</v>
      </c>
      <c r="Q163" s="15">
        <f t="shared" si="24"/>
        <v>31</v>
      </c>
      <c r="R163" s="15">
        <f>IF(F163="事业部",LOOKUP(Q163,基础设置!$T$2:$T$6,基础设置!$U$2:$U$6),IF(F163="总部",LOOKUP(Q163,基础设置!$T$8:$T$13,基础设置!$V$8:$V$13),IF(F163="拓展部",LOOKUP(Q163,基础设置!$T$8:$T$13,基础设置!$W$8:$W$13),2000)))</f>
        <v>4</v>
      </c>
      <c r="S163" s="15">
        <f t="shared" si="25"/>
        <v>31</v>
      </c>
      <c r="T163" s="15">
        <f t="shared" si="26"/>
        <v>0</v>
      </c>
      <c r="U163" s="15">
        <f t="shared" si="27"/>
        <v>0</v>
      </c>
      <c r="V163" s="15">
        <f t="shared" si="20"/>
        <v>0</v>
      </c>
      <c r="W163" s="15">
        <f t="shared" si="28"/>
        <v>0</v>
      </c>
      <c r="X163" s="26"/>
      <c r="Y163" s="26"/>
      <c r="Z163" s="26"/>
      <c r="AA163" s="26"/>
      <c r="AB163" s="27"/>
      <c r="AC163" s="27"/>
      <c r="AD163" s="27"/>
      <c r="AE163" s="27"/>
      <c r="AF163" s="27"/>
      <c r="AG163" s="27"/>
      <c r="AH163" s="17">
        <f>_xlfn.XLOOKUP(D163,'①7月-花名册'!E:E,'①7月-花名册'!T:T,0)</f>
        <v>4000</v>
      </c>
      <c r="AI163" s="15">
        <f>SUMIFS('7月运营'!$L:$L,'7月运营'!$A:$A,D163,'7月运营'!$K:$K,$A$1)</f>
        <v>0</v>
      </c>
      <c r="AJ163" s="15">
        <f>SUMIFS('7月运营'!H:H,'7月运营'!$A:$A,D163,'7月运营'!$K:$K,$A$1)</f>
        <v>0</v>
      </c>
      <c r="AK163" s="15">
        <f>SUMIFS(上月未发人员明细!I:I,上月未发人员明细!J:J,$AK$2,上月未发人员明细!A:A,D163)</f>
        <v>0</v>
      </c>
      <c r="AL163" s="15">
        <f>SUMIFS('7月运营'!L:L,'7月运营'!$A:$A,D163,'7月运营'!$K:$K,$AL$2)</f>
        <v>0</v>
      </c>
      <c r="AM163" s="18">
        <f>SUMIFS('7月运营'!$F:$F,'7月运营'!$A:$A,D163,'7月运营'!$K:$K,'②7月-汇总'!$AM$2,'7月运营'!$G:$G,"岗位核算")</f>
        <v>0</v>
      </c>
      <c r="AN163" s="18">
        <f>SUMIFS('7月运营'!$F:$F,'7月运营'!$A:$A,D163,'7月运营'!$K:$K,$AN$2,'7月运营'!$G:$G,"岗位核算")</f>
        <v>0</v>
      </c>
      <c r="AO163" s="18" t="str">
        <f t="shared" si="29"/>
        <v/>
      </c>
      <c r="AP163" s="18">
        <f t="shared" si="21"/>
        <v>31</v>
      </c>
      <c r="AQ163" s="18">
        <f>_xlfn.XLOOKUP(D163,'7月运营'!A:A,'7月运营'!G:G,0)</f>
        <v>0</v>
      </c>
    </row>
    <row r="164" spans="1:43" x14ac:dyDescent="0.15">
      <c r="A164" s="11" t="str">
        <v>凤凰山</v>
      </c>
      <c r="B164" s="11" t="str">
        <v>健康师</v>
      </c>
      <c r="C164" s="11" t="str">
        <v>A</v>
      </c>
      <c r="D164" s="11" t="str">
        <v>喻容</v>
      </c>
      <c r="E164" s="11" t="str">
        <v>在职</v>
      </c>
      <c r="F164" s="11" t="str">
        <v>事业部</v>
      </c>
      <c r="G164" s="11">
        <f>_xlfn.XLOOKUP(D164,'①7月-花名册'!E:E,'①7月-花名册'!U:U,0)</f>
        <v>0</v>
      </c>
      <c r="H164" s="11">
        <f>_xlfn.XLOOKUP(D164,'①7月-花名册'!E:E,'①7月-花名册'!M:M,0)</f>
        <v>31</v>
      </c>
      <c r="I164" s="11">
        <f>_xlfn.XLOOKUP(D164,'①7月-花名册'!E:E,'①7月-花名册'!S:S,0)</f>
        <v>4</v>
      </c>
      <c r="J164" s="14">
        <f t="shared" si="22"/>
        <v>5</v>
      </c>
      <c r="K164" s="23">
        <v>4</v>
      </c>
      <c r="L164" s="23"/>
      <c r="M164" s="23">
        <v>1</v>
      </c>
      <c r="N164" s="23"/>
      <c r="O164" s="23"/>
      <c r="P164" s="15">
        <f t="shared" si="23"/>
        <v>26</v>
      </c>
      <c r="Q164" s="15">
        <f t="shared" si="24"/>
        <v>31</v>
      </c>
      <c r="R164" s="15">
        <f>IF(F164="事业部",LOOKUP(Q164,基础设置!$T$2:$T$6,基础设置!$U$2:$U$6),IF(F164="总部",LOOKUP(Q164,基础设置!$T$8:$T$13,基础设置!$V$8:$V$13),IF(F164="拓展部",LOOKUP(Q164,基础设置!$T$8:$T$13,基础设置!$W$8:$W$13),2000)))</f>
        <v>4</v>
      </c>
      <c r="S164" s="15">
        <f t="shared" si="25"/>
        <v>31</v>
      </c>
      <c r="T164" s="15">
        <f t="shared" si="26"/>
        <v>0</v>
      </c>
      <c r="U164" s="15">
        <f t="shared" si="27"/>
        <v>0</v>
      </c>
      <c r="V164" s="15">
        <f t="shared" si="20"/>
        <v>0</v>
      </c>
      <c r="W164" s="15">
        <f t="shared" si="28"/>
        <v>0</v>
      </c>
      <c r="X164" s="26">
        <v>10</v>
      </c>
      <c r="Y164" s="26"/>
      <c r="Z164" s="26"/>
      <c r="AA164" s="26"/>
      <c r="AB164" s="27"/>
      <c r="AC164" s="27"/>
      <c r="AD164" s="27"/>
      <c r="AE164" s="27"/>
      <c r="AF164" s="27"/>
      <c r="AG164" s="27"/>
      <c r="AH164" s="17">
        <f>_xlfn.XLOOKUP(D164,'①7月-花名册'!E:E,'①7月-花名册'!T:T,0)</f>
        <v>0</v>
      </c>
      <c r="AI164" s="15">
        <f>SUMIFS('7月运营'!$L:$L,'7月运营'!$A:$A,D164,'7月运营'!$K:$K,$A$1)</f>
        <v>0</v>
      </c>
      <c r="AJ164" s="15">
        <f>SUMIFS('7月运营'!H:H,'7月运营'!$A:$A,D164,'7月运营'!$K:$K,$A$1)</f>
        <v>0</v>
      </c>
      <c r="AK164" s="15">
        <f>SUMIFS(上月未发人员明细!I:I,上月未发人员明细!J:J,$AK$2,上月未发人员明细!A:A,D164)</f>
        <v>0</v>
      </c>
      <c r="AL164" s="15">
        <f>SUMIFS('7月运营'!L:L,'7月运营'!$A:$A,D164,'7月运营'!$K:$K,$AL$2)</f>
        <v>0</v>
      </c>
      <c r="AM164" s="18">
        <f>SUMIFS('7月运营'!$F:$F,'7月运营'!$A:$A,D164,'7月运营'!$K:$K,'②7月-汇总'!$AM$2,'7月运营'!$G:$G,"岗位核算")</f>
        <v>0</v>
      </c>
      <c r="AN164" s="18">
        <f>SUMIFS('7月运营'!$F:$F,'7月运营'!$A:$A,D164,'7月运营'!$K:$K,$AN$2,'7月运营'!$G:$G,"岗位核算")</f>
        <v>0</v>
      </c>
      <c r="AO164" s="18" t="str">
        <f t="shared" si="29"/>
        <v/>
      </c>
      <c r="AP164" s="18">
        <f t="shared" si="21"/>
        <v>31</v>
      </c>
      <c r="AQ164" s="18">
        <f>_xlfn.XLOOKUP(D164,'7月运营'!A:A,'7月运营'!G:G,0)</f>
        <v>0</v>
      </c>
    </row>
    <row r="165" spans="1:43" x14ac:dyDescent="0.15">
      <c r="A165" s="11" t="str">
        <v>凤凰山</v>
      </c>
      <c r="B165" s="11" t="str">
        <v>店长</v>
      </c>
      <c r="C165" s="11" t="str">
        <v>B</v>
      </c>
      <c r="D165" s="11" t="str">
        <v>魏柯</v>
      </c>
      <c r="E165" s="11" t="str">
        <v>在职</v>
      </c>
      <c r="F165" s="11" t="str">
        <v>事业部</v>
      </c>
      <c r="G165" s="11">
        <f>_xlfn.XLOOKUP(D165,'①7月-花名册'!E:E,'①7月-花名册'!U:U,0)</f>
        <v>0</v>
      </c>
      <c r="H165" s="11">
        <f>_xlfn.XLOOKUP(D165,'①7月-花名册'!E:E,'①7月-花名册'!M:M,0)</f>
        <v>31</v>
      </c>
      <c r="I165" s="11">
        <f>_xlfn.XLOOKUP(D165,'①7月-花名册'!E:E,'①7月-花名册'!S:S,0)</f>
        <v>4</v>
      </c>
      <c r="J165" s="14">
        <f t="shared" si="22"/>
        <v>4</v>
      </c>
      <c r="K165" s="23">
        <v>4</v>
      </c>
      <c r="L165" s="23"/>
      <c r="M165" s="23"/>
      <c r="N165" s="23"/>
      <c r="O165" s="23"/>
      <c r="P165" s="15">
        <f t="shared" si="23"/>
        <v>27</v>
      </c>
      <c r="Q165" s="15">
        <f t="shared" si="24"/>
        <v>31</v>
      </c>
      <c r="R165" s="15">
        <f>IF(F165="事业部",LOOKUP(Q165,基础设置!$T$2:$T$6,基础设置!$U$2:$U$6),IF(F165="总部",LOOKUP(Q165,基础设置!$T$8:$T$13,基础设置!$V$8:$V$13),IF(F165="拓展部",LOOKUP(Q165,基础设置!$T$8:$T$13,基础设置!$W$8:$W$13),2000)))</f>
        <v>4</v>
      </c>
      <c r="S165" s="15">
        <f t="shared" si="25"/>
        <v>31</v>
      </c>
      <c r="T165" s="15">
        <f t="shared" si="26"/>
        <v>0</v>
      </c>
      <c r="U165" s="15">
        <f t="shared" si="27"/>
        <v>0</v>
      </c>
      <c r="V165" s="15">
        <f t="shared" si="20"/>
        <v>0</v>
      </c>
      <c r="W165" s="15">
        <f t="shared" si="28"/>
        <v>0</v>
      </c>
      <c r="X165" s="26">
        <v>90</v>
      </c>
      <c r="Y165" s="26"/>
      <c r="Z165" s="26"/>
      <c r="AA165" s="26"/>
      <c r="AB165" s="27"/>
      <c r="AC165" s="27"/>
      <c r="AD165" s="27"/>
      <c r="AE165" s="27"/>
      <c r="AF165" s="27"/>
      <c r="AG165" s="27"/>
      <c r="AH165" s="17">
        <f>_xlfn.XLOOKUP(D165,'①7月-花名册'!E:E,'①7月-花名册'!T:T,0)</f>
        <v>0</v>
      </c>
      <c r="AI165" s="15">
        <f>SUMIFS('7月运营'!$L:$L,'7月运营'!$A:$A,D165,'7月运营'!$K:$K,$A$1)</f>
        <v>0</v>
      </c>
      <c r="AJ165" s="15">
        <f>SUMIFS('7月运营'!H:H,'7月运营'!$A:$A,D165,'7月运营'!$K:$K,$A$1)</f>
        <v>0</v>
      </c>
      <c r="AK165" s="15">
        <f>SUMIFS(上月未发人员明细!I:I,上月未发人员明细!J:J,$AK$2,上月未发人员明细!A:A,D165)</f>
        <v>0</v>
      </c>
      <c r="AL165" s="15">
        <f>SUMIFS('7月运营'!L:L,'7月运营'!$A:$A,D165,'7月运营'!$K:$K,$AL$2)</f>
        <v>0</v>
      </c>
      <c r="AM165" s="18">
        <f>SUMIFS('7月运营'!$F:$F,'7月运营'!$A:$A,D165,'7月运营'!$K:$K,'②7月-汇总'!$AM$2,'7月运营'!$G:$G,"岗位核算")</f>
        <v>0</v>
      </c>
      <c r="AN165" s="18">
        <f>SUMIFS('7月运营'!$F:$F,'7月运营'!$A:$A,D165,'7月运营'!$K:$K,$AN$2,'7月运营'!$G:$G,"岗位核算")</f>
        <v>0</v>
      </c>
      <c r="AO165" s="18" t="str">
        <f t="shared" si="29"/>
        <v/>
      </c>
      <c r="AP165" s="18">
        <f t="shared" si="21"/>
        <v>31</v>
      </c>
      <c r="AQ165" s="18">
        <f>_xlfn.XLOOKUP(D165,'7月运营'!A:A,'7月运营'!G:G,0)</f>
        <v>0</v>
      </c>
    </row>
    <row r="166" spans="1:43" x14ac:dyDescent="0.15">
      <c r="A166" s="11" t="str">
        <v>凤凰山</v>
      </c>
      <c r="B166" s="11" t="str">
        <v>健康师</v>
      </c>
      <c r="C166" s="11" t="str">
        <v>A</v>
      </c>
      <c r="D166" s="11" t="str">
        <v>徐文平</v>
      </c>
      <c r="E166" s="11" t="str">
        <v>在职</v>
      </c>
      <c r="F166" s="11" t="str">
        <v>事业部</v>
      </c>
      <c r="G166" s="11">
        <f>_xlfn.XLOOKUP(D166,'①7月-花名册'!E:E,'①7月-花名册'!U:U,0)</f>
        <v>0</v>
      </c>
      <c r="H166" s="11">
        <f>_xlfn.XLOOKUP(D166,'①7月-花名册'!E:E,'①7月-花名册'!M:M,0)</f>
        <v>31</v>
      </c>
      <c r="I166" s="11">
        <f>_xlfn.XLOOKUP(D166,'①7月-花名册'!E:E,'①7月-花名册'!S:S,0)</f>
        <v>4</v>
      </c>
      <c r="J166" s="14">
        <f t="shared" si="22"/>
        <v>4</v>
      </c>
      <c r="K166" s="23">
        <v>4</v>
      </c>
      <c r="L166" s="23"/>
      <c r="M166" s="23"/>
      <c r="N166" s="23"/>
      <c r="O166" s="23"/>
      <c r="P166" s="15">
        <f t="shared" si="23"/>
        <v>27</v>
      </c>
      <c r="Q166" s="15">
        <f t="shared" si="24"/>
        <v>31</v>
      </c>
      <c r="R166" s="15">
        <f>IF(F166="事业部",LOOKUP(Q166,基础设置!$T$2:$T$6,基础设置!$U$2:$U$6),IF(F166="总部",LOOKUP(Q166,基础设置!$T$8:$T$13,基础设置!$V$8:$V$13),IF(F166="拓展部",LOOKUP(Q166,基础设置!$T$8:$T$13,基础设置!$W$8:$W$13),2000)))</f>
        <v>4</v>
      </c>
      <c r="S166" s="15">
        <f t="shared" si="25"/>
        <v>31</v>
      </c>
      <c r="T166" s="15">
        <f t="shared" si="26"/>
        <v>0</v>
      </c>
      <c r="U166" s="15">
        <f t="shared" si="27"/>
        <v>0</v>
      </c>
      <c r="V166" s="15">
        <f t="shared" si="20"/>
        <v>0</v>
      </c>
      <c r="W166" s="15">
        <f t="shared" si="28"/>
        <v>0</v>
      </c>
      <c r="X166" s="26">
        <v>120</v>
      </c>
      <c r="Y166" s="26"/>
      <c r="Z166" s="26"/>
      <c r="AA166" s="26"/>
      <c r="AB166" s="27"/>
      <c r="AC166" s="27"/>
      <c r="AD166" s="27"/>
      <c r="AE166" s="27"/>
      <c r="AF166" s="27"/>
      <c r="AG166" s="27"/>
      <c r="AH166" s="17">
        <f>_xlfn.XLOOKUP(D166,'①7月-花名册'!E:E,'①7月-花名册'!T:T,0)</f>
        <v>0</v>
      </c>
      <c r="AI166" s="15">
        <f>SUMIFS('7月运营'!$L:$L,'7月运营'!$A:$A,D166,'7月运营'!$K:$K,$A$1)</f>
        <v>0</v>
      </c>
      <c r="AJ166" s="15">
        <f>SUMIFS('7月运营'!H:H,'7月运营'!$A:$A,D166,'7月运营'!$K:$K,$A$1)</f>
        <v>0</v>
      </c>
      <c r="AK166" s="15">
        <f>SUMIFS(上月未发人员明细!I:I,上月未发人员明细!J:J,$AK$2,上月未发人员明细!A:A,D166)</f>
        <v>0</v>
      </c>
      <c r="AL166" s="15">
        <f>SUMIFS('7月运营'!L:L,'7月运营'!$A:$A,D166,'7月运营'!$K:$K,$AL$2)</f>
        <v>0</v>
      </c>
      <c r="AM166" s="18">
        <f>SUMIFS('7月运营'!$F:$F,'7月运营'!$A:$A,D166,'7月运营'!$K:$K,'②7月-汇总'!$AM$2,'7月运营'!$G:$G,"岗位核算")</f>
        <v>0</v>
      </c>
      <c r="AN166" s="18">
        <f>SUMIFS('7月运营'!$F:$F,'7月运营'!$A:$A,D166,'7月运营'!$K:$K,$AN$2,'7月运营'!$G:$G,"岗位核算")</f>
        <v>0</v>
      </c>
      <c r="AO166" s="18" t="str">
        <f t="shared" si="29"/>
        <v/>
      </c>
      <c r="AP166" s="18">
        <f t="shared" si="21"/>
        <v>31</v>
      </c>
      <c r="AQ166" s="18">
        <f>_xlfn.XLOOKUP(D166,'7月运营'!A:A,'7月运营'!G:G,0)</f>
        <v>0</v>
      </c>
    </row>
    <row r="167" spans="1:43" x14ac:dyDescent="0.15">
      <c r="A167" s="11" t="str">
        <v>凤凰山</v>
      </c>
      <c r="B167" s="11" t="str">
        <v>健康师</v>
      </c>
      <c r="C167" s="11" t="str">
        <v>A</v>
      </c>
      <c r="D167" s="11" t="str">
        <v>张欣</v>
      </c>
      <c r="E167" s="11" t="str">
        <v>离职</v>
      </c>
      <c r="F167" s="11" t="str">
        <v>事业部</v>
      </c>
      <c r="G167" s="11">
        <f>_xlfn.XLOOKUP(D167,'①7月-花名册'!E:E,'①7月-花名册'!U:U,0)</f>
        <v>0</v>
      </c>
      <c r="H167" s="11">
        <f>_xlfn.XLOOKUP(D167,'①7月-花名册'!E:E,'①7月-花名册'!M:M,0)</f>
        <v>7</v>
      </c>
      <c r="I167" s="11">
        <f>_xlfn.XLOOKUP(D167,'①7月-花名册'!E:E,'①7月-花名册'!S:S,0)</f>
        <v>1</v>
      </c>
      <c r="J167" s="14">
        <f t="shared" si="22"/>
        <v>0</v>
      </c>
      <c r="K167" s="23">
        <v>0</v>
      </c>
      <c r="L167" s="23"/>
      <c r="M167" s="23"/>
      <c r="N167" s="23"/>
      <c r="O167" s="23"/>
      <c r="P167" s="15">
        <f t="shared" si="23"/>
        <v>7</v>
      </c>
      <c r="Q167" s="15">
        <f t="shared" si="24"/>
        <v>7</v>
      </c>
      <c r="R167" s="15">
        <f>IF(F167="事业部",LOOKUP(Q167,基础设置!$T$2:$T$6,基础设置!$U$2:$U$6),IF(F167="总部",LOOKUP(Q167,基础设置!$T$8:$T$13,基础设置!$V$8:$V$13),IF(F167="拓展部",LOOKUP(Q167,基础设置!$T$8:$T$13,基础设置!$W$8:$W$13),2000)))</f>
        <v>1</v>
      </c>
      <c r="S167" s="15">
        <f t="shared" si="25"/>
        <v>7</v>
      </c>
      <c r="T167" s="15">
        <f t="shared" si="26"/>
        <v>0</v>
      </c>
      <c r="U167" s="15">
        <f t="shared" si="27"/>
        <v>0</v>
      </c>
      <c r="V167" s="15">
        <f t="shared" si="20"/>
        <v>0</v>
      </c>
      <c r="W167" s="15">
        <f t="shared" si="28"/>
        <v>0</v>
      </c>
      <c r="X167" s="26"/>
      <c r="Y167" s="26"/>
      <c r="Z167" s="26"/>
      <c r="AA167" s="26"/>
      <c r="AB167" s="27"/>
      <c r="AC167" s="27"/>
      <c r="AD167" s="27"/>
      <c r="AE167" s="27"/>
      <c r="AF167" s="27"/>
      <c r="AG167" s="27"/>
      <c r="AH167" s="17">
        <f>_xlfn.XLOOKUP(D167,'①7月-花名册'!E:E,'①7月-花名册'!T:T,0)</f>
        <v>0</v>
      </c>
      <c r="AI167" s="15">
        <f>SUMIFS('7月运营'!$L:$L,'7月运营'!$A:$A,D167,'7月运营'!$K:$K,$A$1)</f>
        <v>0</v>
      </c>
      <c r="AJ167" s="15">
        <f>SUMIFS('7月运营'!H:H,'7月运营'!$A:$A,D167,'7月运营'!$K:$K,$A$1)</f>
        <v>0</v>
      </c>
      <c r="AK167" s="15">
        <f>SUMIFS(上月未发人员明细!I:I,上月未发人员明细!J:J,$AK$2,上月未发人员明细!A:A,D167)</f>
        <v>0</v>
      </c>
      <c r="AL167" s="15">
        <f>SUMIFS('7月运营'!L:L,'7月运营'!$A:$A,D167,'7月运营'!$K:$K,$AL$2)</f>
        <v>0</v>
      </c>
      <c r="AM167" s="18">
        <f>SUMIFS('7月运营'!$F:$F,'7月运营'!$A:$A,D167,'7月运营'!$K:$K,'②7月-汇总'!$AM$2,'7月运营'!$G:$G,"岗位核算")</f>
        <v>0</v>
      </c>
      <c r="AN167" s="18">
        <f>SUMIFS('7月运营'!$F:$F,'7月运营'!$A:$A,D167,'7月运营'!$K:$K,$AN$2,'7月运营'!$G:$G,"岗位核算")</f>
        <v>0</v>
      </c>
      <c r="AO167" s="18" t="str">
        <f t="shared" si="29"/>
        <v/>
      </c>
      <c r="AP167" s="18">
        <f t="shared" si="21"/>
        <v>7</v>
      </c>
      <c r="AQ167" s="18">
        <f>_xlfn.XLOOKUP(D167,'7月运营'!A:A,'7月运营'!G:G,0)</f>
        <v>0</v>
      </c>
    </row>
    <row r="168" spans="1:43" x14ac:dyDescent="0.15">
      <c r="A168" s="11" t="str">
        <v>凤凰山</v>
      </c>
      <c r="B168" s="11" t="str">
        <v>店助</v>
      </c>
      <c r="C168" s="11" t="str">
        <v>A</v>
      </c>
      <c r="D168" s="11" t="str">
        <v>叶璐璐</v>
      </c>
      <c r="E168" s="11" t="str">
        <v>在职</v>
      </c>
      <c r="F168" s="11" t="str">
        <v>事业部</v>
      </c>
      <c r="G168" s="11">
        <f>_xlfn.XLOOKUP(D168,'①7月-花名册'!E:E,'①7月-花名册'!U:U,0)</f>
        <v>0</v>
      </c>
      <c r="H168" s="11">
        <f>_xlfn.XLOOKUP(D168,'①7月-花名册'!E:E,'①7月-花名册'!M:M,0)</f>
        <v>31</v>
      </c>
      <c r="I168" s="11">
        <f>_xlfn.XLOOKUP(D168,'①7月-花名册'!E:E,'①7月-花名册'!S:S,0)</f>
        <v>4</v>
      </c>
      <c r="J168" s="14">
        <f t="shared" si="22"/>
        <v>4</v>
      </c>
      <c r="K168" s="23">
        <v>4</v>
      </c>
      <c r="L168" s="23"/>
      <c r="M168" s="23"/>
      <c r="N168" s="23"/>
      <c r="O168" s="23"/>
      <c r="P168" s="15">
        <f t="shared" si="23"/>
        <v>27</v>
      </c>
      <c r="Q168" s="15">
        <f t="shared" si="24"/>
        <v>31</v>
      </c>
      <c r="R168" s="15">
        <f>IF(F168="事业部",LOOKUP(Q168,基础设置!$T$2:$T$6,基础设置!$U$2:$U$6),IF(F168="总部",LOOKUP(Q168,基础设置!$T$8:$T$13,基础设置!$V$8:$V$13),IF(F168="拓展部",LOOKUP(Q168,基础设置!$T$8:$T$13,基础设置!$W$8:$W$13),2000)))</f>
        <v>4</v>
      </c>
      <c r="S168" s="15">
        <f t="shared" si="25"/>
        <v>31</v>
      </c>
      <c r="T168" s="15">
        <f t="shared" si="26"/>
        <v>0</v>
      </c>
      <c r="U168" s="15">
        <f t="shared" si="27"/>
        <v>0</v>
      </c>
      <c r="V168" s="15">
        <f t="shared" si="20"/>
        <v>0</v>
      </c>
      <c r="W168" s="15">
        <f t="shared" si="28"/>
        <v>0</v>
      </c>
      <c r="X168" s="26"/>
      <c r="Y168" s="26"/>
      <c r="Z168" s="26"/>
      <c r="AA168" s="26"/>
      <c r="AB168" s="27"/>
      <c r="AC168" s="27"/>
      <c r="AD168" s="27"/>
      <c r="AE168" s="27"/>
      <c r="AF168" s="27"/>
      <c r="AG168" s="27"/>
      <c r="AH168" s="17">
        <f>_xlfn.XLOOKUP(D168,'①7月-花名册'!E:E,'①7月-花名册'!T:T,0)</f>
        <v>0</v>
      </c>
      <c r="AI168" s="15">
        <f>SUMIFS('7月运营'!$L:$L,'7月运营'!$A:$A,D168,'7月运营'!$K:$K,$A$1)</f>
        <v>0</v>
      </c>
      <c r="AJ168" s="15">
        <f>SUMIFS('7月运营'!H:H,'7月运营'!$A:$A,D168,'7月运营'!$K:$K,$A$1)</f>
        <v>0</v>
      </c>
      <c r="AK168" s="15">
        <f>SUMIFS(上月未发人员明细!I:I,上月未发人员明细!J:J,$AK$2,上月未发人员明细!A:A,D168)</f>
        <v>0</v>
      </c>
      <c r="AL168" s="15">
        <f>SUMIFS('7月运营'!L:L,'7月运营'!$A:$A,D168,'7月运营'!$K:$K,$AL$2)</f>
        <v>0</v>
      </c>
      <c r="AM168" s="18">
        <f>SUMIFS('7月运营'!$F:$F,'7月运营'!$A:$A,D168,'7月运营'!$K:$K,'②7月-汇总'!$AM$2,'7月运营'!$G:$G,"岗位核算")</f>
        <v>0</v>
      </c>
      <c r="AN168" s="18">
        <f>SUMIFS('7月运营'!$F:$F,'7月运营'!$A:$A,D168,'7月运营'!$K:$K,$AN$2,'7月运营'!$G:$G,"岗位核算")</f>
        <v>0</v>
      </c>
      <c r="AO168" s="18" t="str">
        <f t="shared" si="29"/>
        <v/>
      </c>
      <c r="AP168" s="18">
        <f t="shared" si="21"/>
        <v>31</v>
      </c>
      <c r="AQ168" s="18">
        <f>_xlfn.XLOOKUP(D168,'7月运营'!A:A,'7月运营'!G:G,0)</f>
        <v>0</v>
      </c>
    </row>
    <row r="169" spans="1:43" x14ac:dyDescent="0.15">
      <c r="A169" s="11" t="str">
        <v>凤凰山</v>
      </c>
      <c r="B169" s="11" t="str">
        <v>健康师</v>
      </c>
      <c r="C169" s="11" t="str">
        <v>A</v>
      </c>
      <c r="D169" s="11" t="str">
        <v>周文慧</v>
      </c>
      <c r="E169" s="11" t="str">
        <v>在职</v>
      </c>
      <c r="F169" s="11" t="str">
        <v>事业部</v>
      </c>
      <c r="G169" s="11">
        <f>_xlfn.XLOOKUP(D169,'①7月-花名册'!E:E,'①7月-花名册'!U:U,0)</f>
        <v>0</v>
      </c>
      <c r="H169" s="11">
        <f>_xlfn.XLOOKUP(D169,'①7月-花名册'!E:E,'①7月-花名册'!M:M,0)</f>
        <v>31</v>
      </c>
      <c r="I169" s="11">
        <f>_xlfn.XLOOKUP(D169,'①7月-花名册'!E:E,'①7月-花名册'!S:S,0)</f>
        <v>4</v>
      </c>
      <c r="J169" s="14">
        <f t="shared" si="22"/>
        <v>6</v>
      </c>
      <c r="K169" s="23">
        <v>4</v>
      </c>
      <c r="L169" s="23"/>
      <c r="M169" s="23">
        <v>2</v>
      </c>
      <c r="N169" s="23"/>
      <c r="O169" s="23"/>
      <c r="P169" s="15">
        <f t="shared" si="23"/>
        <v>25</v>
      </c>
      <c r="Q169" s="15">
        <f t="shared" si="24"/>
        <v>31</v>
      </c>
      <c r="R169" s="15">
        <f>IF(F169="事业部",LOOKUP(Q169,基础设置!$T$2:$T$6,基础设置!$U$2:$U$6),IF(F169="总部",LOOKUP(Q169,基础设置!$T$8:$T$13,基础设置!$V$8:$V$13),IF(F169="拓展部",LOOKUP(Q169,基础设置!$T$8:$T$13,基础设置!$W$8:$W$13),2000)))</f>
        <v>4</v>
      </c>
      <c r="S169" s="15">
        <f t="shared" si="25"/>
        <v>31</v>
      </c>
      <c r="T169" s="15">
        <f t="shared" si="26"/>
        <v>0</v>
      </c>
      <c r="U169" s="15">
        <f t="shared" si="27"/>
        <v>0</v>
      </c>
      <c r="V169" s="15">
        <f t="shared" si="20"/>
        <v>0</v>
      </c>
      <c r="W169" s="15">
        <f t="shared" si="28"/>
        <v>0</v>
      </c>
      <c r="X169" s="26">
        <v>10</v>
      </c>
      <c r="Y169" s="26"/>
      <c r="Z169" s="26"/>
      <c r="AA169" s="26"/>
      <c r="AB169" s="27"/>
      <c r="AC169" s="27"/>
      <c r="AD169" s="27"/>
      <c r="AE169" s="27"/>
      <c r="AF169" s="27"/>
      <c r="AG169" s="27"/>
      <c r="AH169" s="17">
        <f>_xlfn.XLOOKUP(D169,'①7月-花名册'!E:E,'①7月-花名册'!T:T,0)</f>
        <v>0</v>
      </c>
      <c r="AI169" s="15">
        <f>SUMIFS('7月运营'!$L:$L,'7月运营'!$A:$A,D169,'7月运营'!$K:$K,$A$1)</f>
        <v>0</v>
      </c>
      <c r="AJ169" s="15">
        <f>SUMIFS('7月运营'!H:H,'7月运营'!$A:$A,D169,'7月运营'!$K:$K,$A$1)</f>
        <v>0</v>
      </c>
      <c r="AK169" s="15">
        <f>SUMIFS(上月未发人员明细!I:I,上月未发人员明细!J:J,$AK$2,上月未发人员明细!A:A,D169)</f>
        <v>0</v>
      </c>
      <c r="AL169" s="15">
        <f>SUMIFS('7月运营'!L:L,'7月运营'!$A:$A,D169,'7月运营'!$K:$K,$AL$2)</f>
        <v>0</v>
      </c>
      <c r="AM169" s="18">
        <f>SUMIFS('7月运营'!$F:$F,'7月运营'!$A:$A,D169,'7月运营'!$K:$K,'②7月-汇总'!$AM$2,'7月运营'!$G:$G,"岗位核算")</f>
        <v>0</v>
      </c>
      <c r="AN169" s="18">
        <f>SUMIFS('7月运营'!$F:$F,'7月运营'!$A:$A,D169,'7月运营'!$K:$K,$AN$2,'7月运营'!$G:$G,"岗位核算")</f>
        <v>0</v>
      </c>
      <c r="AO169" s="18" t="str">
        <f t="shared" si="29"/>
        <v/>
      </c>
      <c r="AP169" s="18">
        <f t="shared" si="21"/>
        <v>31</v>
      </c>
      <c r="AQ169" s="18">
        <f>_xlfn.XLOOKUP(D169,'7月运营'!A:A,'7月运营'!G:G,0)</f>
        <v>0</v>
      </c>
    </row>
    <row r="170" spans="1:43" x14ac:dyDescent="0.15">
      <c r="A170" s="11" t="str">
        <v>凤凰山</v>
      </c>
      <c r="B170" s="11" t="str">
        <v>健康师</v>
      </c>
      <c r="C170" s="11" t="str">
        <v>A</v>
      </c>
      <c r="D170" s="11" t="str">
        <v>张白金</v>
      </c>
      <c r="E170" s="11" t="str">
        <v>在职</v>
      </c>
      <c r="F170" s="11" t="str">
        <v>事业部</v>
      </c>
      <c r="G170" s="11">
        <f>_xlfn.XLOOKUP(D170,'①7月-花名册'!E:E,'①7月-花名册'!U:U,0)</f>
        <v>0</v>
      </c>
      <c r="H170" s="11">
        <f>_xlfn.XLOOKUP(D170,'①7月-花名册'!E:E,'①7月-花名册'!M:M,0)</f>
        <v>31</v>
      </c>
      <c r="I170" s="11">
        <f>_xlfn.XLOOKUP(D170,'①7月-花名册'!E:E,'①7月-花名册'!S:S,0)</f>
        <v>4</v>
      </c>
      <c r="J170" s="14">
        <f t="shared" si="22"/>
        <v>4</v>
      </c>
      <c r="K170" s="23">
        <v>4</v>
      </c>
      <c r="L170" s="23"/>
      <c r="M170" s="23"/>
      <c r="N170" s="23"/>
      <c r="O170" s="23"/>
      <c r="P170" s="15">
        <f t="shared" si="23"/>
        <v>27</v>
      </c>
      <c r="Q170" s="15">
        <f t="shared" si="24"/>
        <v>31</v>
      </c>
      <c r="R170" s="15">
        <f>IF(F170="事业部",LOOKUP(Q170,基础设置!$T$2:$T$6,基础设置!$U$2:$U$6),IF(F170="总部",LOOKUP(Q170,基础设置!$T$8:$T$13,基础设置!$V$8:$V$13),IF(F170="拓展部",LOOKUP(Q170,基础设置!$T$8:$T$13,基础设置!$W$8:$W$13),2000)))</f>
        <v>4</v>
      </c>
      <c r="S170" s="15">
        <f t="shared" si="25"/>
        <v>31</v>
      </c>
      <c r="T170" s="15">
        <f t="shared" si="26"/>
        <v>0</v>
      </c>
      <c r="U170" s="15">
        <f t="shared" si="27"/>
        <v>0</v>
      </c>
      <c r="V170" s="15">
        <f t="shared" si="20"/>
        <v>0</v>
      </c>
      <c r="W170" s="15">
        <f t="shared" si="28"/>
        <v>0</v>
      </c>
      <c r="X170" s="26"/>
      <c r="Y170" s="26"/>
      <c r="Z170" s="26"/>
      <c r="AA170" s="26"/>
      <c r="AB170" s="27"/>
      <c r="AC170" s="27"/>
      <c r="AD170" s="27"/>
      <c r="AE170" s="27"/>
      <c r="AF170" s="27"/>
      <c r="AG170" s="27"/>
      <c r="AH170" s="17">
        <f>_xlfn.XLOOKUP(D170,'①7月-花名册'!E:E,'①7月-花名册'!T:T,0)</f>
        <v>0</v>
      </c>
      <c r="AI170" s="15">
        <f>SUMIFS('7月运营'!$L:$L,'7月运营'!$A:$A,D170,'7月运营'!$K:$K,$A$1)</f>
        <v>0</v>
      </c>
      <c r="AJ170" s="15">
        <f>SUMIFS('7月运营'!H:H,'7月运营'!$A:$A,D170,'7月运营'!$K:$K,$A$1)</f>
        <v>0</v>
      </c>
      <c r="AK170" s="15">
        <f>SUMIFS(上月未发人员明细!I:I,上月未发人员明细!J:J,$AK$2,上月未发人员明细!A:A,D170)</f>
        <v>0</v>
      </c>
      <c r="AL170" s="15">
        <f>SUMIFS('7月运营'!L:L,'7月运营'!$A:$A,D170,'7月运营'!$K:$K,$AL$2)</f>
        <v>0</v>
      </c>
      <c r="AM170" s="18">
        <f>SUMIFS('7月运营'!$F:$F,'7月运营'!$A:$A,D170,'7月运营'!$K:$K,'②7月-汇总'!$AM$2,'7月运营'!$G:$G,"岗位核算")</f>
        <v>0</v>
      </c>
      <c r="AN170" s="18">
        <f>SUMIFS('7月运营'!$F:$F,'7月运营'!$A:$A,D170,'7月运营'!$K:$K,$AN$2,'7月运营'!$G:$G,"岗位核算")</f>
        <v>0</v>
      </c>
      <c r="AO170" s="18" t="str">
        <f t="shared" si="29"/>
        <v/>
      </c>
      <c r="AP170" s="18">
        <f t="shared" si="21"/>
        <v>31</v>
      </c>
      <c r="AQ170" s="18">
        <f>_xlfn.XLOOKUP(D170,'7月运营'!A:A,'7月运营'!G:G,0)</f>
        <v>0</v>
      </c>
    </row>
    <row r="171" spans="1:43" x14ac:dyDescent="0.15">
      <c r="A171" s="11" t="str">
        <v>凤凰山</v>
      </c>
      <c r="B171" s="11" t="str">
        <v>健康师</v>
      </c>
      <c r="C171" s="11" t="str">
        <v>A</v>
      </c>
      <c r="D171" s="11" t="str">
        <v>郑美函</v>
      </c>
      <c r="E171" s="11" t="str">
        <v>在职</v>
      </c>
      <c r="F171" s="11" t="str">
        <v>事业部</v>
      </c>
      <c r="G171" s="11">
        <f>_xlfn.XLOOKUP(D171,'①7月-花名册'!E:E,'①7月-花名册'!U:U,0)</f>
        <v>0</v>
      </c>
      <c r="H171" s="11">
        <f>_xlfn.XLOOKUP(D171,'①7月-花名册'!E:E,'①7月-花名册'!M:M,0)</f>
        <v>31</v>
      </c>
      <c r="I171" s="11">
        <f>_xlfn.XLOOKUP(D171,'①7月-花名册'!E:E,'①7月-花名册'!S:S,0)</f>
        <v>4</v>
      </c>
      <c r="J171" s="14">
        <f t="shared" si="22"/>
        <v>6</v>
      </c>
      <c r="K171" s="23">
        <v>4</v>
      </c>
      <c r="L171" s="23"/>
      <c r="M171" s="23">
        <v>2</v>
      </c>
      <c r="N171" s="23"/>
      <c r="O171" s="23"/>
      <c r="P171" s="15">
        <f t="shared" si="23"/>
        <v>25</v>
      </c>
      <c r="Q171" s="15">
        <f t="shared" si="24"/>
        <v>31</v>
      </c>
      <c r="R171" s="15">
        <f>IF(F171="事业部",LOOKUP(Q171,基础设置!$T$2:$T$6,基础设置!$U$2:$U$6),IF(F171="总部",LOOKUP(Q171,基础设置!$T$8:$T$13,基础设置!$V$8:$V$13),IF(F171="拓展部",LOOKUP(Q171,基础设置!$T$8:$T$13,基础设置!$W$8:$W$13),2000)))</f>
        <v>4</v>
      </c>
      <c r="S171" s="15">
        <f t="shared" si="25"/>
        <v>31</v>
      </c>
      <c r="T171" s="15">
        <f t="shared" si="26"/>
        <v>0</v>
      </c>
      <c r="U171" s="15">
        <f t="shared" si="27"/>
        <v>0</v>
      </c>
      <c r="V171" s="15">
        <f t="shared" si="20"/>
        <v>0</v>
      </c>
      <c r="W171" s="15">
        <f t="shared" si="28"/>
        <v>0</v>
      </c>
      <c r="X171" s="26"/>
      <c r="Y171" s="26"/>
      <c r="Z171" s="26"/>
      <c r="AA171" s="26"/>
      <c r="AB171" s="27"/>
      <c r="AC171" s="27"/>
      <c r="AD171" s="27"/>
      <c r="AE171" s="27"/>
      <c r="AF171" s="27"/>
      <c r="AG171" s="27"/>
      <c r="AH171" s="17">
        <f>_xlfn.XLOOKUP(D171,'①7月-花名册'!E:E,'①7月-花名册'!T:T,0)</f>
        <v>0</v>
      </c>
      <c r="AI171" s="15">
        <f>SUMIFS('7月运营'!$L:$L,'7月运营'!$A:$A,D171,'7月运营'!$K:$K,$A$1)</f>
        <v>0</v>
      </c>
      <c r="AJ171" s="15">
        <f>SUMIFS('7月运营'!H:H,'7月运营'!$A:$A,D171,'7月运营'!$K:$K,$A$1)</f>
        <v>0</v>
      </c>
      <c r="AK171" s="15">
        <f>SUMIFS(上月未发人员明细!I:I,上月未发人员明细!J:J,$AK$2,上月未发人员明细!A:A,D171)</f>
        <v>0</v>
      </c>
      <c r="AL171" s="15">
        <f>SUMIFS('7月运营'!L:L,'7月运营'!$A:$A,D171,'7月运营'!$K:$K,$AL$2)</f>
        <v>0</v>
      </c>
      <c r="AM171" s="18">
        <f>SUMIFS('7月运营'!$F:$F,'7月运营'!$A:$A,D171,'7月运营'!$K:$K,'②7月-汇总'!$AM$2,'7月运营'!$G:$G,"岗位核算")</f>
        <v>0</v>
      </c>
      <c r="AN171" s="18">
        <f>SUMIFS('7月运营'!$F:$F,'7月运营'!$A:$A,D171,'7月运营'!$K:$K,$AN$2,'7月运营'!$G:$G,"岗位核算")</f>
        <v>0</v>
      </c>
      <c r="AO171" s="18" t="str">
        <f t="shared" si="29"/>
        <v/>
      </c>
      <c r="AP171" s="18">
        <f t="shared" si="21"/>
        <v>31</v>
      </c>
      <c r="AQ171" s="18">
        <f>_xlfn.XLOOKUP(D171,'7月运营'!A:A,'7月运营'!G:G,0)</f>
        <v>0</v>
      </c>
    </row>
    <row r="172" spans="1:43" x14ac:dyDescent="0.15">
      <c r="A172" s="11" t="str">
        <v>南湖</v>
      </c>
      <c r="B172" s="11" t="str">
        <v>店长</v>
      </c>
      <c r="C172" s="11" t="str">
        <v>B</v>
      </c>
      <c r="D172" s="11" t="str">
        <v>龚茜</v>
      </c>
      <c r="E172" s="11" t="str">
        <v>在职</v>
      </c>
      <c r="F172" s="11" t="str">
        <v>事业部</v>
      </c>
      <c r="G172" s="11">
        <f>_xlfn.XLOOKUP(D172,'①7月-花名册'!E:E,'①7月-花名册'!U:U,0)</f>
        <v>0</v>
      </c>
      <c r="H172" s="11">
        <f>_xlfn.XLOOKUP(D172,'①7月-花名册'!E:E,'①7月-花名册'!M:M,0)</f>
        <v>31</v>
      </c>
      <c r="I172" s="11">
        <f>_xlfn.XLOOKUP(D172,'①7月-花名册'!E:E,'①7月-花名册'!S:S,0)</f>
        <v>4</v>
      </c>
      <c r="J172" s="14">
        <f t="shared" si="22"/>
        <v>4</v>
      </c>
      <c r="K172" s="23">
        <v>4</v>
      </c>
      <c r="L172" s="23"/>
      <c r="M172" s="23"/>
      <c r="N172" s="23"/>
      <c r="O172" s="23"/>
      <c r="P172" s="15">
        <f t="shared" si="23"/>
        <v>27</v>
      </c>
      <c r="Q172" s="15">
        <f t="shared" si="24"/>
        <v>31</v>
      </c>
      <c r="R172" s="15">
        <f>IF(F172="事业部",LOOKUP(Q172,基础设置!$T$2:$T$6,基础设置!$U$2:$U$6),IF(F172="总部",LOOKUP(Q172,基础设置!$T$8:$T$13,基础设置!$V$8:$V$13),IF(F172="拓展部",LOOKUP(Q172,基础设置!$T$8:$T$13,基础设置!$W$8:$W$13),2000)))</f>
        <v>4</v>
      </c>
      <c r="S172" s="15">
        <f t="shared" si="25"/>
        <v>31</v>
      </c>
      <c r="T172" s="15">
        <f t="shared" si="26"/>
        <v>0</v>
      </c>
      <c r="U172" s="15">
        <f t="shared" si="27"/>
        <v>0</v>
      </c>
      <c r="V172" s="15">
        <f t="shared" si="20"/>
        <v>0</v>
      </c>
      <c r="W172" s="15">
        <f t="shared" si="28"/>
        <v>0</v>
      </c>
      <c r="X172" s="26"/>
      <c r="Y172" s="26"/>
      <c r="Z172" s="26">
        <v>50</v>
      </c>
      <c r="AA172" s="26"/>
      <c r="AB172" s="27"/>
      <c r="AC172" s="27"/>
      <c r="AD172" s="27"/>
      <c r="AE172" s="27"/>
      <c r="AF172" s="27"/>
      <c r="AG172" s="27"/>
      <c r="AH172" s="17">
        <f>_xlfn.XLOOKUP(D172,'①7月-花名册'!E:E,'①7月-花名册'!T:T,0)</f>
        <v>0</v>
      </c>
      <c r="AI172" s="15">
        <f>SUMIFS('7月运营'!$L:$L,'7月运营'!$A:$A,D172,'7月运营'!$K:$K,$A$1)</f>
        <v>0</v>
      </c>
      <c r="AJ172" s="15">
        <f>SUMIFS('7月运营'!H:H,'7月运营'!$A:$A,D172,'7月运营'!$K:$K,$A$1)</f>
        <v>0</v>
      </c>
      <c r="AK172" s="15">
        <f>SUMIFS(上月未发人员明细!I:I,上月未发人员明细!J:J,$AK$2,上月未发人员明细!A:A,D172)</f>
        <v>0</v>
      </c>
      <c r="AL172" s="15">
        <f>SUMIFS('7月运营'!L:L,'7月运营'!$A:$A,D172,'7月运营'!$K:$K,$AL$2)</f>
        <v>0</v>
      </c>
      <c r="AM172" s="18">
        <f>SUMIFS('7月运营'!$F:$F,'7月运营'!$A:$A,D172,'7月运营'!$K:$K,'②7月-汇总'!$AM$2,'7月运营'!$G:$G,"岗位核算")</f>
        <v>0</v>
      </c>
      <c r="AN172" s="18">
        <f>SUMIFS('7月运营'!$F:$F,'7月运营'!$A:$A,D172,'7月运营'!$K:$K,$AN$2,'7月运营'!$G:$G,"岗位核算")</f>
        <v>0</v>
      </c>
      <c r="AO172" s="18" t="str">
        <f t="shared" si="29"/>
        <v/>
      </c>
      <c r="AP172" s="18">
        <f t="shared" si="21"/>
        <v>31</v>
      </c>
      <c r="AQ172" s="18">
        <f>_xlfn.XLOOKUP(D172,'7月运营'!A:A,'7月运营'!G:G,0)</f>
        <v>0</v>
      </c>
    </row>
    <row r="173" spans="1:43" x14ac:dyDescent="0.15">
      <c r="A173" s="11" t="str">
        <v>南湖</v>
      </c>
      <c r="B173" s="11" t="str">
        <v>健康师</v>
      </c>
      <c r="C173" s="11" t="str">
        <v>A</v>
      </c>
      <c r="D173" s="11" t="str">
        <v>廖妍</v>
      </c>
      <c r="E173" s="11" t="str">
        <v>在职</v>
      </c>
      <c r="F173" s="11" t="str">
        <v>事业部</v>
      </c>
      <c r="G173" s="11">
        <f>_xlfn.XLOOKUP(D173,'①7月-花名册'!E:E,'①7月-花名册'!U:U,0)</f>
        <v>0</v>
      </c>
      <c r="H173" s="11">
        <f>_xlfn.XLOOKUP(D173,'①7月-花名册'!E:E,'①7月-花名册'!M:M,0)</f>
        <v>31</v>
      </c>
      <c r="I173" s="11">
        <f>_xlfn.XLOOKUP(D173,'①7月-花名册'!E:E,'①7月-花名册'!S:S,0)</f>
        <v>4</v>
      </c>
      <c r="J173" s="14">
        <f t="shared" si="22"/>
        <v>4</v>
      </c>
      <c r="K173" s="23">
        <v>4</v>
      </c>
      <c r="L173" s="23"/>
      <c r="M173" s="23"/>
      <c r="N173" s="23"/>
      <c r="O173" s="23"/>
      <c r="P173" s="15">
        <f t="shared" si="23"/>
        <v>27</v>
      </c>
      <c r="Q173" s="15">
        <f t="shared" si="24"/>
        <v>31</v>
      </c>
      <c r="R173" s="15">
        <f>IF(F173="事业部",LOOKUP(Q173,基础设置!$T$2:$T$6,基础设置!$U$2:$U$6),IF(F173="总部",LOOKUP(Q173,基础设置!$T$8:$T$13,基础设置!$V$8:$V$13),IF(F173="拓展部",LOOKUP(Q173,基础设置!$T$8:$T$13,基础设置!$W$8:$W$13),2000)))</f>
        <v>4</v>
      </c>
      <c r="S173" s="15">
        <f t="shared" si="25"/>
        <v>31</v>
      </c>
      <c r="T173" s="15">
        <f t="shared" si="26"/>
        <v>0</v>
      </c>
      <c r="U173" s="15">
        <f t="shared" si="27"/>
        <v>0</v>
      </c>
      <c r="V173" s="15">
        <f t="shared" si="20"/>
        <v>0</v>
      </c>
      <c r="W173" s="15">
        <f t="shared" si="28"/>
        <v>0</v>
      </c>
      <c r="X173" s="26"/>
      <c r="Y173" s="26"/>
      <c r="Z173" s="26"/>
      <c r="AA173" s="26"/>
      <c r="AB173" s="27"/>
      <c r="AC173" s="27">
        <v>100</v>
      </c>
      <c r="AD173" s="27"/>
      <c r="AE173" s="27"/>
      <c r="AF173" s="27"/>
      <c r="AG173" s="27"/>
      <c r="AH173" s="17">
        <f>_xlfn.XLOOKUP(D173,'①7月-花名册'!E:E,'①7月-花名册'!T:T,0)</f>
        <v>0</v>
      </c>
      <c r="AI173" s="15">
        <f>SUMIFS('7月运营'!$L:$L,'7月运营'!$A:$A,D173,'7月运营'!$K:$K,$A$1)</f>
        <v>0</v>
      </c>
      <c r="AJ173" s="15">
        <f>SUMIFS('7月运营'!H:H,'7月运营'!$A:$A,D173,'7月运营'!$K:$K,$A$1)</f>
        <v>0</v>
      </c>
      <c r="AK173" s="15">
        <f>SUMIFS(上月未发人员明细!I:I,上月未发人员明细!J:J,$AK$2,上月未发人员明细!A:A,D173)</f>
        <v>0</v>
      </c>
      <c r="AL173" s="15">
        <f>SUMIFS('7月运营'!L:L,'7月运营'!$A:$A,D173,'7月运营'!$K:$K,$AL$2)</f>
        <v>0</v>
      </c>
      <c r="AM173" s="18">
        <f>SUMIFS('7月运营'!$F:$F,'7月运营'!$A:$A,D173,'7月运营'!$K:$K,'②7月-汇总'!$AM$2,'7月运营'!$G:$G,"岗位核算")</f>
        <v>0</v>
      </c>
      <c r="AN173" s="18">
        <f>SUMIFS('7月运营'!$F:$F,'7月运营'!$A:$A,D173,'7月运营'!$K:$K,$AN$2,'7月运营'!$G:$G,"岗位核算")</f>
        <v>0</v>
      </c>
      <c r="AO173" s="18" t="str">
        <f t="shared" si="29"/>
        <v/>
      </c>
      <c r="AP173" s="18">
        <f t="shared" si="21"/>
        <v>31</v>
      </c>
      <c r="AQ173" s="18">
        <f>_xlfn.XLOOKUP(D173,'7月运营'!A:A,'7月运营'!G:G,0)</f>
        <v>0</v>
      </c>
    </row>
    <row r="174" spans="1:43" x14ac:dyDescent="0.15">
      <c r="A174" s="11" t="str">
        <v>南湖</v>
      </c>
      <c r="B174" s="11" t="str">
        <v>健康师</v>
      </c>
      <c r="C174" s="11" t="str">
        <v>A</v>
      </c>
      <c r="D174" s="11" t="str">
        <v>李彩华</v>
      </c>
      <c r="E174" s="11" t="str">
        <v>在职</v>
      </c>
      <c r="F174" s="11" t="str">
        <v>事业部</v>
      </c>
      <c r="G174" s="11">
        <f>_xlfn.XLOOKUP(D174,'①7月-花名册'!E:E,'①7月-花名册'!U:U,0)</f>
        <v>0</v>
      </c>
      <c r="H174" s="11">
        <f>_xlfn.XLOOKUP(D174,'①7月-花名册'!E:E,'①7月-花名册'!M:M,0)</f>
        <v>31</v>
      </c>
      <c r="I174" s="11">
        <f>_xlfn.XLOOKUP(D174,'①7月-花名册'!E:E,'①7月-花名册'!S:S,0)</f>
        <v>4</v>
      </c>
      <c r="J174" s="14">
        <f t="shared" si="22"/>
        <v>4</v>
      </c>
      <c r="K174" s="23">
        <v>4</v>
      </c>
      <c r="L174" s="23"/>
      <c r="M174" s="23"/>
      <c r="N174" s="23"/>
      <c r="O174" s="23"/>
      <c r="P174" s="15">
        <f t="shared" si="23"/>
        <v>27</v>
      </c>
      <c r="Q174" s="15">
        <f t="shared" si="24"/>
        <v>31</v>
      </c>
      <c r="R174" s="15">
        <f>IF(F174="事业部",LOOKUP(Q174,基础设置!$T$2:$T$6,基础设置!$U$2:$U$6),IF(F174="总部",LOOKUP(Q174,基础设置!$T$8:$T$13,基础设置!$V$8:$V$13),IF(F174="拓展部",LOOKUP(Q174,基础设置!$T$8:$T$13,基础设置!$W$8:$W$13),2000)))</f>
        <v>4</v>
      </c>
      <c r="S174" s="15">
        <f t="shared" si="25"/>
        <v>31</v>
      </c>
      <c r="T174" s="15">
        <f t="shared" si="26"/>
        <v>0</v>
      </c>
      <c r="U174" s="15">
        <f t="shared" si="27"/>
        <v>0</v>
      </c>
      <c r="V174" s="15">
        <f t="shared" si="20"/>
        <v>0</v>
      </c>
      <c r="W174" s="15">
        <f t="shared" si="28"/>
        <v>0</v>
      </c>
      <c r="X174" s="26"/>
      <c r="Y174" s="26"/>
      <c r="Z174" s="26"/>
      <c r="AA174" s="26"/>
      <c r="AB174" s="27"/>
      <c r="AC174" s="27">
        <v>100</v>
      </c>
      <c r="AD174" s="27"/>
      <c r="AE174" s="27"/>
      <c r="AF174" s="27"/>
      <c r="AG174" s="27"/>
      <c r="AH174" s="17">
        <f>_xlfn.XLOOKUP(D174,'①7月-花名册'!E:E,'①7月-花名册'!T:T,0)</f>
        <v>0</v>
      </c>
      <c r="AI174" s="15">
        <f>SUMIFS('7月运营'!$L:$L,'7月运营'!$A:$A,D174,'7月运营'!$K:$K,$A$1)</f>
        <v>0</v>
      </c>
      <c r="AJ174" s="15">
        <f>SUMIFS('7月运营'!H:H,'7月运营'!$A:$A,D174,'7月运营'!$K:$K,$A$1)</f>
        <v>0</v>
      </c>
      <c r="AK174" s="15">
        <f>SUMIFS(上月未发人员明细!I:I,上月未发人员明细!J:J,$AK$2,上月未发人员明细!A:A,D174)</f>
        <v>0</v>
      </c>
      <c r="AL174" s="15">
        <f>SUMIFS('7月运营'!L:L,'7月运营'!$A:$A,D174,'7月运营'!$K:$K,$AL$2)</f>
        <v>0</v>
      </c>
      <c r="AM174" s="18">
        <f>SUMIFS('7月运营'!$F:$F,'7月运营'!$A:$A,D174,'7月运营'!$K:$K,'②7月-汇总'!$AM$2,'7月运营'!$G:$G,"岗位核算")</f>
        <v>0</v>
      </c>
      <c r="AN174" s="18">
        <f>SUMIFS('7月运营'!$F:$F,'7月运营'!$A:$A,D174,'7月运营'!$K:$K,$AN$2,'7月运营'!$G:$G,"岗位核算")</f>
        <v>0</v>
      </c>
      <c r="AO174" s="18" t="str">
        <f t="shared" si="29"/>
        <v/>
      </c>
      <c r="AP174" s="18">
        <f t="shared" si="21"/>
        <v>31</v>
      </c>
      <c r="AQ174" s="18">
        <f>_xlfn.XLOOKUP(D174,'7月运营'!A:A,'7月运营'!G:G,0)</f>
        <v>0</v>
      </c>
    </row>
    <row r="175" spans="1:43" x14ac:dyDescent="0.15">
      <c r="A175" s="11" t="str">
        <v>南湖</v>
      </c>
      <c r="B175" s="11" t="str">
        <v>健康师</v>
      </c>
      <c r="C175" s="11" t="str">
        <v>A</v>
      </c>
      <c r="D175" s="11" t="str">
        <v>刘九招</v>
      </c>
      <c r="E175" s="11" t="str">
        <v>在职</v>
      </c>
      <c r="F175" s="11" t="str">
        <v>事业部</v>
      </c>
      <c r="G175" s="11">
        <f>_xlfn.XLOOKUP(D175,'①7月-花名册'!E:E,'①7月-花名册'!U:U,0)</f>
        <v>0</v>
      </c>
      <c r="H175" s="11">
        <f>_xlfn.XLOOKUP(D175,'①7月-花名册'!E:E,'①7月-花名册'!M:M,0)</f>
        <v>31</v>
      </c>
      <c r="I175" s="11">
        <f>_xlfn.XLOOKUP(D175,'①7月-花名册'!E:E,'①7月-花名册'!S:S,0)</f>
        <v>4</v>
      </c>
      <c r="J175" s="14">
        <f t="shared" si="22"/>
        <v>4</v>
      </c>
      <c r="K175" s="23">
        <v>4</v>
      </c>
      <c r="L175" s="23"/>
      <c r="M175" s="23"/>
      <c r="N175" s="23"/>
      <c r="O175" s="23"/>
      <c r="P175" s="15">
        <f t="shared" si="23"/>
        <v>27</v>
      </c>
      <c r="Q175" s="15">
        <f t="shared" si="24"/>
        <v>31</v>
      </c>
      <c r="R175" s="15">
        <f>IF(F175="事业部",LOOKUP(Q175,基础设置!$T$2:$T$6,基础设置!$U$2:$U$6),IF(F175="总部",LOOKUP(Q175,基础设置!$T$8:$T$13,基础设置!$V$8:$V$13),IF(F175="拓展部",LOOKUP(Q175,基础设置!$T$8:$T$13,基础设置!$W$8:$W$13),2000)))</f>
        <v>4</v>
      </c>
      <c r="S175" s="15">
        <f t="shared" si="25"/>
        <v>31</v>
      </c>
      <c r="T175" s="15">
        <f t="shared" si="26"/>
        <v>0</v>
      </c>
      <c r="U175" s="15">
        <f t="shared" si="27"/>
        <v>0</v>
      </c>
      <c r="V175" s="15">
        <f t="shared" si="20"/>
        <v>0</v>
      </c>
      <c r="W175" s="15">
        <f t="shared" si="28"/>
        <v>0</v>
      </c>
      <c r="X175" s="26"/>
      <c r="Y175" s="26"/>
      <c r="Z175" s="26">
        <v>50</v>
      </c>
      <c r="AA175" s="26"/>
      <c r="AB175" s="27"/>
      <c r="AC175" s="27">
        <v>100</v>
      </c>
      <c r="AD175" s="27"/>
      <c r="AE175" s="27"/>
      <c r="AF175" s="27"/>
      <c r="AG175" s="27"/>
      <c r="AH175" s="17">
        <f>_xlfn.XLOOKUP(D175,'①7月-花名册'!E:E,'①7月-花名册'!T:T,0)</f>
        <v>0</v>
      </c>
      <c r="AI175" s="15">
        <f>SUMIFS('7月运营'!$L:$L,'7月运营'!$A:$A,D175,'7月运营'!$K:$K,$A$1)</f>
        <v>0</v>
      </c>
      <c r="AJ175" s="15">
        <f>SUMIFS('7月运营'!H:H,'7月运营'!$A:$A,D175,'7月运营'!$K:$K,$A$1)</f>
        <v>0</v>
      </c>
      <c r="AK175" s="15">
        <f>SUMIFS(上月未发人员明细!I:I,上月未发人员明细!J:J,$AK$2,上月未发人员明细!A:A,D175)</f>
        <v>0</v>
      </c>
      <c r="AL175" s="15">
        <f>SUMIFS('7月运营'!L:L,'7月运营'!$A:$A,D175,'7月运营'!$K:$K,$AL$2)</f>
        <v>0</v>
      </c>
      <c r="AM175" s="18">
        <f>SUMIFS('7月运营'!$F:$F,'7月运营'!$A:$A,D175,'7月运营'!$K:$K,'②7月-汇总'!$AM$2,'7月运营'!$G:$G,"岗位核算")</f>
        <v>0</v>
      </c>
      <c r="AN175" s="18">
        <f>SUMIFS('7月运营'!$F:$F,'7月运营'!$A:$A,D175,'7月运营'!$K:$K,$AN$2,'7月运营'!$G:$G,"岗位核算")</f>
        <v>0</v>
      </c>
      <c r="AO175" s="18" t="str">
        <f t="shared" si="29"/>
        <v/>
      </c>
      <c r="AP175" s="18">
        <f t="shared" si="21"/>
        <v>31</v>
      </c>
      <c r="AQ175" s="18">
        <f>_xlfn.XLOOKUP(D175,'7月运营'!A:A,'7月运营'!G:G,0)</f>
        <v>0</v>
      </c>
    </row>
    <row r="176" spans="1:43" x14ac:dyDescent="0.15">
      <c r="A176" s="11" t="str">
        <v>南湖</v>
      </c>
      <c r="B176" s="11" t="str">
        <v>健康师</v>
      </c>
      <c r="C176" s="11" t="str">
        <v>A</v>
      </c>
      <c r="D176" s="11" t="str">
        <v>朱羽</v>
      </c>
      <c r="E176" s="11" t="str">
        <v>在职</v>
      </c>
      <c r="F176" s="11" t="str">
        <v>事业部</v>
      </c>
      <c r="G176" s="11">
        <f>_xlfn.XLOOKUP(D176,'①7月-花名册'!E:E,'①7月-花名册'!U:U,0)</f>
        <v>0</v>
      </c>
      <c r="H176" s="11">
        <f>_xlfn.XLOOKUP(D176,'①7月-花名册'!E:E,'①7月-花名册'!M:M,0)</f>
        <v>31</v>
      </c>
      <c r="I176" s="11">
        <f>_xlfn.XLOOKUP(D176,'①7月-花名册'!E:E,'①7月-花名册'!S:S,0)</f>
        <v>4</v>
      </c>
      <c r="J176" s="14">
        <f t="shared" si="22"/>
        <v>4</v>
      </c>
      <c r="K176" s="23">
        <v>4</v>
      </c>
      <c r="L176" s="23"/>
      <c r="M176" s="23"/>
      <c r="N176" s="23"/>
      <c r="O176" s="23"/>
      <c r="P176" s="15">
        <f t="shared" si="23"/>
        <v>27</v>
      </c>
      <c r="Q176" s="15">
        <f t="shared" si="24"/>
        <v>31</v>
      </c>
      <c r="R176" s="15">
        <f>IF(F176="事业部",LOOKUP(Q176,基础设置!$T$2:$T$6,基础设置!$U$2:$U$6),IF(F176="总部",LOOKUP(Q176,基础设置!$T$8:$T$13,基础设置!$V$8:$V$13),IF(F176="拓展部",LOOKUP(Q176,基础设置!$T$8:$T$13,基础设置!$W$8:$W$13),2000)))</f>
        <v>4</v>
      </c>
      <c r="S176" s="15">
        <f t="shared" si="25"/>
        <v>31</v>
      </c>
      <c r="T176" s="15">
        <f t="shared" si="26"/>
        <v>0</v>
      </c>
      <c r="U176" s="15">
        <f t="shared" si="27"/>
        <v>0</v>
      </c>
      <c r="V176" s="15">
        <f t="shared" si="20"/>
        <v>0</v>
      </c>
      <c r="W176" s="15">
        <f t="shared" si="28"/>
        <v>0</v>
      </c>
      <c r="X176" s="26"/>
      <c r="Y176" s="26"/>
      <c r="Z176" s="26"/>
      <c r="AA176" s="26"/>
      <c r="AB176" s="27"/>
      <c r="AC176" s="27">
        <v>100</v>
      </c>
      <c r="AD176" s="27"/>
      <c r="AE176" s="27"/>
      <c r="AF176" s="27"/>
      <c r="AG176" s="27"/>
      <c r="AH176" s="17">
        <f>_xlfn.XLOOKUP(D176,'①7月-花名册'!E:E,'①7月-花名册'!T:T,0)</f>
        <v>0</v>
      </c>
      <c r="AI176" s="15">
        <f>SUMIFS('7月运营'!$L:$L,'7月运营'!$A:$A,D176,'7月运营'!$K:$K,$A$1)</f>
        <v>0</v>
      </c>
      <c r="AJ176" s="15">
        <f>SUMIFS('7月运营'!H:H,'7月运营'!$A:$A,D176,'7月运营'!$K:$K,$A$1)</f>
        <v>0</v>
      </c>
      <c r="AK176" s="15">
        <f>SUMIFS(上月未发人员明细!I:I,上月未发人员明细!J:J,$AK$2,上月未发人员明细!A:A,D176)</f>
        <v>0</v>
      </c>
      <c r="AL176" s="15">
        <f>SUMIFS('7月运营'!L:L,'7月运营'!$A:$A,D176,'7月运营'!$K:$K,$AL$2)</f>
        <v>0</v>
      </c>
      <c r="AM176" s="18">
        <f>SUMIFS('7月运营'!$F:$F,'7月运营'!$A:$A,D176,'7月运营'!$K:$K,'②7月-汇总'!$AM$2,'7月运营'!$G:$G,"岗位核算")</f>
        <v>0</v>
      </c>
      <c r="AN176" s="18">
        <f>SUMIFS('7月运营'!$F:$F,'7月运营'!$A:$A,D176,'7月运营'!$K:$K,$AN$2,'7月运营'!$G:$G,"岗位核算")</f>
        <v>0</v>
      </c>
      <c r="AO176" s="18" t="str">
        <f t="shared" si="29"/>
        <v/>
      </c>
      <c r="AP176" s="18">
        <f t="shared" si="21"/>
        <v>31</v>
      </c>
      <c r="AQ176" s="18">
        <f>_xlfn.XLOOKUP(D176,'7月运营'!A:A,'7月运营'!G:G,0)</f>
        <v>0</v>
      </c>
    </row>
    <row r="177" spans="1:43" x14ac:dyDescent="0.15">
      <c r="A177" s="11" t="str">
        <v>南湖</v>
      </c>
      <c r="B177" s="11" t="str">
        <v>店助</v>
      </c>
      <c r="C177" s="11" t="str">
        <v>A</v>
      </c>
      <c r="D177" s="11" t="str">
        <v>施凤皎</v>
      </c>
      <c r="E177" s="11" t="str">
        <v>在职</v>
      </c>
      <c r="F177" s="11" t="str">
        <v>事业部</v>
      </c>
      <c r="G177" s="11">
        <f>_xlfn.XLOOKUP(D177,'①7月-花名册'!E:E,'①7月-花名册'!U:U,0)</f>
        <v>0</v>
      </c>
      <c r="H177" s="11">
        <f>_xlfn.XLOOKUP(D177,'①7月-花名册'!E:E,'①7月-花名册'!M:M,0)</f>
        <v>31</v>
      </c>
      <c r="I177" s="11">
        <f>_xlfn.XLOOKUP(D177,'①7月-花名册'!E:E,'①7月-花名册'!S:S,0)</f>
        <v>4</v>
      </c>
      <c r="J177" s="14">
        <f t="shared" si="22"/>
        <v>4</v>
      </c>
      <c r="K177" s="23">
        <v>4</v>
      </c>
      <c r="L177" s="23"/>
      <c r="M177" s="23"/>
      <c r="N177" s="23"/>
      <c r="O177" s="23"/>
      <c r="P177" s="15">
        <f t="shared" si="23"/>
        <v>27</v>
      </c>
      <c r="Q177" s="15">
        <f t="shared" si="24"/>
        <v>31</v>
      </c>
      <c r="R177" s="15">
        <f>IF(F177="事业部",LOOKUP(Q177,基础设置!$T$2:$T$6,基础设置!$U$2:$U$6),IF(F177="总部",LOOKUP(Q177,基础设置!$T$8:$T$13,基础设置!$V$8:$V$13),IF(F177="拓展部",LOOKUP(Q177,基础设置!$T$8:$T$13,基础设置!$W$8:$W$13),2000)))</f>
        <v>4</v>
      </c>
      <c r="S177" s="15">
        <f t="shared" si="25"/>
        <v>31</v>
      </c>
      <c r="T177" s="15">
        <f t="shared" si="26"/>
        <v>0</v>
      </c>
      <c r="U177" s="15">
        <f t="shared" si="27"/>
        <v>0</v>
      </c>
      <c r="V177" s="15">
        <f t="shared" si="20"/>
        <v>0</v>
      </c>
      <c r="W177" s="15">
        <f t="shared" si="28"/>
        <v>0</v>
      </c>
      <c r="X177" s="26"/>
      <c r="Y177" s="26"/>
      <c r="Z177" s="26">
        <v>50</v>
      </c>
      <c r="AA177" s="26"/>
      <c r="AB177" s="27"/>
      <c r="AC177" s="27"/>
      <c r="AD177" s="27"/>
      <c r="AE177" s="27"/>
      <c r="AF177" s="27"/>
      <c r="AG177" s="27"/>
      <c r="AH177" s="17">
        <f>_xlfn.XLOOKUP(D177,'①7月-花名册'!E:E,'①7月-花名册'!T:T,0)</f>
        <v>0</v>
      </c>
      <c r="AI177" s="15">
        <f>SUMIFS('7月运营'!$L:$L,'7月运营'!$A:$A,D177,'7月运营'!$K:$K,$A$1)</f>
        <v>0</v>
      </c>
      <c r="AJ177" s="15">
        <f>SUMIFS('7月运营'!H:H,'7月运营'!$A:$A,D177,'7月运营'!$K:$K,$A$1)</f>
        <v>0</v>
      </c>
      <c r="AK177" s="15">
        <f>SUMIFS(上月未发人员明细!I:I,上月未发人员明细!J:J,$AK$2,上月未发人员明细!A:A,D177)</f>
        <v>0</v>
      </c>
      <c r="AL177" s="15">
        <f>SUMIFS('7月运营'!L:L,'7月运营'!$A:$A,D177,'7月运营'!$K:$K,$AL$2)</f>
        <v>0</v>
      </c>
      <c r="AM177" s="18">
        <f>SUMIFS('7月运营'!$F:$F,'7月运营'!$A:$A,D177,'7月运营'!$K:$K,'②7月-汇总'!$AM$2,'7月运营'!$G:$G,"岗位核算")</f>
        <v>0</v>
      </c>
      <c r="AN177" s="18">
        <f>SUMIFS('7月运营'!$F:$F,'7月运营'!$A:$A,D177,'7月运营'!$K:$K,$AN$2,'7月运营'!$G:$G,"岗位核算")</f>
        <v>0</v>
      </c>
      <c r="AO177" s="18" t="str">
        <f t="shared" si="29"/>
        <v/>
      </c>
      <c r="AP177" s="18">
        <f t="shared" si="21"/>
        <v>31</v>
      </c>
      <c r="AQ177" s="18">
        <f>_xlfn.XLOOKUP(D177,'7月运营'!A:A,'7月运营'!G:G,0)</f>
        <v>0</v>
      </c>
    </row>
    <row r="178" spans="1:43" x14ac:dyDescent="0.15">
      <c r="A178" s="11" t="str">
        <v>南湖</v>
      </c>
      <c r="B178" s="11" t="str">
        <v>健康师</v>
      </c>
      <c r="C178" s="11" t="str">
        <v>A</v>
      </c>
      <c r="D178" s="11" t="str">
        <v>高琴</v>
      </c>
      <c r="E178" s="11" t="str">
        <v>在职</v>
      </c>
      <c r="F178" s="11" t="str">
        <v>事业部</v>
      </c>
      <c r="G178" s="11">
        <f>_xlfn.XLOOKUP(D178,'①7月-花名册'!E:E,'①7月-花名册'!U:U,0)</f>
        <v>0</v>
      </c>
      <c r="H178" s="11">
        <f>_xlfn.XLOOKUP(D178,'①7月-花名册'!E:E,'①7月-花名册'!M:M,0)</f>
        <v>31</v>
      </c>
      <c r="I178" s="11">
        <f>_xlfn.XLOOKUP(D178,'①7月-花名册'!E:E,'①7月-花名册'!S:S,0)</f>
        <v>4</v>
      </c>
      <c r="J178" s="14">
        <f t="shared" si="22"/>
        <v>4</v>
      </c>
      <c r="K178" s="23">
        <v>4</v>
      </c>
      <c r="L178" s="23"/>
      <c r="M178" s="23"/>
      <c r="N178" s="23"/>
      <c r="O178" s="23"/>
      <c r="P178" s="15">
        <f t="shared" si="23"/>
        <v>27</v>
      </c>
      <c r="Q178" s="15">
        <f t="shared" si="24"/>
        <v>31</v>
      </c>
      <c r="R178" s="15">
        <f>IF(F178="事业部",LOOKUP(Q178,基础设置!$T$2:$T$6,基础设置!$U$2:$U$6),IF(F178="总部",LOOKUP(Q178,基础设置!$T$8:$T$13,基础设置!$V$8:$V$13),IF(F178="拓展部",LOOKUP(Q178,基础设置!$T$8:$T$13,基础设置!$W$8:$W$13),2000)))</f>
        <v>4</v>
      </c>
      <c r="S178" s="15">
        <f t="shared" si="25"/>
        <v>31</v>
      </c>
      <c r="T178" s="15">
        <f t="shared" si="26"/>
        <v>0</v>
      </c>
      <c r="U178" s="15">
        <f t="shared" si="27"/>
        <v>0</v>
      </c>
      <c r="V178" s="15">
        <f t="shared" si="20"/>
        <v>0</v>
      </c>
      <c r="W178" s="15">
        <f t="shared" si="28"/>
        <v>0</v>
      </c>
      <c r="X178" s="26"/>
      <c r="Y178" s="26"/>
      <c r="Z178" s="26">
        <v>50</v>
      </c>
      <c r="AA178" s="26"/>
      <c r="AB178" s="27"/>
      <c r="AC178" s="27"/>
      <c r="AD178" s="27"/>
      <c r="AE178" s="27"/>
      <c r="AF178" s="27"/>
      <c r="AG178" s="27"/>
      <c r="AH178" s="17">
        <f>_xlfn.XLOOKUP(D178,'①7月-花名册'!E:E,'①7月-花名册'!T:T,0)</f>
        <v>0</v>
      </c>
      <c r="AI178" s="15">
        <f>SUMIFS('7月运营'!$L:$L,'7月运营'!$A:$A,D178,'7月运营'!$K:$K,$A$1)</f>
        <v>0</v>
      </c>
      <c r="AJ178" s="15">
        <f>SUMIFS('7月运营'!H:H,'7月运营'!$A:$A,D178,'7月运营'!$K:$K,$A$1)</f>
        <v>0</v>
      </c>
      <c r="AK178" s="15">
        <f>SUMIFS(上月未发人员明细!I:I,上月未发人员明细!J:J,$AK$2,上月未发人员明细!A:A,D178)</f>
        <v>0</v>
      </c>
      <c r="AL178" s="15">
        <f>SUMIFS('7月运营'!L:L,'7月运营'!$A:$A,D178,'7月运营'!$K:$K,$AL$2)</f>
        <v>0</v>
      </c>
      <c r="AM178" s="18">
        <f>SUMIFS('7月运营'!$F:$F,'7月运营'!$A:$A,D178,'7月运营'!$K:$K,'②7月-汇总'!$AM$2,'7月运营'!$G:$G,"岗位核算")</f>
        <v>0</v>
      </c>
      <c r="AN178" s="18">
        <f>SUMIFS('7月运营'!$F:$F,'7月运营'!$A:$A,D178,'7月运营'!$K:$K,$AN$2,'7月运营'!$G:$G,"岗位核算")</f>
        <v>0</v>
      </c>
      <c r="AO178" s="18" t="str">
        <f t="shared" si="29"/>
        <v/>
      </c>
      <c r="AP178" s="18">
        <f t="shared" si="21"/>
        <v>31</v>
      </c>
      <c r="AQ178" s="18">
        <f>_xlfn.XLOOKUP(D178,'7月运营'!A:A,'7月运营'!G:G,0)</f>
        <v>0</v>
      </c>
    </row>
    <row r="179" spans="1:43" x14ac:dyDescent="0.15">
      <c r="A179" s="11" t="str">
        <v>南湖</v>
      </c>
      <c r="B179" s="11" t="str">
        <v>健康师</v>
      </c>
      <c r="C179" s="11" t="str">
        <v>A</v>
      </c>
      <c r="D179" s="11" t="str">
        <v>达卓措</v>
      </c>
      <c r="E179" s="11" t="str">
        <v>在职</v>
      </c>
      <c r="F179" s="11" t="str">
        <v>事业部</v>
      </c>
      <c r="G179" s="11">
        <f>_xlfn.XLOOKUP(D179,'①7月-花名册'!E:E,'①7月-花名册'!U:U,0)</f>
        <v>0</v>
      </c>
      <c r="H179" s="11">
        <f>_xlfn.XLOOKUP(D179,'①7月-花名册'!E:E,'①7月-花名册'!M:M,0)</f>
        <v>31</v>
      </c>
      <c r="I179" s="11">
        <f>_xlfn.XLOOKUP(D179,'①7月-花名册'!E:E,'①7月-花名册'!S:S,0)</f>
        <v>4</v>
      </c>
      <c r="J179" s="14">
        <f t="shared" si="22"/>
        <v>4</v>
      </c>
      <c r="K179" s="23">
        <v>4</v>
      </c>
      <c r="L179" s="23"/>
      <c r="M179" s="23"/>
      <c r="N179" s="23"/>
      <c r="O179" s="23"/>
      <c r="P179" s="15">
        <f t="shared" si="23"/>
        <v>27</v>
      </c>
      <c r="Q179" s="15">
        <f t="shared" si="24"/>
        <v>31</v>
      </c>
      <c r="R179" s="15">
        <f>IF(F179="事业部",LOOKUP(Q179,基础设置!$T$2:$T$6,基础设置!$U$2:$U$6),IF(F179="总部",LOOKUP(Q179,基础设置!$T$8:$T$13,基础设置!$V$8:$V$13),IF(F179="拓展部",LOOKUP(Q179,基础设置!$T$8:$T$13,基础设置!$W$8:$W$13),2000)))</f>
        <v>4</v>
      </c>
      <c r="S179" s="15">
        <f t="shared" si="25"/>
        <v>31</v>
      </c>
      <c r="T179" s="15">
        <f t="shared" si="26"/>
        <v>0</v>
      </c>
      <c r="U179" s="15">
        <f t="shared" si="27"/>
        <v>0</v>
      </c>
      <c r="V179" s="15">
        <f t="shared" si="20"/>
        <v>0</v>
      </c>
      <c r="W179" s="15">
        <f t="shared" si="28"/>
        <v>0</v>
      </c>
      <c r="X179" s="26">
        <v>20</v>
      </c>
      <c r="Y179" s="26">
        <v>10</v>
      </c>
      <c r="Z179" s="26"/>
      <c r="AA179" s="26"/>
      <c r="AB179" s="27"/>
      <c r="AC179" s="27">
        <v>100</v>
      </c>
      <c r="AD179" s="27"/>
      <c r="AE179" s="27"/>
      <c r="AF179" s="27"/>
      <c r="AG179" s="27"/>
      <c r="AH179" s="17">
        <f>_xlfn.XLOOKUP(D179,'①7月-花名册'!E:E,'①7月-花名册'!T:T,0)</f>
        <v>3500</v>
      </c>
      <c r="AI179" s="15">
        <f>SUMIFS('7月运营'!$L:$L,'7月运营'!$A:$A,D179,'7月运营'!$K:$K,$A$1)</f>
        <v>0</v>
      </c>
      <c r="AJ179" s="15">
        <f>SUMIFS('7月运营'!H:H,'7月运营'!$A:$A,D179,'7月运营'!$K:$K,$A$1)</f>
        <v>0</v>
      </c>
      <c r="AK179" s="15">
        <f>SUMIFS(上月未发人员明细!I:I,上月未发人员明细!J:J,$AK$2,上月未发人员明细!A:A,D179)</f>
        <v>0</v>
      </c>
      <c r="AL179" s="15">
        <f>SUMIFS('7月运营'!L:L,'7月运营'!$A:$A,D179,'7月运营'!$K:$K,$AL$2)</f>
        <v>0</v>
      </c>
      <c r="AM179" s="18">
        <f>SUMIFS('7月运营'!$F:$F,'7月运营'!$A:$A,D179,'7月运营'!$K:$K,'②7月-汇总'!$AM$2,'7月运营'!$G:$G,"岗位核算")</f>
        <v>0</v>
      </c>
      <c r="AN179" s="18">
        <f>SUMIFS('7月运营'!$F:$F,'7月运营'!$A:$A,D179,'7月运营'!$K:$K,$AN$2,'7月运营'!$G:$G,"岗位核算")</f>
        <v>0</v>
      </c>
      <c r="AO179" s="18" t="str">
        <f t="shared" si="29"/>
        <v/>
      </c>
      <c r="AP179" s="18">
        <f t="shared" si="21"/>
        <v>31</v>
      </c>
      <c r="AQ179" s="18">
        <f>_xlfn.XLOOKUP(D179,'7月运营'!A:A,'7月运营'!G:G,0)</f>
        <v>0</v>
      </c>
    </row>
    <row r="180" spans="1:43" x14ac:dyDescent="0.15">
      <c r="A180" s="11" t="str">
        <v>涌泉</v>
      </c>
      <c r="B180" s="11" t="str">
        <v>健康师</v>
      </c>
      <c r="C180" s="11" t="str">
        <v>A</v>
      </c>
      <c r="D180" s="11" t="str">
        <v>袁玉</v>
      </c>
      <c r="E180" s="11" t="str">
        <v>在职</v>
      </c>
      <c r="F180" s="11" t="str">
        <v>事业部</v>
      </c>
      <c r="G180" s="11">
        <f>_xlfn.XLOOKUP(D180,'①7月-花名册'!E:E,'①7月-花名册'!U:U,0)</f>
        <v>0</v>
      </c>
      <c r="H180" s="11">
        <f>_xlfn.XLOOKUP(D180,'①7月-花名册'!E:E,'①7月-花名册'!M:M,0)</f>
        <v>31</v>
      </c>
      <c r="I180" s="11">
        <f>_xlfn.XLOOKUP(D180,'①7月-花名册'!E:E,'①7月-花名册'!S:S,0)</f>
        <v>4</v>
      </c>
      <c r="J180" s="14">
        <f t="shared" si="22"/>
        <v>6</v>
      </c>
      <c r="K180" s="23">
        <v>4</v>
      </c>
      <c r="L180" s="23"/>
      <c r="M180" s="23">
        <v>2</v>
      </c>
      <c r="N180" s="23"/>
      <c r="O180" s="23"/>
      <c r="P180" s="15">
        <f t="shared" si="23"/>
        <v>25</v>
      </c>
      <c r="Q180" s="15">
        <f t="shared" si="24"/>
        <v>31</v>
      </c>
      <c r="R180" s="15">
        <f>IF(F180="事业部",LOOKUP(Q180,基础设置!$T$2:$T$6,基础设置!$U$2:$U$6),IF(F180="总部",LOOKUP(Q180,基础设置!$T$8:$T$13,基础设置!$V$8:$V$13),IF(F180="拓展部",LOOKUP(Q180,基础设置!$T$8:$T$13,基础设置!$W$8:$W$13),2000)))</f>
        <v>4</v>
      </c>
      <c r="S180" s="15">
        <f t="shared" si="25"/>
        <v>31</v>
      </c>
      <c r="T180" s="15">
        <f t="shared" si="26"/>
        <v>0</v>
      </c>
      <c r="U180" s="15">
        <f t="shared" si="27"/>
        <v>0</v>
      </c>
      <c r="V180" s="15">
        <f t="shared" si="20"/>
        <v>0</v>
      </c>
      <c r="W180" s="15">
        <f t="shared" si="28"/>
        <v>0</v>
      </c>
      <c r="X180" s="26"/>
      <c r="Y180" s="26"/>
      <c r="Z180" s="26"/>
      <c r="AA180" s="26"/>
      <c r="AB180" s="27"/>
      <c r="AC180" s="27"/>
      <c r="AD180" s="27"/>
      <c r="AE180" s="27"/>
      <c r="AF180" s="27"/>
      <c r="AG180" s="27"/>
      <c r="AH180" s="17">
        <f>_xlfn.XLOOKUP(D180,'①7月-花名册'!E:E,'①7月-花名册'!T:T,0)</f>
        <v>0</v>
      </c>
      <c r="AI180" s="15">
        <f>SUMIFS('7月运营'!$L:$L,'7月运营'!$A:$A,D180,'7月运营'!$K:$K,$A$1)</f>
        <v>0</v>
      </c>
      <c r="AJ180" s="15">
        <f>SUMIFS('7月运营'!H:H,'7月运营'!$A:$A,D180,'7月运营'!$K:$K,$A$1)</f>
        <v>0</v>
      </c>
      <c r="AK180" s="15">
        <f>SUMIFS(上月未发人员明细!I:I,上月未发人员明细!J:J,$AK$2,上月未发人员明细!A:A,D180)</f>
        <v>0</v>
      </c>
      <c r="AL180" s="15">
        <f>SUMIFS('7月运营'!L:L,'7月运营'!$A:$A,D180,'7月运营'!$K:$K,$AL$2)</f>
        <v>0</v>
      </c>
      <c r="AM180" s="18">
        <f>SUMIFS('7月运营'!$F:$F,'7月运营'!$A:$A,D180,'7月运营'!$K:$K,'②7月-汇总'!$AM$2,'7月运营'!$G:$G,"岗位核算")</f>
        <v>0</v>
      </c>
      <c r="AN180" s="18">
        <f>SUMIFS('7月运营'!$F:$F,'7月运营'!$A:$A,D180,'7月运营'!$K:$K,$AN$2,'7月运营'!$G:$G,"岗位核算")</f>
        <v>0</v>
      </c>
      <c r="AO180" s="18" t="str">
        <f t="shared" si="29"/>
        <v/>
      </c>
      <c r="AP180" s="18">
        <f t="shared" si="21"/>
        <v>31</v>
      </c>
      <c r="AQ180" s="18">
        <f>_xlfn.XLOOKUP(D180,'7月运营'!A:A,'7月运营'!G:G,0)</f>
        <v>0</v>
      </c>
    </row>
    <row r="181" spans="1:43" x14ac:dyDescent="0.15">
      <c r="A181" s="11" t="str">
        <v>涌泉</v>
      </c>
      <c r="B181" s="11" t="str">
        <v>健康师</v>
      </c>
      <c r="C181" s="11" t="str">
        <v>A</v>
      </c>
      <c r="D181" s="11" t="str">
        <v>赵晴亮</v>
      </c>
      <c r="E181" s="11" t="str">
        <v>离职</v>
      </c>
      <c r="F181" s="11" t="str">
        <v>事业部</v>
      </c>
      <c r="G181" s="11">
        <f>_xlfn.XLOOKUP(D181,'①7月-花名册'!E:E,'①7月-花名册'!U:U,0)</f>
        <v>0</v>
      </c>
      <c r="H181" s="11">
        <f>_xlfn.XLOOKUP(D181,'①7月-花名册'!E:E,'①7月-花名册'!M:M,0)</f>
        <v>31</v>
      </c>
      <c r="I181" s="11">
        <f>_xlfn.XLOOKUP(D181,'①7月-花名册'!E:E,'①7月-花名册'!S:S,0)</f>
        <v>4</v>
      </c>
      <c r="J181" s="14">
        <f t="shared" si="22"/>
        <v>6</v>
      </c>
      <c r="K181" s="23">
        <v>4</v>
      </c>
      <c r="L181" s="23"/>
      <c r="M181" s="23">
        <v>2</v>
      </c>
      <c r="N181" s="23"/>
      <c r="O181" s="23"/>
      <c r="P181" s="15">
        <f t="shared" si="23"/>
        <v>25</v>
      </c>
      <c r="Q181" s="15">
        <f t="shared" si="24"/>
        <v>31</v>
      </c>
      <c r="R181" s="15">
        <f>IF(F181="事业部",LOOKUP(Q181,基础设置!$T$2:$T$6,基础设置!$U$2:$U$6),IF(F181="总部",LOOKUP(Q181,基础设置!$T$8:$T$13,基础设置!$V$8:$V$13),IF(F181="拓展部",LOOKUP(Q181,基础设置!$T$8:$T$13,基础设置!$W$8:$W$13),2000)))</f>
        <v>4</v>
      </c>
      <c r="S181" s="15">
        <f t="shared" si="25"/>
        <v>31</v>
      </c>
      <c r="T181" s="15">
        <f t="shared" si="26"/>
        <v>0</v>
      </c>
      <c r="U181" s="15">
        <f t="shared" si="27"/>
        <v>0</v>
      </c>
      <c r="V181" s="15">
        <f t="shared" si="20"/>
        <v>0</v>
      </c>
      <c r="W181" s="15">
        <f t="shared" si="28"/>
        <v>0</v>
      </c>
      <c r="X181" s="26"/>
      <c r="Y181" s="26"/>
      <c r="Z181" s="26"/>
      <c r="AA181" s="26"/>
      <c r="AB181" s="27"/>
      <c r="AC181" s="27"/>
      <c r="AD181" s="27"/>
      <c r="AE181" s="27"/>
      <c r="AF181" s="27"/>
      <c r="AG181" s="27"/>
      <c r="AH181" s="17">
        <f>_xlfn.XLOOKUP(D181,'①7月-花名册'!E:E,'①7月-花名册'!T:T,0)</f>
        <v>0</v>
      </c>
      <c r="AI181" s="15">
        <f>SUMIFS('7月运营'!$L:$L,'7月运营'!$A:$A,D181,'7月运营'!$K:$K,$A$1)</f>
        <v>0</v>
      </c>
      <c r="AJ181" s="15">
        <f>SUMIFS('7月运营'!H:H,'7月运营'!$A:$A,D181,'7月运营'!$K:$K,$A$1)</f>
        <v>0</v>
      </c>
      <c r="AK181" s="15">
        <f>SUMIFS(上月未发人员明细!I:I,上月未发人员明细!J:J,$AK$2,上月未发人员明细!A:A,D181)</f>
        <v>0</v>
      </c>
      <c r="AL181" s="15">
        <f>SUMIFS('7月运营'!L:L,'7月运营'!$A:$A,D181,'7月运营'!$K:$K,$AL$2)</f>
        <v>0</v>
      </c>
      <c r="AM181" s="18">
        <f>SUMIFS('7月运营'!$F:$F,'7月运营'!$A:$A,D181,'7月运营'!$K:$K,'②7月-汇总'!$AM$2,'7月运营'!$G:$G,"岗位核算")</f>
        <v>0</v>
      </c>
      <c r="AN181" s="18">
        <f>SUMIFS('7月运营'!$F:$F,'7月运营'!$A:$A,D181,'7月运营'!$K:$K,$AN$2,'7月运营'!$G:$G,"岗位核算")</f>
        <v>0</v>
      </c>
      <c r="AO181" s="18" t="str">
        <f t="shared" si="29"/>
        <v/>
      </c>
      <c r="AP181" s="18">
        <f t="shared" si="21"/>
        <v>31</v>
      </c>
      <c r="AQ181" s="18">
        <f>_xlfn.XLOOKUP(D181,'7月运营'!A:A,'7月运营'!G:G,0)</f>
        <v>0</v>
      </c>
    </row>
    <row r="182" spans="1:43" x14ac:dyDescent="0.15">
      <c r="A182" s="11" t="str">
        <v>涌泉</v>
      </c>
      <c r="B182" s="11" t="str">
        <v>店长</v>
      </c>
      <c r="C182" s="11" t="str">
        <v>B</v>
      </c>
      <c r="D182" s="11" t="str">
        <v>赵忠芬</v>
      </c>
      <c r="E182" s="11" t="str">
        <v>在职</v>
      </c>
      <c r="F182" s="11" t="str">
        <v>事业部</v>
      </c>
      <c r="G182" s="11">
        <f>_xlfn.XLOOKUP(D182,'①7月-花名册'!E:E,'①7月-花名册'!U:U,0)</f>
        <v>0</v>
      </c>
      <c r="H182" s="11">
        <f>_xlfn.XLOOKUP(D182,'①7月-花名册'!E:E,'①7月-花名册'!M:M,0)</f>
        <v>31</v>
      </c>
      <c r="I182" s="11">
        <f>_xlfn.XLOOKUP(D182,'①7月-花名册'!E:E,'①7月-花名册'!S:S,0)</f>
        <v>4</v>
      </c>
      <c r="J182" s="14">
        <f t="shared" si="22"/>
        <v>6</v>
      </c>
      <c r="K182" s="23">
        <v>4</v>
      </c>
      <c r="L182" s="23"/>
      <c r="M182" s="23">
        <v>2</v>
      </c>
      <c r="N182" s="23"/>
      <c r="O182" s="23"/>
      <c r="P182" s="15">
        <f t="shared" si="23"/>
        <v>25</v>
      </c>
      <c r="Q182" s="15">
        <f t="shared" si="24"/>
        <v>31</v>
      </c>
      <c r="R182" s="15">
        <f>IF(F182="事业部",LOOKUP(Q182,基础设置!$T$2:$T$6,基础设置!$U$2:$U$6),IF(F182="总部",LOOKUP(Q182,基础设置!$T$8:$T$13,基础设置!$V$8:$V$13),IF(F182="拓展部",LOOKUP(Q182,基础设置!$T$8:$T$13,基础设置!$W$8:$W$13),2000)))</f>
        <v>4</v>
      </c>
      <c r="S182" s="15">
        <f t="shared" si="25"/>
        <v>31</v>
      </c>
      <c r="T182" s="15">
        <f t="shared" si="26"/>
        <v>0</v>
      </c>
      <c r="U182" s="15">
        <f t="shared" si="27"/>
        <v>0</v>
      </c>
      <c r="V182" s="15">
        <f t="shared" si="20"/>
        <v>0</v>
      </c>
      <c r="W182" s="15">
        <f t="shared" si="28"/>
        <v>0</v>
      </c>
      <c r="X182" s="26">
        <v>10</v>
      </c>
      <c r="Y182" s="26"/>
      <c r="Z182" s="26"/>
      <c r="AA182" s="26"/>
      <c r="AB182" s="27"/>
      <c r="AC182" s="27"/>
      <c r="AD182" s="27"/>
      <c r="AE182" s="27"/>
      <c r="AF182" s="27"/>
      <c r="AG182" s="27"/>
      <c r="AH182" s="17">
        <f>_xlfn.XLOOKUP(D182,'①7月-花名册'!E:E,'①7月-花名册'!T:T,0)</f>
        <v>0</v>
      </c>
      <c r="AI182" s="15">
        <f>SUMIFS('7月运营'!$L:$L,'7月运营'!$A:$A,D182,'7月运营'!$K:$K,$A$1)</f>
        <v>0</v>
      </c>
      <c r="AJ182" s="15">
        <f>SUMIFS('7月运营'!H:H,'7月运营'!$A:$A,D182,'7月运营'!$K:$K,$A$1)</f>
        <v>0</v>
      </c>
      <c r="AK182" s="15">
        <f>SUMIFS(上月未发人员明细!I:I,上月未发人员明细!J:J,$AK$2,上月未发人员明细!A:A,D182)</f>
        <v>0</v>
      </c>
      <c r="AL182" s="15">
        <f>SUMIFS('7月运营'!L:L,'7月运营'!$A:$A,D182,'7月运营'!$K:$K,$AL$2)</f>
        <v>0</v>
      </c>
      <c r="AM182" s="18">
        <f>SUMIFS('7月运营'!$F:$F,'7月运营'!$A:$A,D182,'7月运营'!$K:$K,'②7月-汇总'!$AM$2,'7月运营'!$G:$G,"岗位核算")</f>
        <v>0</v>
      </c>
      <c r="AN182" s="18">
        <f>SUMIFS('7月运营'!$F:$F,'7月运营'!$A:$A,D182,'7月运营'!$K:$K,$AN$2,'7月运营'!$G:$G,"岗位核算")</f>
        <v>0</v>
      </c>
      <c r="AO182" s="18" t="str">
        <f t="shared" si="29"/>
        <v/>
      </c>
      <c r="AP182" s="18">
        <f t="shared" si="21"/>
        <v>31</v>
      </c>
      <c r="AQ182" s="18">
        <f>_xlfn.XLOOKUP(D182,'7月运营'!A:A,'7月运营'!G:G,0)</f>
        <v>0</v>
      </c>
    </row>
    <row r="183" spans="1:43" x14ac:dyDescent="0.15">
      <c r="A183" s="11" t="str">
        <v>涌泉</v>
      </c>
      <c r="B183" s="11" t="str">
        <v>健康师</v>
      </c>
      <c r="C183" s="11" t="str">
        <v>A</v>
      </c>
      <c r="D183" s="11" t="str">
        <v>郑丹</v>
      </c>
      <c r="E183" s="11" t="str">
        <v>在职</v>
      </c>
      <c r="F183" s="11" t="str">
        <v>事业部</v>
      </c>
      <c r="G183" s="11">
        <f>_xlfn.XLOOKUP(D183,'①7月-花名册'!E:E,'①7月-花名册'!U:U,0)</f>
        <v>0</v>
      </c>
      <c r="H183" s="11">
        <f>_xlfn.XLOOKUP(D183,'①7月-花名册'!E:E,'①7月-花名册'!M:M,0)</f>
        <v>31</v>
      </c>
      <c r="I183" s="11">
        <f>_xlfn.XLOOKUP(D183,'①7月-花名册'!E:E,'①7月-花名册'!S:S,0)</f>
        <v>4</v>
      </c>
      <c r="J183" s="14">
        <f t="shared" si="22"/>
        <v>6</v>
      </c>
      <c r="K183" s="23">
        <v>4</v>
      </c>
      <c r="L183" s="23"/>
      <c r="M183" s="23">
        <v>2</v>
      </c>
      <c r="N183" s="23"/>
      <c r="O183" s="23"/>
      <c r="P183" s="15">
        <f t="shared" si="23"/>
        <v>25</v>
      </c>
      <c r="Q183" s="15">
        <f t="shared" si="24"/>
        <v>31</v>
      </c>
      <c r="R183" s="15">
        <f>IF(F183="事业部",LOOKUP(Q183,基础设置!$T$2:$T$6,基础设置!$U$2:$U$6),IF(F183="总部",LOOKUP(Q183,基础设置!$T$8:$T$13,基础设置!$V$8:$V$13),IF(F183="拓展部",LOOKUP(Q183,基础设置!$T$8:$T$13,基础设置!$W$8:$W$13),2000)))</f>
        <v>4</v>
      </c>
      <c r="S183" s="15">
        <f t="shared" si="25"/>
        <v>31</v>
      </c>
      <c r="T183" s="15">
        <f t="shared" si="26"/>
        <v>0</v>
      </c>
      <c r="U183" s="15">
        <f t="shared" si="27"/>
        <v>0</v>
      </c>
      <c r="V183" s="15">
        <f t="shared" si="20"/>
        <v>0</v>
      </c>
      <c r="W183" s="15">
        <f t="shared" si="28"/>
        <v>0</v>
      </c>
      <c r="X183" s="26"/>
      <c r="Y183" s="26"/>
      <c r="Z183" s="26"/>
      <c r="AA183" s="26"/>
      <c r="AB183" s="27"/>
      <c r="AC183" s="27">
        <v>100</v>
      </c>
      <c r="AD183" s="27"/>
      <c r="AE183" s="27"/>
      <c r="AF183" s="27"/>
      <c r="AG183" s="27"/>
      <c r="AH183" s="17">
        <f>_xlfn.XLOOKUP(D183,'①7月-花名册'!E:E,'①7月-花名册'!T:T,0)</f>
        <v>0</v>
      </c>
      <c r="AI183" s="15">
        <f>SUMIFS('7月运营'!$L:$L,'7月运营'!$A:$A,D183,'7月运营'!$K:$K,$A$1)</f>
        <v>0</v>
      </c>
      <c r="AJ183" s="15">
        <f>SUMIFS('7月运营'!H:H,'7月运营'!$A:$A,D183,'7月运营'!$K:$K,$A$1)</f>
        <v>0</v>
      </c>
      <c r="AK183" s="15">
        <f>SUMIFS(上月未发人员明细!I:I,上月未发人员明细!J:J,$AK$2,上月未发人员明细!A:A,D183)</f>
        <v>0</v>
      </c>
      <c r="AL183" s="15">
        <f>SUMIFS('7月运营'!L:L,'7月运营'!$A:$A,D183,'7月运营'!$K:$K,$AL$2)</f>
        <v>0</v>
      </c>
      <c r="AM183" s="18">
        <f>SUMIFS('7月运营'!$F:$F,'7月运营'!$A:$A,D183,'7月运营'!$K:$K,'②7月-汇总'!$AM$2,'7月运营'!$G:$G,"岗位核算")</f>
        <v>0</v>
      </c>
      <c r="AN183" s="18">
        <f>SUMIFS('7月运营'!$F:$F,'7月运营'!$A:$A,D183,'7月运营'!$K:$K,$AN$2,'7月运营'!$G:$G,"岗位核算")</f>
        <v>0</v>
      </c>
      <c r="AO183" s="18" t="str">
        <f t="shared" si="29"/>
        <v/>
      </c>
      <c r="AP183" s="18">
        <f t="shared" si="21"/>
        <v>31</v>
      </c>
      <c r="AQ183" s="18">
        <f>_xlfn.XLOOKUP(D183,'7月运营'!A:A,'7月运营'!G:G,0)</f>
        <v>0</v>
      </c>
    </row>
    <row r="184" spans="1:43" x14ac:dyDescent="0.15">
      <c r="A184" s="11" t="str">
        <v>涌泉</v>
      </c>
      <c r="B184" s="11" t="str">
        <v>店助</v>
      </c>
      <c r="C184" s="11" t="str">
        <v>A</v>
      </c>
      <c r="D184" s="11" t="str">
        <v>林锶莹</v>
      </c>
      <c r="E184" s="11" t="str">
        <v>在职</v>
      </c>
      <c r="F184" s="11" t="str">
        <v>事业部</v>
      </c>
      <c r="G184" s="11">
        <f>_xlfn.XLOOKUP(D184,'①7月-花名册'!E:E,'①7月-花名册'!U:U,0)</f>
        <v>0</v>
      </c>
      <c r="H184" s="11">
        <f>_xlfn.XLOOKUP(D184,'①7月-花名册'!E:E,'①7月-花名册'!M:M,0)</f>
        <v>31</v>
      </c>
      <c r="I184" s="11">
        <f>_xlfn.XLOOKUP(D184,'①7月-花名册'!E:E,'①7月-花名册'!S:S,0)</f>
        <v>4</v>
      </c>
      <c r="J184" s="14">
        <f t="shared" si="22"/>
        <v>4</v>
      </c>
      <c r="K184" s="23">
        <v>4</v>
      </c>
      <c r="L184" s="23"/>
      <c r="M184" s="23"/>
      <c r="N184" s="23"/>
      <c r="O184" s="23"/>
      <c r="P184" s="15">
        <f t="shared" si="23"/>
        <v>27</v>
      </c>
      <c r="Q184" s="15">
        <f t="shared" si="24"/>
        <v>31</v>
      </c>
      <c r="R184" s="15">
        <f>IF(F184="事业部",LOOKUP(Q184,基础设置!$T$2:$T$6,基础设置!$U$2:$U$6),IF(F184="总部",LOOKUP(Q184,基础设置!$T$8:$T$13,基础设置!$V$8:$V$13),IF(F184="拓展部",LOOKUP(Q184,基础设置!$T$8:$T$13,基础设置!$W$8:$W$13),2000)))</f>
        <v>4</v>
      </c>
      <c r="S184" s="15">
        <f t="shared" si="25"/>
        <v>31</v>
      </c>
      <c r="T184" s="15">
        <f t="shared" si="26"/>
        <v>0</v>
      </c>
      <c r="U184" s="15">
        <f t="shared" si="27"/>
        <v>0</v>
      </c>
      <c r="V184" s="15">
        <f t="shared" si="20"/>
        <v>0</v>
      </c>
      <c r="W184" s="15">
        <f t="shared" si="28"/>
        <v>0</v>
      </c>
      <c r="X184" s="26"/>
      <c r="Y184" s="26"/>
      <c r="Z184" s="26"/>
      <c r="AA184" s="26"/>
      <c r="AB184" s="27"/>
      <c r="AC184" s="27"/>
      <c r="AD184" s="27"/>
      <c r="AE184" s="27"/>
      <c r="AF184" s="27"/>
      <c r="AG184" s="27"/>
      <c r="AH184" s="17">
        <f>_xlfn.XLOOKUP(D184,'①7月-花名册'!E:E,'①7月-花名册'!T:T,0)</f>
        <v>0</v>
      </c>
      <c r="AI184" s="15">
        <f>SUMIFS('7月运营'!$L:$L,'7月运营'!$A:$A,D184,'7月运营'!$K:$K,$A$1)</f>
        <v>0</v>
      </c>
      <c r="AJ184" s="15">
        <f>SUMIFS('7月运营'!H:H,'7月运营'!$A:$A,D184,'7月运营'!$K:$K,$A$1)</f>
        <v>0</v>
      </c>
      <c r="AK184" s="15">
        <f>SUMIFS(上月未发人员明细!I:I,上月未发人员明细!J:J,$AK$2,上月未发人员明细!A:A,D184)</f>
        <v>0</v>
      </c>
      <c r="AL184" s="15">
        <f>SUMIFS('7月运营'!L:L,'7月运营'!$A:$A,D184,'7月运营'!$K:$K,$AL$2)</f>
        <v>0</v>
      </c>
      <c r="AM184" s="18">
        <f>SUMIFS('7月运营'!$F:$F,'7月运营'!$A:$A,D184,'7月运营'!$K:$K,'②7月-汇总'!$AM$2,'7月运营'!$G:$G,"岗位核算")</f>
        <v>0</v>
      </c>
      <c r="AN184" s="18">
        <f>SUMIFS('7月运营'!$F:$F,'7月运营'!$A:$A,D184,'7月运营'!$K:$K,$AN$2,'7月运营'!$G:$G,"岗位核算")</f>
        <v>0</v>
      </c>
      <c r="AO184" s="18" t="str">
        <f t="shared" si="29"/>
        <v/>
      </c>
      <c r="AP184" s="18">
        <f t="shared" si="21"/>
        <v>31</v>
      </c>
      <c r="AQ184" s="18">
        <f>_xlfn.XLOOKUP(D184,'7月运营'!A:A,'7月运营'!G:G,0)</f>
        <v>0</v>
      </c>
    </row>
    <row r="185" spans="1:43" x14ac:dyDescent="0.15">
      <c r="A185" s="11" t="str">
        <v>涌泉</v>
      </c>
      <c r="B185" s="11" t="str">
        <v>健康师</v>
      </c>
      <c r="C185" s="11" t="str">
        <v>A</v>
      </c>
      <c r="D185" s="11" t="str">
        <v>胡钦秀</v>
      </c>
      <c r="E185" s="11" t="str">
        <v>在职</v>
      </c>
      <c r="F185" s="11" t="str">
        <v>事业部</v>
      </c>
      <c r="G185" s="11">
        <f>_xlfn.XLOOKUP(D185,'①7月-花名册'!E:E,'①7月-花名册'!U:U,0)</f>
        <v>0</v>
      </c>
      <c r="H185" s="11">
        <f>_xlfn.XLOOKUP(D185,'①7月-花名册'!E:E,'①7月-花名册'!M:M,0)</f>
        <v>31</v>
      </c>
      <c r="I185" s="11">
        <f>_xlfn.XLOOKUP(D185,'①7月-花名册'!E:E,'①7月-花名册'!S:S,0)</f>
        <v>4</v>
      </c>
      <c r="J185" s="14">
        <f t="shared" si="22"/>
        <v>4</v>
      </c>
      <c r="K185" s="23">
        <v>4</v>
      </c>
      <c r="L185" s="23"/>
      <c r="M185" s="23"/>
      <c r="N185" s="23"/>
      <c r="O185" s="23"/>
      <c r="P185" s="15">
        <f t="shared" si="23"/>
        <v>27</v>
      </c>
      <c r="Q185" s="15">
        <f t="shared" si="24"/>
        <v>31</v>
      </c>
      <c r="R185" s="15">
        <f>IF(F185="事业部",LOOKUP(Q185,基础设置!$T$2:$T$6,基础设置!$U$2:$U$6),IF(F185="总部",LOOKUP(Q185,基础设置!$T$8:$T$13,基础设置!$V$8:$V$13),IF(F185="拓展部",LOOKUP(Q185,基础设置!$T$8:$T$13,基础设置!$W$8:$W$13),2000)))</f>
        <v>4</v>
      </c>
      <c r="S185" s="15">
        <f t="shared" si="25"/>
        <v>31</v>
      </c>
      <c r="T185" s="15">
        <f t="shared" si="26"/>
        <v>0</v>
      </c>
      <c r="U185" s="15">
        <f t="shared" si="27"/>
        <v>0</v>
      </c>
      <c r="V185" s="15">
        <f t="shared" si="20"/>
        <v>0</v>
      </c>
      <c r="W185" s="15">
        <f t="shared" si="28"/>
        <v>0</v>
      </c>
      <c r="X185" s="26"/>
      <c r="Y185" s="26"/>
      <c r="Z185" s="26"/>
      <c r="AA185" s="26"/>
      <c r="AB185" s="27"/>
      <c r="AC185" s="27">
        <v>100</v>
      </c>
      <c r="AD185" s="27"/>
      <c r="AE185" s="27"/>
      <c r="AF185" s="27"/>
      <c r="AG185" s="27"/>
      <c r="AH185" s="17">
        <f>_xlfn.XLOOKUP(D185,'①7月-花名册'!E:E,'①7月-花名册'!T:T,0)</f>
        <v>0</v>
      </c>
      <c r="AI185" s="15">
        <f>SUMIFS('7月运营'!$L:$L,'7月运营'!$A:$A,D185,'7月运营'!$K:$K,$A$1)</f>
        <v>0</v>
      </c>
      <c r="AJ185" s="15">
        <f>SUMIFS('7月运营'!H:H,'7月运营'!$A:$A,D185,'7月运营'!$K:$K,$A$1)</f>
        <v>0</v>
      </c>
      <c r="AK185" s="15">
        <f>SUMIFS(上月未发人员明细!I:I,上月未发人员明细!J:J,$AK$2,上月未发人员明细!A:A,D185)</f>
        <v>0</v>
      </c>
      <c r="AL185" s="15">
        <f>SUMIFS('7月运营'!L:L,'7月运营'!$A:$A,D185,'7月运营'!$K:$K,$AL$2)</f>
        <v>0</v>
      </c>
      <c r="AM185" s="18">
        <f>SUMIFS('7月运营'!$F:$F,'7月运营'!$A:$A,D185,'7月运营'!$K:$K,'②7月-汇总'!$AM$2,'7月运营'!$G:$G,"岗位核算")</f>
        <v>0</v>
      </c>
      <c r="AN185" s="18">
        <f>SUMIFS('7月运营'!$F:$F,'7月运营'!$A:$A,D185,'7月运营'!$K:$K,$AN$2,'7月运营'!$G:$G,"岗位核算")</f>
        <v>0</v>
      </c>
      <c r="AO185" s="18" t="str">
        <f t="shared" si="29"/>
        <v/>
      </c>
      <c r="AP185" s="18">
        <f t="shared" si="21"/>
        <v>31</v>
      </c>
      <c r="AQ185" s="18">
        <f>_xlfn.XLOOKUP(D185,'7月运营'!A:A,'7月运营'!G:G,0)</f>
        <v>0</v>
      </c>
    </row>
    <row r="186" spans="1:43" x14ac:dyDescent="0.15">
      <c r="A186" s="11" t="str">
        <v>涌泉</v>
      </c>
      <c r="B186" s="11" t="str">
        <v>主任</v>
      </c>
      <c r="C186" s="11" t="str">
        <v>B</v>
      </c>
      <c r="D186" s="11" t="str">
        <v>高红艳</v>
      </c>
      <c r="E186" s="11" t="str">
        <v>在职</v>
      </c>
      <c r="F186" s="11" t="str">
        <v>事业部</v>
      </c>
      <c r="G186" s="11">
        <f>_xlfn.XLOOKUP(D186,'①7月-花名册'!E:E,'①7月-花名册'!U:U,0)</f>
        <v>0</v>
      </c>
      <c r="H186" s="11">
        <f>_xlfn.XLOOKUP(D186,'①7月-花名册'!E:E,'①7月-花名册'!M:M,0)</f>
        <v>31</v>
      </c>
      <c r="I186" s="11">
        <f>_xlfn.XLOOKUP(D186,'①7月-花名册'!E:E,'①7月-花名册'!S:S,0)</f>
        <v>4</v>
      </c>
      <c r="J186" s="14">
        <f t="shared" si="22"/>
        <v>4</v>
      </c>
      <c r="K186" s="23">
        <v>4</v>
      </c>
      <c r="L186" s="23"/>
      <c r="M186" s="23"/>
      <c r="N186" s="23"/>
      <c r="O186" s="23"/>
      <c r="P186" s="15">
        <f t="shared" si="23"/>
        <v>27</v>
      </c>
      <c r="Q186" s="15">
        <f t="shared" si="24"/>
        <v>31</v>
      </c>
      <c r="R186" s="15">
        <f>IF(F186="事业部",LOOKUP(Q186,基础设置!$T$2:$T$6,基础设置!$U$2:$U$6),IF(F186="总部",LOOKUP(Q186,基础设置!$T$8:$T$13,基础设置!$V$8:$V$13),IF(F186="拓展部",LOOKUP(Q186,基础设置!$T$8:$T$13,基础设置!$W$8:$W$13),2000)))</f>
        <v>4</v>
      </c>
      <c r="S186" s="15">
        <f t="shared" si="25"/>
        <v>31</v>
      </c>
      <c r="T186" s="15">
        <f t="shared" si="26"/>
        <v>0</v>
      </c>
      <c r="U186" s="15">
        <f t="shared" si="27"/>
        <v>0</v>
      </c>
      <c r="V186" s="15">
        <f t="shared" si="20"/>
        <v>0</v>
      </c>
      <c r="W186" s="15">
        <f t="shared" si="28"/>
        <v>0</v>
      </c>
      <c r="X186" s="26"/>
      <c r="Y186" s="26"/>
      <c r="Z186" s="26"/>
      <c r="AA186" s="26"/>
      <c r="AB186" s="27"/>
      <c r="AC186" s="27"/>
      <c r="AD186" s="27"/>
      <c r="AE186" s="27"/>
      <c r="AF186" s="27"/>
      <c r="AG186" s="27"/>
      <c r="AH186" s="17">
        <f>_xlfn.XLOOKUP(D186,'①7月-花名册'!E:E,'①7月-花名册'!T:T,0)</f>
        <v>0</v>
      </c>
      <c r="AI186" s="15">
        <f>SUMIFS('7月运营'!$L:$L,'7月运营'!$A:$A,D186,'7月运营'!$K:$K,$A$1)</f>
        <v>0</v>
      </c>
      <c r="AJ186" s="15">
        <f>SUMIFS('7月运营'!H:H,'7月运营'!$A:$A,D186,'7月运营'!$K:$K,$A$1)</f>
        <v>0</v>
      </c>
      <c r="AK186" s="15">
        <f>SUMIFS(上月未发人员明细!I:I,上月未发人员明细!J:J,$AK$2,上月未发人员明细!A:A,D186)</f>
        <v>0</v>
      </c>
      <c r="AL186" s="15">
        <f>SUMIFS('7月运营'!L:L,'7月运营'!$A:$A,D186,'7月运营'!$K:$K,$AL$2)</f>
        <v>0</v>
      </c>
      <c r="AM186" s="18">
        <f>SUMIFS('7月运营'!$F:$F,'7月运营'!$A:$A,D186,'7月运营'!$K:$K,'②7月-汇总'!$AM$2,'7月运营'!$G:$G,"岗位核算")</f>
        <v>0</v>
      </c>
      <c r="AN186" s="18">
        <f>SUMIFS('7月运营'!$F:$F,'7月运营'!$A:$A,D186,'7月运营'!$K:$K,$AN$2,'7月运营'!$G:$G,"岗位核算")</f>
        <v>0</v>
      </c>
      <c r="AO186" s="18" t="str">
        <f t="shared" si="29"/>
        <v/>
      </c>
      <c r="AP186" s="18">
        <f t="shared" si="21"/>
        <v>31</v>
      </c>
      <c r="AQ186" s="18">
        <f>_xlfn.XLOOKUP(D186,'7月运营'!A:A,'7月运营'!G:G,0)</f>
        <v>0</v>
      </c>
    </row>
    <row r="187" spans="1:43" x14ac:dyDescent="0.15">
      <c r="A187" s="11" t="str">
        <v>涌泉</v>
      </c>
      <c r="B187" s="11" t="str">
        <v>健康师</v>
      </c>
      <c r="C187" s="11" t="str">
        <v>A</v>
      </c>
      <c r="D187" s="11" t="str">
        <v>曾怡</v>
      </c>
      <c r="E187" s="11" t="str">
        <v>在职</v>
      </c>
      <c r="F187" s="11" t="str">
        <v>事业部</v>
      </c>
      <c r="G187" s="11">
        <f>_xlfn.XLOOKUP(D187,'①7月-花名册'!E:E,'①7月-花名册'!U:U,0)</f>
        <v>0</v>
      </c>
      <c r="H187" s="11">
        <f>_xlfn.XLOOKUP(D187,'①7月-花名册'!E:E,'①7月-花名册'!M:M,0)</f>
        <v>31</v>
      </c>
      <c r="I187" s="11">
        <f>_xlfn.XLOOKUP(D187,'①7月-花名册'!E:E,'①7月-花名册'!S:S,0)</f>
        <v>4</v>
      </c>
      <c r="J187" s="14">
        <f t="shared" si="22"/>
        <v>4</v>
      </c>
      <c r="K187" s="23">
        <v>4</v>
      </c>
      <c r="L187" s="23"/>
      <c r="M187" s="23"/>
      <c r="N187" s="23"/>
      <c r="O187" s="23"/>
      <c r="P187" s="15">
        <f t="shared" si="23"/>
        <v>27</v>
      </c>
      <c r="Q187" s="15">
        <f t="shared" si="24"/>
        <v>31</v>
      </c>
      <c r="R187" s="15">
        <f>IF(F187="事业部",LOOKUP(Q187,基础设置!$T$2:$T$6,基础设置!$U$2:$U$6),IF(F187="总部",LOOKUP(Q187,基础设置!$T$8:$T$13,基础设置!$V$8:$V$13),IF(F187="拓展部",LOOKUP(Q187,基础设置!$T$8:$T$13,基础设置!$W$8:$W$13),2000)))</f>
        <v>4</v>
      </c>
      <c r="S187" s="15">
        <f t="shared" si="25"/>
        <v>31</v>
      </c>
      <c r="T187" s="15">
        <f t="shared" si="26"/>
        <v>0</v>
      </c>
      <c r="U187" s="15">
        <f t="shared" si="27"/>
        <v>0</v>
      </c>
      <c r="V187" s="15">
        <f t="shared" si="20"/>
        <v>0</v>
      </c>
      <c r="W187" s="15">
        <f t="shared" si="28"/>
        <v>0</v>
      </c>
      <c r="X187" s="26">
        <v>10</v>
      </c>
      <c r="Y187" s="26"/>
      <c r="Z187" s="26"/>
      <c r="AA187" s="26"/>
      <c r="AB187" s="27"/>
      <c r="AC187" s="27"/>
      <c r="AD187" s="27"/>
      <c r="AE187" s="27"/>
      <c r="AF187" s="27"/>
      <c r="AG187" s="27"/>
      <c r="AH187" s="17">
        <f>_xlfn.XLOOKUP(D187,'①7月-花名册'!E:E,'①7月-花名册'!T:T,0)</f>
        <v>3500</v>
      </c>
      <c r="AI187" s="15">
        <f>SUMIFS('7月运营'!$L:$L,'7月运营'!$A:$A,D187,'7月运营'!$K:$K,$A$1)</f>
        <v>0</v>
      </c>
      <c r="AJ187" s="15">
        <f>SUMIFS('7月运营'!H:H,'7月运营'!$A:$A,D187,'7月运营'!$K:$K,$A$1)</f>
        <v>0</v>
      </c>
      <c r="AK187" s="15">
        <f>SUMIFS(上月未发人员明细!I:I,上月未发人员明细!J:J,$AK$2,上月未发人员明细!A:A,D187)</f>
        <v>0</v>
      </c>
      <c r="AL187" s="15">
        <f>SUMIFS('7月运营'!L:L,'7月运营'!$A:$A,D187,'7月运营'!$K:$K,$AL$2)</f>
        <v>0</v>
      </c>
      <c r="AM187" s="18">
        <f>SUMIFS('7月运营'!$F:$F,'7月运营'!$A:$A,D187,'7月运营'!$K:$K,'②7月-汇总'!$AM$2,'7月运营'!$G:$G,"岗位核算")</f>
        <v>0</v>
      </c>
      <c r="AN187" s="18">
        <f>SUMIFS('7月运营'!$F:$F,'7月运营'!$A:$A,D187,'7月运营'!$K:$K,$AN$2,'7月运营'!$G:$G,"岗位核算")</f>
        <v>0</v>
      </c>
      <c r="AO187" s="18" t="str">
        <f t="shared" si="29"/>
        <v/>
      </c>
      <c r="AP187" s="18">
        <f t="shared" si="21"/>
        <v>31</v>
      </c>
      <c r="AQ187" s="18">
        <f>_xlfn.XLOOKUP(D187,'7月运营'!A:A,'7月运营'!G:G,0)</f>
        <v>0</v>
      </c>
    </row>
    <row r="188" spans="1:43" x14ac:dyDescent="0.15">
      <c r="A188" s="11" t="str">
        <v>优品道</v>
      </c>
      <c r="B188" s="11" t="str">
        <v>店长</v>
      </c>
      <c r="C188" s="11" t="str">
        <v>B</v>
      </c>
      <c r="D188" s="11" t="str">
        <v>张清华</v>
      </c>
      <c r="E188" s="11" t="str">
        <v>在职</v>
      </c>
      <c r="F188" s="11" t="str">
        <v>事业部</v>
      </c>
      <c r="G188" s="11">
        <f>_xlfn.XLOOKUP(D188,'①7月-花名册'!E:E,'①7月-花名册'!U:U,0)</f>
        <v>0</v>
      </c>
      <c r="H188" s="11">
        <f>_xlfn.XLOOKUP(D188,'①7月-花名册'!E:E,'①7月-花名册'!M:M,0)</f>
        <v>31</v>
      </c>
      <c r="I188" s="11">
        <f>_xlfn.XLOOKUP(D188,'①7月-花名册'!E:E,'①7月-花名册'!S:S,0)</f>
        <v>4</v>
      </c>
      <c r="J188" s="14">
        <f t="shared" si="22"/>
        <v>3</v>
      </c>
      <c r="K188" s="23">
        <v>3</v>
      </c>
      <c r="L188" s="23"/>
      <c r="M188" s="23"/>
      <c r="N188" s="23"/>
      <c r="O188" s="23"/>
      <c r="P188" s="15">
        <f t="shared" si="23"/>
        <v>28</v>
      </c>
      <c r="Q188" s="15">
        <f t="shared" si="24"/>
        <v>31</v>
      </c>
      <c r="R188" s="15">
        <f>IF(F188="事业部",LOOKUP(Q188,基础设置!$T$2:$T$6,基础设置!$U$2:$U$6),IF(F188="总部",LOOKUP(Q188,基础设置!$T$8:$T$13,基础设置!$V$8:$V$13),IF(F188="拓展部",LOOKUP(Q188,基础设置!$T$8:$T$13,基础设置!$W$8:$W$13),2000)))</f>
        <v>4</v>
      </c>
      <c r="S188" s="15">
        <f t="shared" si="25"/>
        <v>31</v>
      </c>
      <c r="T188" s="15">
        <f t="shared" si="26"/>
        <v>0</v>
      </c>
      <c r="U188" s="15">
        <f t="shared" si="27"/>
        <v>0</v>
      </c>
      <c r="V188" s="15">
        <f t="shared" si="20"/>
        <v>0</v>
      </c>
      <c r="W188" s="15">
        <f t="shared" si="28"/>
        <v>0</v>
      </c>
      <c r="X188" s="26">
        <v>90</v>
      </c>
      <c r="Y188" s="26"/>
      <c r="Z188" s="26"/>
      <c r="AA188" s="26"/>
      <c r="AB188" s="27"/>
      <c r="AC188" s="27"/>
      <c r="AD188" s="27"/>
      <c r="AE188" s="27"/>
      <c r="AF188" s="27"/>
      <c r="AG188" s="27"/>
      <c r="AH188" s="17">
        <f>_xlfn.XLOOKUP(D188,'①7月-花名册'!E:E,'①7月-花名册'!T:T,0)</f>
        <v>0</v>
      </c>
      <c r="AI188" s="15">
        <f>SUMIFS('7月运营'!$L:$L,'7月运营'!$A:$A,D188,'7月运营'!$K:$K,$A$1)</f>
        <v>0</v>
      </c>
      <c r="AJ188" s="15">
        <f>SUMIFS('7月运营'!H:H,'7月运营'!$A:$A,D188,'7月运营'!$K:$K,$A$1)</f>
        <v>0</v>
      </c>
      <c r="AK188" s="15">
        <f>SUMIFS(上月未发人员明细!I:I,上月未发人员明细!J:J,$AK$2,上月未发人员明细!A:A,D188)</f>
        <v>0</v>
      </c>
      <c r="AL188" s="15">
        <f>SUMIFS('7月运营'!L:L,'7月运营'!$A:$A,D188,'7月运营'!$K:$K,$AL$2)</f>
        <v>0</v>
      </c>
      <c r="AM188" s="18">
        <f>SUMIFS('7月运营'!$F:$F,'7月运营'!$A:$A,D188,'7月运营'!$K:$K,'②7月-汇总'!$AM$2,'7月运营'!$G:$G,"岗位核算")</f>
        <v>0</v>
      </c>
      <c r="AN188" s="18">
        <f>SUMIFS('7月运营'!$F:$F,'7月运营'!$A:$A,D188,'7月运营'!$K:$K,$AN$2,'7月运营'!$G:$G,"岗位核算")</f>
        <v>0</v>
      </c>
      <c r="AO188" s="18" t="str">
        <f t="shared" si="29"/>
        <v/>
      </c>
      <c r="AP188" s="18">
        <f t="shared" si="21"/>
        <v>31</v>
      </c>
      <c r="AQ188" s="18">
        <f>_xlfn.XLOOKUP(D188,'7月运营'!A:A,'7月运营'!G:G,0)</f>
        <v>0</v>
      </c>
    </row>
    <row r="189" spans="1:43" x14ac:dyDescent="0.15">
      <c r="A189" s="11" t="str">
        <v>优品道</v>
      </c>
      <c r="B189" s="11" t="str">
        <v>健康师</v>
      </c>
      <c r="C189" s="11" t="str">
        <v>A</v>
      </c>
      <c r="D189" s="11" t="str">
        <v>彭鑫</v>
      </c>
      <c r="E189" s="11" t="str">
        <v>在职</v>
      </c>
      <c r="F189" s="11" t="str">
        <v>事业部</v>
      </c>
      <c r="G189" s="11">
        <f>_xlfn.XLOOKUP(D189,'①7月-花名册'!E:E,'①7月-花名册'!U:U,0)</f>
        <v>0</v>
      </c>
      <c r="H189" s="11">
        <f>_xlfn.XLOOKUP(D189,'①7月-花名册'!E:E,'①7月-花名册'!M:M,0)</f>
        <v>31</v>
      </c>
      <c r="I189" s="11">
        <f>_xlfn.XLOOKUP(D189,'①7月-花名册'!E:E,'①7月-花名册'!S:S,0)</f>
        <v>4</v>
      </c>
      <c r="J189" s="14">
        <f t="shared" si="22"/>
        <v>4</v>
      </c>
      <c r="K189" s="23">
        <v>4</v>
      </c>
      <c r="L189" s="23"/>
      <c r="M189" s="23"/>
      <c r="N189" s="23"/>
      <c r="O189" s="23"/>
      <c r="P189" s="15">
        <f t="shared" si="23"/>
        <v>27</v>
      </c>
      <c r="Q189" s="15">
        <f t="shared" si="24"/>
        <v>31</v>
      </c>
      <c r="R189" s="15">
        <f>IF(F189="事业部",LOOKUP(Q189,基础设置!$T$2:$T$6,基础设置!$U$2:$U$6),IF(F189="总部",LOOKUP(Q189,基础设置!$T$8:$T$13,基础设置!$V$8:$V$13),IF(F189="拓展部",LOOKUP(Q189,基础设置!$T$8:$T$13,基础设置!$W$8:$W$13),2000)))</f>
        <v>4</v>
      </c>
      <c r="S189" s="15">
        <f t="shared" si="25"/>
        <v>31</v>
      </c>
      <c r="T189" s="15">
        <f t="shared" si="26"/>
        <v>0</v>
      </c>
      <c r="U189" s="15">
        <f t="shared" si="27"/>
        <v>0</v>
      </c>
      <c r="V189" s="15">
        <f t="shared" si="20"/>
        <v>0</v>
      </c>
      <c r="W189" s="15">
        <f t="shared" si="28"/>
        <v>0</v>
      </c>
      <c r="X189" s="26"/>
      <c r="Y189" s="26"/>
      <c r="Z189" s="26"/>
      <c r="AA189" s="26"/>
      <c r="AB189" s="27"/>
      <c r="AC189" s="27"/>
      <c r="AD189" s="27"/>
      <c r="AE189" s="27"/>
      <c r="AF189" s="27"/>
      <c r="AG189" s="27"/>
      <c r="AH189" s="17">
        <f>_xlfn.XLOOKUP(D189,'①7月-花名册'!E:E,'①7月-花名册'!T:T,0)</f>
        <v>0</v>
      </c>
      <c r="AI189" s="15">
        <f>SUMIFS('7月运营'!$L:$L,'7月运营'!$A:$A,D189,'7月运营'!$K:$K,$A$1)</f>
        <v>0</v>
      </c>
      <c r="AJ189" s="15">
        <f>SUMIFS('7月运营'!H:H,'7月运营'!$A:$A,D189,'7月运营'!$K:$K,$A$1)</f>
        <v>0</v>
      </c>
      <c r="AK189" s="15">
        <f>SUMIFS(上月未发人员明细!I:I,上月未发人员明细!J:J,$AK$2,上月未发人员明细!A:A,D189)</f>
        <v>0</v>
      </c>
      <c r="AL189" s="15">
        <f>SUMIFS('7月运营'!L:L,'7月运营'!$A:$A,D189,'7月运营'!$K:$K,$AL$2)</f>
        <v>0</v>
      </c>
      <c r="AM189" s="18">
        <f>SUMIFS('7月运营'!$F:$F,'7月运营'!$A:$A,D189,'7月运营'!$K:$K,'②7月-汇总'!$AM$2,'7月运营'!$G:$G,"岗位核算")</f>
        <v>0</v>
      </c>
      <c r="AN189" s="18">
        <f>SUMIFS('7月运营'!$F:$F,'7月运营'!$A:$A,D189,'7月运营'!$K:$K,$AN$2,'7月运营'!$G:$G,"岗位核算")</f>
        <v>0</v>
      </c>
      <c r="AO189" s="18" t="str">
        <f t="shared" si="29"/>
        <v/>
      </c>
      <c r="AP189" s="18">
        <f t="shared" si="21"/>
        <v>31</v>
      </c>
      <c r="AQ189" s="18">
        <f>_xlfn.XLOOKUP(D189,'7月运营'!A:A,'7月运营'!G:G,0)</f>
        <v>0</v>
      </c>
    </row>
    <row r="190" spans="1:43" x14ac:dyDescent="0.15">
      <c r="A190" s="11" t="str">
        <v>优品道</v>
      </c>
      <c r="B190" s="11" t="str">
        <v>健康师</v>
      </c>
      <c r="C190" s="11" t="str">
        <v>A</v>
      </c>
      <c r="D190" s="11" t="str">
        <v>李维</v>
      </c>
      <c r="E190" s="11" t="str">
        <v>在职</v>
      </c>
      <c r="F190" s="11" t="str">
        <v>事业部</v>
      </c>
      <c r="G190" s="11">
        <f>_xlfn.XLOOKUP(D190,'①7月-花名册'!E:E,'①7月-花名册'!U:U,0)</f>
        <v>0</v>
      </c>
      <c r="H190" s="11">
        <f>_xlfn.XLOOKUP(D190,'①7月-花名册'!E:E,'①7月-花名册'!M:M,0)</f>
        <v>31</v>
      </c>
      <c r="I190" s="11">
        <f>_xlfn.XLOOKUP(D190,'①7月-花名册'!E:E,'①7月-花名册'!S:S,0)</f>
        <v>4</v>
      </c>
      <c r="J190" s="14">
        <f t="shared" si="22"/>
        <v>4</v>
      </c>
      <c r="K190" s="23">
        <v>4</v>
      </c>
      <c r="L190" s="23"/>
      <c r="M190" s="23"/>
      <c r="N190" s="23"/>
      <c r="O190" s="23"/>
      <c r="P190" s="15">
        <f t="shared" si="23"/>
        <v>27</v>
      </c>
      <c r="Q190" s="15">
        <f t="shared" si="24"/>
        <v>31</v>
      </c>
      <c r="R190" s="15">
        <f>IF(F190="事业部",LOOKUP(Q190,基础设置!$T$2:$T$6,基础设置!$U$2:$U$6),IF(F190="总部",LOOKUP(Q190,基础设置!$T$8:$T$13,基础设置!$V$8:$V$13),IF(F190="拓展部",LOOKUP(Q190,基础设置!$T$8:$T$13,基础设置!$W$8:$W$13),2000)))</f>
        <v>4</v>
      </c>
      <c r="S190" s="15">
        <f t="shared" si="25"/>
        <v>31</v>
      </c>
      <c r="T190" s="15">
        <f t="shared" si="26"/>
        <v>0</v>
      </c>
      <c r="U190" s="15">
        <f t="shared" si="27"/>
        <v>0</v>
      </c>
      <c r="V190" s="15">
        <f t="shared" si="20"/>
        <v>0</v>
      </c>
      <c r="W190" s="15">
        <f t="shared" si="28"/>
        <v>0</v>
      </c>
      <c r="X190" s="26"/>
      <c r="Y190" s="26"/>
      <c r="Z190" s="26">
        <v>50</v>
      </c>
      <c r="AA190" s="26"/>
      <c r="AB190" s="27"/>
      <c r="AC190" s="27"/>
      <c r="AD190" s="27"/>
      <c r="AE190" s="27"/>
      <c r="AF190" s="27"/>
      <c r="AG190" s="27"/>
      <c r="AH190" s="17">
        <f>_xlfn.XLOOKUP(D190,'①7月-花名册'!E:E,'①7月-花名册'!T:T,0)</f>
        <v>0</v>
      </c>
      <c r="AI190" s="15">
        <f>SUMIFS('7月运营'!$L:$L,'7月运营'!$A:$A,D190,'7月运营'!$K:$K,$A$1)</f>
        <v>0</v>
      </c>
      <c r="AJ190" s="15">
        <f>SUMIFS('7月运营'!H:H,'7月运营'!$A:$A,D190,'7月运营'!$K:$K,$A$1)</f>
        <v>0</v>
      </c>
      <c r="AK190" s="15">
        <f>SUMIFS(上月未发人员明细!I:I,上月未发人员明细!J:J,$AK$2,上月未发人员明细!A:A,D190)</f>
        <v>0</v>
      </c>
      <c r="AL190" s="15">
        <f>SUMIFS('7月运营'!L:L,'7月运营'!$A:$A,D190,'7月运营'!$K:$K,$AL$2)</f>
        <v>0</v>
      </c>
      <c r="AM190" s="18">
        <f>SUMIFS('7月运营'!$F:$F,'7月运营'!$A:$A,D190,'7月运营'!$K:$K,'②7月-汇总'!$AM$2,'7月运营'!$G:$G,"岗位核算")</f>
        <v>0</v>
      </c>
      <c r="AN190" s="18">
        <f>SUMIFS('7月运营'!$F:$F,'7月运营'!$A:$A,D190,'7月运营'!$K:$K,$AN$2,'7月运营'!$G:$G,"岗位核算")</f>
        <v>0</v>
      </c>
      <c r="AO190" s="18" t="str">
        <f t="shared" si="29"/>
        <v/>
      </c>
      <c r="AP190" s="18">
        <f t="shared" si="21"/>
        <v>31</v>
      </c>
      <c r="AQ190" s="18">
        <f>_xlfn.XLOOKUP(D190,'7月运营'!A:A,'7月运营'!G:G,0)</f>
        <v>0</v>
      </c>
    </row>
    <row r="191" spans="1:43" x14ac:dyDescent="0.15">
      <c r="A191" s="11" t="str">
        <v>优品道</v>
      </c>
      <c r="B191" s="11" t="str">
        <v>健康师</v>
      </c>
      <c r="C191" s="11" t="str">
        <v>A</v>
      </c>
      <c r="D191" s="11" t="str">
        <v>贾琳</v>
      </c>
      <c r="E191" s="11" t="str">
        <v>在职</v>
      </c>
      <c r="F191" s="11" t="str">
        <v>事业部</v>
      </c>
      <c r="G191" s="11">
        <f>_xlfn.XLOOKUP(D191,'①7月-花名册'!E:E,'①7月-花名册'!U:U,0)</f>
        <v>0</v>
      </c>
      <c r="H191" s="11">
        <f>_xlfn.XLOOKUP(D191,'①7月-花名册'!E:E,'①7月-花名册'!M:M,0)</f>
        <v>31</v>
      </c>
      <c r="I191" s="11">
        <f>_xlfn.XLOOKUP(D191,'①7月-花名册'!E:E,'①7月-花名册'!S:S,0)</f>
        <v>4</v>
      </c>
      <c r="J191" s="14">
        <f t="shared" si="22"/>
        <v>4</v>
      </c>
      <c r="K191" s="23">
        <v>4</v>
      </c>
      <c r="L191" s="23"/>
      <c r="M191" s="23"/>
      <c r="N191" s="23"/>
      <c r="O191" s="23"/>
      <c r="P191" s="15">
        <f t="shared" si="23"/>
        <v>27</v>
      </c>
      <c r="Q191" s="15">
        <f t="shared" si="24"/>
        <v>31</v>
      </c>
      <c r="R191" s="15">
        <f>IF(F191="事业部",LOOKUP(Q191,基础设置!$T$2:$T$6,基础设置!$U$2:$U$6),IF(F191="总部",LOOKUP(Q191,基础设置!$T$8:$T$13,基础设置!$V$8:$V$13),IF(F191="拓展部",LOOKUP(Q191,基础设置!$T$8:$T$13,基础设置!$W$8:$W$13),2000)))</f>
        <v>4</v>
      </c>
      <c r="S191" s="15">
        <f t="shared" si="25"/>
        <v>31</v>
      </c>
      <c r="T191" s="15">
        <f t="shared" si="26"/>
        <v>0</v>
      </c>
      <c r="U191" s="15">
        <f t="shared" si="27"/>
        <v>0</v>
      </c>
      <c r="V191" s="15">
        <f t="shared" si="20"/>
        <v>0</v>
      </c>
      <c r="W191" s="15">
        <f t="shared" si="28"/>
        <v>0</v>
      </c>
      <c r="X191" s="26"/>
      <c r="Y191" s="26"/>
      <c r="Z191" s="26"/>
      <c r="AA191" s="26"/>
      <c r="AB191" s="27"/>
      <c r="AC191" s="27"/>
      <c r="AD191" s="27"/>
      <c r="AE191" s="27"/>
      <c r="AF191" s="27"/>
      <c r="AG191" s="27"/>
      <c r="AH191" s="17">
        <f>_xlfn.XLOOKUP(D191,'①7月-花名册'!E:E,'①7月-花名册'!T:T,0)</f>
        <v>0</v>
      </c>
      <c r="AI191" s="15">
        <f>SUMIFS('7月运营'!$L:$L,'7月运营'!$A:$A,D191,'7月运营'!$K:$K,$A$1)</f>
        <v>0</v>
      </c>
      <c r="AJ191" s="15">
        <f>SUMIFS('7月运营'!H:H,'7月运营'!$A:$A,D191,'7月运营'!$K:$K,$A$1)</f>
        <v>0</v>
      </c>
      <c r="AK191" s="15">
        <f>SUMIFS(上月未发人员明细!I:I,上月未发人员明细!J:J,$AK$2,上月未发人员明细!A:A,D191)</f>
        <v>0</v>
      </c>
      <c r="AL191" s="15">
        <f>SUMIFS('7月运营'!L:L,'7月运营'!$A:$A,D191,'7月运营'!$K:$K,$AL$2)</f>
        <v>0</v>
      </c>
      <c r="AM191" s="18">
        <f>SUMIFS('7月运营'!$F:$F,'7月运营'!$A:$A,D191,'7月运营'!$K:$K,'②7月-汇总'!$AM$2,'7月运营'!$G:$G,"岗位核算")</f>
        <v>0</v>
      </c>
      <c r="AN191" s="18">
        <f>SUMIFS('7月运营'!$F:$F,'7月运营'!$A:$A,D191,'7月运营'!$K:$K,$AN$2,'7月运营'!$G:$G,"岗位核算")</f>
        <v>0</v>
      </c>
      <c r="AO191" s="18" t="str">
        <f t="shared" si="29"/>
        <v/>
      </c>
      <c r="AP191" s="18">
        <f t="shared" si="21"/>
        <v>31</v>
      </c>
      <c r="AQ191" s="18">
        <f>_xlfn.XLOOKUP(D191,'7月运营'!A:A,'7月运营'!G:G,0)</f>
        <v>0</v>
      </c>
    </row>
    <row r="192" spans="1:43" x14ac:dyDescent="0.15">
      <c r="A192" s="11" t="str">
        <v>优品道</v>
      </c>
      <c r="B192" s="11" t="str">
        <v>健康师</v>
      </c>
      <c r="C192" s="11" t="str">
        <v>A</v>
      </c>
      <c r="D192" s="11" t="str">
        <v>王智慧</v>
      </c>
      <c r="E192" s="11" t="str">
        <v>在职</v>
      </c>
      <c r="F192" s="11" t="str">
        <v>事业部</v>
      </c>
      <c r="G192" s="11">
        <f>_xlfn.XLOOKUP(D192,'①7月-花名册'!E:E,'①7月-花名册'!U:U,0)</f>
        <v>0</v>
      </c>
      <c r="H192" s="11">
        <f>_xlfn.XLOOKUP(D192,'①7月-花名册'!E:E,'①7月-花名册'!M:M,0)</f>
        <v>31</v>
      </c>
      <c r="I192" s="11">
        <f>_xlfn.XLOOKUP(D192,'①7月-花名册'!E:E,'①7月-花名册'!S:S,0)</f>
        <v>4</v>
      </c>
      <c r="J192" s="14">
        <f t="shared" si="22"/>
        <v>4</v>
      </c>
      <c r="K192" s="23">
        <v>4</v>
      </c>
      <c r="L192" s="23"/>
      <c r="M192" s="23"/>
      <c r="N192" s="23"/>
      <c r="O192" s="23"/>
      <c r="P192" s="15">
        <f t="shared" si="23"/>
        <v>27</v>
      </c>
      <c r="Q192" s="15">
        <f t="shared" si="24"/>
        <v>31</v>
      </c>
      <c r="R192" s="15">
        <f>IF(F192="事业部",LOOKUP(Q192,基础设置!$T$2:$T$6,基础设置!$U$2:$U$6),IF(F192="总部",LOOKUP(Q192,基础设置!$T$8:$T$13,基础设置!$V$8:$V$13),IF(F192="拓展部",LOOKUP(Q192,基础设置!$T$8:$T$13,基础设置!$W$8:$W$13),2000)))</f>
        <v>4</v>
      </c>
      <c r="S192" s="15">
        <f t="shared" si="25"/>
        <v>31</v>
      </c>
      <c r="T192" s="15">
        <f t="shared" si="26"/>
        <v>0</v>
      </c>
      <c r="U192" s="15">
        <f t="shared" si="27"/>
        <v>0</v>
      </c>
      <c r="V192" s="15">
        <f t="shared" si="20"/>
        <v>0</v>
      </c>
      <c r="W192" s="15">
        <f t="shared" si="28"/>
        <v>0</v>
      </c>
      <c r="X192" s="26"/>
      <c r="Y192" s="26"/>
      <c r="Z192" s="26"/>
      <c r="AA192" s="26"/>
      <c r="AB192" s="28"/>
      <c r="AC192" s="28"/>
      <c r="AD192" s="28"/>
      <c r="AE192" s="28"/>
      <c r="AF192" s="28"/>
      <c r="AG192" s="28"/>
      <c r="AH192" s="17">
        <f>_xlfn.XLOOKUP(D192,'①7月-花名册'!E:E,'①7月-花名册'!T:T,0)</f>
        <v>0</v>
      </c>
      <c r="AI192" s="15">
        <f>SUMIFS('7月运营'!$L:$L,'7月运营'!$A:$A,D192,'7月运营'!$K:$K,$A$1)</f>
        <v>0</v>
      </c>
      <c r="AJ192" s="15">
        <f>SUMIFS('7月运营'!H:H,'7月运营'!$A:$A,D192,'7月运营'!$K:$K,$A$1)</f>
        <v>0</v>
      </c>
      <c r="AK192" s="15">
        <f>SUMIFS(上月未发人员明细!I:I,上月未发人员明细!J:J,$AK$2,上月未发人员明细!A:A,D192)</f>
        <v>0</v>
      </c>
      <c r="AL192" s="15">
        <f>SUMIFS('7月运营'!L:L,'7月运营'!$A:$A,D192,'7月运营'!$K:$K,$AL$2)</f>
        <v>0</v>
      </c>
      <c r="AM192" s="18">
        <f>SUMIFS('7月运营'!$F:$F,'7月运营'!$A:$A,D192,'7月运营'!$K:$K,'②7月-汇总'!$AM$2,'7月运营'!$G:$G,"岗位核算")</f>
        <v>0</v>
      </c>
      <c r="AN192" s="18">
        <f>SUMIFS('7月运营'!$F:$F,'7月运营'!$A:$A,D192,'7月运营'!$K:$K,$AN$2,'7月运营'!$G:$G,"岗位核算")</f>
        <v>0</v>
      </c>
      <c r="AO192" s="18" t="str">
        <f t="shared" si="29"/>
        <v/>
      </c>
      <c r="AP192" s="18">
        <f t="shared" si="21"/>
        <v>31</v>
      </c>
      <c r="AQ192" s="18">
        <f>_xlfn.XLOOKUP(D192,'7月运营'!A:A,'7月运营'!G:G,0)</f>
        <v>0</v>
      </c>
    </row>
    <row r="193" spans="1:43" x14ac:dyDescent="0.15">
      <c r="A193" s="11" t="str">
        <v>优品道</v>
      </c>
      <c r="B193" s="11" t="str">
        <v>健康师</v>
      </c>
      <c r="C193" s="11" t="str">
        <v>A</v>
      </c>
      <c r="D193" s="11" t="str">
        <v>邓笑</v>
      </c>
      <c r="E193" s="11" t="str">
        <v>在职</v>
      </c>
      <c r="F193" s="11" t="str">
        <v>事业部</v>
      </c>
      <c r="G193" s="11">
        <f>_xlfn.XLOOKUP(D193,'①7月-花名册'!E:E,'①7月-花名册'!U:U,0)</f>
        <v>0</v>
      </c>
      <c r="H193" s="11">
        <f>_xlfn.XLOOKUP(D193,'①7月-花名册'!E:E,'①7月-花名册'!M:M,0)</f>
        <v>31</v>
      </c>
      <c r="I193" s="11">
        <f>_xlfn.XLOOKUP(D193,'①7月-花名册'!E:E,'①7月-花名册'!S:S,0)</f>
        <v>4</v>
      </c>
      <c r="J193" s="14">
        <f t="shared" si="22"/>
        <v>4</v>
      </c>
      <c r="K193" s="23">
        <v>4</v>
      </c>
      <c r="L193" s="23"/>
      <c r="M193" s="23"/>
      <c r="N193" s="23"/>
      <c r="O193" s="23"/>
      <c r="P193" s="15">
        <f t="shared" si="23"/>
        <v>27</v>
      </c>
      <c r="Q193" s="15">
        <f t="shared" si="24"/>
        <v>31</v>
      </c>
      <c r="R193" s="15">
        <f>IF(F193="事业部",LOOKUP(Q193,基础设置!$T$2:$T$6,基础设置!$U$2:$U$6),IF(F193="总部",LOOKUP(Q193,基础设置!$T$8:$T$13,基础设置!$V$8:$V$13),IF(F193="拓展部",LOOKUP(Q193,基础设置!$T$8:$T$13,基础设置!$W$8:$W$13),2000)))</f>
        <v>4</v>
      </c>
      <c r="S193" s="15">
        <f t="shared" si="25"/>
        <v>31</v>
      </c>
      <c r="T193" s="15">
        <f t="shared" si="26"/>
        <v>0</v>
      </c>
      <c r="U193" s="15">
        <f t="shared" si="27"/>
        <v>0</v>
      </c>
      <c r="V193" s="15">
        <f t="shared" si="20"/>
        <v>0</v>
      </c>
      <c r="W193" s="15">
        <f t="shared" si="28"/>
        <v>0</v>
      </c>
      <c r="X193" s="26">
        <v>10</v>
      </c>
      <c r="Y193" s="26"/>
      <c r="Z193" s="26"/>
      <c r="AA193" s="26"/>
      <c r="AB193" s="28"/>
      <c r="AC193" s="28"/>
      <c r="AD193" s="28"/>
      <c r="AE193" s="28"/>
      <c r="AF193" s="28"/>
      <c r="AG193" s="28"/>
      <c r="AH193" s="17">
        <f>_xlfn.XLOOKUP(D193,'①7月-花名册'!E:E,'①7月-花名册'!T:T,0)</f>
        <v>0</v>
      </c>
      <c r="AI193" s="15">
        <f>SUMIFS('7月运营'!$L:$L,'7月运营'!$A:$A,D193,'7月运营'!$K:$K,$A$1)</f>
        <v>0</v>
      </c>
      <c r="AJ193" s="15">
        <f>SUMIFS('7月运营'!H:H,'7月运营'!$A:$A,D193,'7月运营'!$K:$K,$A$1)</f>
        <v>0</v>
      </c>
      <c r="AK193" s="15">
        <f>SUMIFS(上月未发人员明细!I:I,上月未发人员明细!J:J,$AK$2,上月未发人员明细!A:A,D193)</f>
        <v>0</v>
      </c>
      <c r="AL193" s="15">
        <f>SUMIFS('7月运营'!L:L,'7月运营'!$A:$A,D193,'7月运营'!$K:$K,$AL$2)</f>
        <v>0</v>
      </c>
      <c r="AM193" s="18">
        <f>SUMIFS('7月运营'!$F:$F,'7月运营'!$A:$A,D193,'7月运营'!$K:$K,'②7月-汇总'!$AM$2,'7月运营'!$G:$G,"岗位核算")</f>
        <v>0</v>
      </c>
      <c r="AN193" s="18">
        <f>SUMIFS('7月运营'!$F:$F,'7月运营'!$A:$A,D193,'7月运营'!$K:$K,$AN$2,'7月运营'!$G:$G,"岗位核算")</f>
        <v>0</v>
      </c>
      <c r="AO193" s="18" t="str">
        <f t="shared" si="29"/>
        <v/>
      </c>
      <c r="AP193" s="18">
        <f t="shared" si="21"/>
        <v>31</v>
      </c>
      <c r="AQ193" s="18">
        <f>_xlfn.XLOOKUP(D193,'7月运营'!A:A,'7月运营'!G:G,0)</f>
        <v>0</v>
      </c>
    </row>
    <row r="194" spans="1:43" x14ac:dyDescent="0.15">
      <c r="A194" s="11" t="str">
        <v>优品道</v>
      </c>
      <c r="B194" s="11" t="str">
        <v>店助</v>
      </c>
      <c r="C194" s="11" t="str">
        <v>A</v>
      </c>
      <c r="D194" s="11" t="str">
        <v>刘香</v>
      </c>
      <c r="E194" s="11" t="str">
        <v>在职</v>
      </c>
      <c r="F194" s="11" t="str">
        <v>事业部</v>
      </c>
      <c r="G194" s="11">
        <f>_xlfn.XLOOKUP(D194,'①7月-花名册'!E:E,'①7月-花名册'!U:U,0)</f>
        <v>0</v>
      </c>
      <c r="H194" s="11">
        <f>_xlfn.XLOOKUP(D194,'①7月-花名册'!E:E,'①7月-花名册'!M:M,0)</f>
        <v>31</v>
      </c>
      <c r="I194" s="11">
        <f>_xlfn.XLOOKUP(D194,'①7月-花名册'!E:E,'①7月-花名册'!S:S,0)</f>
        <v>4</v>
      </c>
      <c r="J194" s="14">
        <f t="shared" si="22"/>
        <v>4</v>
      </c>
      <c r="K194" s="23">
        <v>4</v>
      </c>
      <c r="L194" s="23"/>
      <c r="M194" s="23"/>
      <c r="N194" s="23"/>
      <c r="O194" s="23"/>
      <c r="P194" s="15">
        <f t="shared" si="23"/>
        <v>27</v>
      </c>
      <c r="Q194" s="15">
        <f t="shared" si="24"/>
        <v>31</v>
      </c>
      <c r="R194" s="15">
        <f>IF(F194="事业部",LOOKUP(Q194,基础设置!$T$2:$T$6,基础设置!$U$2:$U$6),IF(F194="总部",LOOKUP(Q194,基础设置!$T$8:$T$13,基础设置!$V$8:$V$13),IF(F194="拓展部",LOOKUP(Q194,基础设置!$T$8:$T$13,基础设置!$W$8:$W$13),2000)))</f>
        <v>4</v>
      </c>
      <c r="S194" s="15">
        <f t="shared" si="25"/>
        <v>31</v>
      </c>
      <c r="T194" s="15">
        <f t="shared" si="26"/>
        <v>0</v>
      </c>
      <c r="U194" s="15">
        <f t="shared" si="27"/>
        <v>0</v>
      </c>
      <c r="V194" s="15">
        <f t="shared" si="20"/>
        <v>0</v>
      </c>
      <c r="W194" s="15">
        <f t="shared" si="28"/>
        <v>0</v>
      </c>
      <c r="X194" s="26"/>
      <c r="Y194" s="26"/>
      <c r="Z194" s="26">
        <v>50</v>
      </c>
      <c r="AA194" s="26"/>
      <c r="AB194" s="27"/>
      <c r="AC194" s="27"/>
      <c r="AD194" s="27"/>
      <c r="AE194" s="27"/>
      <c r="AF194" s="27"/>
      <c r="AG194" s="27"/>
      <c r="AH194" s="17">
        <f>_xlfn.XLOOKUP(D194,'①7月-花名册'!E:E,'①7月-花名册'!T:T,0)</f>
        <v>0</v>
      </c>
      <c r="AI194" s="15">
        <f>SUMIFS('7月运营'!$L:$L,'7月运营'!$A:$A,D194,'7月运营'!$K:$K,$A$1)</f>
        <v>0</v>
      </c>
      <c r="AJ194" s="15">
        <f>SUMIFS('7月运营'!H:H,'7月运营'!$A:$A,D194,'7月运营'!$K:$K,$A$1)</f>
        <v>0</v>
      </c>
      <c r="AK194" s="15">
        <f>SUMIFS(上月未发人员明细!I:I,上月未发人员明细!J:J,$AK$2,上月未发人员明细!A:A,D194)</f>
        <v>0</v>
      </c>
      <c r="AL194" s="15">
        <f>SUMIFS('7月运营'!L:L,'7月运营'!$A:$A,D194,'7月运营'!$K:$K,$AL$2)</f>
        <v>0</v>
      </c>
      <c r="AM194" s="18">
        <f>SUMIFS('7月运营'!$F:$F,'7月运营'!$A:$A,D194,'7月运营'!$K:$K,'②7月-汇总'!$AM$2,'7月运营'!$G:$G,"岗位核算")</f>
        <v>0</v>
      </c>
      <c r="AN194" s="18">
        <f>SUMIFS('7月运营'!$F:$F,'7月运营'!$A:$A,D194,'7月运营'!$K:$K,$AN$2,'7月运营'!$G:$G,"岗位核算")</f>
        <v>0</v>
      </c>
      <c r="AO194" s="18" t="str">
        <f t="shared" si="29"/>
        <v/>
      </c>
      <c r="AP194" s="18">
        <f t="shared" si="21"/>
        <v>31</v>
      </c>
      <c r="AQ194" s="18">
        <f>_xlfn.XLOOKUP(D194,'7月运营'!A:A,'7月运营'!G:G,0)</f>
        <v>0</v>
      </c>
    </row>
    <row r="195" spans="1:43" x14ac:dyDescent="0.15">
      <c r="A195" s="11" t="str">
        <v>优品道</v>
      </c>
      <c r="B195" s="11" t="str">
        <v>健康师</v>
      </c>
      <c r="C195" s="11" t="str">
        <v>A</v>
      </c>
      <c r="D195" s="11" t="str">
        <v>刘丽华</v>
      </c>
      <c r="E195" s="11" t="str">
        <v>在职</v>
      </c>
      <c r="F195" s="11" t="str">
        <v>事业部</v>
      </c>
      <c r="G195" s="11">
        <f>_xlfn.XLOOKUP(D195,'①7月-花名册'!E:E,'①7月-花名册'!U:U,0)</f>
        <v>0</v>
      </c>
      <c r="H195" s="11">
        <f>_xlfn.XLOOKUP(D195,'①7月-花名册'!E:E,'①7月-花名册'!M:M,0)</f>
        <v>31</v>
      </c>
      <c r="I195" s="11">
        <f>_xlfn.XLOOKUP(D195,'①7月-花名册'!E:E,'①7月-花名册'!S:S,0)</f>
        <v>4</v>
      </c>
      <c r="J195" s="14">
        <f t="shared" si="22"/>
        <v>4</v>
      </c>
      <c r="K195" s="23">
        <v>4</v>
      </c>
      <c r="L195" s="23"/>
      <c r="M195" s="23"/>
      <c r="N195" s="23"/>
      <c r="O195" s="23"/>
      <c r="P195" s="15">
        <f t="shared" si="23"/>
        <v>27</v>
      </c>
      <c r="Q195" s="15">
        <f t="shared" si="24"/>
        <v>31</v>
      </c>
      <c r="R195" s="15">
        <f>IF(F195="事业部",LOOKUP(Q195,基础设置!$T$2:$T$6,基础设置!$U$2:$U$6),IF(F195="总部",LOOKUP(Q195,基础设置!$T$8:$T$13,基础设置!$V$8:$V$13),IF(F195="拓展部",LOOKUP(Q195,基础设置!$T$8:$T$13,基础设置!$W$8:$W$13),2000)))</f>
        <v>4</v>
      </c>
      <c r="S195" s="15">
        <f t="shared" si="25"/>
        <v>31</v>
      </c>
      <c r="T195" s="15">
        <f t="shared" si="26"/>
        <v>0</v>
      </c>
      <c r="U195" s="15">
        <f t="shared" si="27"/>
        <v>0</v>
      </c>
      <c r="V195" s="15">
        <f t="shared" si="20"/>
        <v>0</v>
      </c>
      <c r="W195" s="15">
        <f t="shared" si="28"/>
        <v>0</v>
      </c>
      <c r="X195" s="26"/>
      <c r="Y195" s="26"/>
      <c r="Z195" s="26"/>
      <c r="AA195" s="26"/>
      <c r="AB195" s="27"/>
      <c r="AC195" s="27"/>
      <c r="AD195" s="27"/>
      <c r="AE195" s="27"/>
      <c r="AF195" s="27"/>
      <c r="AG195" s="27"/>
      <c r="AH195" s="17">
        <f>_xlfn.XLOOKUP(D195,'①7月-花名册'!E:E,'①7月-花名册'!T:T,0)</f>
        <v>4000</v>
      </c>
      <c r="AI195" s="15">
        <f>SUMIFS('7月运营'!$L:$L,'7月运营'!$A:$A,D195,'7月运营'!$K:$K,$A$1)</f>
        <v>0</v>
      </c>
      <c r="AJ195" s="15">
        <f>SUMIFS('7月运营'!H:H,'7月运营'!$A:$A,D195,'7月运营'!$K:$K,$A$1)</f>
        <v>0</v>
      </c>
      <c r="AK195" s="15">
        <f>SUMIFS(上月未发人员明细!I:I,上月未发人员明细!J:J,$AK$2,上月未发人员明细!A:A,D195)</f>
        <v>0</v>
      </c>
      <c r="AL195" s="15">
        <f>SUMIFS('7月运营'!L:L,'7月运营'!$A:$A,D195,'7月运营'!$K:$K,$AL$2)</f>
        <v>0</v>
      </c>
      <c r="AM195" s="18">
        <f>SUMIFS('7月运营'!$F:$F,'7月运营'!$A:$A,D195,'7月运营'!$K:$K,'②7月-汇总'!$AM$2,'7月运营'!$G:$G,"岗位核算")</f>
        <v>0</v>
      </c>
      <c r="AN195" s="18">
        <f>SUMIFS('7月运营'!$F:$F,'7月运营'!$A:$A,D195,'7月运营'!$K:$K,$AN$2,'7月运营'!$G:$G,"岗位核算")</f>
        <v>0</v>
      </c>
      <c r="AO195" s="18" t="str">
        <f t="shared" si="29"/>
        <v/>
      </c>
      <c r="AP195" s="18">
        <f t="shared" si="21"/>
        <v>31</v>
      </c>
      <c r="AQ195" s="18">
        <f>_xlfn.XLOOKUP(D195,'7月运营'!A:A,'7月运营'!G:G,0)</f>
        <v>0</v>
      </c>
    </row>
    <row r="196" spans="1:43" x14ac:dyDescent="0.15">
      <c r="A196" s="11" t="str">
        <v>大源</v>
      </c>
      <c r="B196" s="11" t="str">
        <v>健康师</v>
      </c>
      <c r="C196" s="11" t="str">
        <v>A</v>
      </c>
      <c r="D196" s="11" t="str">
        <v>周林</v>
      </c>
      <c r="E196" s="11" t="str">
        <v>在职</v>
      </c>
      <c r="F196" s="11" t="str">
        <v>事业部</v>
      </c>
      <c r="G196" s="11">
        <f>_xlfn.XLOOKUP(D196,'①7月-花名册'!E:E,'①7月-花名册'!U:U,0)</f>
        <v>0</v>
      </c>
      <c r="H196" s="11">
        <f>_xlfn.XLOOKUP(D196,'①7月-花名册'!E:E,'①7月-花名册'!M:M,0)</f>
        <v>31</v>
      </c>
      <c r="I196" s="11">
        <f>_xlfn.XLOOKUP(D196,'①7月-花名册'!E:E,'①7月-花名册'!S:S,0)</f>
        <v>4</v>
      </c>
      <c r="J196" s="14">
        <f t="shared" si="22"/>
        <v>4</v>
      </c>
      <c r="K196" s="23">
        <v>4</v>
      </c>
      <c r="L196" s="23"/>
      <c r="M196" s="23"/>
      <c r="N196" s="23"/>
      <c r="O196" s="23"/>
      <c r="P196" s="15">
        <f t="shared" si="23"/>
        <v>27</v>
      </c>
      <c r="Q196" s="15">
        <f t="shared" si="24"/>
        <v>31</v>
      </c>
      <c r="R196" s="15">
        <f>IF(F196="事业部",LOOKUP(Q196,基础设置!$T$2:$T$6,基础设置!$U$2:$U$6),IF(F196="总部",LOOKUP(Q196,基础设置!$T$8:$T$13,基础设置!$V$8:$V$13),IF(F196="拓展部",LOOKUP(Q196,基础设置!$T$8:$T$13,基础设置!$W$8:$W$13),2000)))</f>
        <v>4</v>
      </c>
      <c r="S196" s="15">
        <f t="shared" si="25"/>
        <v>31</v>
      </c>
      <c r="T196" s="15">
        <f t="shared" si="26"/>
        <v>0</v>
      </c>
      <c r="U196" s="15">
        <f t="shared" si="27"/>
        <v>0</v>
      </c>
      <c r="V196" s="15">
        <f t="shared" ref="V196:V259" si="30">IF(AND(E196="离职",H196&lt;=26),0,IF(AND(X196=0,Y196=0,AH196=0),IF(B196="保洁",0,IF(R196-K196&lt;0,0,R196-K196)),0))</f>
        <v>0</v>
      </c>
      <c r="W196" s="15">
        <f t="shared" si="28"/>
        <v>0</v>
      </c>
      <c r="X196" s="26"/>
      <c r="Y196" s="26"/>
      <c r="Z196" s="26">
        <v>50</v>
      </c>
      <c r="AA196" s="26"/>
      <c r="AB196" s="27"/>
      <c r="AC196" s="27"/>
      <c r="AD196" s="27"/>
      <c r="AE196" s="27"/>
      <c r="AF196" s="27"/>
      <c r="AG196" s="27"/>
      <c r="AH196" s="17">
        <f>_xlfn.XLOOKUP(D196,'①7月-花名册'!E:E,'①7月-花名册'!T:T,0)</f>
        <v>0</v>
      </c>
      <c r="AI196" s="15">
        <f>SUMIFS('7月运营'!$L:$L,'7月运营'!$A:$A,D196,'7月运营'!$K:$K,$A$1)</f>
        <v>0</v>
      </c>
      <c r="AJ196" s="15">
        <f>SUMIFS('7月运营'!H:H,'7月运营'!$A:$A,D196,'7月运营'!$K:$K,$A$1)</f>
        <v>0</v>
      </c>
      <c r="AK196" s="15">
        <f>SUMIFS(上月未发人员明细!I:I,上月未发人员明细!J:J,$AK$2,上月未发人员明细!A:A,D196)</f>
        <v>0</v>
      </c>
      <c r="AL196" s="15">
        <f>SUMIFS('7月运营'!L:L,'7月运营'!$A:$A,D196,'7月运营'!$K:$K,$AL$2)</f>
        <v>0</v>
      </c>
      <c r="AM196" s="18">
        <f>SUMIFS('7月运营'!$F:$F,'7月运营'!$A:$A,D196,'7月运营'!$K:$K,'②7月-汇总'!$AM$2,'7月运营'!$G:$G,"岗位核算")</f>
        <v>0</v>
      </c>
      <c r="AN196" s="18">
        <f>SUMIFS('7月运营'!$F:$F,'7月运营'!$A:$A,D196,'7月运营'!$K:$K,$AN$2,'7月运营'!$G:$G,"岗位核算")</f>
        <v>0</v>
      </c>
      <c r="AO196" s="18" t="str">
        <f t="shared" si="29"/>
        <v/>
      </c>
      <c r="AP196" s="18">
        <f t="shared" ref="AP196:AP259" si="31">IF(AM196=0,S196,AM196)</f>
        <v>31</v>
      </c>
      <c r="AQ196" s="18">
        <f>_xlfn.XLOOKUP(D196,'7月运营'!A:A,'7月运营'!G:G,0)</f>
        <v>0</v>
      </c>
    </row>
    <row r="197" spans="1:43" x14ac:dyDescent="0.15">
      <c r="A197" s="11" t="str">
        <v>大源</v>
      </c>
      <c r="B197" s="11" t="str">
        <v>健康师</v>
      </c>
      <c r="C197" s="11" t="str">
        <v>A</v>
      </c>
      <c r="D197" s="11" t="str">
        <v>钟秦</v>
      </c>
      <c r="E197" s="11" t="str">
        <v>在职</v>
      </c>
      <c r="F197" s="11" t="str">
        <v>事业部</v>
      </c>
      <c r="G197" s="11">
        <f>_xlfn.XLOOKUP(D197,'①7月-花名册'!E:E,'①7月-花名册'!U:U,0)</f>
        <v>0</v>
      </c>
      <c r="H197" s="11">
        <f>_xlfn.XLOOKUP(D197,'①7月-花名册'!E:E,'①7月-花名册'!M:M,0)</f>
        <v>31</v>
      </c>
      <c r="I197" s="11">
        <f>_xlfn.XLOOKUP(D197,'①7月-花名册'!E:E,'①7月-花名册'!S:S,0)</f>
        <v>4</v>
      </c>
      <c r="J197" s="14">
        <f t="shared" ref="J197:J260" si="32">SUM(K197:O197)</f>
        <v>4</v>
      </c>
      <c r="K197" s="23">
        <v>4</v>
      </c>
      <c r="L197" s="23"/>
      <c r="M197" s="23"/>
      <c r="N197" s="23"/>
      <c r="O197" s="23"/>
      <c r="P197" s="15">
        <f t="shared" ref="P197:P260" si="33">H197-SUM(K197:O197)</f>
        <v>27</v>
      </c>
      <c r="Q197" s="15">
        <f t="shared" ref="Q197:Q260" si="34">P197+K197+O197+N197+M197</f>
        <v>31</v>
      </c>
      <c r="R197" s="15">
        <f>IF(F197="事业部",LOOKUP(Q197,基础设置!$T$2:$T$6,基础设置!$U$2:$U$6),IF(F197="总部",LOOKUP(Q197,基础设置!$T$8:$T$13,基础设置!$V$8:$V$13),IF(F197="拓展部",LOOKUP(Q197,基础设置!$T$8:$T$13,基础设置!$W$8:$W$13),2000)))</f>
        <v>4</v>
      </c>
      <c r="S197" s="15">
        <f t="shared" ref="S197:S260" si="35">K197+M197+N197+O197+P197</f>
        <v>31</v>
      </c>
      <c r="T197" s="15">
        <f t="shared" ref="T197:T260" si="36">IF(K197-R197&lt;0,0,K197-R197)</f>
        <v>0</v>
      </c>
      <c r="U197" s="15">
        <f t="shared" ref="U197:U260" si="37">T197+L197</f>
        <v>0</v>
      </c>
      <c r="V197" s="15">
        <f t="shared" si="30"/>
        <v>0</v>
      </c>
      <c r="W197" s="15">
        <f t="shared" ref="W197:W260" si="38">V197*20</f>
        <v>0</v>
      </c>
      <c r="X197" s="26"/>
      <c r="Y197" s="26"/>
      <c r="Z197" s="26"/>
      <c r="AA197" s="26"/>
      <c r="AB197" s="27"/>
      <c r="AC197" s="27"/>
      <c r="AD197" s="27"/>
      <c r="AE197" s="27"/>
      <c r="AF197" s="27"/>
      <c r="AG197" s="27"/>
      <c r="AH197" s="17">
        <f>_xlfn.XLOOKUP(D197,'①7月-花名册'!E:E,'①7月-花名册'!T:T,0)</f>
        <v>0</v>
      </c>
      <c r="AI197" s="15">
        <f>SUMIFS('7月运营'!$L:$L,'7月运营'!$A:$A,D197,'7月运营'!$K:$K,$A$1)</f>
        <v>0</v>
      </c>
      <c r="AJ197" s="15">
        <f>SUMIFS('7月运营'!H:H,'7月运营'!$A:$A,D197,'7月运营'!$K:$K,$A$1)</f>
        <v>0</v>
      </c>
      <c r="AK197" s="15">
        <f>SUMIFS(上月未发人员明细!I:I,上月未发人员明细!J:J,$AK$2,上月未发人员明细!A:A,D197)</f>
        <v>0</v>
      </c>
      <c r="AL197" s="15">
        <f>SUMIFS('7月运营'!L:L,'7月运营'!$A:$A,D197,'7月运营'!$K:$K,$AL$2)</f>
        <v>0</v>
      </c>
      <c r="AM197" s="18">
        <f>SUMIFS('7月运营'!$F:$F,'7月运营'!$A:$A,D197,'7月运营'!$K:$K,'②7月-汇总'!$AM$2,'7月运营'!$G:$G,"岗位核算")</f>
        <v>0</v>
      </c>
      <c r="AN197" s="18">
        <f>SUMIFS('7月运营'!$F:$F,'7月运营'!$A:$A,D197,'7月运营'!$K:$K,$AN$2,'7月运营'!$G:$G,"岗位核算")</f>
        <v>0</v>
      </c>
      <c r="AO197" s="18" t="str">
        <f t="shared" ref="AO197:AO260" si="39">IF(AN197&lt;&gt;0,"有","")</f>
        <v/>
      </c>
      <c r="AP197" s="18">
        <f t="shared" si="31"/>
        <v>31</v>
      </c>
      <c r="AQ197" s="18">
        <f>_xlfn.XLOOKUP(D197,'7月运营'!A:A,'7月运营'!G:G,0)</f>
        <v>0</v>
      </c>
    </row>
    <row r="198" spans="1:43" x14ac:dyDescent="0.15">
      <c r="A198" s="11" t="str">
        <v>大源</v>
      </c>
      <c r="B198" s="11" t="str">
        <v>店长</v>
      </c>
      <c r="C198" s="11" t="str">
        <v>B</v>
      </c>
      <c r="D198" s="11" t="str">
        <v>张红霞</v>
      </c>
      <c r="E198" s="11" t="str">
        <v>在职</v>
      </c>
      <c r="F198" s="11" t="str">
        <v>事业部</v>
      </c>
      <c r="G198" s="11">
        <f>_xlfn.XLOOKUP(D198,'①7月-花名册'!E:E,'①7月-花名册'!U:U,0)</f>
        <v>0</v>
      </c>
      <c r="H198" s="11">
        <f>_xlfn.XLOOKUP(D198,'①7月-花名册'!E:E,'①7月-花名册'!M:M,0)</f>
        <v>31</v>
      </c>
      <c r="I198" s="11">
        <f>_xlfn.XLOOKUP(D198,'①7月-花名册'!E:E,'①7月-花名册'!S:S,0)</f>
        <v>4</v>
      </c>
      <c r="J198" s="14">
        <f t="shared" si="32"/>
        <v>3</v>
      </c>
      <c r="K198" s="23">
        <v>3</v>
      </c>
      <c r="L198" s="23"/>
      <c r="M198" s="23"/>
      <c r="N198" s="23"/>
      <c r="O198" s="23"/>
      <c r="P198" s="15">
        <f t="shared" si="33"/>
        <v>28</v>
      </c>
      <c r="Q198" s="15">
        <f t="shared" si="34"/>
        <v>31</v>
      </c>
      <c r="R198" s="15">
        <f>IF(F198="事业部",LOOKUP(Q198,基础设置!$T$2:$T$6,基础设置!$U$2:$U$6),IF(F198="总部",LOOKUP(Q198,基础设置!$T$8:$T$13,基础设置!$V$8:$V$13),IF(F198="拓展部",LOOKUP(Q198,基础设置!$T$8:$T$13,基础设置!$W$8:$W$13),2000)))</f>
        <v>4</v>
      </c>
      <c r="S198" s="15">
        <f t="shared" si="35"/>
        <v>31</v>
      </c>
      <c r="T198" s="15">
        <f t="shared" si="36"/>
        <v>0</v>
      </c>
      <c r="U198" s="15">
        <f t="shared" si="37"/>
        <v>0</v>
      </c>
      <c r="V198" s="15">
        <f t="shared" si="30"/>
        <v>0</v>
      </c>
      <c r="W198" s="15">
        <f t="shared" si="38"/>
        <v>0</v>
      </c>
      <c r="X198" s="26">
        <v>120</v>
      </c>
      <c r="Y198" s="26"/>
      <c r="Z198" s="26"/>
      <c r="AA198" s="26"/>
      <c r="AB198" s="27"/>
      <c r="AC198" s="27"/>
      <c r="AD198" s="27"/>
      <c r="AE198" s="27"/>
      <c r="AF198" s="27"/>
      <c r="AG198" s="27"/>
      <c r="AH198" s="17">
        <f>_xlfn.XLOOKUP(D198,'①7月-花名册'!E:E,'①7月-花名册'!T:T,0)</f>
        <v>0</v>
      </c>
      <c r="AI198" s="15">
        <f>SUMIFS('7月运营'!$L:$L,'7月运营'!$A:$A,D198,'7月运营'!$K:$K,$A$1)</f>
        <v>0</v>
      </c>
      <c r="AJ198" s="15">
        <f>SUMIFS('7月运营'!H:H,'7月运营'!$A:$A,D198,'7月运营'!$K:$K,$A$1)</f>
        <v>0</v>
      </c>
      <c r="AK198" s="15">
        <f>SUMIFS(上月未发人员明细!I:I,上月未发人员明细!J:J,$AK$2,上月未发人员明细!A:A,D198)</f>
        <v>0</v>
      </c>
      <c r="AL198" s="15">
        <f>SUMIFS('7月运营'!L:L,'7月运营'!$A:$A,D198,'7月运营'!$K:$K,$AL$2)</f>
        <v>0</v>
      </c>
      <c r="AM198" s="18">
        <f>SUMIFS('7月运营'!$F:$F,'7月运营'!$A:$A,D198,'7月运营'!$K:$K,'②7月-汇总'!$AM$2,'7月运营'!$G:$G,"岗位核算")</f>
        <v>0</v>
      </c>
      <c r="AN198" s="18">
        <f>SUMIFS('7月运营'!$F:$F,'7月运营'!$A:$A,D198,'7月运营'!$K:$K,$AN$2,'7月运营'!$G:$G,"岗位核算")</f>
        <v>0</v>
      </c>
      <c r="AO198" s="18" t="str">
        <f t="shared" si="39"/>
        <v/>
      </c>
      <c r="AP198" s="18">
        <f t="shared" si="31"/>
        <v>31</v>
      </c>
      <c r="AQ198" s="18">
        <f>_xlfn.XLOOKUP(D198,'7月运营'!A:A,'7月运营'!G:G,0)</f>
        <v>0</v>
      </c>
    </row>
    <row r="199" spans="1:43" x14ac:dyDescent="0.15">
      <c r="A199" s="11" t="str">
        <v>大源</v>
      </c>
      <c r="B199" s="11" t="str">
        <v>健康师</v>
      </c>
      <c r="C199" s="11" t="str">
        <v>A</v>
      </c>
      <c r="D199" s="11" t="str">
        <v>李燕1</v>
      </c>
      <c r="E199" s="11" t="str">
        <v>在职</v>
      </c>
      <c r="F199" s="11" t="str">
        <v>事业部</v>
      </c>
      <c r="G199" s="11">
        <f>_xlfn.XLOOKUP(D199,'①7月-花名册'!E:E,'①7月-花名册'!U:U,0)</f>
        <v>0</v>
      </c>
      <c r="H199" s="11">
        <f>_xlfn.XLOOKUP(D199,'①7月-花名册'!E:E,'①7月-花名册'!M:M,0)</f>
        <v>31</v>
      </c>
      <c r="I199" s="11">
        <f>_xlfn.XLOOKUP(D199,'①7月-花名册'!E:E,'①7月-花名册'!S:S,0)</f>
        <v>4</v>
      </c>
      <c r="J199" s="14">
        <f t="shared" si="32"/>
        <v>4</v>
      </c>
      <c r="K199" s="23">
        <v>4</v>
      </c>
      <c r="L199" s="23"/>
      <c r="M199" s="23"/>
      <c r="N199" s="23"/>
      <c r="O199" s="23"/>
      <c r="P199" s="15">
        <f t="shared" si="33"/>
        <v>27</v>
      </c>
      <c r="Q199" s="15">
        <f t="shared" si="34"/>
        <v>31</v>
      </c>
      <c r="R199" s="15">
        <f>IF(F199="事业部",LOOKUP(Q199,基础设置!$T$2:$T$6,基础设置!$U$2:$U$6),IF(F199="总部",LOOKUP(Q199,基础设置!$T$8:$T$13,基础设置!$V$8:$V$13),IF(F199="拓展部",LOOKUP(Q199,基础设置!$T$8:$T$13,基础设置!$W$8:$W$13),2000)))</f>
        <v>4</v>
      </c>
      <c r="S199" s="15">
        <f t="shared" si="35"/>
        <v>31</v>
      </c>
      <c r="T199" s="15">
        <f t="shared" si="36"/>
        <v>0</v>
      </c>
      <c r="U199" s="15">
        <f t="shared" si="37"/>
        <v>0</v>
      </c>
      <c r="V199" s="15">
        <f t="shared" si="30"/>
        <v>0</v>
      </c>
      <c r="W199" s="15">
        <f t="shared" si="38"/>
        <v>0</v>
      </c>
      <c r="X199" s="26"/>
      <c r="Y199" s="26"/>
      <c r="Z199" s="26"/>
      <c r="AA199" s="26"/>
      <c r="AB199" s="27"/>
      <c r="AC199" s="27"/>
      <c r="AD199" s="27"/>
      <c r="AE199" s="27"/>
      <c r="AF199" s="27"/>
      <c r="AG199" s="27"/>
      <c r="AH199" s="17">
        <f>_xlfn.XLOOKUP(D199,'①7月-花名册'!E:E,'①7月-花名册'!T:T,0)</f>
        <v>0</v>
      </c>
      <c r="AI199" s="15">
        <f>SUMIFS('7月运营'!$L:$L,'7月运营'!$A:$A,D199,'7月运营'!$K:$K,$A$1)</f>
        <v>0</v>
      </c>
      <c r="AJ199" s="15">
        <f>SUMIFS('7月运营'!H:H,'7月运营'!$A:$A,D199,'7月运营'!$K:$K,$A$1)</f>
        <v>0</v>
      </c>
      <c r="AK199" s="15">
        <f>SUMIFS(上月未发人员明细!I:I,上月未发人员明细!J:J,$AK$2,上月未发人员明细!A:A,D199)</f>
        <v>0</v>
      </c>
      <c r="AL199" s="15">
        <f>SUMIFS('7月运营'!L:L,'7月运营'!$A:$A,D199,'7月运营'!$K:$K,$AL$2)</f>
        <v>0</v>
      </c>
      <c r="AM199" s="18">
        <f>SUMIFS('7月运营'!$F:$F,'7月运营'!$A:$A,D199,'7月运营'!$K:$K,'②7月-汇总'!$AM$2,'7月运营'!$G:$G,"岗位核算")</f>
        <v>0</v>
      </c>
      <c r="AN199" s="18">
        <f>SUMIFS('7月运营'!$F:$F,'7月运营'!$A:$A,D199,'7月运营'!$K:$K,$AN$2,'7月运营'!$G:$G,"岗位核算")</f>
        <v>0</v>
      </c>
      <c r="AO199" s="18" t="str">
        <f t="shared" si="39"/>
        <v/>
      </c>
      <c r="AP199" s="18">
        <f t="shared" si="31"/>
        <v>31</v>
      </c>
      <c r="AQ199" s="18">
        <f>_xlfn.XLOOKUP(D199,'7月运营'!A:A,'7月运营'!G:G,0)</f>
        <v>0</v>
      </c>
    </row>
    <row r="200" spans="1:43" x14ac:dyDescent="0.15">
      <c r="A200" s="11" t="str">
        <v>大源</v>
      </c>
      <c r="B200" s="11" t="str">
        <v>健康师</v>
      </c>
      <c r="C200" s="11" t="str">
        <v>A</v>
      </c>
      <c r="D200" s="11" t="str">
        <v>陈世琳</v>
      </c>
      <c r="E200" s="11" t="str">
        <v>在职</v>
      </c>
      <c r="F200" s="11" t="str">
        <v>事业部</v>
      </c>
      <c r="G200" s="11">
        <f>_xlfn.XLOOKUP(D200,'①7月-花名册'!E:E,'①7月-花名册'!U:U,0)</f>
        <v>0</v>
      </c>
      <c r="H200" s="11">
        <f>_xlfn.XLOOKUP(D200,'①7月-花名册'!E:E,'①7月-花名册'!M:M,0)</f>
        <v>31</v>
      </c>
      <c r="I200" s="11">
        <f>_xlfn.XLOOKUP(D200,'①7月-花名册'!E:E,'①7月-花名册'!S:S,0)</f>
        <v>4</v>
      </c>
      <c r="J200" s="14">
        <f t="shared" si="32"/>
        <v>4</v>
      </c>
      <c r="K200" s="23">
        <v>4</v>
      </c>
      <c r="L200" s="23"/>
      <c r="M200" s="23"/>
      <c r="N200" s="23"/>
      <c r="O200" s="23"/>
      <c r="P200" s="15">
        <f t="shared" si="33"/>
        <v>27</v>
      </c>
      <c r="Q200" s="15">
        <f t="shared" si="34"/>
        <v>31</v>
      </c>
      <c r="R200" s="15">
        <f>IF(F200="事业部",LOOKUP(Q200,基础设置!$T$2:$T$6,基础设置!$U$2:$U$6),IF(F200="总部",LOOKUP(Q200,基础设置!$T$8:$T$13,基础设置!$V$8:$V$13),IF(F200="拓展部",LOOKUP(Q200,基础设置!$T$8:$T$13,基础设置!$W$8:$W$13),2000)))</f>
        <v>4</v>
      </c>
      <c r="S200" s="15">
        <f t="shared" si="35"/>
        <v>31</v>
      </c>
      <c r="T200" s="15">
        <f t="shared" si="36"/>
        <v>0</v>
      </c>
      <c r="U200" s="15">
        <f t="shared" si="37"/>
        <v>0</v>
      </c>
      <c r="V200" s="15">
        <f t="shared" si="30"/>
        <v>0</v>
      </c>
      <c r="W200" s="15">
        <f t="shared" si="38"/>
        <v>0</v>
      </c>
      <c r="X200" s="26">
        <v>10</v>
      </c>
      <c r="Y200" s="26"/>
      <c r="Z200" s="26"/>
      <c r="AA200" s="26"/>
      <c r="AB200" s="27"/>
      <c r="AC200" s="27"/>
      <c r="AD200" s="27"/>
      <c r="AE200" s="27"/>
      <c r="AF200" s="27"/>
      <c r="AG200" s="27"/>
      <c r="AH200" s="17">
        <f>_xlfn.XLOOKUP(D200,'①7月-花名册'!E:E,'①7月-花名册'!T:T,0)</f>
        <v>0</v>
      </c>
      <c r="AI200" s="15">
        <f>SUMIFS('7月运营'!$L:$L,'7月运营'!$A:$A,D200,'7月运营'!$K:$K,$A$1)</f>
        <v>0</v>
      </c>
      <c r="AJ200" s="15">
        <f>SUMIFS('7月运营'!H:H,'7月运营'!$A:$A,D200,'7月运营'!$K:$K,$A$1)</f>
        <v>0</v>
      </c>
      <c r="AK200" s="15">
        <f>SUMIFS(上月未发人员明细!I:I,上月未发人员明细!J:J,$AK$2,上月未发人员明细!A:A,D200)</f>
        <v>0</v>
      </c>
      <c r="AL200" s="15">
        <f>SUMIFS('7月运营'!L:L,'7月运营'!$A:$A,D200,'7月运营'!$K:$K,$AL$2)</f>
        <v>0</v>
      </c>
      <c r="AM200" s="18">
        <f>SUMIFS('7月运营'!$F:$F,'7月运营'!$A:$A,D200,'7月运营'!$K:$K,'②7月-汇总'!$AM$2,'7月运营'!$G:$G,"岗位核算")</f>
        <v>0</v>
      </c>
      <c r="AN200" s="18">
        <f>SUMIFS('7月运营'!$F:$F,'7月运营'!$A:$A,D200,'7月运营'!$K:$K,$AN$2,'7月运营'!$G:$G,"岗位核算")</f>
        <v>0</v>
      </c>
      <c r="AO200" s="18" t="str">
        <f t="shared" si="39"/>
        <v/>
      </c>
      <c r="AP200" s="18">
        <f t="shared" si="31"/>
        <v>31</v>
      </c>
      <c r="AQ200" s="18">
        <f>_xlfn.XLOOKUP(D200,'7月运营'!A:A,'7月运营'!G:G,0)</f>
        <v>0</v>
      </c>
    </row>
    <row r="201" spans="1:43" x14ac:dyDescent="0.15">
      <c r="A201" s="11" t="str">
        <v>大源</v>
      </c>
      <c r="B201" s="11" t="str">
        <v>健康师</v>
      </c>
      <c r="C201" s="11" t="str">
        <v>A</v>
      </c>
      <c r="D201" s="11" t="str">
        <v>张林英</v>
      </c>
      <c r="E201" s="11" t="str">
        <v>离职</v>
      </c>
      <c r="F201" s="11" t="str">
        <v>事业部</v>
      </c>
      <c r="G201" s="11">
        <f>_xlfn.XLOOKUP(D201,'①7月-花名册'!E:E,'①7月-花名册'!U:U,0)</f>
        <v>0</v>
      </c>
      <c r="H201" s="11">
        <f>_xlfn.XLOOKUP(D201,'①7月-花名册'!E:E,'①7月-花名册'!M:M,0)</f>
        <v>1</v>
      </c>
      <c r="I201" s="11">
        <f>_xlfn.XLOOKUP(D201,'①7月-花名册'!E:E,'①7月-花名册'!S:S,0)</f>
        <v>0</v>
      </c>
      <c r="J201" s="14">
        <f t="shared" si="32"/>
        <v>0</v>
      </c>
      <c r="K201" s="23">
        <v>0</v>
      </c>
      <c r="L201" s="23"/>
      <c r="M201" s="23"/>
      <c r="N201" s="23"/>
      <c r="O201" s="23"/>
      <c r="P201" s="15">
        <f t="shared" si="33"/>
        <v>1</v>
      </c>
      <c r="Q201" s="15">
        <f t="shared" si="34"/>
        <v>1</v>
      </c>
      <c r="R201" s="15">
        <f>IF(F201="事业部",LOOKUP(Q201,基础设置!$T$2:$T$6,基础设置!$U$2:$U$6),IF(F201="总部",LOOKUP(Q201,基础设置!$T$8:$T$13,基础设置!$V$8:$V$13),IF(F201="拓展部",LOOKUP(Q201,基础设置!$T$8:$T$13,基础设置!$W$8:$W$13),2000)))</f>
        <v>0</v>
      </c>
      <c r="S201" s="15">
        <f t="shared" si="35"/>
        <v>1</v>
      </c>
      <c r="T201" s="15">
        <f t="shared" si="36"/>
        <v>0</v>
      </c>
      <c r="U201" s="15">
        <f t="shared" si="37"/>
        <v>0</v>
      </c>
      <c r="V201" s="15">
        <f t="shared" si="30"/>
        <v>0</v>
      </c>
      <c r="W201" s="15">
        <f t="shared" si="38"/>
        <v>0</v>
      </c>
      <c r="X201" s="26"/>
      <c r="Y201" s="26"/>
      <c r="Z201" s="26"/>
      <c r="AA201" s="26"/>
      <c r="AB201" s="27"/>
      <c r="AC201" s="27"/>
      <c r="AD201" s="27"/>
      <c r="AE201" s="27"/>
      <c r="AF201" s="27"/>
      <c r="AG201" s="27"/>
      <c r="AH201" s="17">
        <f>_xlfn.XLOOKUP(D201,'①7月-花名册'!E:E,'①7月-花名册'!T:T,0)</f>
        <v>0</v>
      </c>
      <c r="AI201" s="15">
        <f>SUMIFS('7月运营'!$L:$L,'7月运营'!$A:$A,D201,'7月运营'!$K:$K,$A$1)</f>
        <v>0</v>
      </c>
      <c r="AJ201" s="15">
        <f>SUMIFS('7月运营'!H:H,'7月运营'!$A:$A,D201,'7月运营'!$K:$K,$A$1)</f>
        <v>0</v>
      </c>
      <c r="AK201" s="15">
        <f>SUMIFS(上月未发人员明细!I:I,上月未发人员明细!J:J,$AK$2,上月未发人员明细!A:A,D201)</f>
        <v>0</v>
      </c>
      <c r="AL201" s="15">
        <f>SUMIFS('7月运营'!L:L,'7月运营'!$A:$A,D201,'7月运营'!$K:$K,$AL$2)</f>
        <v>0</v>
      </c>
      <c r="AM201" s="18">
        <f>SUMIFS('7月运营'!$F:$F,'7月运营'!$A:$A,D201,'7月运营'!$K:$K,'②7月-汇总'!$AM$2,'7月运营'!$G:$G,"岗位核算")</f>
        <v>0</v>
      </c>
      <c r="AN201" s="18">
        <f>SUMIFS('7月运营'!$F:$F,'7月运营'!$A:$A,D201,'7月运营'!$K:$K,$AN$2,'7月运营'!$G:$G,"岗位核算")</f>
        <v>0</v>
      </c>
      <c r="AO201" s="18" t="str">
        <f t="shared" si="39"/>
        <v/>
      </c>
      <c r="AP201" s="18">
        <f t="shared" si="31"/>
        <v>1</v>
      </c>
      <c r="AQ201" s="18" t="str">
        <f>_xlfn.XLOOKUP(D201,'7月运营'!A:A,'7月运营'!G:G,0)</f>
        <v>不算工资</v>
      </c>
    </row>
    <row r="202" spans="1:43" x14ac:dyDescent="0.15">
      <c r="A202" s="11" t="str">
        <v>大源</v>
      </c>
      <c r="B202" s="11" t="str">
        <v>店助</v>
      </c>
      <c r="C202" s="11" t="str">
        <v>A</v>
      </c>
      <c r="D202" s="11" t="str">
        <v>陈燕辉</v>
      </c>
      <c r="E202" s="11" t="str">
        <v>在职</v>
      </c>
      <c r="F202" s="11" t="str">
        <v>事业部</v>
      </c>
      <c r="G202" s="11">
        <f>_xlfn.XLOOKUP(D202,'①7月-花名册'!E:E,'①7月-花名册'!U:U,0)</f>
        <v>0</v>
      </c>
      <c r="H202" s="11">
        <f>_xlfn.XLOOKUP(D202,'①7月-花名册'!E:E,'①7月-花名册'!M:M,0)</f>
        <v>31</v>
      </c>
      <c r="I202" s="11">
        <f>_xlfn.XLOOKUP(D202,'①7月-花名册'!E:E,'①7月-花名册'!S:S,0)</f>
        <v>4</v>
      </c>
      <c r="J202" s="14">
        <f t="shared" si="32"/>
        <v>4</v>
      </c>
      <c r="K202" s="23">
        <v>4</v>
      </c>
      <c r="L202" s="23"/>
      <c r="M202" s="23"/>
      <c r="N202" s="23"/>
      <c r="O202" s="23"/>
      <c r="P202" s="15">
        <f t="shared" si="33"/>
        <v>27</v>
      </c>
      <c r="Q202" s="15">
        <f t="shared" si="34"/>
        <v>31</v>
      </c>
      <c r="R202" s="15">
        <f>IF(F202="事业部",LOOKUP(Q202,基础设置!$T$2:$T$6,基础设置!$U$2:$U$6),IF(F202="总部",LOOKUP(Q202,基础设置!$T$8:$T$13,基础设置!$V$8:$V$13),IF(F202="拓展部",LOOKUP(Q202,基础设置!$T$8:$T$13,基础设置!$W$8:$W$13),2000)))</f>
        <v>4</v>
      </c>
      <c r="S202" s="15">
        <f t="shared" si="35"/>
        <v>31</v>
      </c>
      <c r="T202" s="15">
        <f t="shared" si="36"/>
        <v>0</v>
      </c>
      <c r="U202" s="15">
        <f t="shared" si="37"/>
        <v>0</v>
      </c>
      <c r="V202" s="15">
        <f t="shared" si="30"/>
        <v>0</v>
      </c>
      <c r="W202" s="15">
        <f t="shared" si="38"/>
        <v>0</v>
      </c>
      <c r="X202" s="26">
        <v>10</v>
      </c>
      <c r="Y202" s="26"/>
      <c r="Z202" s="26"/>
      <c r="AA202" s="26"/>
      <c r="AB202" s="27"/>
      <c r="AC202" s="27"/>
      <c r="AD202" s="27"/>
      <c r="AE202" s="27"/>
      <c r="AF202" s="27"/>
      <c r="AG202" s="27"/>
      <c r="AH202" s="17">
        <f>_xlfn.XLOOKUP(D202,'①7月-花名册'!E:E,'①7月-花名册'!T:T,0)</f>
        <v>3500</v>
      </c>
      <c r="AI202" s="15">
        <f>SUMIFS('7月运营'!$L:$L,'7月运营'!$A:$A,D202,'7月运营'!$K:$K,$A$1)</f>
        <v>0</v>
      </c>
      <c r="AJ202" s="15">
        <f>SUMIFS('7月运营'!H:H,'7月运营'!$A:$A,D202,'7月运营'!$K:$K,$A$1)</f>
        <v>0</v>
      </c>
      <c r="AK202" s="15">
        <f>SUMIFS(上月未发人员明细!I:I,上月未发人员明细!J:J,$AK$2,上月未发人员明细!A:A,D202)</f>
        <v>410</v>
      </c>
      <c r="AL202" s="15">
        <f>SUMIFS('7月运营'!L:L,'7月运营'!$A:$A,D202,'7月运营'!$K:$K,$AL$2)</f>
        <v>0</v>
      </c>
      <c r="AM202" s="18">
        <f>SUMIFS('7月运营'!$F:$F,'7月运营'!$A:$A,D202,'7月运营'!$K:$K,'②7月-汇总'!$AM$2,'7月运营'!$G:$G,"岗位核算")</f>
        <v>0</v>
      </c>
      <c r="AN202" s="18">
        <f>SUMIFS('7月运营'!$F:$F,'7月运营'!$A:$A,D202,'7月运营'!$K:$K,$AN$2,'7月运营'!$G:$G,"岗位核算")</f>
        <v>0</v>
      </c>
      <c r="AO202" s="18" t="str">
        <f t="shared" si="39"/>
        <v/>
      </c>
      <c r="AP202" s="18">
        <f t="shared" si="31"/>
        <v>31</v>
      </c>
      <c r="AQ202" s="18">
        <f>_xlfn.XLOOKUP(D202,'7月运营'!A:A,'7月运营'!G:G,0)</f>
        <v>0</v>
      </c>
    </row>
    <row r="203" spans="1:43" x14ac:dyDescent="0.15">
      <c r="A203" s="11" t="str">
        <v>红光</v>
      </c>
      <c r="B203" s="11" t="str">
        <v>店长</v>
      </c>
      <c r="C203" s="11" t="str">
        <v>B</v>
      </c>
      <c r="D203" s="11" t="str">
        <v>宋林琳</v>
      </c>
      <c r="E203" s="11" t="str">
        <v>在职</v>
      </c>
      <c r="F203" s="11" t="str">
        <v>事业部</v>
      </c>
      <c r="G203" s="11">
        <f>_xlfn.XLOOKUP(D203,'①7月-花名册'!E:E,'①7月-花名册'!U:U,0)</f>
        <v>0</v>
      </c>
      <c r="H203" s="11">
        <f>_xlfn.XLOOKUP(D203,'①7月-花名册'!E:E,'①7月-花名册'!M:M,0)</f>
        <v>31</v>
      </c>
      <c r="I203" s="11">
        <f>_xlfn.XLOOKUP(D203,'①7月-花名册'!E:E,'①7月-花名册'!S:S,0)</f>
        <v>4</v>
      </c>
      <c r="J203" s="14">
        <f t="shared" si="32"/>
        <v>4</v>
      </c>
      <c r="K203" s="23">
        <v>4</v>
      </c>
      <c r="L203" s="23"/>
      <c r="M203" s="23"/>
      <c r="N203" s="23"/>
      <c r="O203" s="23"/>
      <c r="P203" s="15">
        <f t="shared" si="33"/>
        <v>27</v>
      </c>
      <c r="Q203" s="15">
        <f t="shared" si="34"/>
        <v>31</v>
      </c>
      <c r="R203" s="15">
        <f>IF(F203="事业部",LOOKUP(Q203,基础设置!$T$2:$T$6,基础设置!$U$2:$U$6),IF(F203="总部",LOOKUP(Q203,基础设置!$T$8:$T$13,基础设置!$V$8:$V$13),IF(F203="拓展部",LOOKUP(Q203,基础设置!$T$8:$T$13,基础设置!$W$8:$W$13),2000)))</f>
        <v>4</v>
      </c>
      <c r="S203" s="15">
        <f t="shared" si="35"/>
        <v>31</v>
      </c>
      <c r="T203" s="15">
        <f t="shared" si="36"/>
        <v>0</v>
      </c>
      <c r="U203" s="15">
        <f t="shared" si="37"/>
        <v>0</v>
      </c>
      <c r="V203" s="15">
        <f t="shared" si="30"/>
        <v>0</v>
      </c>
      <c r="W203" s="15">
        <f t="shared" si="38"/>
        <v>0</v>
      </c>
      <c r="X203" s="26">
        <v>20</v>
      </c>
      <c r="Y203" s="26"/>
      <c r="Z203" s="26"/>
      <c r="AA203" s="26"/>
      <c r="AB203" s="27"/>
      <c r="AC203" s="27"/>
      <c r="AD203" s="27"/>
      <c r="AE203" s="27"/>
      <c r="AF203" s="27"/>
      <c r="AG203" s="27"/>
      <c r="AH203" s="17">
        <f>_xlfn.XLOOKUP(D203,'①7月-花名册'!E:E,'①7月-花名册'!T:T,0)</f>
        <v>0</v>
      </c>
      <c r="AI203" s="15">
        <f>SUMIFS('7月运营'!$L:$L,'7月运营'!$A:$A,D203,'7月运营'!$K:$K,$A$1)</f>
        <v>0</v>
      </c>
      <c r="AJ203" s="15">
        <f>SUMIFS('7月运营'!H:H,'7月运营'!$A:$A,D203,'7月运营'!$K:$K,$A$1)</f>
        <v>0</v>
      </c>
      <c r="AK203" s="15">
        <f>SUMIFS(上月未发人员明细!I:I,上月未发人员明细!J:J,$AK$2,上月未发人员明细!A:A,D203)</f>
        <v>0</v>
      </c>
      <c r="AL203" s="15">
        <f>SUMIFS('7月运营'!L:L,'7月运营'!$A:$A,D203,'7月运营'!$K:$K,$AL$2)</f>
        <v>0</v>
      </c>
      <c r="AM203" s="18">
        <f>SUMIFS('7月运营'!$F:$F,'7月运营'!$A:$A,D203,'7月运营'!$K:$K,'②7月-汇总'!$AM$2,'7月运营'!$G:$G,"岗位核算")</f>
        <v>0</v>
      </c>
      <c r="AN203" s="18">
        <f>SUMIFS('7月运营'!$F:$F,'7月运营'!$A:$A,D203,'7月运营'!$K:$K,$AN$2,'7月运营'!$G:$G,"岗位核算")</f>
        <v>0</v>
      </c>
      <c r="AO203" s="18" t="str">
        <f t="shared" si="39"/>
        <v/>
      </c>
      <c r="AP203" s="18">
        <f t="shared" si="31"/>
        <v>31</v>
      </c>
      <c r="AQ203" s="18">
        <f>_xlfn.XLOOKUP(D203,'7月运营'!A:A,'7月运营'!G:G,0)</f>
        <v>0</v>
      </c>
    </row>
    <row r="204" spans="1:43" x14ac:dyDescent="0.15">
      <c r="A204" s="11" t="str">
        <v>红光</v>
      </c>
      <c r="B204" s="11" t="str">
        <v>健康师</v>
      </c>
      <c r="C204" s="11" t="str">
        <v>A</v>
      </c>
      <c r="D204" s="11" t="str">
        <v>马丽亚</v>
      </c>
      <c r="E204" s="11" t="str">
        <v>在职</v>
      </c>
      <c r="F204" s="11" t="str">
        <v>事业部</v>
      </c>
      <c r="G204" s="11">
        <f>_xlfn.XLOOKUP(D204,'①7月-花名册'!E:E,'①7月-花名册'!U:U,0)</f>
        <v>0</v>
      </c>
      <c r="H204" s="11">
        <f>_xlfn.XLOOKUP(D204,'①7月-花名册'!E:E,'①7月-花名册'!M:M,0)</f>
        <v>31</v>
      </c>
      <c r="I204" s="11">
        <f>_xlfn.XLOOKUP(D204,'①7月-花名册'!E:E,'①7月-花名册'!S:S,0)</f>
        <v>4</v>
      </c>
      <c r="J204" s="14">
        <f t="shared" si="32"/>
        <v>5</v>
      </c>
      <c r="K204" s="23">
        <v>4</v>
      </c>
      <c r="L204" s="23"/>
      <c r="M204" s="23">
        <v>1</v>
      </c>
      <c r="N204" s="23"/>
      <c r="O204" s="23"/>
      <c r="P204" s="15">
        <f t="shared" si="33"/>
        <v>26</v>
      </c>
      <c r="Q204" s="15">
        <f t="shared" si="34"/>
        <v>31</v>
      </c>
      <c r="R204" s="15">
        <f>IF(F204="事业部",LOOKUP(Q204,基础设置!$T$2:$T$6,基础设置!$U$2:$U$6),IF(F204="总部",LOOKUP(Q204,基础设置!$T$8:$T$13,基础设置!$V$8:$V$13),IF(F204="拓展部",LOOKUP(Q204,基础设置!$T$8:$T$13,基础设置!$W$8:$W$13),2000)))</f>
        <v>4</v>
      </c>
      <c r="S204" s="15">
        <f t="shared" si="35"/>
        <v>31</v>
      </c>
      <c r="T204" s="15">
        <f t="shared" si="36"/>
        <v>0</v>
      </c>
      <c r="U204" s="15">
        <f t="shared" si="37"/>
        <v>0</v>
      </c>
      <c r="V204" s="15">
        <f t="shared" si="30"/>
        <v>0</v>
      </c>
      <c r="W204" s="15">
        <f t="shared" si="38"/>
        <v>0</v>
      </c>
      <c r="X204" s="26"/>
      <c r="Y204" s="26"/>
      <c r="Z204" s="26"/>
      <c r="AA204" s="26"/>
      <c r="AB204" s="27"/>
      <c r="AC204" s="27">
        <v>100</v>
      </c>
      <c r="AD204" s="27"/>
      <c r="AE204" s="27"/>
      <c r="AF204" s="27"/>
      <c r="AG204" s="27"/>
      <c r="AH204" s="17">
        <f>_xlfn.XLOOKUP(D204,'①7月-花名册'!E:E,'①7月-花名册'!T:T,0)</f>
        <v>0</v>
      </c>
      <c r="AI204" s="15">
        <f>SUMIFS('7月运营'!$L:$L,'7月运营'!$A:$A,D204,'7月运营'!$K:$K,$A$1)</f>
        <v>0</v>
      </c>
      <c r="AJ204" s="15">
        <f>SUMIFS('7月运营'!H:H,'7月运营'!$A:$A,D204,'7月运营'!$K:$K,$A$1)</f>
        <v>0</v>
      </c>
      <c r="AK204" s="15">
        <f>SUMIFS(上月未发人员明细!I:I,上月未发人员明细!J:J,$AK$2,上月未发人员明细!A:A,D204)</f>
        <v>0</v>
      </c>
      <c r="AL204" s="15">
        <f>SUMIFS('7月运营'!L:L,'7月运营'!$A:$A,D204,'7月运营'!$K:$K,$AL$2)</f>
        <v>0</v>
      </c>
      <c r="AM204" s="18">
        <f>SUMIFS('7月运营'!$F:$F,'7月运营'!$A:$A,D204,'7月运营'!$K:$K,'②7月-汇总'!$AM$2,'7月运营'!$G:$G,"岗位核算")</f>
        <v>0</v>
      </c>
      <c r="AN204" s="18">
        <f>SUMIFS('7月运营'!$F:$F,'7月运营'!$A:$A,D204,'7月运营'!$K:$K,$AN$2,'7月运营'!$G:$G,"岗位核算")</f>
        <v>0</v>
      </c>
      <c r="AO204" s="18" t="str">
        <f t="shared" si="39"/>
        <v/>
      </c>
      <c r="AP204" s="18">
        <f t="shared" si="31"/>
        <v>31</v>
      </c>
      <c r="AQ204" s="18">
        <f>_xlfn.XLOOKUP(D204,'7月运营'!A:A,'7月运营'!G:G,0)</f>
        <v>0</v>
      </c>
    </row>
    <row r="205" spans="1:43" x14ac:dyDescent="0.15">
      <c r="A205" s="11" t="str">
        <v>红光</v>
      </c>
      <c r="B205" s="11" t="str">
        <v>健康师</v>
      </c>
      <c r="C205" s="11" t="str">
        <v>A</v>
      </c>
      <c r="D205" s="11" t="str">
        <v>阿衣尔扎</v>
      </c>
      <c r="E205" s="11" t="str">
        <v>在职</v>
      </c>
      <c r="F205" s="11" t="str">
        <v>事业部</v>
      </c>
      <c r="G205" s="11">
        <f>_xlfn.XLOOKUP(D205,'①7月-花名册'!E:E,'①7月-花名册'!U:U,0)</f>
        <v>0</v>
      </c>
      <c r="H205" s="11">
        <f>_xlfn.XLOOKUP(D205,'①7月-花名册'!E:E,'①7月-花名册'!M:M,0)</f>
        <v>31</v>
      </c>
      <c r="I205" s="11">
        <f>_xlfn.XLOOKUP(D205,'①7月-花名册'!E:E,'①7月-花名册'!S:S,0)</f>
        <v>4</v>
      </c>
      <c r="J205" s="14">
        <f t="shared" si="32"/>
        <v>9</v>
      </c>
      <c r="K205" s="23">
        <v>3</v>
      </c>
      <c r="L205" s="23">
        <v>6</v>
      </c>
      <c r="M205" s="23"/>
      <c r="N205" s="23"/>
      <c r="O205" s="23"/>
      <c r="P205" s="15">
        <f t="shared" si="33"/>
        <v>22</v>
      </c>
      <c r="Q205" s="15">
        <f t="shared" si="34"/>
        <v>25</v>
      </c>
      <c r="R205" s="15">
        <f>IF(F205="事业部",LOOKUP(Q205,基础设置!$T$2:$T$6,基础设置!$U$2:$U$6),IF(F205="总部",LOOKUP(Q205,基础设置!$T$8:$T$13,基础设置!$V$8:$V$13),IF(F205="拓展部",LOOKUP(Q205,基础设置!$T$8:$T$13,基础设置!$W$8:$W$13),2000)))</f>
        <v>3</v>
      </c>
      <c r="S205" s="15">
        <f t="shared" si="35"/>
        <v>25</v>
      </c>
      <c r="T205" s="15">
        <f t="shared" si="36"/>
        <v>0</v>
      </c>
      <c r="U205" s="15">
        <f t="shared" si="37"/>
        <v>6</v>
      </c>
      <c r="V205" s="15">
        <f t="shared" si="30"/>
        <v>0</v>
      </c>
      <c r="W205" s="15">
        <f t="shared" si="38"/>
        <v>0</v>
      </c>
      <c r="X205" s="26"/>
      <c r="Y205" s="26"/>
      <c r="Z205" s="26"/>
      <c r="AA205" s="26"/>
      <c r="AB205" s="27"/>
      <c r="AC205" s="27"/>
      <c r="AD205" s="27"/>
      <c r="AE205" s="27"/>
      <c r="AF205" s="27"/>
      <c r="AG205" s="27"/>
      <c r="AH205" s="17">
        <f>_xlfn.XLOOKUP(D205,'①7月-花名册'!E:E,'①7月-花名册'!T:T,0)</f>
        <v>0</v>
      </c>
      <c r="AI205" s="15">
        <f>SUMIFS('7月运营'!$L:$L,'7月运营'!$A:$A,D205,'7月运营'!$K:$K,$A$1)</f>
        <v>0</v>
      </c>
      <c r="AJ205" s="15">
        <f>SUMIFS('7月运营'!H:H,'7月运营'!$A:$A,D205,'7月运营'!$K:$K,$A$1)</f>
        <v>0</v>
      </c>
      <c r="AK205" s="15">
        <f>SUMIFS(上月未发人员明细!I:I,上月未发人员明细!J:J,$AK$2,上月未发人员明细!A:A,D205)</f>
        <v>0</v>
      </c>
      <c r="AL205" s="15">
        <f>SUMIFS('7月运营'!L:L,'7月运营'!$A:$A,D205,'7月运营'!$K:$K,$AL$2)</f>
        <v>0</v>
      </c>
      <c r="AM205" s="18">
        <f>SUMIFS('7月运营'!$F:$F,'7月运营'!$A:$A,D205,'7月运营'!$K:$K,'②7月-汇总'!$AM$2,'7月运营'!$G:$G,"岗位核算")</f>
        <v>0</v>
      </c>
      <c r="AN205" s="18">
        <f>SUMIFS('7月运营'!$F:$F,'7月运营'!$A:$A,D205,'7月运营'!$K:$K,$AN$2,'7月运营'!$G:$G,"岗位核算")</f>
        <v>0</v>
      </c>
      <c r="AO205" s="18" t="str">
        <f t="shared" si="39"/>
        <v/>
      </c>
      <c r="AP205" s="18">
        <f t="shared" si="31"/>
        <v>25</v>
      </c>
      <c r="AQ205" s="18">
        <f>_xlfn.XLOOKUP(D205,'7月运营'!A:A,'7月运营'!G:G,0)</f>
        <v>0</v>
      </c>
    </row>
    <row r="206" spans="1:43" x14ac:dyDescent="0.15">
      <c r="A206" s="11" t="str">
        <v>犀浦</v>
      </c>
      <c r="B206" s="11" t="str">
        <v>健康师</v>
      </c>
      <c r="C206" s="11" t="str">
        <v>A</v>
      </c>
      <c r="D206" s="11" t="str">
        <v>张霞</v>
      </c>
      <c r="E206" s="11" t="str">
        <v>在职</v>
      </c>
      <c r="F206" s="11" t="str">
        <v>事业部</v>
      </c>
      <c r="G206" s="11">
        <f>_xlfn.XLOOKUP(D206,'①7月-花名册'!E:E,'①7月-花名册'!U:U,0)</f>
        <v>0</v>
      </c>
      <c r="H206" s="11">
        <f>_xlfn.XLOOKUP(D206,'①7月-花名册'!E:E,'①7月-花名册'!M:M,0)</f>
        <v>31</v>
      </c>
      <c r="I206" s="11">
        <f>_xlfn.XLOOKUP(D206,'①7月-花名册'!E:E,'①7月-花名册'!S:S,0)</f>
        <v>4</v>
      </c>
      <c r="J206" s="14">
        <f t="shared" si="32"/>
        <v>4</v>
      </c>
      <c r="K206" s="23">
        <v>4</v>
      </c>
      <c r="L206" s="23"/>
      <c r="M206" s="23"/>
      <c r="N206" s="23"/>
      <c r="O206" s="23"/>
      <c r="P206" s="15">
        <f t="shared" si="33"/>
        <v>27</v>
      </c>
      <c r="Q206" s="15">
        <f t="shared" si="34"/>
        <v>31</v>
      </c>
      <c r="R206" s="15">
        <f>IF(F206="事业部",LOOKUP(Q206,基础设置!$T$2:$T$6,基础设置!$U$2:$U$6),IF(F206="总部",LOOKUP(Q206,基础设置!$T$8:$T$13,基础设置!$V$8:$V$13),IF(F206="拓展部",LOOKUP(Q206,基础设置!$T$8:$T$13,基础设置!$W$8:$W$13),2000)))</f>
        <v>4</v>
      </c>
      <c r="S206" s="15">
        <f t="shared" si="35"/>
        <v>31</v>
      </c>
      <c r="T206" s="15">
        <f t="shared" si="36"/>
        <v>0</v>
      </c>
      <c r="U206" s="15">
        <f t="shared" si="37"/>
        <v>0</v>
      </c>
      <c r="V206" s="15">
        <f t="shared" si="30"/>
        <v>0</v>
      </c>
      <c r="W206" s="15">
        <f t="shared" si="38"/>
        <v>0</v>
      </c>
      <c r="X206" s="26"/>
      <c r="Y206" s="26"/>
      <c r="Z206" s="26">
        <v>50</v>
      </c>
      <c r="AA206" s="26"/>
      <c r="AB206" s="27"/>
      <c r="AC206" s="27"/>
      <c r="AD206" s="27"/>
      <c r="AE206" s="27"/>
      <c r="AF206" s="27"/>
      <c r="AG206" s="27"/>
      <c r="AH206" s="17">
        <f>_xlfn.XLOOKUP(D206,'①7月-花名册'!E:E,'①7月-花名册'!T:T,0)</f>
        <v>0</v>
      </c>
      <c r="AI206" s="15">
        <f>SUMIFS('7月运营'!$L:$L,'7月运营'!$A:$A,D206,'7月运营'!$K:$K,$A$1)</f>
        <v>0</v>
      </c>
      <c r="AJ206" s="15">
        <f>SUMIFS('7月运营'!H:H,'7月运营'!$A:$A,D206,'7月运营'!$K:$K,$A$1)</f>
        <v>0</v>
      </c>
      <c r="AK206" s="15">
        <f>SUMIFS(上月未发人员明细!I:I,上月未发人员明细!J:J,$AK$2,上月未发人员明细!A:A,D206)</f>
        <v>0</v>
      </c>
      <c r="AL206" s="15">
        <f>SUMIFS('7月运营'!L:L,'7月运营'!$A:$A,D206,'7月运营'!$K:$K,$AL$2)</f>
        <v>0</v>
      </c>
      <c r="AM206" s="18">
        <f>SUMIFS('7月运营'!$F:$F,'7月运营'!$A:$A,D206,'7月运营'!$K:$K,'②7月-汇总'!$AM$2,'7月运营'!$G:$G,"岗位核算")</f>
        <v>0</v>
      </c>
      <c r="AN206" s="18">
        <f>SUMIFS('7月运营'!$F:$F,'7月运营'!$A:$A,D206,'7月运营'!$K:$K,$AN$2,'7月运营'!$G:$G,"岗位核算")</f>
        <v>0</v>
      </c>
      <c r="AO206" s="18" t="str">
        <f t="shared" si="39"/>
        <v/>
      </c>
      <c r="AP206" s="18">
        <f t="shared" si="31"/>
        <v>31</v>
      </c>
      <c r="AQ206" s="18">
        <f>_xlfn.XLOOKUP(D206,'7月运营'!A:A,'7月运营'!G:G,0)</f>
        <v>0</v>
      </c>
    </row>
    <row r="207" spans="1:43" x14ac:dyDescent="0.15">
      <c r="A207" s="11" t="str">
        <v>红光</v>
      </c>
      <c r="B207" s="11" t="str">
        <v>店助</v>
      </c>
      <c r="C207" s="11" t="str">
        <v>A</v>
      </c>
      <c r="D207" s="11" t="str">
        <v>谢双叶</v>
      </c>
      <c r="E207" s="11" t="str">
        <v>在职</v>
      </c>
      <c r="F207" s="11" t="str">
        <v>事业部</v>
      </c>
      <c r="G207" s="11">
        <f>_xlfn.XLOOKUP(D207,'①7月-花名册'!E:E,'①7月-花名册'!U:U,0)</f>
        <v>0</v>
      </c>
      <c r="H207" s="11">
        <f>_xlfn.XLOOKUP(D207,'①7月-花名册'!E:E,'①7月-花名册'!M:M,0)</f>
        <v>31</v>
      </c>
      <c r="I207" s="11">
        <f>_xlfn.XLOOKUP(D207,'①7月-花名册'!E:E,'①7月-花名册'!S:S,0)</f>
        <v>4</v>
      </c>
      <c r="J207" s="14">
        <f t="shared" si="32"/>
        <v>4</v>
      </c>
      <c r="K207" s="23">
        <v>4</v>
      </c>
      <c r="L207" s="23"/>
      <c r="M207" s="23"/>
      <c r="N207" s="23"/>
      <c r="O207" s="23"/>
      <c r="P207" s="15">
        <f t="shared" si="33"/>
        <v>27</v>
      </c>
      <c r="Q207" s="15">
        <f t="shared" si="34"/>
        <v>31</v>
      </c>
      <c r="R207" s="15">
        <f>IF(F207="事业部",LOOKUP(Q207,基础设置!$T$2:$T$6,基础设置!$U$2:$U$6),IF(F207="总部",LOOKUP(Q207,基础设置!$T$8:$T$13,基础设置!$V$8:$V$13),IF(F207="拓展部",LOOKUP(Q207,基础设置!$T$8:$T$13,基础设置!$W$8:$W$13),2000)))</f>
        <v>4</v>
      </c>
      <c r="S207" s="15">
        <f t="shared" si="35"/>
        <v>31</v>
      </c>
      <c r="T207" s="15">
        <f t="shared" si="36"/>
        <v>0</v>
      </c>
      <c r="U207" s="15">
        <f t="shared" si="37"/>
        <v>0</v>
      </c>
      <c r="V207" s="15">
        <f t="shared" si="30"/>
        <v>0</v>
      </c>
      <c r="W207" s="15">
        <f t="shared" si="38"/>
        <v>0</v>
      </c>
      <c r="X207" s="26"/>
      <c r="Y207" s="26"/>
      <c r="Z207" s="26">
        <v>50</v>
      </c>
      <c r="AA207" s="26"/>
      <c r="AB207" s="27"/>
      <c r="AC207" s="27"/>
      <c r="AD207" s="27"/>
      <c r="AE207" s="27"/>
      <c r="AF207" s="27"/>
      <c r="AG207" s="27"/>
      <c r="AH207" s="17">
        <f>_xlfn.XLOOKUP(D207,'①7月-花名册'!E:E,'①7月-花名册'!T:T,0)</f>
        <v>0</v>
      </c>
      <c r="AI207" s="15">
        <f>SUMIFS('7月运营'!$L:$L,'7月运营'!$A:$A,D207,'7月运营'!$K:$K,$A$1)</f>
        <v>0</v>
      </c>
      <c r="AJ207" s="15">
        <f>SUMIFS('7月运营'!H:H,'7月运营'!$A:$A,D207,'7月运营'!$K:$K,$A$1)</f>
        <v>0</v>
      </c>
      <c r="AK207" s="15">
        <f>SUMIFS(上月未发人员明细!I:I,上月未发人员明细!J:J,$AK$2,上月未发人员明细!A:A,D207)</f>
        <v>0</v>
      </c>
      <c r="AL207" s="15">
        <f>SUMIFS('7月运营'!L:L,'7月运营'!$A:$A,D207,'7月运营'!$K:$K,$AL$2)</f>
        <v>0</v>
      </c>
      <c r="AM207" s="18">
        <f>SUMIFS('7月运营'!$F:$F,'7月运营'!$A:$A,D207,'7月运营'!$K:$K,'②7月-汇总'!$AM$2,'7月运营'!$G:$G,"岗位核算")</f>
        <v>0</v>
      </c>
      <c r="AN207" s="18">
        <f>SUMIFS('7月运营'!$F:$F,'7月运营'!$A:$A,D207,'7月运营'!$K:$K,$AN$2,'7月运营'!$G:$G,"岗位核算")</f>
        <v>0</v>
      </c>
      <c r="AO207" s="18" t="str">
        <f t="shared" si="39"/>
        <v/>
      </c>
      <c r="AP207" s="18">
        <f t="shared" si="31"/>
        <v>31</v>
      </c>
      <c r="AQ207" s="18">
        <f>_xlfn.XLOOKUP(D207,'7月运营'!A:A,'7月运营'!G:G,0)</f>
        <v>0</v>
      </c>
    </row>
    <row r="208" spans="1:43" x14ac:dyDescent="0.15">
      <c r="A208" s="11" t="str">
        <v>红光</v>
      </c>
      <c r="B208" s="11" t="str">
        <v>健康师</v>
      </c>
      <c r="C208" s="11" t="str">
        <v>A</v>
      </c>
      <c r="D208" s="11" t="str">
        <v>蒙亦锌</v>
      </c>
      <c r="E208" s="11" t="str">
        <v>在职</v>
      </c>
      <c r="F208" s="11" t="str">
        <v>事业部</v>
      </c>
      <c r="G208" s="11">
        <f>_xlfn.XLOOKUP(D208,'①7月-花名册'!E:E,'①7月-花名册'!U:U,0)</f>
        <v>0</v>
      </c>
      <c r="H208" s="11">
        <f>_xlfn.XLOOKUP(D208,'①7月-花名册'!E:E,'①7月-花名册'!M:M,0)</f>
        <v>31</v>
      </c>
      <c r="I208" s="11">
        <f>_xlfn.XLOOKUP(D208,'①7月-花名册'!E:E,'①7月-花名册'!S:S,0)</f>
        <v>4</v>
      </c>
      <c r="J208" s="14">
        <f t="shared" si="32"/>
        <v>4</v>
      </c>
      <c r="K208" s="23">
        <v>4</v>
      </c>
      <c r="L208" s="23"/>
      <c r="M208" s="23"/>
      <c r="N208" s="23"/>
      <c r="O208" s="23"/>
      <c r="P208" s="15">
        <f t="shared" si="33"/>
        <v>27</v>
      </c>
      <c r="Q208" s="15">
        <f t="shared" si="34"/>
        <v>31</v>
      </c>
      <c r="R208" s="15">
        <f>IF(F208="事业部",LOOKUP(Q208,基础设置!$T$2:$T$6,基础设置!$U$2:$U$6),IF(F208="总部",LOOKUP(Q208,基础设置!$T$8:$T$13,基础设置!$V$8:$V$13),IF(F208="拓展部",LOOKUP(Q208,基础设置!$T$8:$T$13,基础设置!$W$8:$W$13),2000)))</f>
        <v>4</v>
      </c>
      <c r="S208" s="15">
        <f t="shared" si="35"/>
        <v>31</v>
      </c>
      <c r="T208" s="15">
        <f t="shared" si="36"/>
        <v>0</v>
      </c>
      <c r="U208" s="15">
        <f t="shared" si="37"/>
        <v>0</v>
      </c>
      <c r="V208" s="15">
        <f t="shared" si="30"/>
        <v>0</v>
      </c>
      <c r="W208" s="15">
        <f t="shared" si="38"/>
        <v>0</v>
      </c>
      <c r="X208" s="26"/>
      <c r="Y208" s="26"/>
      <c r="Z208" s="26"/>
      <c r="AA208" s="26"/>
      <c r="AB208" s="27"/>
      <c r="AC208" s="27"/>
      <c r="AD208" s="27"/>
      <c r="AE208" s="27"/>
      <c r="AF208" s="27"/>
      <c r="AG208" s="27"/>
      <c r="AH208" s="17">
        <f>_xlfn.XLOOKUP(D208,'①7月-花名册'!E:E,'①7月-花名册'!T:T,0)</f>
        <v>0</v>
      </c>
      <c r="AI208" s="15">
        <f>SUMIFS('7月运营'!$L:$L,'7月运营'!$A:$A,D208,'7月运营'!$K:$K,$A$1)</f>
        <v>0</v>
      </c>
      <c r="AJ208" s="15">
        <f>SUMIFS('7月运营'!H:H,'7月运营'!$A:$A,D208,'7月运营'!$K:$K,$A$1)</f>
        <v>0</v>
      </c>
      <c r="AK208" s="15">
        <f>SUMIFS(上月未发人员明细!I:I,上月未发人员明细!J:J,$AK$2,上月未发人员明细!A:A,D208)</f>
        <v>0</v>
      </c>
      <c r="AL208" s="15">
        <f>SUMIFS('7月运营'!L:L,'7月运营'!$A:$A,D208,'7月运营'!$K:$K,$AL$2)</f>
        <v>0</v>
      </c>
      <c r="AM208" s="18">
        <f>SUMIFS('7月运营'!$F:$F,'7月运营'!$A:$A,D208,'7月运营'!$K:$K,'②7月-汇总'!$AM$2,'7月运营'!$G:$G,"岗位核算")</f>
        <v>0</v>
      </c>
      <c r="AN208" s="18">
        <f>SUMIFS('7月运营'!$F:$F,'7月运营'!$A:$A,D208,'7月运营'!$K:$K,$AN$2,'7月运营'!$G:$G,"岗位核算")</f>
        <v>0</v>
      </c>
      <c r="AO208" s="18" t="str">
        <f t="shared" si="39"/>
        <v/>
      </c>
      <c r="AP208" s="18">
        <f t="shared" si="31"/>
        <v>31</v>
      </c>
      <c r="AQ208" s="18">
        <f>_xlfn.XLOOKUP(D208,'7月运营'!A:A,'7月运营'!G:G,0)</f>
        <v>0</v>
      </c>
    </row>
    <row r="209" spans="1:43" x14ac:dyDescent="0.15">
      <c r="A209" s="11" t="str">
        <v>红光</v>
      </c>
      <c r="B209" s="11" t="str">
        <v>健康师</v>
      </c>
      <c r="C209" s="11" t="str">
        <v>A</v>
      </c>
      <c r="D209" s="11" t="str">
        <v>刘梦蓝</v>
      </c>
      <c r="E209" s="11" t="str">
        <v>在职</v>
      </c>
      <c r="F209" s="11" t="str">
        <v>事业部</v>
      </c>
      <c r="G209" s="11">
        <f>_xlfn.XLOOKUP(D209,'①7月-花名册'!E:E,'①7月-花名册'!U:U,0)</f>
        <v>0</v>
      </c>
      <c r="H209" s="11">
        <f>_xlfn.XLOOKUP(D209,'①7月-花名册'!E:E,'①7月-花名册'!M:M,0)</f>
        <v>31</v>
      </c>
      <c r="I209" s="11">
        <f>_xlfn.XLOOKUP(D209,'①7月-花名册'!E:E,'①7月-花名册'!S:S,0)</f>
        <v>4</v>
      </c>
      <c r="J209" s="14">
        <f t="shared" si="32"/>
        <v>5</v>
      </c>
      <c r="K209" s="23">
        <v>4</v>
      </c>
      <c r="L209" s="23"/>
      <c r="M209" s="23">
        <v>1</v>
      </c>
      <c r="N209" s="23"/>
      <c r="O209" s="23"/>
      <c r="P209" s="15">
        <f t="shared" si="33"/>
        <v>26</v>
      </c>
      <c r="Q209" s="15">
        <f t="shared" si="34"/>
        <v>31</v>
      </c>
      <c r="R209" s="15">
        <f>IF(F209="事业部",LOOKUP(Q209,基础设置!$T$2:$T$6,基础设置!$U$2:$U$6),IF(F209="总部",LOOKUP(Q209,基础设置!$T$8:$T$13,基础设置!$V$8:$V$13),IF(F209="拓展部",LOOKUP(Q209,基础设置!$T$8:$T$13,基础设置!$W$8:$W$13),2000)))</f>
        <v>4</v>
      </c>
      <c r="S209" s="15">
        <f t="shared" si="35"/>
        <v>31</v>
      </c>
      <c r="T209" s="15">
        <f t="shared" si="36"/>
        <v>0</v>
      </c>
      <c r="U209" s="15">
        <f t="shared" si="37"/>
        <v>0</v>
      </c>
      <c r="V209" s="15">
        <f t="shared" si="30"/>
        <v>0</v>
      </c>
      <c r="W209" s="15">
        <f t="shared" si="38"/>
        <v>0</v>
      </c>
      <c r="X209" s="26"/>
      <c r="Y209" s="26"/>
      <c r="Z209" s="26">
        <v>50</v>
      </c>
      <c r="AA209" s="26"/>
      <c r="AB209" s="27"/>
      <c r="AC209" s="27">
        <v>100</v>
      </c>
      <c r="AD209" s="27"/>
      <c r="AE209" s="27"/>
      <c r="AF209" s="27"/>
      <c r="AG209" s="27"/>
      <c r="AH209" s="17">
        <f>_xlfn.XLOOKUP(D209,'①7月-花名册'!E:E,'①7月-花名册'!T:T,0)</f>
        <v>0</v>
      </c>
      <c r="AI209" s="15">
        <f>SUMIFS('7月运营'!$L:$L,'7月运营'!$A:$A,D209,'7月运营'!$K:$K,$A$1)</f>
        <v>0</v>
      </c>
      <c r="AJ209" s="15">
        <f>SUMIFS('7月运营'!H:H,'7月运营'!$A:$A,D209,'7月运营'!$K:$K,$A$1)</f>
        <v>0</v>
      </c>
      <c r="AK209" s="15">
        <f>SUMIFS(上月未发人员明细!I:I,上月未发人员明细!J:J,$AK$2,上月未发人员明细!A:A,D209)</f>
        <v>0</v>
      </c>
      <c r="AL209" s="15">
        <f>SUMIFS('7月运营'!L:L,'7月运营'!$A:$A,D209,'7月运营'!$K:$K,$AL$2)</f>
        <v>0</v>
      </c>
      <c r="AM209" s="18">
        <f>SUMIFS('7月运营'!$F:$F,'7月运营'!$A:$A,D209,'7月运营'!$K:$K,'②7月-汇总'!$AM$2,'7月运营'!$G:$G,"岗位核算")</f>
        <v>0</v>
      </c>
      <c r="AN209" s="18">
        <f>SUMIFS('7月运营'!$F:$F,'7月运营'!$A:$A,D209,'7月运营'!$K:$K,$AN$2,'7月运营'!$G:$G,"岗位核算")</f>
        <v>0</v>
      </c>
      <c r="AO209" s="18" t="str">
        <f t="shared" si="39"/>
        <v/>
      </c>
      <c r="AP209" s="18">
        <f t="shared" si="31"/>
        <v>31</v>
      </c>
      <c r="AQ209" s="18">
        <f>_xlfn.XLOOKUP(D209,'7月运营'!A:A,'7月运营'!G:G,0)</f>
        <v>0</v>
      </c>
    </row>
    <row r="210" spans="1:43" x14ac:dyDescent="0.15">
      <c r="A210" s="11" t="str">
        <v>保利</v>
      </c>
      <c r="B210" s="11" t="str">
        <v>主任</v>
      </c>
      <c r="C210" s="11" t="str">
        <v>B</v>
      </c>
      <c r="D210" s="11" t="str">
        <v>罗林芳</v>
      </c>
      <c r="E210" s="11" t="str">
        <v>在职</v>
      </c>
      <c r="F210" s="11" t="str">
        <v>事业部</v>
      </c>
      <c r="G210" s="11">
        <f>_xlfn.XLOOKUP(D210,'①7月-花名册'!E:E,'①7月-花名册'!U:U,0)</f>
        <v>0</v>
      </c>
      <c r="H210" s="11">
        <f>_xlfn.XLOOKUP(D210,'①7月-花名册'!E:E,'①7月-花名册'!M:M,0)</f>
        <v>31</v>
      </c>
      <c r="I210" s="11">
        <f>_xlfn.XLOOKUP(D210,'①7月-花名册'!E:E,'①7月-花名册'!S:S,0)</f>
        <v>4</v>
      </c>
      <c r="J210" s="14">
        <f t="shared" si="32"/>
        <v>2</v>
      </c>
      <c r="K210" s="23">
        <v>2</v>
      </c>
      <c r="L210" s="23"/>
      <c r="M210" s="23"/>
      <c r="N210" s="23"/>
      <c r="O210" s="23"/>
      <c r="P210" s="15">
        <f t="shared" si="33"/>
        <v>29</v>
      </c>
      <c r="Q210" s="15">
        <f t="shared" si="34"/>
        <v>31</v>
      </c>
      <c r="R210" s="15">
        <f>IF(F210="事业部",LOOKUP(Q210,基础设置!$T$2:$T$6,基础设置!$U$2:$U$6),IF(F210="总部",LOOKUP(Q210,基础设置!$T$8:$T$13,基础设置!$V$8:$V$13),IF(F210="拓展部",LOOKUP(Q210,基础设置!$T$8:$T$13,基础设置!$W$8:$W$13),2000)))</f>
        <v>4</v>
      </c>
      <c r="S210" s="15">
        <f t="shared" si="35"/>
        <v>31</v>
      </c>
      <c r="T210" s="15">
        <f t="shared" si="36"/>
        <v>0</v>
      </c>
      <c r="U210" s="15">
        <f t="shared" si="37"/>
        <v>0</v>
      </c>
      <c r="V210" s="15">
        <f t="shared" si="30"/>
        <v>0</v>
      </c>
      <c r="W210" s="15">
        <f t="shared" si="38"/>
        <v>0</v>
      </c>
      <c r="X210" s="26">
        <v>10</v>
      </c>
      <c r="Y210" s="26"/>
      <c r="Z210" s="26"/>
      <c r="AA210" s="26"/>
      <c r="AB210" s="27"/>
      <c r="AC210" s="27"/>
      <c r="AD210" s="27"/>
      <c r="AE210" s="27"/>
      <c r="AF210" s="27"/>
      <c r="AG210" s="27"/>
      <c r="AH210" s="17">
        <f>_xlfn.XLOOKUP(D210,'①7月-花名册'!E:E,'①7月-花名册'!T:T,0)</f>
        <v>0</v>
      </c>
      <c r="AI210" s="15">
        <f>SUMIFS('7月运营'!$L:$L,'7月运营'!$A:$A,D210,'7月运营'!$K:$K,$A$1)</f>
        <v>0</v>
      </c>
      <c r="AJ210" s="15">
        <f>SUMIFS('7月运营'!H:H,'7月运营'!$A:$A,D210,'7月运营'!$K:$K,$A$1)</f>
        <v>0</v>
      </c>
      <c r="AK210" s="15">
        <f>SUMIFS(上月未发人员明细!I:I,上月未发人员明细!J:J,$AK$2,上月未发人员明细!A:A,D210)</f>
        <v>0</v>
      </c>
      <c r="AL210" s="15">
        <f>SUMIFS('7月运营'!L:L,'7月运营'!$A:$A,D210,'7月运营'!$K:$K,$AL$2)</f>
        <v>0</v>
      </c>
      <c r="AM210" s="18">
        <f>SUMIFS('7月运营'!$F:$F,'7月运营'!$A:$A,D210,'7月运营'!$K:$K,'②7月-汇总'!$AM$2,'7月运营'!$G:$G,"岗位核算")</f>
        <v>0</v>
      </c>
      <c r="AN210" s="18">
        <f>SUMIFS('7月运营'!$F:$F,'7月运营'!$A:$A,D210,'7月运营'!$K:$K,$AN$2,'7月运营'!$G:$G,"岗位核算")</f>
        <v>0</v>
      </c>
      <c r="AO210" s="18" t="str">
        <f t="shared" si="39"/>
        <v/>
      </c>
      <c r="AP210" s="18">
        <f t="shared" si="31"/>
        <v>31</v>
      </c>
      <c r="AQ210" s="18">
        <f>_xlfn.XLOOKUP(D210,'7月运营'!A:A,'7月运营'!G:G,0)</f>
        <v>0</v>
      </c>
    </row>
    <row r="211" spans="1:43" x14ac:dyDescent="0.15">
      <c r="A211" s="11" t="str">
        <v>保利</v>
      </c>
      <c r="B211" s="11" t="str">
        <v>店助</v>
      </c>
      <c r="C211" s="11" t="str">
        <v>A</v>
      </c>
      <c r="D211" s="11" t="str">
        <v>汪丽娟</v>
      </c>
      <c r="E211" s="11" t="str">
        <v>在职</v>
      </c>
      <c r="F211" s="11" t="str">
        <v>事业部</v>
      </c>
      <c r="G211" s="11">
        <f>_xlfn.XLOOKUP(D211,'①7月-花名册'!E:E,'①7月-花名册'!U:U,0)</f>
        <v>0</v>
      </c>
      <c r="H211" s="11">
        <f>_xlfn.XLOOKUP(D211,'①7月-花名册'!E:E,'①7月-花名册'!M:M,0)</f>
        <v>31</v>
      </c>
      <c r="I211" s="11">
        <f>_xlfn.XLOOKUP(D211,'①7月-花名册'!E:E,'①7月-花名册'!S:S,0)</f>
        <v>4</v>
      </c>
      <c r="J211" s="14">
        <f t="shared" si="32"/>
        <v>3</v>
      </c>
      <c r="K211" s="23">
        <v>3</v>
      </c>
      <c r="L211" s="23"/>
      <c r="M211" s="23"/>
      <c r="N211" s="23"/>
      <c r="O211" s="23"/>
      <c r="P211" s="15">
        <f t="shared" si="33"/>
        <v>28</v>
      </c>
      <c r="Q211" s="15">
        <f t="shared" si="34"/>
        <v>31</v>
      </c>
      <c r="R211" s="15">
        <f>IF(F211="事业部",LOOKUP(Q211,基础设置!$T$2:$T$6,基础设置!$U$2:$U$6),IF(F211="总部",LOOKUP(Q211,基础设置!$T$8:$T$13,基础设置!$V$8:$V$13),IF(F211="拓展部",LOOKUP(Q211,基础设置!$T$8:$T$13,基础设置!$W$8:$W$13),2000)))</f>
        <v>4</v>
      </c>
      <c r="S211" s="15">
        <f t="shared" si="35"/>
        <v>31</v>
      </c>
      <c r="T211" s="15">
        <f t="shared" si="36"/>
        <v>0</v>
      </c>
      <c r="U211" s="15">
        <f t="shared" si="37"/>
        <v>0</v>
      </c>
      <c r="V211" s="15">
        <f t="shared" si="30"/>
        <v>0</v>
      </c>
      <c r="W211" s="15">
        <f t="shared" si="38"/>
        <v>0</v>
      </c>
      <c r="X211" s="26">
        <v>20</v>
      </c>
      <c r="Y211" s="26"/>
      <c r="Z211" s="26"/>
      <c r="AA211" s="26"/>
      <c r="AB211" s="27"/>
      <c r="AC211" s="27"/>
      <c r="AD211" s="27"/>
      <c r="AE211" s="27"/>
      <c r="AF211" s="27"/>
      <c r="AG211" s="27"/>
      <c r="AH211" s="17">
        <f>_xlfn.XLOOKUP(D211,'①7月-花名册'!E:E,'①7月-花名册'!T:T,0)</f>
        <v>0</v>
      </c>
      <c r="AI211" s="15">
        <f>SUMIFS('7月运营'!$L:$L,'7月运营'!$A:$A,D211,'7月运营'!$K:$K,$A$1)</f>
        <v>0</v>
      </c>
      <c r="AJ211" s="15">
        <f>SUMIFS('7月运营'!H:H,'7月运营'!$A:$A,D211,'7月运营'!$K:$K,$A$1)</f>
        <v>0</v>
      </c>
      <c r="AK211" s="15">
        <f>SUMIFS(上月未发人员明细!I:I,上月未发人员明细!J:J,$AK$2,上月未发人员明细!A:A,D211)</f>
        <v>0</v>
      </c>
      <c r="AL211" s="15">
        <f>SUMIFS('7月运营'!L:L,'7月运营'!$A:$A,D211,'7月运营'!$K:$K,$AL$2)</f>
        <v>0</v>
      </c>
      <c r="AM211" s="18">
        <f>SUMIFS('7月运营'!$F:$F,'7月运营'!$A:$A,D211,'7月运营'!$K:$K,'②7月-汇总'!$AM$2,'7月运营'!$G:$G,"岗位核算")</f>
        <v>0</v>
      </c>
      <c r="AN211" s="18">
        <f>SUMIFS('7月运营'!$F:$F,'7月运营'!$A:$A,D211,'7月运营'!$K:$K,$AN$2,'7月运营'!$G:$G,"岗位核算")</f>
        <v>0</v>
      </c>
      <c r="AO211" s="18" t="str">
        <f t="shared" si="39"/>
        <v/>
      </c>
      <c r="AP211" s="18">
        <f t="shared" si="31"/>
        <v>31</v>
      </c>
      <c r="AQ211" s="18">
        <f>_xlfn.XLOOKUP(D211,'7月运营'!A:A,'7月运营'!G:G,0)</f>
        <v>0</v>
      </c>
    </row>
    <row r="212" spans="1:43" x14ac:dyDescent="0.15">
      <c r="A212" s="11" t="str">
        <v>保利</v>
      </c>
      <c r="B212" s="11" t="str">
        <v>健康师</v>
      </c>
      <c r="C212" s="11" t="str">
        <v>A</v>
      </c>
      <c r="D212" s="11" t="str">
        <v>谭言希</v>
      </c>
      <c r="E212" s="11" t="str">
        <v>在职</v>
      </c>
      <c r="F212" s="11" t="str">
        <v>事业部</v>
      </c>
      <c r="G212" s="11">
        <f>_xlfn.XLOOKUP(D212,'①7月-花名册'!E:E,'①7月-花名册'!U:U,0)</f>
        <v>0</v>
      </c>
      <c r="H212" s="11">
        <f>_xlfn.XLOOKUP(D212,'①7月-花名册'!E:E,'①7月-花名册'!M:M,0)</f>
        <v>31</v>
      </c>
      <c r="I212" s="11">
        <f>_xlfn.XLOOKUP(D212,'①7月-花名册'!E:E,'①7月-花名册'!S:S,0)</f>
        <v>4</v>
      </c>
      <c r="J212" s="14">
        <f t="shared" si="32"/>
        <v>4</v>
      </c>
      <c r="K212" s="23">
        <v>4</v>
      </c>
      <c r="L212" s="23"/>
      <c r="M212" s="23"/>
      <c r="N212" s="23"/>
      <c r="O212" s="23"/>
      <c r="P212" s="15">
        <f t="shared" si="33"/>
        <v>27</v>
      </c>
      <c r="Q212" s="15">
        <f t="shared" si="34"/>
        <v>31</v>
      </c>
      <c r="R212" s="15">
        <f>IF(F212="事业部",LOOKUP(Q212,基础设置!$T$2:$T$6,基础设置!$U$2:$U$6),IF(F212="总部",LOOKUP(Q212,基础设置!$T$8:$T$13,基础设置!$V$8:$V$13),IF(F212="拓展部",LOOKUP(Q212,基础设置!$T$8:$T$13,基础设置!$W$8:$W$13),2000)))</f>
        <v>4</v>
      </c>
      <c r="S212" s="15">
        <f t="shared" si="35"/>
        <v>31</v>
      </c>
      <c r="T212" s="15">
        <f t="shared" si="36"/>
        <v>0</v>
      </c>
      <c r="U212" s="15">
        <f t="shared" si="37"/>
        <v>0</v>
      </c>
      <c r="V212" s="15">
        <f t="shared" si="30"/>
        <v>0</v>
      </c>
      <c r="W212" s="15">
        <f t="shared" si="38"/>
        <v>0</v>
      </c>
      <c r="X212" s="26"/>
      <c r="Y212" s="26"/>
      <c r="Z212" s="26">
        <v>50</v>
      </c>
      <c r="AA212" s="26"/>
      <c r="AB212" s="27"/>
      <c r="AC212" s="27"/>
      <c r="AD212" s="27"/>
      <c r="AE212" s="27"/>
      <c r="AF212" s="27"/>
      <c r="AG212" s="27"/>
      <c r="AH212" s="17">
        <f>_xlfn.XLOOKUP(D212,'①7月-花名册'!E:E,'①7月-花名册'!T:T,0)</f>
        <v>0</v>
      </c>
      <c r="AI212" s="15">
        <f>SUMIFS('7月运营'!$L:$L,'7月运营'!$A:$A,D212,'7月运营'!$K:$K,$A$1)</f>
        <v>0</v>
      </c>
      <c r="AJ212" s="15">
        <f>SUMIFS('7月运营'!H:H,'7月运营'!$A:$A,D212,'7月运营'!$K:$K,$A$1)</f>
        <v>0</v>
      </c>
      <c r="AK212" s="15">
        <f>SUMIFS(上月未发人员明细!I:I,上月未发人员明细!J:J,$AK$2,上月未发人员明细!A:A,D212)</f>
        <v>0</v>
      </c>
      <c r="AL212" s="15">
        <f>SUMIFS('7月运营'!L:L,'7月运营'!$A:$A,D212,'7月运营'!$K:$K,$AL$2)</f>
        <v>0</v>
      </c>
      <c r="AM212" s="18">
        <f>SUMIFS('7月运营'!$F:$F,'7月运营'!$A:$A,D212,'7月运营'!$K:$K,'②7月-汇总'!$AM$2,'7月运营'!$G:$G,"岗位核算")</f>
        <v>0</v>
      </c>
      <c r="AN212" s="18">
        <f>SUMIFS('7月运营'!$F:$F,'7月运营'!$A:$A,D212,'7月运营'!$K:$K,$AN$2,'7月运营'!$G:$G,"岗位核算")</f>
        <v>0</v>
      </c>
      <c r="AO212" s="18" t="str">
        <f t="shared" si="39"/>
        <v/>
      </c>
      <c r="AP212" s="18">
        <f t="shared" si="31"/>
        <v>31</v>
      </c>
      <c r="AQ212" s="18">
        <f>_xlfn.XLOOKUP(D212,'7月运营'!A:A,'7月运营'!G:G,0)</f>
        <v>0</v>
      </c>
    </row>
    <row r="213" spans="1:43" x14ac:dyDescent="0.15">
      <c r="A213" s="11" t="str">
        <v>保利</v>
      </c>
      <c r="B213" s="11" t="str">
        <v>健康师</v>
      </c>
      <c r="C213" s="11" t="str">
        <v>A</v>
      </c>
      <c r="D213" s="11" t="str">
        <v>黄江</v>
      </c>
      <c r="E213" s="11" t="str">
        <v>在职</v>
      </c>
      <c r="F213" s="11" t="str">
        <v>事业部</v>
      </c>
      <c r="G213" s="11">
        <f>_xlfn.XLOOKUP(D213,'①7月-花名册'!E:E,'①7月-花名册'!U:U,0)</f>
        <v>0</v>
      </c>
      <c r="H213" s="11">
        <f>_xlfn.XLOOKUP(D213,'①7月-花名册'!E:E,'①7月-花名册'!M:M,0)</f>
        <v>31</v>
      </c>
      <c r="I213" s="11">
        <f>_xlfn.XLOOKUP(D213,'①7月-花名册'!E:E,'①7月-花名册'!S:S,0)</f>
        <v>4</v>
      </c>
      <c r="J213" s="14">
        <f t="shared" si="32"/>
        <v>4</v>
      </c>
      <c r="K213" s="23">
        <v>4</v>
      </c>
      <c r="L213" s="23"/>
      <c r="M213" s="23"/>
      <c r="N213" s="23"/>
      <c r="O213" s="23"/>
      <c r="P213" s="15">
        <f t="shared" si="33"/>
        <v>27</v>
      </c>
      <c r="Q213" s="15">
        <f t="shared" si="34"/>
        <v>31</v>
      </c>
      <c r="R213" s="15">
        <f>IF(F213="事业部",LOOKUP(Q213,基础设置!$T$2:$T$6,基础设置!$U$2:$U$6),IF(F213="总部",LOOKUP(Q213,基础设置!$T$8:$T$13,基础设置!$V$8:$V$13),IF(F213="拓展部",LOOKUP(Q213,基础设置!$T$8:$T$13,基础设置!$W$8:$W$13),2000)))</f>
        <v>4</v>
      </c>
      <c r="S213" s="15">
        <f t="shared" si="35"/>
        <v>31</v>
      </c>
      <c r="T213" s="15">
        <f t="shared" si="36"/>
        <v>0</v>
      </c>
      <c r="U213" s="15">
        <f t="shared" si="37"/>
        <v>0</v>
      </c>
      <c r="V213" s="15">
        <f t="shared" si="30"/>
        <v>0</v>
      </c>
      <c r="W213" s="15">
        <f t="shared" si="38"/>
        <v>0</v>
      </c>
      <c r="X213" s="26"/>
      <c r="Y213" s="26"/>
      <c r="Z213" s="26"/>
      <c r="AA213" s="26"/>
      <c r="AB213" s="27"/>
      <c r="AC213" s="27"/>
      <c r="AD213" s="27"/>
      <c r="AE213" s="27"/>
      <c r="AF213" s="27"/>
      <c r="AG213" s="27"/>
      <c r="AH213" s="17">
        <f>_xlfn.XLOOKUP(D213,'①7月-花名册'!E:E,'①7月-花名册'!T:T,0)</f>
        <v>0</v>
      </c>
      <c r="AI213" s="15">
        <f>SUMIFS('7月运营'!$L:$L,'7月运营'!$A:$A,D213,'7月运营'!$K:$K,$A$1)</f>
        <v>0</v>
      </c>
      <c r="AJ213" s="15">
        <f>SUMIFS('7月运营'!H:H,'7月运营'!$A:$A,D213,'7月运营'!$K:$K,$A$1)</f>
        <v>0</v>
      </c>
      <c r="AK213" s="15">
        <f>SUMIFS(上月未发人员明细!I:I,上月未发人员明细!J:J,$AK$2,上月未发人员明细!A:A,D213)</f>
        <v>0</v>
      </c>
      <c r="AL213" s="15">
        <f>SUMIFS('7月运营'!L:L,'7月运营'!$A:$A,D213,'7月运营'!$K:$K,$AL$2)</f>
        <v>0</v>
      </c>
      <c r="AM213" s="18">
        <f>SUMIFS('7月运营'!$F:$F,'7月运营'!$A:$A,D213,'7月运营'!$K:$K,'②7月-汇总'!$AM$2,'7月运营'!$G:$G,"岗位核算")</f>
        <v>0</v>
      </c>
      <c r="AN213" s="18">
        <f>SUMIFS('7月运营'!$F:$F,'7月运营'!$A:$A,D213,'7月运营'!$K:$K,$AN$2,'7月运营'!$G:$G,"岗位核算")</f>
        <v>0</v>
      </c>
      <c r="AO213" s="18" t="str">
        <f t="shared" si="39"/>
        <v/>
      </c>
      <c r="AP213" s="18">
        <f t="shared" si="31"/>
        <v>31</v>
      </c>
      <c r="AQ213" s="18">
        <f>_xlfn.XLOOKUP(D213,'7月运营'!A:A,'7月运营'!G:G,0)</f>
        <v>0</v>
      </c>
    </row>
    <row r="214" spans="1:43" x14ac:dyDescent="0.15">
      <c r="A214" s="11" t="str">
        <v>保利</v>
      </c>
      <c r="B214" s="11" t="str">
        <v>健康师</v>
      </c>
      <c r="C214" s="11" t="str">
        <v>A</v>
      </c>
      <c r="D214" s="11" t="str">
        <v>陈琼</v>
      </c>
      <c r="E214" s="11" t="str">
        <v>在职</v>
      </c>
      <c r="F214" s="11" t="str">
        <v>事业部</v>
      </c>
      <c r="G214" s="11">
        <f>_xlfn.XLOOKUP(D214,'①7月-花名册'!E:E,'①7月-花名册'!U:U,0)</f>
        <v>0</v>
      </c>
      <c r="H214" s="11">
        <f>_xlfn.XLOOKUP(D214,'①7月-花名册'!E:E,'①7月-花名册'!M:M,0)</f>
        <v>31</v>
      </c>
      <c r="I214" s="11">
        <f>_xlfn.XLOOKUP(D214,'①7月-花名册'!E:E,'①7月-花名册'!S:S,0)</f>
        <v>4</v>
      </c>
      <c r="J214" s="14">
        <f t="shared" si="32"/>
        <v>3</v>
      </c>
      <c r="K214" s="23">
        <v>3</v>
      </c>
      <c r="L214" s="23"/>
      <c r="M214" s="23"/>
      <c r="N214" s="23"/>
      <c r="O214" s="23"/>
      <c r="P214" s="15">
        <f t="shared" si="33"/>
        <v>28</v>
      </c>
      <c r="Q214" s="15">
        <f t="shared" si="34"/>
        <v>31</v>
      </c>
      <c r="R214" s="15">
        <f>IF(F214="事业部",LOOKUP(Q214,基础设置!$T$2:$T$6,基础设置!$U$2:$U$6),IF(F214="总部",LOOKUP(Q214,基础设置!$T$8:$T$13,基础设置!$V$8:$V$13),IF(F214="拓展部",LOOKUP(Q214,基础设置!$T$8:$T$13,基础设置!$W$8:$W$13),2000)))</f>
        <v>4</v>
      </c>
      <c r="S214" s="15">
        <f t="shared" si="35"/>
        <v>31</v>
      </c>
      <c r="T214" s="15">
        <f t="shared" si="36"/>
        <v>0</v>
      </c>
      <c r="U214" s="15">
        <f t="shared" si="37"/>
        <v>0</v>
      </c>
      <c r="V214" s="15">
        <f t="shared" si="30"/>
        <v>1</v>
      </c>
      <c r="W214" s="15">
        <f t="shared" si="38"/>
        <v>20</v>
      </c>
      <c r="X214" s="26"/>
      <c r="Y214" s="26"/>
      <c r="Z214" s="26"/>
      <c r="AA214" s="26"/>
      <c r="AB214" s="27"/>
      <c r="AC214" s="27">
        <v>100</v>
      </c>
      <c r="AD214" s="27"/>
      <c r="AE214" s="27"/>
      <c r="AF214" s="27"/>
      <c r="AG214" s="27"/>
      <c r="AH214" s="17">
        <f>_xlfn.XLOOKUP(D214,'①7月-花名册'!E:E,'①7月-花名册'!T:T,0)</f>
        <v>0</v>
      </c>
      <c r="AI214" s="15">
        <f>SUMIFS('7月运营'!$L:$L,'7月运营'!$A:$A,D214,'7月运营'!$K:$K,$A$1)</f>
        <v>0</v>
      </c>
      <c r="AJ214" s="15">
        <f>SUMIFS('7月运营'!H:H,'7月运营'!$A:$A,D214,'7月运营'!$K:$K,$A$1)</f>
        <v>0</v>
      </c>
      <c r="AK214" s="15">
        <f>SUMIFS(上月未发人员明细!I:I,上月未发人员明细!J:J,$AK$2,上月未发人员明细!A:A,D214)</f>
        <v>0</v>
      </c>
      <c r="AL214" s="15">
        <f>SUMIFS('7月运营'!L:L,'7月运营'!$A:$A,D214,'7月运营'!$K:$K,$AL$2)</f>
        <v>0</v>
      </c>
      <c r="AM214" s="18">
        <f>SUMIFS('7月运营'!$F:$F,'7月运营'!$A:$A,D214,'7月运营'!$K:$K,'②7月-汇总'!$AM$2,'7月运营'!$G:$G,"岗位核算")</f>
        <v>0</v>
      </c>
      <c r="AN214" s="18">
        <f>SUMIFS('7月运营'!$F:$F,'7月运营'!$A:$A,D214,'7月运营'!$K:$K,$AN$2,'7月运营'!$G:$G,"岗位核算")</f>
        <v>0</v>
      </c>
      <c r="AO214" s="18" t="str">
        <f t="shared" si="39"/>
        <v/>
      </c>
      <c r="AP214" s="18">
        <f t="shared" si="31"/>
        <v>31</v>
      </c>
      <c r="AQ214" s="18">
        <f>_xlfn.XLOOKUP(D214,'7月运营'!A:A,'7月运营'!G:G,0)</f>
        <v>0</v>
      </c>
    </row>
    <row r="215" spans="1:43" x14ac:dyDescent="0.15">
      <c r="A215" s="11" t="str">
        <v>保利</v>
      </c>
      <c r="B215" s="11" t="str">
        <v>健康师</v>
      </c>
      <c r="C215" s="11" t="str">
        <v>A</v>
      </c>
      <c r="D215" s="11" t="str">
        <v>米琪</v>
      </c>
      <c r="E215" s="11" t="str">
        <v>在职</v>
      </c>
      <c r="F215" s="11" t="str">
        <v>事业部</v>
      </c>
      <c r="G215" s="11">
        <f>_xlfn.XLOOKUP(D215,'①7月-花名册'!E:E,'①7月-花名册'!U:U,0)</f>
        <v>0</v>
      </c>
      <c r="H215" s="11">
        <f>_xlfn.XLOOKUP(D215,'①7月-花名册'!E:E,'①7月-花名册'!M:M,0)</f>
        <v>31</v>
      </c>
      <c r="I215" s="11">
        <f>_xlfn.XLOOKUP(D215,'①7月-花名册'!E:E,'①7月-花名册'!S:S,0)</f>
        <v>4</v>
      </c>
      <c r="J215" s="14">
        <f t="shared" si="32"/>
        <v>4</v>
      </c>
      <c r="K215" s="23">
        <v>4</v>
      </c>
      <c r="L215" s="23"/>
      <c r="M215" s="23"/>
      <c r="N215" s="23"/>
      <c r="O215" s="23"/>
      <c r="P215" s="15">
        <f t="shared" si="33"/>
        <v>27</v>
      </c>
      <c r="Q215" s="15">
        <f t="shared" si="34"/>
        <v>31</v>
      </c>
      <c r="R215" s="15">
        <f>IF(F215="事业部",LOOKUP(Q215,基础设置!$T$2:$T$6,基础设置!$U$2:$U$6),IF(F215="总部",LOOKUP(Q215,基础设置!$T$8:$T$13,基础设置!$V$8:$V$13),IF(F215="拓展部",LOOKUP(Q215,基础设置!$T$8:$T$13,基础设置!$W$8:$W$13),2000)))</f>
        <v>4</v>
      </c>
      <c r="S215" s="15">
        <f t="shared" si="35"/>
        <v>31</v>
      </c>
      <c r="T215" s="15">
        <f t="shared" si="36"/>
        <v>0</v>
      </c>
      <c r="U215" s="15">
        <f t="shared" si="37"/>
        <v>0</v>
      </c>
      <c r="V215" s="15">
        <f t="shared" si="30"/>
        <v>0</v>
      </c>
      <c r="W215" s="15">
        <f t="shared" si="38"/>
        <v>0</v>
      </c>
      <c r="X215" s="26">
        <v>10</v>
      </c>
      <c r="Y215" s="26"/>
      <c r="Z215" s="26"/>
      <c r="AA215" s="26"/>
      <c r="AB215" s="27"/>
      <c r="AC215" s="27">
        <v>100</v>
      </c>
      <c r="AD215" s="27"/>
      <c r="AE215" s="27"/>
      <c r="AF215" s="27"/>
      <c r="AG215" s="27"/>
      <c r="AH215" s="17">
        <f>_xlfn.XLOOKUP(D215,'①7月-花名册'!E:E,'①7月-花名册'!T:T,0)</f>
        <v>0</v>
      </c>
      <c r="AI215" s="15">
        <f>SUMIFS('7月运营'!$L:$L,'7月运营'!$A:$A,D215,'7月运营'!$K:$K,$A$1)</f>
        <v>0</v>
      </c>
      <c r="AJ215" s="15">
        <f>SUMIFS('7月运营'!H:H,'7月运营'!$A:$A,D215,'7月运营'!$K:$K,$A$1)</f>
        <v>0</v>
      </c>
      <c r="AK215" s="15">
        <f>SUMIFS(上月未发人员明细!I:I,上月未发人员明细!J:J,$AK$2,上月未发人员明细!A:A,D215)</f>
        <v>0</v>
      </c>
      <c r="AL215" s="15">
        <f>SUMIFS('7月运营'!L:L,'7月运营'!$A:$A,D215,'7月运营'!$K:$K,$AL$2)</f>
        <v>0</v>
      </c>
      <c r="AM215" s="18">
        <f>SUMIFS('7月运营'!$F:$F,'7月运营'!$A:$A,D215,'7月运营'!$K:$K,'②7月-汇总'!$AM$2,'7月运营'!$G:$G,"岗位核算")</f>
        <v>0</v>
      </c>
      <c r="AN215" s="18">
        <f>SUMIFS('7月运营'!$F:$F,'7月运营'!$A:$A,D215,'7月运营'!$K:$K,$AN$2,'7月运营'!$G:$G,"岗位核算")</f>
        <v>0</v>
      </c>
      <c r="AO215" s="18" t="str">
        <f t="shared" si="39"/>
        <v/>
      </c>
      <c r="AP215" s="18">
        <f t="shared" si="31"/>
        <v>31</v>
      </c>
      <c r="AQ215" s="18">
        <f>_xlfn.XLOOKUP(D215,'7月运营'!A:A,'7月运营'!G:G,0)</f>
        <v>0</v>
      </c>
    </row>
    <row r="216" spans="1:43" x14ac:dyDescent="0.15">
      <c r="A216" s="11" t="str">
        <v>保利</v>
      </c>
      <c r="B216" s="11" t="str">
        <v>健康师</v>
      </c>
      <c r="C216" s="11" t="str">
        <v>A</v>
      </c>
      <c r="D216" s="11" t="str">
        <v>尚杨</v>
      </c>
      <c r="E216" s="11" t="str">
        <v>离职</v>
      </c>
      <c r="F216" s="11" t="str">
        <v>事业部</v>
      </c>
      <c r="G216" s="11">
        <f>_xlfn.XLOOKUP(D216,'①7月-花名册'!E:E,'①7月-花名册'!U:U,0)</f>
        <v>0</v>
      </c>
      <c r="H216" s="11">
        <f>_xlfn.XLOOKUP(D216,'①7月-花名册'!E:E,'①7月-花名册'!M:M,0)</f>
        <v>31</v>
      </c>
      <c r="I216" s="11">
        <f>_xlfn.XLOOKUP(D216,'①7月-花名册'!E:E,'①7月-花名册'!S:S,0)</f>
        <v>4</v>
      </c>
      <c r="J216" s="14">
        <f t="shared" si="32"/>
        <v>4</v>
      </c>
      <c r="K216" s="23">
        <v>4</v>
      </c>
      <c r="L216" s="23"/>
      <c r="M216" s="23"/>
      <c r="N216" s="23"/>
      <c r="O216" s="23"/>
      <c r="P216" s="15">
        <f t="shared" si="33"/>
        <v>27</v>
      </c>
      <c r="Q216" s="15">
        <f t="shared" si="34"/>
        <v>31</v>
      </c>
      <c r="R216" s="15">
        <f>IF(F216="事业部",LOOKUP(Q216,基础设置!$T$2:$T$6,基础设置!$U$2:$U$6),IF(F216="总部",LOOKUP(Q216,基础设置!$T$8:$T$13,基础设置!$V$8:$V$13),IF(F216="拓展部",LOOKUP(Q216,基础设置!$T$8:$T$13,基础设置!$W$8:$W$13),2000)))</f>
        <v>4</v>
      </c>
      <c r="S216" s="15">
        <f t="shared" si="35"/>
        <v>31</v>
      </c>
      <c r="T216" s="15">
        <f t="shared" si="36"/>
        <v>0</v>
      </c>
      <c r="U216" s="15">
        <f t="shared" si="37"/>
        <v>0</v>
      </c>
      <c r="V216" s="15">
        <f t="shared" si="30"/>
        <v>0</v>
      </c>
      <c r="W216" s="15">
        <f t="shared" si="38"/>
        <v>0</v>
      </c>
      <c r="X216" s="26"/>
      <c r="Y216" s="26"/>
      <c r="Z216" s="26"/>
      <c r="AA216" s="26"/>
      <c r="AB216" s="27"/>
      <c r="AC216" s="27"/>
      <c r="AD216" s="27">
        <v>130</v>
      </c>
      <c r="AE216" s="27">
        <v>300</v>
      </c>
      <c r="AF216" s="27"/>
      <c r="AG216" s="27"/>
      <c r="AH216" s="17">
        <f>_xlfn.XLOOKUP(D216,'①7月-花名册'!E:E,'①7月-花名册'!T:T,0)</f>
        <v>0</v>
      </c>
      <c r="AI216" s="15">
        <f>SUMIFS('7月运营'!$L:$L,'7月运营'!$A:$A,D216,'7月运营'!$K:$K,$A$1)</f>
        <v>0</v>
      </c>
      <c r="AJ216" s="15">
        <f>SUMIFS('7月运营'!H:H,'7月运营'!$A:$A,D216,'7月运营'!$K:$K,$A$1)</f>
        <v>0</v>
      </c>
      <c r="AK216" s="15">
        <f>SUMIFS(上月未发人员明细!I:I,上月未发人员明细!J:J,$AK$2,上月未发人员明细!A:A,D216)</f>
        <v>190</v>
      </c>
      <c r="AL216" s="15">
        <f>SUMIFS('7月运营'!L:L,'7月运营'!$A:$A,D216,'7月运营'!$K:$K,$AL$2)</f>
        <v>0</v>
      </c>
      <c r="AM216" s="18">
        <f>SUMIFS('7月运营'!$F:$F,'7月运营'!$A:$A,D216,'7月运营'!$K:$K,'②7月-汇总'!$AM$2,'7月运营'!$G:$G,"岗位核算")</f>
        <v>0</v>
      </c>
      <c r="AN216" s="18">
        <f>SUMIFS('7月运营'!$F:$F,'7月运营'!$A:$A,D216,'7月运营'!$K:$K,$AN$2,'7月运营'!$G:$G,"岗位核算")</f>
        <v>0</v>
      </c>
      <c r="AO216" s="18" t="str">
        <f t="shared" si="39"/>
        <v/>
      </c>
      <c r="AP216" s="18">
        <f t="shared" si="31"/>
        <v>31</v>
      </c>
      <c r="AQ216" s="18">
        <f>_xlfn.XLOOKUP(D216,'7月运营'!A:A,'7月运营'!G:G,0)</f>
        <v>0</v>
      </c>
    </row>
    <row r="217" spans="1:43" x14ac:dyDescent="0.15">
      <c r="A217" s="11" t="str">
        <v>龙城国际</v>
      </c>
      <c r="B217" s="11" t="str">
        <v>健康师</v>
      </c>
      <c r="C217" s="11" t="str">
        <v>A</v>
      </c>
      <c r="D217" s="11" t="str">
        <v>钟心悦</v>
      </c>
      <c r="E217" s="11" t="str">
        <v>离职</v>
      </c>
      <c r="F217" s="11" t="str">
        <v>事业部</v>
      </c>
      <c r="G217" s="11">
        <f>_xlfn.XLOOKUP(D217,'①7月-花名册'!E:E,'①7月-花名册'!U:U,0)</f>
        <v>0</v>
      </c>
      <c r="H217" s="11">
        <f>_xlfn.XLOOKUP(D217,'①7月-花名册'!E:E,'①7月-花名册'!M:M,0)</f>
        <v>10</v>
      </c>
      <c r="I217" s="11">
        <f>_xlfn.XLOOKUP(D217,'①7月-花名册'!E:E,'①7月-花名册'!S:S,0)</f>
        <v>1</v>
      </c>
      <c r="J217" s="14">
        <f t="shared" si="32"/>
        <v>1</v>
      </c>
      <c r="K217" s="23">
        <v>1</v>
      </c>
      <c r="L217" s="23"/>
      <c r="M217" s="23"/>
      <c r="N217" s="23"/>
      <c r="O217" s="23"/>
      <c r="P217" s="15">
        <f t="shared" si="33"/>
        <v>9</v>
      </c>
      <c r="Q217" s="15">
        <f t="shared" si="34"/>
        <v>10</v>
      </c>
      <c r="R217" s="15">
        <f>IF(F217="事业部",LOOKUP(Q217,基础设置!$T$2:$T$6,基础设置!$U$2:$U$6),IF(F217="总部",LOOKUP(Q217,基础设置!$T$8:$T$13,基础设置!$V$8:$V$13),IF(F217="拓展部",LOOKUP(Q217,基础设置!$T$8:$T$13,基础设置!$W$8:$W$13),2000)))</f>
        <v>1</v>
      </c>
      <c r="S217" s="15">
        <f t="shared" si="35"/>
        <v>10</v>
      </c>
      <c r="T217" s="15">
        <f t="shared" si="36"/>
        <v>0</v>
      </c>
      <c r="U217" s="15">
        <f t="shared" si="37"/>
        <v>0</v>
      </c>
      <c r="V217" s="15">
        <f t="shared" si="30"/>
        <v>0</v>
      </c>
      <c r="W217" s="15">
        <f t="shared" si="38"/>
        <v>0</v>
      </c>
      <c r="X217" s="26"/>
      <c r="Y217" s="26"/>
      <c r="Z217" s="26"/>
      <c r="AA217" s="26"/>
      <c r="AB217" s="27">
        <v>0</v>
      </c>
      <c r="AC217" s="27"/>
      <c r="AD217" s="27"/>
      <c r="AE217" s="27">
        <v>300</v>
      </c>
      <c r="AF217" s="27"/>
      <c r="AG217" s="27"/>
      <c r="AH217" s="17">
        <f>_xlfn.XLOOKUP(D217,'①7月-花名册'!E:E,'①7月-花名册'!T:T,0)</f>
        <v>0</v>
      </c>
      <c r="AI217" s="15">
        <f>SUMIFS('7月运营'!$L:$L,'7月运营'!$A:$A,D217,'7月运营'!$K:$K,$A$1)</f>
        <v>0</v>
      </c>
      <c r="AJ217" s="15">
        <f>SUMIFS('7月运营'!H:H,'7月运营'!$A:$A,D217,'7月运营'!$K:$K,$A$1)</f>
        <v>0</v>
      </c>
      <c r="AK217" s="15">
        <f>SUMIFS(上月未发人员明细!I:I,上月未发人员明细!J:J,$AK$2,上月未发人员明细!A:A,D217)</f>
        <v>0</v>
      </c>
      <c r="AL217" s="15">
        <f>SUMIFS('7月运营'!L:L,'7月运营'!$A:$A,D217,'7月运营'!$K:$K,$AL$2)</f>
        <v>0</v>
      </c>
      <c r="AM217" s="18">
        <f>SUMIFS('7月运营'!$F:$F,'7月运营'!$A:$A,D217,'7月运营'!$K:$K,'②7月-汇总'!$AM$2,'7月运营'!$G:$G,"岗位核算")</f>
        <v>0</v>
      </c>
      <c r="AN217" s="18">
        <f>SUMIFS('7月运营'!$F:$F,'7月运营'!$A:$A,D217,'7月运营'!$K:$K,$AN$2,'7月运营'!$G:$G,"岗位核算")</f>
        <v>0</v>
      </c>
      <c r="AO217" s="18" t="str">
        <f t="shared" si="39"/>
        <v/>
      </c>
      <c r="AP217" s="18">
        <f t="shared" si="31"/>
        <v>10</v>
      </c>
      <c r="AQ217" s="18">
        <f>_xlfn.XLOOKUP(D217,'7月运营'!A:A,'7月运营'!G:G,0)</f>
        <v>0</v>
      </c>
    </row>
    <row r="218" spans="1:43" x14ac:dyDescent="0.15">
      <c r="A218" s="11" t="str">
        <v>龙城国际</v>
      </c>
      <c r="B218" s="11" t="str">
        <v>店助</v>
      </c>
      <c r="C218" s="11" t="str">
        <v>A</v>
      </c>
      <c r="D218" s="11" t="str">
        <v>胡祝曲</v>
      </c>
      <c r="E218" s="11" t="str">
        <v>在职</v>
      </c>
      <c r="F218" s="11" t="str">
        <v>事业部</v>
      </c>
      <c r="G218" s="11">
        <f>_xlfn.XLOOKUP(D218,'①7月-花名册'!E:E,'①7月-花名册'!U:U,0)</f>
        <v>0</v>
      </c>
      <c r="H218" s="11">
        <f>_xlfn.XLOOKUP(D218,'①7月-花名册'!E:E,'①7月-花名册'!M:M,0)</f>
        <v>31</v>
      </c>
      <c r="I218" s="11">
        <f>_xlfn.XLOOKUP(D218,'①7月-花名册'!E:E,'①7月-花名册'!S:S,0)</f>
        <v>4</v>
      </c>
      <c r="J218" s="14">
        <f t="shared" si="32"/>
        <v>4</v>
      </c>
      <c r="K218" s="23">
        <v>4</v>
      </c>
      <c r="L218" s="23"/>
      <c r="M218" s="23"/>
      <c r="N218" s="23"/>
      <c r="O218" s="23"/>
      <c r="P218" s="15">
        <f t="shared" si="33"/>
        <v>27</v>
      </c>
      <c r="Q218" s="15">
        <f t="shared" si="34"/>
        <v>31</v>
      </c>
      <c r="R218" s="15">
        <f>IF(F218="事业部",LOOKUP(Q218,基础设置!$T$2:$T$6,基础设置!$U$2:$U$6),IF(F218="总部",LOOKUP(Q218,基础设置!$T$8:$T$13,基础设置!$V$8:$V$13),IF(F218="拓展部",LOOKUP(Q218,基础设置!$T$8:$T$13,基础设置!$W$8:$W$13),2000)))</f>
        <v>4</v>
      </c>
      <c r="S218" s="15">
        <f t="shared" si="35"/>
        <v>31</v>
      </c>
      <c r="T218" s="15">
        <f t="shared" si="36"/>
        <v>0</v>
      </c>
      <c r="U218" s="15">
        <f t="shared" si="37"/>
        <v>0</v>
      </c>
      <c r="V218" s="15">
        <f t="shared" si="30"/>
        <v>0</v>
      </c>
      <c r="W218" s="15">
        <f t="shared" si="38"/>
        <v>0</v>
      </c>
      <c r="X218" s="26">
        <v>150</v>
      </c>
      <c r="Y218" s="26"/>
      <c r="Z218" s="26"/>
      <c r="AA218" s="26"/>
      <c r="AB218" s="27"/>
      <c r="AC218" s="27"/>
      <c r="AD218" s="27"/>
      <c r="AE218" s="27"/>
      <c r="AF218" s="27"/>
      <c r="AG218" s="27"/>
      <c r="AH218" s="17">
        <f>_xlfn.XLOOKUP(D218,'①7月-花名册'!E:E,'①7月-花名册'!T:T,0)</f>
        <v>0</v>
      </c>
      <c r="AI218" s="15">
        <f>SUMIFS('7月运营'!$L:$L,'7月运营'!$A:$A,D218,'7月运营'!$K:$K,$A$1)</f>
        <v>0</v>
      </c>
      <c r="AJ218" s="15">
        <f>SUMIFS('7月运营'!H:H,'7月运营'!$A:$A,D218,'7月运营'!$K:$K,$A$1)</f>
        <v>0</v>
      </c>
      <c r="AK218" s="15">
        <f>SUMIFS(上月未发人员明细!I:I,上月未发人员明细!J:J,$AK$2,上月未发人员明细!A:A,D218)</f>
        <v>0</v>
      </c>
      <c r="AL218" s="15">
        <f>SUMIFS('7月运营'!L:L,'7月运营'!$A:$A,D218,'7月运营'!$K:$K,$AL$2)</f>
        <v>0</v>
      </c>
      <c r="AM218" s="18">
        <f>SUMIFS('7月运营'!$F:$F,'7月运营'!$A:$A,D218,'7月运营'!$K:$K,'②7月-汇总'!$AM$2,'7月运营'!$G:$G,"岗位核算")</f>
        <v>0</v>
      </c>
      <c r="AN218" s="18">
        <f>SUMIFS('7月运营'!$F:$F,'7月运营'!$A:$A,D218,'7月运营'!$K:$K,$AN$2,'7月运营'!$G:$G,"岗位核算")</f>
        <v>0</v>
      </c>
      <c r="AO218" s="18" t="str">
        <f t="shared" si="39"/>
        <v/>
      </c>
      <c r="AP218" s="18">
        <f t="shared" si="31"/>
        <v>31</v>
      </c>
      <c r="AQ218" s="18">
        <f>_xlfn.XLOOKUP(D218,'7月运营'!A:A,'7月运营'!G:G,0)</f>
        <v>0</v>
      </c>
    </row>
    <row r="219" spans="1:43" x14ac:dyDescent="0.15">
      <c r="A219" s="11" t="str">
        <v>龙城国际</v>
      </c>
      <c r="B219" s="11" t="str">
        <v>健康师</v>
      </c>
      <c r="C219" s="11" t="str">
        <v>A</v>
      </c>
      <c r="D219" s="11" t="str">
        <v>谢金梅</v>
      </c>
      <c r="E219" s="11" t="str">
        <v>离职</v>
      </c>
      <c r="F219" s="11" t="str">
        <v>事业部</v>
      </c>
      <c r="G219" s="11">
        <f>_xlfn.XLOOKUP(D219,'①7月-花名册'!E:E,'①7月-花名册'!U:U,0)</f>
        <v>0</v>
      </c>
      <c r="H219" s="11">
        <f>_xlfn.XLOOKUP(D219,'①7月-花名册'!E:E,'①7月-花名册'!M:M,0)</f>
        <v>14</v>
      </c>
      <c r="I219" s="11">
        <f>_xlfn.XLOOKUP(D219,'①7月-花名册'!E:E,'①7月-花名册'!S:S,0)</f>
        <v>1</v>
      </c>
      <c r="J219" s="14">
        <f t="shared" si="32"/>
        <v>1</v>
      </c>
      <c r="K219" s="23">
        <v>1</v>
      </c>
      <c r="L219" s="23"/>
      <c r="M219" s="23"/>
      <c r="N219" s="23"/>
      <c r="O219" s="23"/>
      <c r="P219" s="15">
        <f t="shared" si="33"/>
        <v>13</v>
      </c>
      <c r="Q219" s="15">
        <f t="shared" si="34"/>
        <v>14</v>
      </c>
      <c r="R219" s="15">
        <f>IF(F219="事业部",LOOKUP(Q219,基础设置!$T$2:$T$6,基础设置!$U$2:$U$6),IF(F219="总部",LOOKUP(Q219,基础设置!$T$8:$T$13,基础设置!$V$8:$V$13),IF(F219="拓展部",LOOKUP(Q219,基础设置!$T$8:$T$13,基础设置!$W$8:$W$13),2000)))</f>
        <v>1</v>
      </c>
      <c r="S219" s="15">
        <f t="shared" si="35"/>
        <v>14</v>
      </c>
      <c r="T219" s="15">
        <f t="shared" si="36"/>
        <v>0</v>
      </c>
      <c r="U219" s="15">
        <f t="shared" si="37"/>
        <v>0</v>
      </c>
      <c r="V219" s="15">
        <f t="shared" si="30"/>
        <v>0</v>
      </c>
      <c r="W219" s="15">
        <f t="shared" si="38"/>
        <v>0</v>
      </c>
      <c r="X219" s="26"/>
      <c r="Y219" s="26"/>
      <c r="Z219" s="26"/>
      <c r="AA219" s="26"/>
      <c r="AB219" s="27">
        <v>1300</v>
      </c>
      <c r="AC219" s="27"/>
      <c r="AD219" s="27"/>
      <c r="AE219" s="27">
        <v>300</v>
      </c>
      <c r="AF219" s="27"/>
      <c r="AG219" s="27"/>
      <c r="AH219" s="17">
        <f>_xlfn.XLOOKUP(D219,'①7月-花名册'!E:E,'①7月-花名册'!T:T,0)</f>
        <v>0</v>
      </c>
      <c r="AI219" s="15">
        <f>SUMIFS('7月运营'!$L:$L,'7月运营'!$A:$A,D219,'7月运营'!$K:$K,$A$1)</f>
        <v>0</v>
      </c>
      <c r="AJ219" s="15">
        <f>SUMIFS('7月运营'!H:H,'7月运营'!$A:$A,D219,'7月运营'!$K:$K,$A$1)</f>
        <v>0</v>
      </c>
      <c r="AK219" s="15">
        <f>SUMIFS(上月未发人员明细!I:I,上月未发人员明细!J:J,$AK$2,上月未发人员明细!A:A,D219)</f>
        <v>0</v>
      </c>
      <c r="AL219" s="15">
        <f>SUMIFS('7月运营'!L:L,'7月运营'!$A:$A,D219,'7月运营'!$K:$K,$AL$2)</f>
        <v>0</v>
      </c>
      <c r="AM219" s="18">
        <f>SUMIFS('7月运营'!$F:$F,'7月运营'!$A:$A,D219,'7月运营'!$K:$K,'②7月-汇总'!$AM$2,'7月运营'!$G:$G,"岗位核算")</f>
        <v>0</v>
      </c>
      <c r="AN219" s="18">
        <f>SUMIFS('7月运营'!$F:$F,'7月运营'!$A:$A,D219,'7月运营'!$K:$K,$AN$2,'7月运营'!$G:$G,"岗位核算")</f>
        <v>0</v>
      </c>
      <c r="AO219" s="18" t="str">
        <f t="shared" si="39"/>
        <v/>
      </c>
      <c r="AP219" s="18">
        <f t="shared" si="31"/>
        <v>14</v>
      </c>
      <c r="AQ219" s="18">
        <f>_xlfn.XLOOKUP(D219,'7月运营'!A:A,'7月运营'!G:G,0)</f>
        <v>0</v>
      </c>
    </row>
    <row r="220" spans="1:43" x14ac:dyDescent="0.15">
      <c r="A220" s="11" t="str">
        <v>龙城国际</v>
      </c>
      <c r="B220" s="11" t="str">
        <v>健康师</v>
      </c>
      <c r="C220" s="11" t="str">
        <v>A</v>
      </c>
      <c r="D220" s="11" t="str">
        <v>李洪芳</v>
      </c>
      <c r="E220" s="11" t="str">
        <v>在职</v>
      </c>
      <c r="F220" s="11" t="str">
        <v>事业部</v>
      </c>
      <c r="G220" s="11">
        <f>_xlfn.XLOOKUP(D220,'①7月-花名册'!E:E,'①7月-花名册'!U:U,0)</f>
        <v>0</v>
      </c>
      <c r="H220" s="11">
        <f>_xlfn.XLOOKUP(D220,'①7月-花名册'!E:E,'①7月-花名册'!M:M,0)</f>
        <v>31</v>
      </c>
      <c r="I220" s="11">
        <f>_xlfn.XLOOKUP(D220,'①7月-花名册'!E:E,'①7月-花名册'!S:S,0)</f>
        <v>4</v>
      </c>
      <c r="J220" s="14">
        <f t="shared" si="32"/>
        <v>4</v>
      </c>
      <c r="K220" s="23">
        <v>4</v>
      </c>
      <c r="L220" s="23"/>
      <c r="M220" s="23"/>
      <c r="N220" s="23"/>
      <c r="O220" s="23"/>
      <c r="P220" s="15">
        <f t="shared" si="33"/>
        <v>27</v>
      </c>
      <c r="Q220" s="15">
        <f t="shared" si="34"/>
        <v>31</v>
      </c>
      <c r="R220" s="15">
        <f>IF(F220="事业部",LOOKUP(Q220,基础设置!$T$2:$T$6,基础设置!$U$2:$U$6),IF(F220="总部",LOOKUP(Q220,基础设置!$T$8:$T$13,基础设置!$V$8:$V$13),IF(F220="拓展部",LOOKUP(Q220,基础设置!$T$8:$T$13,基础设置!$W$8:$W$13),2000)))</f>
        <v>4</v>
      </c>
      <c r="S220" s="15">
        <f t="shared" si="35"/>
        <v>31</v>
      </c>
      <c r="T220" s="15">
        <f t="shared" si="36"/>
        <v>0</v>
      </c>
      <c r="U220" s="15">
        <f t="shared" si="37"/>
        <v>0</v>
      </c>
      <c r="V220" s="15">
        <f t="shared" si="30"/>
        <v>0</v>
      </c>
      <c r="W220" s="15">
        <f t="shared" si="38"/>
        <v>0</v>
      </c>
      <c r="X220" s="26"/>
      <c r="Y220" s="26"/>
      <c r="Z220" s="26"/>
      <c r="AA220" s="26"/>
      <c r="AB220" s="27"/>
      <c r="AC220" s="27"/>
      <c r="AD220" s="27"/>
      <c r="AE220" s="27"/>
      <c r="AF220" s="27"/>
      <c r="AG220" s="27"/>
      <c r="AH220" s="17">
        <f>_xlfn.XLOOKUP(D220,'①7月-花名册'!E:E,'①7月-花名册'!T:T,0)</f>
        <v>0</v>
      </c>
      <c r="AI220" s="15">
        <f>SUMIFS('7月运营'!$L:$L,'7月运营'!$A:$A,D220,'7月运营'!$K:$K,$A$1)</f>
        <v>0</v>
      </c>
      <c r="AJ220" s="15">
        <f>SUMIFS('7月运营'!H:H,'7月运营'!$A:$A,D220,'7月运营'!$K:$K,$A$1)</f>
        <v>0</v>
      </c>
      <c r="AK220" s="15">
        <f>SUMIFS(上月未发人员明细!I:I,上月未发人员明细!J:J,$AK$2,上月未发人员明细!A:A,D220)</f>
        <v>0</v>
      </c>
      <c r="AL220" s="15">
        <f>SUMIFS('7月运营'!L:L,'7月运营'!$A:$A,D220,'7月运营'!$K:$K,$AL$2)</f>
        <v>0</v>
      </c>
      <c r="AM220" s="18">
        <f>SUMIFS('7月运营'!$F:$F,'7月运营'!$A:$A,D220,'7月运营'!$K:$K,'②7月-汇总'!$AM$2,'7月运营'!$G:$G,"岗位核算")</f>
        <v>0</v>
      </c>
      <c r="AN220" s="18">
        <f>SUMIFS('7月运营'!$F:$F,'7月运营'!$A:$A,D220,'7月运营'!$K:$K,$AN$2,'7月运营'!$G:$G,"岗位核算")</f>
        <v>0</v>
      </c>
      <c r="AO220" s="18" t="str">
        <f t="shared" si="39"/>
        <v/>
      </c>
      <c r="AP220" s="18">
        <f t="shared" si="31"/>
        <v>31</v>
      </c>
      <c r="AQ220" s="18">
        <f>_xlfn.XLOOKUP(D220,'7月运营'!A:A,'7月运营'!G:G,0)</f>
        <v>0</v>
      </c>
    </row>
    <row r="221" spans="1:43" x14ac:dyDescent="0.15">
      <c r="A221" s="11" t="str">
        <v>龙城国际</v>
      </c>
      <c r="B221" s="11" t="str">
        <v>健康师</v>
      </c>
      <c r="C221" s="11" t="str">
        <v>A</v>
      </c>
      <c r="D221" s="11" t="str">
        <v>王维</v>
      </c>
      <c r="E221" s="11" t="str">
        <v>在职</v>
      </c>
      <c r="F221" s="11" t="str">
        <v>事业部</v>
      </c>
      <c r="G221" s="11">
        <f>_xlfn.XLOOKUP(D221,'①7月-花名册'!E:E,'①7月-花名册'!U:U,0)</f>
        <v>0</v>
      </c>
      <c r="H221" s="11">
        <f>_xlfn.XLOOKUP(D221,'①7月-花名册'!E:E,'①7月-花名册'!M:M,0)</f>
        <v>31</v>
      </c>
      <c r="I221" s="11">
        <f>_xlfn.XLOOKUP(D221,'①7月-花名册'!E:E,'①7月-花名册'!S:S,0)</f>
        <v>4</v>
      </c>
      <c r="J221" s="14">
        <f t="shared" si="32"/>
        <v>4</v>
      </c>
      <c r="K221" s="23">
        <v>4</v>
      </c>
      <c r="L221" s="23"/>
      <c r="M221" s="23"/>
      <c r="N221" s="23"/>
      <c r="O221" s="23"/>
      <c r="P221" s="15">
        <f t="shared" si="33"/>
        <v>27</v>
      </c>
      <c r="Q221" s="15">
        <f t="shared" si="34"/>
        <v>31</v>
      </c>
      <c r="R221" s="15">
        <f>IF(F221="事业部",LOOKUP(Q221,基础设置!$T$2:$T$6,基础设置!$U$2:$U$6),IF(F221="总部",LOOKUP(Q221,基础设置!$T$8:$T$13,基础设置!$V$8:$V$13),IF(F221="拓展部",LOOKUP(Q221,基础设置!$T$8:$T$13,基础设置!$W$8:$W$13),2000)))</f>
        <v>4</v>
      </c>
      <c r="S221" s="15">
        <f t="shared" si="35"/>
        <v>31</v>
      </c>
      <c r="T221" s="15">
        <f t="shared" si="36"/>
        <v>0</v>
      </c>
      <c r="U221" s="15">
        <f t="shared" si="37"/>
        <v>0</v>
      </c>
      <c r="V221" s="15">
        <f t="shared" si="30"/>
        <v>0</v>
      </c>
      <c r="W221" s="15">
        <f t="shared" si="38"/>
        <v>0</v>
      </c>
      <c r="X221" s="26">
        <v>90</v>
      </c>
      <c r="Y221" s="26"/>
      <c r="Z221" s="26"/>
      <c r="AA221" s="26"/>
      <c r="AB221" s="27"/>
      <c r="AC221" s="27">
        <v>100</v>
      </c>
      <c r="AD221" s="27"/>
      <c r="AE221" s="27"/>
      <c r="AF221" s="27"/>
      <c r="AG221" s="27"/>
      <c r="AH221" s="17">
        <f>_xlfn.XLOOKUP(D221,'①7月-花名册'!E:E,'①7月-花名册'!T:T,0)</f>
        <v>0</v>
      </c>
      <c r="AI221" s="15">
        <f>SUMIFS('7月运营'!$L:$L,'7月运营'!$A:$A,D221,'7月运营'!$K:$K,$A$1)</f>
        <v>0</v>
      </c>
      <c r="AJ221" s="15">
        <f>SUMIFS('7月运营'!H:H,'7月运营'!$A:$A,D221,'7月运营'!$K:$K,$A$1)</f>
        <v>0</v>
      </c>
      <c r="AK221" s="15">
        <f>SUMIFS(上月未发人员明细!I:I,上月未发人员明细!J:J,$AK$2,上月未发人员明细!A:A,D221)</f>
        <v>0</v>
      </c>
      <c r="AL221" s="15">
        <f>SUMIFS('7月运营'!L:L,'7月运营'!$A:$A,D221,'7月运营'!$K:$K,$AL$2)</f>
        <v>0</v>
      </c>
      <c r="AM221" s="18">
        <f>SUMIFS('7月运营'!$F:$F,'7月运营'!$A:$A,D221,'7月运营'!$K:$K,'②7月-汇总'!$AM$2,'7月运营'!$G:$G,"岗位核算")</f>
        <v>0</v>
      </c>
      <c r="AN221" s="18">
        <f>SUMIFS('7月运营'!$F:$F,'7月运营'!$A:$A,D221,'7月运营'!$K:$K,$AN$2,'7月运营'!$G:$G,"岗位核算")</f>
        <v>0</v>
      </c>
      <c r="AO221" s="18" t="str">
        <f t="shared" si="39"/>
        <v/>
      </c>
      <c r="AP221" s="18">
        <f t="shared" si="31"/>
        <v>31</v>
      </c>
      <c r="AQ221" s="18">
        <f>_xlfn.XLOOKUP(D221,'7月运营'!A:A,'7月运营'!G:G,0)</f>
        <v>0</v>
      </c>
    </row>
    <row r="222" spans="1:43" x14ac:dyDescent="0.15">
      <c r="A222" s="11" t="str">
        <v>龙城国际</v>
      </c>
      <c r="B222" s="11" t="str">
        <v>健康师</v>
      </c>
      <c r="C222" s="11" t="str">
        <v>A</v>
      </c>
      <c r="D222" s="11" t="str">
        <v>罗文文</v>
      </c>
      <c r="E222" s="11" t="str">
        <v>在职</v>
      </c>
      <c r="F222" s="11" t="str">
        <v>事业部</v>
      </c>
      <c r="G222" s="11">
        <f>_xlfn.XLOOKUP(D222,'①7月-花名册'!E:E,'①7月-花名册'!U:U,0)</f>
        <v>0</v>
      </c>
      <c r="H222" s="11">
        <f>_xlfn.XLOOKUP(D222,'①7月-花名册'!E:E,'①7月-花名册'!M:M,0)</f>
        <v>31</v>
      </c>
      <c r="I222" s="11">
        <f>_xlfn.XLOOKUP(D222,'①7月-花名册'!E:E,'①7月-花名册'!S:S,0)</f>
        <v>4</v>
      </c>
      <c r="J222" s="14">
        <f t="shared" si="32"/>
        <v>4</v>
      </c>
      <c r="K222" s="23">
        <v>4</v>
      </c>
      <c r="L222" s="23"/>
      <c r="M222" s="23"/>
      <c r="N222" s="23"/>
      <c r="O222" s="23"/>
      <c r="P222" s="15">
        <f t="shared" si="33"/>
        <v>27</v>
      </c>
      <c r="Q222" s="15">
        <f t="shared" si="34"/>
        <v>31</v>
      </c>
      <c r="R222" s="15">
        <f>IF(F222="事业部",LOOKUP(Q222,基础设置!$T$2:$T$6,基础设置!$U$2:$U$6),IF(F222="总部",LOOKUP(Q222,基础设置!$T$8:$T$13,基础设置!$V$8:$V$13),IF(F222="拓展部",LOOKUP(Q222,基础设置!$T$8:$T$13,基础设置!$W$8:$W$13),2000)))</f>
        <v>4</v>
      </c>
      <c r="S222" s="15">
        <f t="shared" si="35"/>
        <v>31</v>
      </c>
      <c r="T222" s="15">
        <f t="shared" si="36"/>
        <v>0</v>
      </c>
      <c r="U222" s="15">
        <f t="shared" si="37"/>
        <v>0</v>
      </c>
      <c r="V222" s="15">
        <f t="shared" si="30"/>
        <v>0</v>
      </c>
      <c r="W222" s="15">
        <f t="shared" si="38"/>
        <v>0</v>
      </c>
      <c r="X222" s="26">
        <v>90</v>
      </c>
      <c r="Y222" s="26"/>
      <c r="Z222" s="26"/>
      <c r="AA222" s="26"/>
      <c r="AB222" s="27"/>
      <c r="AC222" s="27"/>
      <c r="AD222" s="27"/>
      <c r="AE222" s="27"/>
      <c r="AF222" s="27"/>
      <c r="AG222" s="27"/>
      <c r="AH222" s="17">
        <f>_xlfn.XLOOKUP(D222,'①7月-花名册'!E:E,'①7月-花名册'!T:T,0)</f>
        <v>0</v>
      </c>
      <c r="AI222" s="15">
        <f>SUMIFS('7月运营'!$L:$L,'7月运营'!$A:$A,D222,'7月运营'!$K:$K,$A$1)</f>
        <v>0</v>
      </c>
      <c r="AJ222" s="15">
        <f>SUMIFS('7月运营'!H:H,'7月运营'!$A:$A,D222,'7月运营'!$K:$K,$A$1)</f>
        <v>0</v>
      </c>
      <c r="AK222" s="15">
        <f>SUMIFS(上月未发人员明细!I:I,上月未发人员明细!J:J,$AK$2,上月未发人员明细!A:A,D222)</f>
        <v>0</v>
      </c>
      <c r="AL222" s="15">
        <f>SUMIFS('7月运营'!L:L,'7月运营'!$A:$A,D222,'7月运营'!$K:$K,$AL$2)</f>
        <v>0</v>
      </c>
      <c r="AM222" s="18">
        <f>SUMIFS('7月运营'!$F:$F,'7月运营'!$A:$A,D222,'7月运营'!$K:$K,'②7月-汇总'!$AM$2,'7月运营'!$G:$G,"岗位核算")</f>
        <v>0</v>
      </c>
      <c r="AN222" s="18">
        <f>SUMIFS('7月运营'!$F:$F,'7月运营'!$A:$A,D222,'7月运营'!$K:$K,$AN$2,'7月运营'!$G:$G,"岗位核算")</f>
        <v>0</v>
      </c>
      <c r="AO222" s="18" t="str">
        <f t="shared" si="39"/>
        <v/>
      </c>
      <c r="AP222" s="18">
        <f t="shared" si="31"/>
        <v>31</v>
      </c>
      <c r="AQ222" s="18">
        <f>_xlfn.XLOOKUP(D222,'7月运营'!A:A,'7月运营'!G:G,0)</f>
        <v>0</v>
      </c>
    </row>
    <row r="223" spans="1:43" x14ac:dyDescent="0.15">
      <c r="A223" s="11" t="str">
        <v>川音</v>
      </c>
      <c r="B223" s="11" t="str">
        <v>主任</v>
      </c>
      <c r="C223" s="11" t="str">
        <v>B</v>
      </c>
      <c r="D223" s="11" t="str">
        <v>任艺</v>
      </c>
      <c r="E223" s="11" t="str">
        <v>在职</v>
      </c>
      <c r="F223" s="11" t="str">
        <v>事业部</v>
      </c>
      <c r="G223" s="11">
        <f>_xlfn.XLOOKUP(D223,'①7月-花名册'!E:E,'①7月-花名册'!U:U,0)</f>
        <v>0</v>
      </c>
      <c r="H223" s="11">
        <f>_xlfn.XLOOKUP(D223,'①7月-花名册'!E:E,'①7月-花名册'!M:M,0)</f>
        <v>31</v>
      </c>
      <c r="I223" s="11">
        <f>_xlfn.XLOOKUP(D223,'①7月-花名册'!E:E,'①7月-花名册'!S:S,0)</f>
        <v>4</v>
      </c>
      <c r="J223" s="14">
        <f t="shared" si="32"/>
        <v>4</v>
      </c>
      <c r="K223" s="23">
        <v>4</v>
      </c>
      <c r="L223" s="23"/>
      <c r="M223" s="23"/>
      <c r="N223" s="23"/>
      <c r="O223" s="23"/>
      <c r="P223" s="15">
        <f t="shared" si="33"/>
        <v>27</v>
      </c>
      <c r="Q223" s="15">
        <f t="shared" si="34"/>
        <v>31</v>
      </c>
      <c r="R223" s="15">
        <f>IF(F223="事业部",LOOKUP(Q223,基础设置!$T$2:$T$6,基础设置!$U$2:$U$6),IF(F223="总部",LOOKUP(Q223,基础设置!$T$8:$T$13,基础设置!$V$8:$V$13),IF(F223="拓展部",LOOKUP(Q223,基础设置!$T$8:$T$13,基础设置!$W$8:$W$13),2000)))</f>
        <v>4</v>
      </c>
      <c r="S223" s="15">
        <f t="shared" si="35"/>
        <v>31</v>
      </c>
      <c r="T223" s="15">
        <f t="shared" si="36"/>
        <v>0</v>
      </c>
      <c r="U223" s="15">
        <f t="shared" si="37"/>
        <v>0</v>
      </c>
      <c r="V223" s="15">
        <f t="shared" si="30"/>
        <v>0</v>
      </c>
      <c r="W223" s="15">
        <f t="shared" si="38"/>
        <v>0</v>
      </c>
      <c r="X223" s="26">
        <v>90</v>
      </c>
      <c r="Y223" s="26"/>
      <c r="Z223" s="26"/>
      <c r="AA223" s="26"/>
      <c r="AB223" s="27"/>
      <c r="AC223" s="27"/>
      <c r="AD223" s="27"/>
      <c r="AE223" s="27"/>
      <c r="AF223" s="27"/>
      <c r="AG223" s="27"/>
      <c r="AH223" s="17">
        <f>_xlfn.XLOOKUP(D223,'①7月-花名册'!E:E,'①7月-花名册'!T:T,0)</f>
        <v>0</v>
      </c>
      <c r="AI223" s="15">
        <f>SUMIFS('7月运营'!$L:$L,'7月运营'!$A:$A,D223,'7月运营'!$K:$K,$A$1)</f>
        <v>0</v>
      </c>
      <c r="AJ223" s="15">
        <f>SUMIFS('7月运营'!H:H,'7月运营'!$A:$A,D223,'7月运营'!$K:$K,$A$1)</f>
        <v>0</v>
      </c>
      <c r="AK223" s="15">
        <f>SUMIFS(上月未发人员明细!I:I,上月未发人员明细!J:J,$AK$2,上月未发人员明细!A:A,D223)</f>
        <v>0</v>
      </c>
      <c r="AL223" s="15">
        <f>SUMIFS('7月运营'!L:L,'7月运营'!$A:$A,D223,'7月运营'!$K:$K,$AL$2)</f>
        <v>0</v>
      </c>
      <c r="AM223" s="18">
        <f>SUMIFS('7月运营'!$F:$F,'7月运营'!$A:$A,D223,'7月运营'!$K:$K,'②7月-汇总'!$AM$2,'7月运营'!$G:$G,"岗位核算")</f>
        <v>0</v>
      </c>
      <c r="AN223" s="18">
        <f>SUMIFS('7月运营'!$F:$F,'7月运营'!$A:$A,D223,'7月运营'!$K:$K,$AN$2,'7月运营'!$G:$G,"岗位核算")</f>
        <v>0</v>
      </c>
      <c r="AO223" s="18" t="str">
        <f t="shared" si="39"/>
        <v/>
      </c>
      <c r="AP223" s="18">
        <f t="shared" si="31"/>
        <v>31</v>
      </c>
      <c r="AQ223" s="18">
        <f>_xlfn.XLOOKUP(D223,'7月运营'!A:A,'7月运营'!G:G,0)</f>
        <v>0</v>
      </c>
    </row>
    <row r="224" spans="1:43" x14ac:dyDescent="0.15">
      <c r="A224" s="11" t="str">
        <v>川音</v>
      </c>
      <c r="B224" s="11" t="str">
        <v>健康师</v>
      </c>
      <c r="C224" s="11" t="str">
        <v>A</v>
      </c>
      <c r="D224" s="11" t="str">
        <v>贺丽</v>
      </c>
      <c r="E224" s="11" t="str">
        <v>在职</v>
      </c>
      <c r="F224" s="11" t="str">
        <v>事业部</v>
      </c>
      <c r="G224" s="11">
        <f>_xlfn.XLOOKUP(D224,'①7月-花名册'!E:E,'①7月-花名册'!U:U,0)</f>
        <v>0</v>
      </c>
      <c r="H224" s="11">
        <f>_xlfn.XLOOKUP(D224,'①7月-花名册'!E:E,'①7月-花名册'!M:M,0)</f>
        <v>31</v>
      </c>
      <c r="I224" s="11">
        <f>_xlfn.XLOOKUP(D224,'①7月-花名册'!E:E,'①7月-花名册'!S:S,0)</f>
        <v>4</v>
      </c>
      <c r="J224" s="14">
        <f t="shared" si="32"/>
        <v>5</v>
      </c>
      <c r="K224" s="23">
        <v>4</v>
      </c>
      <c r="L224" s="23"/>
      <c r="M224" s="23">
        <v>1</v>
      </c>
      <c r="N224" s="23"/>
      <c r="O224" s="23"/>
      <c r="P224" s="15">
        <f t="shared" si="33"/>
        <v>26</v>
      </c>
      <c r="Q224" s="15">
        <f t="shared" si="34"/>
        <v>31</v>
      </c>
      <c r="R224" s="15">
        <f>IF(F224="事业部",LOOKUP(Q224,基础设置!$T$2:$T$6,基础设置!$U$2:$U$6),IF(F224="总部",LOOKUP(Q224,基础设置!$T$8:$T$13,基础设置!$V$8:$V$13),IF(F224="拓展部",LOOKUP(Q224,基础设置!$T$8:$T$13,基础设置!$W$8:$W$13),2000)))</f>
        <v>4</v>
      </c>
      <c r="S224" s="15">
        <f t="shared" si="35"/>
        <v>31</v>
      </c>
      <c r="T224" s="15">
        <f t="shared" si="36"/>
        <v>0</v>
      </c>
      <c r="U224" s="15">
        <f t="shared" si="37"/>
        <v>0</v>
      </c>
      <c r="V224" s="15">
        <f t="shared" si="30"/>
        <v>0</v>
      </c>
      <c r="W224" s="15">
        <f t="shared" si="38"/>
        <v>0</v>
      </c>
      <c r="X224" s="26">
        <v>20</v>
      </c>
      <c r="Y224" s="26"/>
      <c r="Z224" s="26"/>
      <c r="AA224" s="26"/>
      <c r="AB224" s="27"/>
      <c r="AC224" s="27"/>
      <c r="AD224" s="27"/>
      <c r="AE224" s="33">
        <v>300</v>
      </c>
      <c r="AF224" s="27"/>
      <c r="AG224" s="27"/>
      <c r="AH224" s="17">
        <f>_xlfn.XLOOKUP(D224,'①7月-花名册'!E:E,'①7月-花名册'!T:T,0)</f>
        <v>0</v>
      </c>
      <c r="AI224" s="15">
        <f>SUMIFS('7月运营'!$L:$L,'7月运营'!$A:$A,D224,'7月运营'!$K:$K,$A$1)</f>
        <v>0</v>
      </c>
      <c r="AJ224" s="15">
        <f>SUMIFS('7月运营'!H:H,'7月运营'!$A:$A,D224,'7月运营'!$K:$K,$A$1)</f>
        <v>0</v>
      </c>
      <c r="AK224" s="15">
        <f>SUMIFS(上月未发人员明细!I:I,上月未发人员明细!J:J,$AK$2,上月未发人员明细!A:A,D224)</f>
        <v>0</v>
      </c>
      <c r="AL224" s="15">
        <f>SUMIFS('7月运营'!L:L,'7月运营'!$A:$A,D224,'7月运营'!$K:$K,$AL$2)</f>
        <v>0</v>
      </c>
      <c r="AM224" s="18">
        <f>SUMIFS('7月运营'!$F:$F,'7月运营'!$A:$A,D224,'7月运营'!$K:$K,'②7月-汇总'!$AM$2,'7月运营'!$G:$G,"岗位核算")</f>
        <v>0</v>
      </c>
      <c r="AN224" s="18">
        <f>SUMIFS('7月运营'!$F:$F,'7月运营'!$A:$A,D224,'7月运营'!$K:$K,$AN$2,'7月运营'!$G:$G,"岗位核算")</f>
        <v>0</v>
      </c>
      <c r="AO224" s="18" t="str">
        <f t="shared" si="39"/>
        <v/>
      </c>
      <c r="AP224" s="18">
        <f t="shared" si="31"/>
        <v>31</v>
      </c>
      <c r="AQ224" s="18">
        <f>_xlfn.XLOOKUP(D224,'7月运营'!A:A,'7月运营'!G:G,0)</f>
        <v>0</v>
      </c>
    </row>
    <row r="225" spans="1:43" x14ac:dyDescent="0.15">
      <c r="A225" s="11" t="str">
        <v>川音</v>
      </c>
      <c r="B225" s="11" t="str">
        <v>健康师</v>
      </c>
      <c r="C225" s="11" t="str">
        <v>A</v>
      </c>
      <c r="D225" s="11" t="str">
        <v>殷小燕</v>
      </c>
      <c r="E225" s="11" t="str">
        <v>在职</v>
      </c>
      <c r="F225" s="11" t="str">
        <v>事业部</v>
      </c>
      <c r="G225" s="11">
        <f>_xlfn.XLOOKUP(D225,'①7月-花名册'!E:E,'①7月-花名册'!U:U,0)</f>
        <v>0</v>
      </c>
      <c r="H225" s="11">
        <f>_xlfn.XLOOKUP(D225,'①7月-花名册'!E:E,'①7月-花名册'!M:M,0)</f>
        <v>31</v>
      </c>
      <c r="I225" s="11">
        <f>_xlfn.XLOOKUP(D225,'①7月-花名册'!E:E,'①7月-花名册'!S:S,0)</f>
        <v>4</v>
      </c>
      <c r="J225" s="14">
        <f t="shared" si="32"/>
        <v>5</v>
      </c>
      <c r="K225" s="23">
        <v>4</v>
      </c>
      <c r="L225" s="23"/>
      <c r="M225" s="23">
        <v>1</v>
      </c>
      <c r="N225" s="23"/>
      <c r="O225" s="23"/>
      <c r="P225" s="15">
        <f t="shared" si="33"/>
        <v>26</v>
      </c>
      <c r="Q225" s="15">
        <f t="shared" si="34"/>
        <v>31</v>
      </c>
      <c r="R225" s="15">
        <f>IF(F225="事业部",LOOKUP(Q225,基础设置!$T$2:$T$6,基础设置!$U$2:$U$6),IF(F225="总部",LOOKUP(Q225,基础设置!$T$8:$T$13,基础设置!$V$8:$V$13),IF(F225="拓展部",LOOKUP(Q225,基础设置!$T$8:$T$13,基础设置!$W$8:$W$13),2000)))</f>
        <v>4</v>
      </c>
      <c r="S225" s="15">
        <f t="shared" si="35"/>
        <v>31</v>
      </c>
      <c r="T225" s="15">
        <f t="shared" si="36"/>
        <v>0</v>
      </c>
      <c r="U225" s="15">
        <f t="shared" si="37"/>
        <v>0</v>
      </c>
      <c r="V225" s="15">
        <f t="shared" si="30"/>
        <v>0</v>
      </c>
      <c r="W225" s="15">
        <f t="shared" si="38"/>
        <v>0</v>
      </c>
      <c r="X225" s="26"/>
      <c r="Y225" s="26"/>
      <c r="Z225" s="26"/>
      <c r="AA225" s="26"/>
      <c r="AB225" s="27"/>
      <c r="AC225" s="27"/>
      <c r="AD225" s="27"/>
      <c r="AE225" s="27"/>
      <c r="AF225" s="27"/>
      <c r="AG225" s="27"/>
      <c r="AH225" s="17">
        <f>_xlfn.XLOOKUP(D225,'①7月-花名册'!E:E,'①7月-花名册'!T:T,0)</f>
        <v>0</v>
      </c>
      <c r="AI225" s="15">
        <f>SUMIFS('7月运营'!$L:$L,'7月运营'!$A:$A,D225,'7月运营'!$K:$K,$A$1)</f>
        <v>0</v>
      </c>
      <c r="AJ225" s="15">
        <f>SUMIFS('7月运营'!H:H,'7月运营'!$A:$A,D225,'7月运营'!$K:$K,$A$1)</f>
        <v>0</v>
      </c>
      <c r="AK225" s="15">
        <f>SUMIFS(上月未发人员明细!I:I,上月未发人员明细!J:J,$AK$2,上月未发人员明细!A:A,D225)</f>
        <v>0</v>
      </c>
      <c r="AL225" s="15">
        <f>SUMIFS('7月运营'!L:L,'7月运营'!$A:$A,D225,'7月运营'!$K:$K,$AL$2)</f>
        <v>0</v>
      </c>
      <c r="AM225" s="18">
        <f>SUMIFS('7月运营'!$F:$F,'7月运营'!$A:$A,D225,'7月运营'!$K:$K,'②7月-汇总'!$AM$2,'7月运营'!$G:$G,"岗位核算")</f>
        <v>0</v>
      </c>
      <c r="AN225" s="18">
        <f>SUMIFS('7月运营'!$F:$F,'7月运营'!$A:$A,D225,'7月运营'!$K:$K,$AN$2,'7月运营'!$G:$G,"岗位核算")</f>
        <v>0</v>
      </c>
      <c r="AO225" s="18" t="str">
        <f t="shared" si="39"/>
        <v/>
      </c>
      <c r="AP225" s="18">
        <f t="shared" si="31"/>
        <v>31</v>
      </c>
      <c r="AQ225" s="18">
        <f>_xlfn.XLOOKUP(D225,'7月运营'!A:A,'7月运营'!G:G,0)</f>
        <v>0</v>
      </c>
    </row>
    <row r="226" spans="1:43" x14ac:dyDescent="0.15">
      <c r="A226" s="11" t="str">
        <v>川音</v>
      </c>
      <c r="B226" s="11" t="str">
        <v>健康师</v>
      </c>
      <c r="C226" s="11" t="str">
        <v>A</v>
      </c>
      <c r="D226" s="11" t="str">
        <v>李海瑛</v>
      </c>
      <c r="E226" s="11" t="str">
        <v>在职</v>
      </c>
      <c r="F226" s="11" t="str">
        <v>事业部</v>
      </c>
      <c r="G226" s="11">
        <f>_xlfn.XLOOKUP(D226,'①7月-花名册'!E:E,'①7月-花名册'!U:U,0)</f>
        <v>0</v>
      </c>
      <c r="H226" s="11">
        <f>_xlfn.XLOOKUP(D226,'①7月-花名册'!E:E,'①7月-花名册'!M:M,0)</f>
        <v>31</v>
      </c>
      <c r="I226" s="11">
        <f>_xlfn.XLOOKUP(D226,'①7月-花名册'!E:E,'①7月-花名册'!S:S,0)</f>
        <v>4</v>
      </c>
      <c r="J226" s="14">
        <f t="shared" si="32"/>
        <v>5</v>
      </c>
      <c r="K226" s="23">
        <v>4</v>
      </c>
      <c r="L226" s="23"/>
      <c r="M226" s="23">
        <v>1</v>
      </c>
      <c r="N226" s="23"/>
      <c r="O226" s="23"/>
      <c r="P226" s="15">
        <f t="shared" si="33"/>
        <v>26</v>
      </c>
      <c r="Q226" s="15">
        <f t="shared" si="34"/>
        <v>31</v>
      </c>
      <c r="R226" s="15">
        <f>IF(F226="事业部",LOOKUP(Q226,基础设置!$T$2:$T$6,基础设置!$U$2:$U$6),IF(F226="总部",LOOKUP(Q226,基础设置!$T$8:$T$13,基础设置!$V$8:$V$13),IF(F226="拓展部",LOOKUP(Q226,基础设置!$T$8:$T$13,基础设置!$W$8:$W$13),2000)))</f>
        <v>4</v>
      </c>
      <c r="S226" s="15">
        <f t="shared" si="35"/>
        <v>31</v>
      </c>
      <c r="T226" s="15">
        <f t="shared" si="36"/>
        <v>0</v>
      </c>
      <c r="U226" s="15">
        <f t="shared" si="37"/>
        <v>0</v>
      </c>
      <c r="V226" s="15">
        <f t="shared" si="30"/>
        <v>0</v>
      </c>
      <c r="W226" s="15">
        <f t="shared" si="38"/>
        <v>0</v>
      </c>
      <c r="X226" s="26"/>
      <c r="Y226" s="26"/>
      <c r="Z226" s="26"/>
      <c r="AA226" s="26"/>
      <c r="AB226" s="27"/>
      <c r="AC226" s="27"/>
      <c r="AD226" s="27"/>
      <c r="AE226" s="27"/>
      <c r="AF226" s="27"/>
      <c r="AG226" s="27"/>
      <c r="AH226" s="17">
        <f>_xlfn.XLOOKUP(D226,'①7月-花名册'!E:E,'①7月-花名册'!T:T,0)</f>
        <v>5000</v>
      </c>
      <c r="AI226" s="15">
        <f>SUMIFS('7月运营'!$L:$L,'7月运营'!$A:$A,D226,'7月运营'!$K:$K,$A$1)</f>
        <v>0</v>
      </c>
      <c r="AJ226" s="15">
        <f>SUMIFS('7月运营'!H:H,'7月运营'!$A:$A,D226,'7月运营'!$K:$K,$A$1)</f>
        <v>0</v>
      </c>
      <c r="AK226" s="15">
        <f>SUMIFS(上月未发人员明细!I:I,上月未发人员明细!J:J,$AK$2,上月未发人员明细!A:A,D226)</f>
        <v>0</v>
      </c>
      <c r="AL226" s="15">
        <f>SUMIFS('7月运营'!L:L,'7月运营'!$A:$A,D226,'7月运营'!$K:$K,$AL$2)</f>
        <v>0</v>
      </c>
      <c r="AM226" s="18">
        <f>SUMIFS('7月运营'!$F:$F,'7月运营'!$A:$A,D226,'7月运营'!$K:$K,'②7月-汇总'!$AM$2,'7月运营'!$G:$G,"岗位核算")</f>
        <v>0</v>
      </c>
      <c r="AN226" s="18">
        <f>SUMIFS('7月运营'!$F:$F,'7月运营'!$A:$A,D226,'7月运营'!$K:$K,$AN$2,'7月运营'!$G:$G,"岗位核算")</f>
        <v>0</v>
      </c>
      <c r="AO226" s="18" t="str">
        <f t="shared" si="39"/>
        <v/>
      </c>
      <c r="AP226" s="18">
        <f t="shared" si="31"/>
        <v>31</v>
      </c>
      <c r="AQ226" s="18">
        <f>_xlfn.XLOOKUP(D226,'7月运营'!A:A,'7月运营'!G:G,0)</f>
        <v>0</v>
      </c>
    </row>
    <row r="227" spans="1:43" x14ac:dyDescent="0.15">
      <c r="A227" s="11" t="str">
        <v>川音</v>
      </c>
      <c r="B227" s="11" t="str">
        <v>健康师</v>
      </c>
      <c r="C227" s="11" t="str">
        <v>A</v>
      </c>
      <c r="D227" s="11" t="str">
        <v>邹孟君</v>
      </c>
      <c r="E227" s="11" t="str">
        <v>在职</v>
      </c>
      <c r="F227" s="11" t="str">
        <v>事业部</v>
      </c>
      <c r="G227" s="11">
        <f>_xlfn.XLOOKUP(D227,'①7月-花名册'!E:E,'①7月-花名册'!U:U,0)</f>
        <v>0</v>
      </c>
      <c r="H227" s="11">
        <f>_xlfn.XLOOKUP(D227,'①7月-花名册'!E:E,'①7月-花名册'!M:M,0)</f>
        <v>31</v>
      </c>
      <c r="I227" s="11">
        <f>_xlfn.XLOOKUP(D227,'①7月-花名册'!E:E,'①7月-花名册'!S:S,0)</f>
        <v>4</v>
      </c>
      <c r="J227" s="14">
        <f t="shared" si="32"/>
        <v>5</v>
      </c>
      <c r="K227" s="23">
        <v>4</v>
      </c>
      <c r="L227" s="23"/>
      <c r="M227" s="23">
        <v>1</v>
      </c>
      <c r="N227" s="23"/>
      <c r="O227" s="23"/>
      <c r="P227" s="15">
        <f t="shared" si="33"/>
        <v>26</v>
      </c>
      <c r="Q227" s="15">
        <f t="shared" si="34"/>
        <v>31</v>
      </c>
      <c r="R227" s="15">
        <f>IF(F227="事业部",LOOKUP(Q227,基础设置!$T$2:$T$6,基础设置!$U$2:$U$6),IF(F227="总部",LOOKUP(Q227,基础设置!$T$8:$T$13,基础设置!$V$8:$V$13),IF(F227="拓展部",LOOKUP(Q227,基础设置!$T$8:$T$13,基础设置!$W$8:$W$13),2000)))</f>
        <v>4</v>
      </c>
      <c r="S227" s="15">
        <f t="shared" si="35"/>
        <v>31</v>
      </c>
      <c r="T227" s="15">
        <f t="shared" si="36"/>
        <v>0</v>
      </c>
      <c r="U227" s="15">
        <f t="shared" si="37"/>
        <v>0</v>
      </c>
      <c r="V227" s="15">
        <f t="shared" si="30"/>
        <v>0</v>
      </c>
      <c r="W227" s="15">
        <f t="shared" si="38"/>
        <v>0</v>
      </c>
      <c r="X227" s="26"/>
      <c r="Y227" s="26"/>
      <c r="Z227" s="26"/>
      <c r="AA227" s="26"/>
      <c r="AB227" s="27"/>
      <c r="AC227" s="27">
        <v>100</v>
      </c>
      <c r="AD227" s="27"/>
      <c r="AE227" s="27"/>
      <c r="AF227" s="27"/>
      <c r="AG227" s="27"/>
      <c r="AH227" s="17">
        <f>_xlfn.XLOOKUP(D227,'①7月-花名册'!E:E,'①7月-花名册'!T:T,0)</f>
        <v>4000</v>
      </c>
      <c r="AI227" s="15">
        <f>SUMIFS('7月运营'!$L:$L,'7月运营'!$A:$A,D227,'7月运营'!$K:$K,$A$1)</f>
        <v>0</v>
      </c>
      <c r="AJ227" s="15">
        <f>SUMIFS('7月运营'!H:H,'7月运营'!$A:$A,D227,'7月运营'!$K:$K,$A$1)</f>
        <v>0</v>
      </c>
      <c r="AK227" s="15">
        <f>SUMIFS(上月未发人员明细!I:I,上月未发人员明细!J:J,$AK$2,上月未发人员明细!A:A,D227)</f>
        <v>0</v>
      </c>
      <c r="AL227" s="15">
        <f>SUMIFS('7月运营'!L:L,'7月运营'!$A:$A,D227,'7月运营'!$K:$K,$AL$2)</f>
        <v>0</v>
      </c>
      <c r="AM227" s="18">
        <f>SUMIFS('7月运营'!$F:$F,'7月运营'!$A:$A,D227,'7月运营'!$K:$K,'②7月-汇总'!$AM$2,'7月运营'!$G:$G,"岗位核算")</f>
        <v>0</v>
      </c>
      <c r="AN227" s="18">
        <f>SUMIFS('7月运营'!$F:$F,'7月运营'!$A:$A,D227,'7月运营'!$K:$K,$AN$2,'7月运营'!$G:$G,"岗位核算")</f>
        <v>0</v>
      </c>
      <c r="AO227" s="18" t="str">
        <f t="shared" si="39"/>
        <v/>
      </c>
      <c r="AP227" s="18">
        <f t="shared" si="31"/>
        <v>31</v>
      </c>
      <c r="AQ227" s="18">
        <f>_xlfn.XLOOKUP(D227,'7月运营'!A:A,'7月运营'!G:G,0)</f>
        <v>0</v>
      </c>
    </row>
    <row r="228" spans="1:43" x14ac:dyDescent="0.15">
      <c r="A228" s="11" t="str">
        <v>川音</v>
      </c>
      <c r="B228" s="11" t="str">
        <v>健康师</v>
      </c>
      <c r="C228" s="11" t="str">
        <v>A</v>
      </c>
      <c r="D228" s="11" t="str">
        <v>彭羽佳</v>
      </c>
      <c r="E228" s="11" t="str">
        <v>在职</v>
      </c>
      <c r="F228" s="11" t="str">
        <v>事业部</v>
      </c>
      <c r="G228" s="11">
        <f>_xlfn.XLOOKUP(D228,'①7月-花名册'!E:E,'①7月-花名册'!U:U,0)</f>
        <v>0</v>
      </c>
      <c r="H228" s="11">
        <f>_xlfn.XLOOKUP(D228,'①7月-花名册'!E:E,'①7月-花名册'!M:M,0)</f>
        <v>31</v>
      </c>
      <c r="I228" s="11">
        <f>_xlfn.XLOOKUP(D228,'①7月-花名册'!E:E,'①7月-花名册'!S:S,0)</f>
        <v>4</v>
      </c>
      <c r="J228" s="14">
        <f t="shared" si="32"/>
        <v>5</v>
      </c>
      <c r="K228" s="23">
        <v>4</v>
      </c>
      <c r="L228" s="23"/>
      <c r="M228" s="23">
        <v>1</v>
      </c>
      <c r="N228" s="23"/>
      <c r="O228" s="23"/>
      <c r="P228" s="15">
        <f t="shared" si="33"/>
        <v>26</v>
      </c>
      <c r="Q228" s="15">
        <f t="shared" si="34"/>
        <v>31</v>
      </c>
      <c r="R228" s="15">
        <f>IF(F228="事业部",LOOKUP(Q228,基础设置!$T$2:$T$6,基础设置!$U$2:$U$6),IF(F228="总部",LOOKUP(Q228,基础设置!$T$8:$T$13,基础设置!$V$8:$V$13),IF(F228="拓展部",LOOKUP(Q228,基础设置!$T$8:$T$13,基础设置!$W$8:$W$13),2000)))</f>
        <v>4</v>
      </c>
      <c r="S228" s="15">
        <f t="shared" si="35"/>
        <v>31</v>
      </c>
      <c r="T228" s="15">
        <f t="shared" si="36"/>
        <v>0</v>
      </c>
      <c r="U228" s="15">
        <f t="shared" si="37"/>
        <v>0</v>
      </c>
      <c r="V228" s="15">
        <f t="shared" si="30"/>
        <v>0</v>
      </c>
      <c r="W228" s="15">
        <f t="shared" si="38"/>
        <v>0</v>
      </c>
      <c r="X228" s="26"/>
      <c r="Y228" s="26"/>
      <c r="Z228" s="26"/>
      <c r="AA228" s="26"/>
      <c r="AB228" s="27"/>
      <c r="AC228" s="27"/>
      <c r="AD228" s="27"/>
      <c r="AE228" s="27"/>
      <c r="AF228" s="27"/>
      <c r="AG228" s="27"/>
      <c r="AH228" s="17">
        <f>_xlfn.XLOOKUP(D228,'①7月-花名册'!E:E,'①7月-花名册'!T:T,0)</f>
        <v>4000</v>
      </c>
      <c r="AI228" s="15">
        <f>SUMIFS('7月运营'!$L:$L,'7月运营'!$A:$A,D228,'7月运营'!$K:$K,$A$1)</f>
        <v>0</v>
      </c>
      <c r="AJ228" s="15">
        <f>SUMIFS('7月运营'!H:H,'7月运营'!$A:$A,D228,'7月运营'!$K:$K,$A$1)</f>
        <v>0</v>
      </c>
      <c r="AK228" s="15">
        <f>SUMIFS(上月未发人员明细!I:I,上月未发人员明细!J:J,$AK$2,上月未发人员明细!A:A,D228)</f>
        <v>0</v>
      </c>
      <c r="AL228" s="15">
        <f>SUMIFS('7月运营'!L:L,'7月运营'!$A:$A,D228,'7月运营'!$K:$K,$AL$2)</f>
        <v>0</v>
      </c>
      <c r="AM228" s="18">
        <f>SUMIFS('7月运营'!$F:$F,'7月运营'!$A:$A,D228,'7月运营'!$K:$K,'②7月-汇总'!$AM$2,'7月运营'!$G:$G,"岗位核算")</f>
        <v>0</v>
      </c>
      <c r="AN228" s="18">
        <f>SUMIFS('7月运营'!$F:$F,'7月运营'!$A:$A,D228,'7月运营'!$K:$K,$AN$2,'7月运营'!$G:$G,"岗位核算")</f>
        <v>0</v>
      </c>
      <c r="AO228" s="18" t="str">
        <f t="shared" si="39"/>
        <v/>
      </c>
      <c r="AP228" s="18">
        <f t="shared" si="31"/>
        <v>31</v>
      </c>
      <c r="AQ228" s="18">
        <f>_xlfn.XLOOKUP(D228,'7月运营'!A:A,'7月运营'!G:G,0)</f>
        <v>0</v>
      </c>
    </row>
    <row r="229" spans="1:43" x14ac:dyDescent="0.15">
      <c r="A229" s="11" t="str">
        <v>川音</v>
      </c>
      <c r="B229" s="11" t="str">
        <v>健康师</v>
      </c>
      <c r="C229" s="11" t="str">
        <v>A</v>
      </c>
      <c r="D229" s="11" t="str">
        <v>朱成芳</v>
      </c>
      <c r="E229" s="11" t="str">
        <v>在职</v>
      </c>
      <c r="F229" s="11" t="str">
        <v>事业部</v>
      </c>
      <c r="G229" s="11">
        <f>_xlfn.XLOOKUP(D229,'①7月-花名册'!E:E,'①7月-花名册'!U:U,0)</f>
        <v>0</v>
      </c>
      <c r="H229" s="11">
        <f>_xlfn.XLOOKUP(D229,'①7月-花名册'!E:E,'①7月-花名册'!M:M,0)</f>
        <v>31</v>
      </c>
      <c r="I229" s="11">
        <f>_xlfn.XLOOKUP(D229,'①7月-花名册'!E:E,'①7月-花名册'!S:S,0)</f>
        <v>4</v>
      </c>
      <c r="J229" s="14">
        <f t="shared" si="32"/>
        <v>5</v>
      </c>
      <c r="K229" s="23">
        <v>4</v>
      </c>
      <c r="L229" s="23"/>
      <c r="M229" s="23">
        <v>1</v>
      </c>
      <c r="N229" s="23"/>
      <c r="O229" s="23"/>
      <c r="P229" s="15">
        <f t="shared" si="33"/>
        <v>26</v>
      </c>
      <c r="Q229" s="15">
        <f t="shared" si="34"/>
        <v>31</v>
      </c>
      <c r="R229" s="15">
        <f>IF(F229="事业部",LOOKUP(Q229,基础设置!$T$2:$T$6,基础设置!$U$2:$U$6),IF(F229="总部",LOOKUP(Q229,基础设置!$T$8:$T$13,基础设置!$V$8:$V$13),IF(F229="拓展部",LOOKUP(Q229,基础设置!$T$8:$T$13,基础设置!$W$8:$W$13),2000)))</f>
        <v>4</v>
      </c>
      <c r="S229" s="15">
        <f t="shared" si="35"/>
        <v>31</v>
      </c>
      <c r="T229" s="15">
        <f t="shared" si="36"/>
        <v>0</v>
      </c>
      <c r="U229" s="15">
        <f t="shared" si="37"/>
        <v>0</v>
      </c>
      <c r="V229" s="15">
        <f t="shared" si="30"/>
        <v>0</v>
      </c>
      <c r="W229" s="15">
        <f t="shared" si="38"/>
        <v>0</v>
      </c>
      <c r="X229" s="26"/>
      <c r="Y229" s="26"/>
      <c r="Z229" s="26"/>
      <c r="AA229" s="26"/>
      <c r="AB229" s="27"/>
      <c r="AC229" s="27">
        <v>100</v>
      </c>
      <c r="AD229" s="27"/>
      <c r="AE229" s="27"/>
      <c r="AF229" s="27"/>
      <c r="AG229" s="27"/>
      <c r="AH229" s="17">
        <f>_xlfn.XLOOKUP(D229,'①7月-花名册'!E:E,'①7月-花名册'!T:T,0)</f>
        <v>5500</v>
      </c>
      <c r="AI229" s="15">
        <f>SUMIFS('7月运营'!$L:$L,'7月运营'!$A:$A,D229,'7月运营'!$K:$K,$A$1)</f>
        <v>0</v>
      </c>
      <c r="AJ229" s="15">
        <f>SUMIFS('7月运营'!H:H,'7月运营'!$A:$A,D229,'7月运营'!$K:$K,$A$1)</f>
        <v>0</v>
      </c>
      <c r="AK229" s="15">
        <f>SUMIFS(上月未发人员明细!I:I,上月未发人员明细!J:J,$AK$2,上月未发人员明细!A:A,D229)</f>
        <v>0</v>
      </c>
      <c r="AL229" s="15">
        <f>SUMIFS('7月运营'!L:L,'7月运营'!$A:$A,D229,'7月运营'!$K:$K,$AL$2)</f>
        <v>0</v>
      </c>
      <c r="AM229" s="18">
        <f>SUMIFS('7月运营'!$F:$F,'7月运营'!$A:$A,D229,'7月运营'!$K:$K,'②7月-汇总'!$AM$2,'7月运营'!$G:$G,"岗位核算")</f>
        <v>0</v>
      </c>
      <c r="AN229" s="18">
        <f>SUMIFS('7月运营'!$F:$F,'7月运营'!$A:$A,D229,'7月运营'!$K:$K,$AN$2,'7月运营'!$G:$G,"岗位核算")</f>
        <v>0</v>
      </c>
      <c r="AO229" s="18" t="str">
        <f t="shared" si="39"/>
        <v/>
      </c>
      <c r="AP229" s="18">
        <f t="shared" si="31"/>
        <v>31</v>
      </c>
      <c r="AQ229" s="18">
        <f>_xlfn.XLOOKUP(D229,'7月运营'!A:A,'7月运营'!G:G,0)</f>
        <v>0</v>
      </c>
    </row>
    <row r="230" spans="1:43" x14ac:dyDescent="0.15">
      <c r="A230" s="11" t="str">
        <v>川音</v>
      </c>
      <c r="B230" s="11" t="str">
        <v>健康师</v>
      </c>
      <c r="C230" s="11" t="str">
        <v>A</v>
      </c>
      <c r="D230" s="11" t="str">
        <v>翁玲</v>
      </c>
      <c r="E230" s="11" t="str">
        <v>在职</v>
      </c>
      <c r="F230" s="11" t="str">
        <v>事业部</v>
      </c>
      <c r="G230" s="11">
        <f>_xlfn.XLOOKUP(D230,'①7月-花名册'!E:E,'①7月-花名册'!U:U,0)</f>
        <v>0</v>
      </c>
      <c r="H230" s="11">
        <f>_xlfn.XLOOKUP(D230,'①7月-花名册'!E:E,'①7月-花名册'!M:M,0)</f>
        <v>31</v>
      </c>
      <c r="I230" s="11">
        <f>_xlfn.XLOOKUP(D230,'①7月-花名册'!E:E,'①7月-花名册'!S:S,0)</f>
        <v>4</v>
      </c>
      <c r="J230" s="14">
        <f t="shared" si="32"/>
        <v>5</v>
      </c>
      <c r="K230" s="23">
        <v>4</v>
      </c>
      <c r="L230" s="23"/>
      <c r="M230" s="23">
        <v>1</v>
      </c>
      <c r="N230" s="23"/>
      <c r="O230" s="23"/>
      <c r="P230" s="15">
        <f t="shared" si="33"/>
        <v>26</v>
      </c>
      <c r="Q230" s="15">
        <f t="shared" si="34"/>
        <v>31</v>
      </c>
      <c r="R230" s="15">
        <f>IF(F230="事业部",LOOKUP(Q230,基础设置!$T$2:$T$6,基础设置!$U$2:$U$6),IF(F230="总部",LOOKUP(Q230,基础设置!$T$8:$T$13,基础设置!$V$8:$V$13),IF(F230="拓展部",LOOKUP(Q230,基础设置!$T$8:$T$13,基础设置!$W$8:$W$13),2000)))</f>
        <v>4</v>
      </c>
      <c r="S230" s="15">
        <f t="shared" si="35"/>
        <v>31</v>
      </c>
      <c r="T230" s="15">
        <f t="shared" si="36"/>
        <v>0</v>
      </c>
      <c r="U230" s="15">
        <f t="shared" si="37"/>
        <v>0</v>
      </c>
      <c r="V230" s="15">
        <f t="shared" si="30"/>
        <v>0</v>
      </c>
      <c r="W230" s="15">
        <f t="shared" si="38"/>
        <v>0</v>
      </c>
      <c r="X230" s="26">
        <v>90</v>
      </c>
      <c r="Y230" s="26"/>
      <c r="Z230" s="26"/>
      <c r="AA230" s="26"/>
      <c r="AB230" s="27"/>
      <c r="AC230" s="27"/>
      <c r="AD230" s="27"/>
      <c r="AE230" s="27"/>
      <c r="AF230" s="27"/>
      <c r="AG230" s="27"/>
      <c r="AH230" s="17">
        <f>_xlfn.XLOOKUP(D230,'①7月-花名册'!E:E,'①7月-花名册'!T:T,0)</f>
        <v>6000</v>
      </c>
      <c r="AI230" s="15">
        <f>SUMIFS('7月运营'!$L:$L,'7月运营'!$A:$A,D230,'7月运营'!$K:$K,$A$1)</f>
        <v>0</v>
      </c>
      <c r="AJ230" s="15">
        <f>SUMIFS('7月运营'!H:H,'7月运营'!$A:$A,D230,'7月运营'!$K:$K,$A$1)</f>
        <v>0</v>
      </c>
      <c r="AK230" s="15">
        <f>SUMIFS(上月未发人员明细!I:I,上月未发人员明细!J:J,$AK$2,上月未发人员明细!A:A,D230)</f>
        <v>0</v>
      </c>
      <c r="AL230" s="15">
        <f>SUMIFS('7月运营'!L:L,'7月运营'!$A:$A,D230,'7月运营'!$K:$K,$AL$2)</f>
        <v>0</v>
      </c>
      <c r="AM230" s="18">
        <f>SUMIFS('7月运营'!$F:$F,'7月运营'!$A:$A,D230,'7月运营'!$K:$K,'②7月-汇总'!$AM$2,'7月运营'!$G:$G,"岗位核算")</f>
        <v>0</v>
      </c>
      <c r="AN230" s="18">
        <f>SUMIFS('7月运营'!$F:$F,'7月运营'!$A:$A,D230,'7月运营'!$K:$K,$AN$2,'7月运营'!$G:$G,"岗位核算")</f>
        <v>0</v>
      </c>
      <c r="AO230" s="18" t="str">
        <f t="shared" si="39"/>
        <v/>
      </c>
      <c r="AP230" s="18">
        <f t="shared" si="31"/>
        <v>31</v>
      </c>
      <c r="AQ230" s="18">
        <f>_xlfn.XLOOKUP(D230,'7月运营'!A:A,'7月运营'!G:G,0)</f>
        <v>0</v>
      </c>
    </row>
    <row r="231" spans="1:43" x14ac:dyDescent="0.15">
      <c r="A231" s="11" t="str">
        <v>川音</v>
      </c>
      <c r="B231" s="11" t="str">
        <v>健康师</v>
      </c>
      <c r="C231" s="11" t="str">
        <v>A</v>
      </c>
      <c r="D231" s="11" t="str">
        <v>王能琴</v>
      </c>
      <c r="E231" s="11" t="str">
        <v>在职</v>
      </c>
      <c r="F231" s="11" t="str">
        <v>事业部</v>
      </c>
      <c r="G231" s="11">
        <f>_xlfn.XLOOKUP(D231,'①7月-花名册'!E:E,'①7月-花名册'!U:U,0)</f>
        <v>0</v>
      </c>
      <c r="H231" s="11">
        <f>_xlfn.XLOOKUP(D231,'①7月-花名册'!E:E,'①7月-花名册'!M:M,0)</f>
        <v>31</v>
      </c>
      <c r="I231" s="11">
        <f>_xlfn.XLOOKUP(D231,'①7月-花名册'!E:E,'①7月-花名册'!S:S,0)</f>
        <v>4</v>
      </c>
      <c r="J231" s="14">
        <f t="shared" si="32"/>
        <v>5</v>
      </c>
      <c r="K231" s="23">
        <v>4</v>
      </c>
      <c r="L231" s="23"/>
      <c r="M231" s="23">
        <v>1</v>
      </c>
      <c r="N231" s="23"/>
      <c r="O231" s="23"/>
      <c r="P231" s="15">
        <f t="shared" si="33"/>
        <v>26</v>
      </c>
      <c r="Q231" s="15">
        <f t="shared" si="34"/>
        <v>31</v>
      </c>
      <c r="R231" s="15">
        <f>IF(F231="事业部",LOOKUP(Q231,基础设置!$T$2:$T$6,基础设置!$U$2:$U$6),IF(F231="总部",LOOKUP(Q231,基础设置!$T$8:$T$13,基础设置!$V$8:$V$13),IF(F231="拓展部",LOOKUP(Q231,基础设置!$T$8:$T$13,基础设置!$W$8:$W$13),2000)))</f>
        <v>4</v>
      </c>
      <c r="S231" s="15">
        <f t="shared" si="35"/>
        <v>31</v>
      </c>
      <c r="T231" s="15">
        <f t="shared" si="36"/>
        <v>0</v>
      </c>
      <c r="U231" s="15">
        <f t="shared" si="37"/>
        <v>0</v>
      </c>
      <c r="V231" s="15">
        <f t="shared" si="30"/>
        <v>0</v>
      </c>
      <c r="W231" s="15">
        <f t="shared" si="38"/>
        <v>0</v>
      </c>
      <c r="X231" s="26"/>
      <c r="Y231" s="26"/>
      <c r="Z231" s="26"/>
      <c r="AA231" s="26"/>
      <c r="AB231" s="27"/>
      <c r="AC231" s="27"/>
      <c r="AD231" s="27"/>
      <c r="AE231" s="27"/>
      <c r="AF231" s="27"/>
      <c r="AG231" s="27"/>
      <c r="AH231" s="17">
        <f>_xlfn.XLOOKUP(D231,'①7月-花名册'!E:E,'①7月-花名册'!T:T,0)</f>
        <v>5000</v>
      </c>
      <c r="AI231" s="15">
        <f>SUMIFS('7月运营'!$L:$L,'7月运营'!$A:$A,D231,'7月运营'!$K:$K,$A$1)</f>
        <v>0</v>
      </c>
      <c r="AJ231" s="15">
        <f>SUMIFS('7月运营'!H:H,'7月运营'!$A:$A,D231,'7月运营'!$K:$K,$A$1)</f>
        <v>0</v>
      </c>
      <c r="AK231" s="15">
        <f>SUMIFS(上月未发人员明细!I:I,上月未发人员明细!J:J,$AK$2,上月未发人员明细!A:A,D231)</f>
        <v>0</v>
      </c>
      <c r="AL231" s="15">
        <f>SUMIFS('7月运营'!L:L,'7月运营'!$A:$A,D231,'7月运营'!$K:$K,$AL$2)</f>
        <v>0</v>
      </c>
      <c r="AM231" s="18">
        <f>SUMIFS('7月运营'!$F:$F,'7月运营'!$A:$A,D231,'7月运营'!$K:$K,'②7月-汇总'!$AM$2,'7月运营'!$G:$G,"岗位核算")</f>
        <v>0</v>
      </c>
      <c r="AN231" s="18">
        <f>SUMIFS('7月运营'!$F:$F,'7月运营'!$A:$A,D231,'7月运营'!$K:$K,$AN$2,'7月运营'!$G:$G,"岗位核算")</f>
        <v>0</v>
      </c>
      <c r="AO231" s="18" t="str">
        <f t="shared" si="39"/>
        <v/>
      </c>
      <c r="AP231" s="18">
        <f t="shared" si="31"/>
        <v>31</v>
      </c>
      <c r="AQ231" s="18">
        <f>_xlfn.XLOOKUP(D231,'7月运营'!A:A,'7月运营'!G:G,0)</f>
        <v>0</v>
      </c>
    </row>
    <row r="232" spans="1:43" x14ac:dyDescent="0.15">
      <c r="A232" s="11" t="str">
        <v>川音</v>
      </c>
      <c r="B232" s="11" t="str">
        <v>店助</v>
      </c>
      <c r="C232" s="11" t="str">
        <v>A</v>
      </c>
      <c r="D232" s="11" t="str">
        <v>涂莹丹</v>
      </c>
      <c r="E232" s="11" t="str">
        <v>在职</v>
      </c>
      <c r="F232" s="11" t="str">
        <v>事业部</v>
      </c>
      <c r="G232" s="11">
        <f>_xlfn.XLOOKUP(D232,'①7月-花名册'!E:E,'①7月-花名册'!U:U,0)</f>
        <v>0</v>
      </c>
      <c r="H232" s="11">
        <f>_xlfn.XLOOKUP(D232,'①7月-花名册'!E:E,'①7月-花名册'!M:M,0)</f>
        <v>31</v>
      </c>
      <c r="I232" s="11">
        <f>_xlfn.XLOOKUP(D232,'①7月-花名册'!E:E,'①7月-花名册'!S:S,0)</f>
        <v>4</v>
      </c>
      <c r="J232" s="14">
        <f t="shared" si="32"/>
        <v>5</v>
      </c>
      <c r="K232" s="23">
        <v>4</v>
      </c>
      <c r="L232" s="23"/>
      <c r="M232" s="23">
        <v>1</v>
      </c>
      <c r="N232" s="23"/>
      <c r="O232" s="23"/>
      <c r="P232" s="15">
        <f t="shared" si="33"/>
        <v>26</v>
      </c>
      <c r="Q232" s="15">
        <f t="shared" si="34"/>
        <v>31</v>
      </c>
      <c r="R232" s="15">
        <f>IF(F232="事业部",LOOKUP(Q232,基础设置!$T$2:$T$6,基础设置!$U$2:$U$6),IF(F232="总部",LOOKUP(Q232,基础设置!$T$8:$T$13,基础设置!$V$8:$V$13),IF(F232="拓展部",LOOKUP(Q232,基础设置!$T$8:$T$13,基础设置!$W$8:$W$13),2000)))</f>
        <v>4</v>
      </c>
      <c r="S232" s="15">
        <f t="shared" si="35"/>
        <v>31</v>
      </c>
      <c r="T232" s="15">
        <f t="shared" si="36"/>
        <v>0</v>
      </c>
      <c r="U232" s="15">
        <f t="shared" si="37"/>
        <v>0</v>
      </c>
      <c r="V232" s="15">
        <f t="shared" si="30"/>
        <v>0</v>
      </c>
      <c r="W232" s="15">
        <f t="shared" si="38"/>
        <v>0</v>
      </c>
      <c r="X232" s="26"/>
      <c r="Y232" s="26"/>
      <c r="Z232" s="26"/>
      <c r="AA232" s="26"/>
      <c r="AB232" s="27"/>
      <c r="AC232" s="27"/>
      <c r="AD232" s="27"/>
      <c r="AE232" s="27"/>
      <c r="AF232" s="27"/>
      <c r="AG232" s="27"/>
      <c r="AH232" s="17">
        <f>_xlfn.XLOOKUP(D232,'①7月-花名册'!E:E,'①7月-花名册'!T:T,0)</f>
        <v>3500</v>
      </c>
      <c r="AI232" s="15">
        <f>SUMIFS('7月运营'!$L:$L,'7月运营'!$A:$A,D232,'7月运营'!$K:$K,$A$1)</f>
        <v>0</v>
      </c>
      <c r="AJ232" s="15">
        <f>SUMIFS('7月运营'!H:H,'7月运营'!$A:$A,D232,'7月运营'!$K:$K,$A$1)</f>
        <v>0</v>
      </c>
      <c r="AK232" s="15">
        <f>SUMIFS(上月未发人员明细!I:I,上月未发人员明细!J:J,$AK$2,上月未发人员明细!A:A,D232)</f>
        <v>0</v>
      </c>
      <c r="AL232" s="15">
        <f>SUMIFS('7月运营'!L:L,'7月运营'!$A:$A,D232,'7月运营'!$K:$K,$AL$2)</f>
        <v>0</v>
      </c>
      <c r="AM232" s="18">
        <f>SUMIFS('7月运营'!$F:$F,'7月运营'!$A:$A,D232,'7月运营'!$K:$K,'②7月-汇总'!$AM$2,'7月运营'!$G:$G,"岗位核算")</f>
        <v>0</v>
      </c>
      <c r="AN232" s="18">
        <f>SUMIFS('7月运营'!$F:$F,'7月运营'!$A:$A,D232,'7月运营'!$K:$K,$AN$2,'7月运营'!$G:$G,"岗位核算")</f>
        <v>0</v>
      </c>
      <c r="AO232" s="18" t="str">
        <f t="shared" si="39"/>
        <v/>
      </c>
      <c r="AP232" s="18">
        <f t="shared" si="31"/>
        <v>31</v>
      </c>
      <c r="AQ232" s="18">
        <f>_xlfn.XLOOKUP(D232,'7月运营'!A:A,'7月运营'!G:G,0)</f>
        <v>0</v>
      </c>
    </row>
    <row r="233" spans="1:43" x14ac:dyDescent="0.15">
      <c r="A233" s="11" t="str">
        <v>总部</v>
      </c>
      <c r="B233" s="11" t="str">
        <v>人事主管</v>
      </c>
      <c r="C233" s="11" t="str">
        <v>B</v>
      </c>
      <c r="D233" s="11" t="str">
        <v>葛敏</v>
      </c>
      <c r="E233" s="11" t="str">
        <v>在职</v>
      </c>
      <c r="F233" s="11" t="str">
        <v>总部</v>
      </c>
      <c r="G233" s="11">
        <f>_xlfn.XLOOKUP(D233,'①7月-花名册'!E:E,'①7月-花名册'!U:U,0)</f>
        <v>0</v>
      </c>
      <c r="H233" s="11">
        <f>_xlfn.XLOOKUP(D233,'①7月-花名册'!E:E,'①7月-花名册'!M:M,0)</f>
        <v>31</v>
      </c>
      <c r="I233" s="11">
        <f>_xlfn.XLOOKUP(D233,'①7月-花名册'!E:E,'①7月-花名册'!S:S,0)</f>
        <v>5</v>
      </c>
      <c r="J233" s="14">
        <f t="shared" si="32"/>
        <v>5</v>
      </c>
      <c r="K233" s="23">
        <v>5</v>
      </c>
      <c r="L233" s="23"/>
      <c r="M233" s="23"/>
      <c r="N233" s="23"/>
      <c r="O233" s="23"/>
      <c r="P233" s="15">
        <f t="shared" si="33"/>
        <v>26</v>
      </c>
      <c r="Q233" s="15">
        <f t="shared" si="34"/>
        <v>31</v>
      </c>
      <c r="R233" s="15">
        <f>IF(F233="事业部",LOOKUP(Q233,基础设置!$T$2:$T$6,基础设置!$U$2:$U$6),IF(F233="总部",LOOKUP(Q233,基础设置!$T$8:$T$13,基础设置!$V$8:$V$13),IF(F233="拓展部",LOOKUP(Q233,基础设置!$T$8:$T$13,基础设置!$W$8:$W$13),2000)))</f>
        <v>5</v>
      </c>
      <c r="S233" s="15">
        <f t="shared" si="35"/>
        <v>31</v>
      </c>
      <c r="T233" s="15">
        <f t="shared" si="36"/>
        <v>0</v>
      </c>
      <c r="U233" s="15">
        <f t="shared" si="37"/>
        <v>0</v>
      </c>
      <c r="V233" s="15">
        <f t="shared" si="30"/>
        <v>0</v>
      </c>
      <c r="W233" s="15">
        <f t="shared" si="38"/>
        <v>0</v>
      </c>
      <c r="X233" s="26"/>
      <c r="Y233" s="26"/>
      <c r="Z233" s="26">
        <v>50</v>
      </c>
      <c r="AA233" s="26"/>
      <c r="AB233" s="27"/>
      <c r="AC233" s="27"/>
      <c r="AD233" s="27"/>
      <c r="AE233" s="27"/>
      <c r="AF233" s="27"/>
      <c r="AG233" s="27"/>
      <c r="AH233" s="17">
        <f>_xlfn.XLOOKUP(D233,'①7月-花名册'!E:E,'①7月-花名册'!T:T,0)</f>
        <v>0</v>
      </c>
      <c r="AI233" s="15">
        <f>SUMIFS('7月运营'!$L:$L,'7月运营'!$A:$A,D233,'7月运营'!$K:$K,$A$1)</f>
        <v>0</v>
      </c>
      <c r="AJ233" s="15">
        <f>SUMIFS('7月运营'!H:H,'7月运营'!$A:$A,D233,'7月运营'!$K:$K,$A$1)</f>
        <v>0</v>
      </c>
      <c r="AK233" s="15">
        <f>SUMIFS(上月未发人员明细!I:I,上月未发人员明细!J:J,$AK$2,上月未发人员明细!A:A,D233)</f>
        <v>0</v>
      </c>
      <c r="AL233" s="15">
        <f>SUMIFS('7月运营'!L:L,'7月运营'!$A:$A,D233,'7月运营'!$K:$K,$AL$2)</f>
        <v>0</v>
      </c>
      <c r="AM233" s="18">
        <f>SUMIFS('7月运营'!$F:$F,'7月运营'!$A:$A,D233,'7月运营'!$K:$K,'②7月-汇总'!$AM$2,'7月运营'!$G:$G,"岗位核算")</f>
        <v>0</v>
      </c>
      <c r="AN233" s="18">
        <f>SUMIFS('7月运营'!$F:$F,'7月运营'!$A:$A,D233,'7月运营'!$K:$K,$AN$2,'7月运营'!$G:$G,"岗位核算")</f>
        <v>0</v>
      </c>
      <c r="AO233" s="18" t="str">
        <f t="shared" si="39"/>
        <v/>
      </c>
      <c r="AP233" s="18">
        <f t="shared" si="31"/>
        <v>31</v>
      </c>
      <c r="AQ233" s="18">
        <f>_xlfn.XLOOKUP(D233,'7月运营'!A:A,'7月运营'!G:G,0)</f>
        <v>0</v>
      </c>
    </row>
    <row r="234" spans="1:43" x14ac:dyDescent="0.15">
      <c r="A234" s="11" t="str">
        <v>总部</v>
      </c>
      <c r="B234" s="11" t="str">
        <v>人事专员</v>
      </c>
      <c r="C234" s="11" t="str">
        <v>B</v>
      </c>
      <c r="D234" s="11" t="str">
        <v>袁小兵</v>
      </c>
      <c r="E234" s="11" t="str">
        <v>在职</v>
      </c>
      <c r="F234" s="11" t="str">
        <v>总部</v>
      </c>
      <c r="G234" s="11">
        <f>_xlfn.XLOOKUP(D234,'①7月-花名册'!E:E,'①7月-花名册'!U:U,0)</f>
        <v>0</v>
      </c>
      <c r="H234" s="11">
        <f>_xlfn.XLOOKUP(D234,'①7月-花名册'!E:E,'①7月-花名册'!M:M,0)</f>
        <v>31</v>
      </c>
      <c r="I234" s="11">
        <f>_xlfn.XLOOKUP(D234,'①7月-花名册'!E:E,'①7月-花名册'!S:S,0)</f>
        <v>5</v>
      </c>
      <c r="J234" s="14">
        <f t="shared" si="32"/>
        <v>5</v>
      </c>
      <c r="K234" s="23">
        <v>5</v>
      </c>
      <c r="L234" s="23"/>
      <c r="M234" s="23"/>
      <c r="N234" s="23"/>
      <c r="O234" s="23"/>
      <c r="P234" s="15">
        <f t="shared" si="33"/>
        <v>26</v>
      </c>
      <c r="Q234" s="15">
        <f t="shared" si="34"/>
        <v>31</v>
      </c>
      <c r="R234" s="15">
        <f>IF(F234="事业部",LOOKUP(Q234,基础设置!$T$2:$T$6,基础设置!$U$2:$U$6),IF(F234="总部",LOOKUP(Q234,基础设置!$T$8:$T$13,基础设置!$V$8:$V$13),IF(F234="拓展部",LOOKUP(Q234,基础设置!$T$8:$T$13,基础设置!$W$8:$W$13),2000)))</f>
        <v>5</v>
      </c>
      <c r="S234" s="15">
        <f t="shared" si="35"/>
        <v>31</v>
      </c>
      <c r="T234" s="15">
        <f t="shared" si="36"/>
        <v>0</v>
      </c>
      <c r="U234" s="15">
        <f t="shared" si="37"/>
        <v>0</v>
      </c>
      <c r="V234" s="15">
        <f t="shared" si="30"/>
        <v>0</v>
      </c>
      <c r="W234" s="15">
        <f t="shared" si="38"/>
        <v>0</v>
      </c>
      <c r="X234" s="26"/>
      <c r="Y234" s="26"/>
      <c r="Z234" s="26"/>
      <c r="AA234" s="26"/>
      <c r="AB234" s="27"/>
      <c r="AC234" s="27"/>
      <c r="AD234" s="27"/>
      <c r="AE234" s="27"/>
      <c r="AF234" s="27"/>
      <c r="AG234" s="27"/>
      <c r="AH234" s="17">
        <f>_xlfn.XLOOKUP(D234,'①7月-花名册'!E:E,'①7月-花名册'!T:T,0)</f>
        <v>0</v>
      </c>
      <c r="AI234" s="15">
        <f>SUMIFS('7月运营'!$L:$L,'7月运营'!$A:$A,D234,'7月运营'!$K:$K,$A$1)</f>
        <v>0</v>
      </c>
      <c r="AJ234" s="15">
        <f>SUMIFS('7月运营'!H:H,'7月运营'!$A:$A,D234,'7月运营'!$K:$K,$A$1)</f>
        <v>0</v>
      </c>
      <c r="AK234" s="15">
        <f>SUMIFS(上月未发人员明细!I:I,上月未发人员明细!J:J,$AK$2,上月未发人员明细!A:A,D234)</f>
        <v>0</v>
      </c>
      <c r="AL234" s="15">
        <f>SUMIFS('7月运营'!L:L,'7月运营'!$A:$A,D234,'7月运营'!$K:$K,$AL$2)</f>
        <v>0</v>
      </c>
      <c r="AM234" s="18">
        <f>SUMIFS('7月运营'!$F:$F,'7月运营'!$A:$A,D234,'7月运营'!$K:$K,'②7月-汇总'!$AM$2,'7月运营'!$G:$G,"岗位核算")</f>
        <v>0</v>
      </c>
      <c r="AN234" s="18">
        <f>SUMIFS('7月运营'!$F:$F,'7月运营'!$A:$A,D234,'7月运营'!$K:$K,$AN$2,'7月运营'!$G:$G,"岗位核算")</f>
        <v>0</v>
      </c>
      <c r="AO234" s="18" t="str">
        <f t="shared" si="39"/>
        <v/>
      </c>
      <c r="AP234" s="18">
        <f t="shared" si="31"/>
        <v>31</v>
      </c>
      <c r="AQ234" s="18">
        <f>_xlfn.XLOOKUP(D234,'7月运营'!A:A,'7月运营'!G:G,0)</f>
        <v>0</v>
      </c>
    </row>
    <row r="235" spans="1:43" x14ac:dyDescent="0.15">
      <c r="A235" s="11" t="str">
        <v>总部</v>
      </c>
      <c r="B235" s="11" t="str">
        <v>人事主管</v>
      </c>
      <c r="C235" s="11" t="str">
        <v>B</v>
      </c>
      <c r="D235" s="11" t="str">
        <v>徐登毅</v>
      </c>
      <c r="E235" s="11" t="str">
        <v>在职</v>
      </c>
      <c r="F235" s="11" t="str">
        <v>总部</v>
      </c>
      <c r="G235" s="11">
        <f>_xlfn.XLOOKUP(D235,'①7月-花名册'!E:E,'①7月-花名册'!U:U,0)</f>
        <v>0</v>
      </c>
      <c r="H235" s="11">
        <f>_xlfn.XLOOKUP(D235,'①7月-花名册'!E:E,'①7月-花名册'!M:M,0)</f>
        <v>31</v>
      </c>
      <c r="I235" s="11">
        <f>_xlfn.XLOOKUP(D235,'①7月-花名册'!E:E,'①7月-花名册'!S:S,0)</f>
        <v>5</v>
      </c>
      <c r="J235" s="14">
        <f t="shared" si="32"/>
        <v>6</v>
      </c>
      <c r="K235" s="23">
        <v>5</v>
      </c>
      <c r="L235" s="23"/>
      <c r="M235" s="23"/>
      <c r="N235" s="23"/>
      <c r="O235" s="23">
        <v>1</v>
      </c>
      <c r="P235" s="15">
        <f t="shared" si="33"/>
        <v>25</v>
      </c>
      <c r="Q235" s="15">
        <f t="shared" si="34"/>
        <v>31</v>
      </c>
      <c r="R235" s="15">
        <f>IF(F235="事业部",LOOKUP(Q235,基础设置!$T$2:$T$6,基础设置!$U$2:$U$6),IF(F235="总部",LOOKUP(Q235,基础设置!$T$8:$T$13,基础设置!$V$8:$V$13),IF(F235="拓展部",LOOKUP(Q235,基础设置!$T$8:$T$13,基础设置!$W$8:$W$13),2000)))</f>
        <v>5</v>
      </c>
      <c r="S235" s="15">
        <f t="shared" si="35"/>
        <v>31</v>
      </c>
      <c r="T235" s="15">
        <f t="shared" si="36"/>
        <v>0</v>
      </c>
      <c r="U235" s="15">
        <f t="shared" si="37"/>
        <v>0</v>
      </c>
      <c r="V235" s="15">
        <f t="shared" si="30"/>
        <v>0</v>
      </c>
      <c r="W235" s="15">
        <f t="shared" si="38"/>
        <v>0</v>
      </c>
      <c r="X235" s="26"/>
      <c r="Y235" s="26"/>
      <c r="Z235" s="26"/>
      <c r="AA235" s="26"/>
      <c r="AB235" s="27"/>
      <c r="AC235" s="27"/>
      <c r="AD235" s="27"/>
      <c r="AE235" s="27"/>
      <c r="AF235" s="27"/>
      <c r="AG235" s="27"/>
      <c r="AH235" s="17">
        <f>_xlfn.XLOOKUP(D235,'①7月-花名册'!E:E,'①7月-花名册'!T:T,0)</f>
        <v>0</v>
      </c>
      <c r="AI235" s="15">
        <f>SUMIFS('7月运营'!$L:$L,'7月运营'!$A:$A,D235,'7月运营'!$K:$K,$A$1)</f>
        <v>0</v>
      </c>
      <c r="AJ235" s="15">
        <f>SUMIFS('7月运营'!H:H,'7月运营'!$A:$A,D235,'7月运营'!$K:$K,$A$1)</f>
        <v>0</v>
      </c>
      <c r="AK235" s="15">
        <f>SUMIFS(上月未发人员明细!I:I,上月未发人员明细!J:J,$AK$2,上月未发人员明细!A:A,D235)</f>
        <v>0</v>
      </c>
      <c r="AL235" s="15">
        <f>SUMIFS('7月运营'!L:L,'7月运营'!$A:$A,D235,'7月运营'!$K:$K,$AL$2)</f>
        <v>0</v>
      </c>
      <c r="AM235" s="18">
        <f>SUMIFS('7月运营'!$F:$F,'7月运营'!$A:$A,D235,'7月运营'!$K:$K,'②7月-汇总'!$AM$2,'7月运营'!$G:$G,"岗位核算")</f>
        <v>0</v>
      </c>
      <c r="AN235" s="18">
        <f>SUMIFS('7月运营'!$F:$F,'7月运营'!$A:$A,D235,'7月运营'!$K:$K,$AN$2,'7月运营'!$G:$G,"岗位核算")</f>
        <v>0</v>
      </c>
      <c r="AO235" s="18" t="str">
        <f t="shared" si="39"/>
        <v/>
      </c>
      <c r="AP235" s="18">
        <f t="shared" si="31"/>
        <v>31</v>
      </c>
      <c r="AQ235" s="18">
        <f>_xlfn.XLOOKUP(D235,'7月运营'!A:A,'7月运营'!G:G,0)</f>
        <v>0</v>
      </c>
    </row>
    <row r="236" spans="1:43" x14ac:dyDescent="0.15">
      <c r="A236" s="11" t="str">
        <v>总部</v>
      </c>
      <c r="B236" s="11" t="str">
        <v>人事专员</v>
      </c>
      <c r="C236" s="11" t="str">
        <v>B</v>
      </c>
      <c r="D236" s="11" t="str">
        <v>范时依</v>
      </c>
      <c r="E236" s="11" t="str">
        <v>在职</v>
      </c>
      <c r="F236" s="11" t="str">
        <v>总部</v>
      </c>
      <c r="G236" s="11">
        <f>_xlfn.XLOOKUP(D236,'①7月-花名册'!E:E,'①7月-花名册'!U:U,0)</f>
        <v>0</v>
      </c>
      <c r="H236" s="11">
        <f>_xlfn.XLOOKUP(D236,'①7月-花名册'!E:E,'①7月-花名册'!M:M,0)</f>
        <v>31</v>
      </c>
      <c r="I236" s="11">
        <f>_xlfn.XLOOKUP(D236,'①7月-花名册'!E:E,'①7月-花名册'!S:S,0)</f>
        <v>5</v>
      </c>
      <c r="J236" s="14">
        <f t="shared" si="32"/>
        <v>6</v>
      </c>
      <c r="K236" s="23">
        <v>5</v>
      </c>
      <c r="L236" s="23"/>
      <c r="M236" s="23"/>
      <c r="N236" s="23"/>
      <c r="O236" s="23">
        <v>1</v>
      </c>
      <c r="P236" s="15">
        <f t="shared" si="33"/>
        <v>25</v>
      </c>
      <c r="Q236" s="15">
        <f t="shared" si="34"/>
        <v>31</v>
      </c>
      <c r="R236" s="15">
        <f>IF(F236="事业部",LOOKUP(Q236,基础设置!$T$2:$T$6,基础设置!$U$2:$U$6),IF(F236="总部",LOOKUP(Q236,基础设置!$T$8:$T$13,基础设置!$V$8:$V$13),IF(F236="拓展部",LOOKUP(Q236,基础设置!$T$8:$T$13,基础设置!$W$8:$W$13),2000)))</f>
        <v>5</v>
      </c>
      <c r="S236" s="15">
        <f t="shared" si="35"/>
        <v>31</v>
      </c>
      <c r="T236" s="15">
        <f t="shared" si="36"/>
        <v>0</v>
      </c>
      <c r="U236" s="15">
        <f t="shared" si="37"/>
        <v>0</v>
      </c>
      <c r="V236" s="15">
        <f t="shared" si="30"/>
        <v>0</v>
      </c>
      <c r="W236" s="15">
        <f t="shared" si="38"/>
        <v>0</v>
      </c>
      <c r="X236" s="26"/>
      <c r="Y236" s="26"/>
      <c r="Z236" s="26"/>
      <c r="AA236" s="26"/>
      <c r="AB236" s="27"/>
      <c r="AC236" s="27"/>
      <c r="AD236" s="27"/>
      <c r="AE236" s="27"/>
      <c r="AF236" s="27"/>
      <c r="AG236" s="27"/>
      <c r="AH236" s="17">
        <f>_xlfn.XLOOKUP(D236,'①7月-花名册'!E:E,'①7月-花名册'!T:T,0)</f>
        <v>0</v>
      </c>
      <c r="AI236" s="15">
        <f>SUMIFS('7月运营'!$L:$L,'7月运营'!$A:$A,D236,'7月运营'!$K:$K,$A$1)</f>
        <v>0</v>
      </c>
      <c r="AJ236" s="15">
        <f>SUMIFS('7月运营'!H:H,'7月运营'!$A:$A,D236,'7月运营'!$K:$K,$A$1)</f>
        <v>0</v>
      </c>
      <c r="AK236" s="15">
        <f>SUMIFS(上月未发人员明细!I:I,上月未发人员明细!J:J,$AK$2,上月未发人员明细!A:A,D236)</f>
        <v>0</v>
      </c>
      <c r="AL236" s="15">
        <f>SUMIFS('7月运营'!L:L,'7月运营'!$A:$A,D236,'7月运营'!$K:$K,$AL$2)</f>
        <v>0</v>
      </c>
      <c r="AM236" s="18">
        <f>SUMIFS('7月运营'!$F:$F,'7月运营'!$A:$A,D236,'7月运营'!$K:$K,'②7月-汇总'!$AM$2,'7月运营'!$G:$G,"岗位核算")</f>
        <v>0</v>
      </c>
      <c r="AN236" s="18">
        <f>SUMIFS('7月运营'!$F:$F,'7月运营'!$A:$A,D236,'7月运营'!$K:$K,$AN$2,'7月运营'!$G:$G,"岗位核算")</f>
        <v>0</v>
      </c>
      <c r="AO236" s="18" t="str">
        <f t="shared" si="39"/>
        <v/>
      </c>
      <c r="AP236" s="18">
        <f t="shared" si="31"/>
        <v>31</v>
      </c>
      <c r="AQ236" s="18">
        <f>_xlfn.XLOOKUP(D236,'7月运营'!A:A,'7月运营'!G:G,0)</f>
        <v>0</v>
      </c>
    </row>
    <row r="237" spans="1:43" x14ac:dyDescent="0.15">
      <c r="A237" s="11" t="str">
        <v>总部</v>
      </c>
      <c r="B237" s="11" t="str">
        <v>企划部</v>
      </c>
      <c r="C237" s="11" t="str">
        <v>B</v>
      </c>
      <c r="D237" s="11" t="str">
        <v>吴小强</v>
      </c>
      <c r="E237" s="11" t="str">
        <v>在职</v>
      </c>
      <c r="F237" s="11" t="str">
        <v>总部</v>
      </c>
      <c r="G237" s="11">
        <f>_xlfn.XLOOKUP(D237,'①7月-花名册'!E:E,'①7月-花名册'!U:U,0)</f>
        <v>0</v>
      </c>
      <c r="H237" s="11">
        <f>_xlfn.XLOOKUP(D237,'①7月-花名册'!E:E,'①7月-花名册'!M:M,0)</f>
        <v>31</v>
      </c>
      <c r="I237" s="11">
        <f>_xlfn.XLOOKUP(D237,'①7月-花名册'!E:E,'①7月-花名册'!S:S,0)</f>
        <v>5</v>
      </c>
      <c r="J237" s="14">
        <f t="shared" si="32"/>
        <v>7</v>
      </c>
      <c r="K237" s="23">
        <v>5</v>
      </c>
      <c r="L237" s="23"/>
      <c r="M237" s="23"/>
      <c r="N237" s="23"/>
      <c r="O237" s="23">
        <v>2</v>
      </c>
      <c r="P237" s="15">
        <f t="shared" si="33"/>
        <v>24</v>
      </c>
      <c r="Q237" s="15">
        <f t="shared" si="34"/>
        <v>31</v>
      </c>
      <c r="R237" s="15">
        <f>IF(F237="事业部",LOOKUP(Q237,基础设置!$T$2:$T$6,基础设置!$U$2:$U$6),IF(F237="总部",LOOKUP(Q237,基础设置!$T$8:$T$13,基础设置!$V$8:$V$13),IF(F237="拓展部",LOOKUP(Q237,基础设置!$T$8:$T$13,基础设置!$W$8:$W$13),2000)))</f>
        <v>5</v>
      </c>
      <c r="S237" s="15">
        <f t="shared" si="35"/>
        <v>31</v>
      </c>
      <c r="T237" s="15">
        <f t="shared" si="36"/>
        <v>0</v>
      </c>
      <c r="U237" s="15">
        <f t="shared" si="37"/>
        <v>0</v>
      </c>
      <c r="V237" s="15">
        <f t="shared" si="30"/>
        <v>0</v>
      </c>
      <c r="W237" s="15">
        <f t="shared" si="38"/>
        <v>0</v>
      </c>
      <c r="X237" s="26"/>
      <c r="Y237" s="26"/>
      <c r="Z237" s="26"/>
      <c r="AA237" s="26"/>
      <c r="AB237" s="27"/>
      <c r="AC237" s="27"/>
      <c r="AD237" s="27"/>
      <c r="AE237" s="27"/>
      <c r="AF237" s="27"/>
      <c r="AG237" s="27"/>
      <c r="AH237" s="17">
        <f>_xlfn.XLOOKUP(D237,'①7月-花名册'!E:E,'①7月-花名册'!T:T,0)</f>
        <v>0</v>
      </c>
      <c r="AI237" s="15">
        <f>SUMIFS('7月运营'!$L:$L,'7月运营'!$A:$A,D237,'7月运营'!$K:$K,$A$1)</f>
        <v>0</v>
      </c>
      <c r="AJ237" s="15">
        <f>SUMIFS('7月运营'!H:H,'7月运营'!$A:$A,D237,'7月运营'!$K:$K,$A$1)</f>
        <v>0</v>
      </c>
      <c r="AK237" s="15">
        <f>SUMIFS(上月未发人员明细!I:I,上月未发人员明细!J:J,$AK$2,上月未发人员明细!A:A,D237)</f>
        <v>0</v>
      </c>
      <c r="AL237" s="15">
        <f>SUMIFS('7月运营'!L:L,'7月运营'!$A:$A,D237,'7月运营'!$K:$K,$AL$2)</f>
        <v>0</v>
      </c>
      <c r="AM237" s="18">
        <f>SUMIFS('7月运营'!$F:$F,'7月运营'!$A:$A,D237,'7月运营'!$K:$K,'②7月-汇总'!$AM$2,'7月运营'!$G:$G,"岗位核算")</f>
        <v>0</v>
      </c>
      <c r="AN237" s="18">
        <f>SUMIFS('7月运营'!$F:$F,'7月运营'!$A:$A,D237,'7月运营'!$K:$K,$AN$2,'7月运营'!$G:$G,"岗位核算")</f>
        <v>0</v>
      </c>
      <c r="AO237" s="18" t="str">
        <f t="shared" si="39"/>
        <v/>
      </c>
      <c r="AP237" s="18">
        <f t="shared" si="31"/>
        <v>31</v>
      </c>
      <c r="AQ237" s="18">
        <f>_xlfn.XLOOKUP(D237,'7月运营'!A:A,'7月运营'!G:G,0)</f>
        <v>0</v>
      </c>
    </row>
    <row r="238" spans="1:43" x14ac:dyDescent="0.15">
      <c r="A238" s="11" t="str">
        <v>总部</v>
      </c>
      <c r="B238" s="11" t="str">
        <v>拓展部</v>
      </c>
      <c r="C238" s="11" t="str">
        <v>A</v>
      </c>
      <c r="D238" s="11" t="str">
        <v>宁燕</v>
      </c>
      <c r="E238" s="11" t="str">
        <v>在职</v>
      </c>
      <c r="F238" s="11" t="str">
        <v>拓展部</v>
      </c>
      <c r="G238" s="11">
        <f>_xlfn.XLOOKUP(D238,'①7月-花名册'!E:E,'①7月-花名册'!U:U,0)</f>
        <v>0</v>
      </c>
      <c r="H238" s="11">
        <f>_xlfn.XLOOKUP(D238,'①7月-花名册'!E:E,'①7月-花名册'!M:M,0)</f>
        <v>31</v>
      </c>
      <c r="I238" s="11">
        <f>_xlfn.XLOOKUP(D238,'①7月-花名册'!E:E,'①7月-花名册'!S:S,0)</f>
        <v>6</v>
      </c>
      <c r="J238" s="14">
        <f t="shared" si="32"/>
        <v>6</v>
      </c>
      <c r="K238" s="23">
        <v>6</v>
      </c>
      <c r="L238" s="23"/>
      <c r="M238" s="23"/>
      <c r="N238" s="23"/>
      <c r="O238" s="23"/>
      <c r="P238" s="15">
        <f t="shared" si="33"/>
        <v>25</v>
      </c>
      <c r="Q238" s="15">
        <f t="shared" si="34"/>
        <v>31</v>
      </c>
      <c r="R238" s="15">
        <f>IF(F238="事业部",LOOKUP(Q238,基础设置!$T$2:$T$6,基础设置!$U$2:$U$6),IF(F238="总部",LOOKUP(Q238,基础设置!$T$8:$T$13,基础设置!$V$8:$V$13),IF(F238="拓展部",LOOKUP(Q238,基础设置!$T$8:$T$13,基础设置!$W$8:$W$13),2000)))</f>
        <v>6</v>
      </c>
      <c r="S238" s="15">
        <f t="shared" si="35"/>
        <v>31</v>
      </c>
      <c r="T238" s="15">
        <f t="shared" si="36"/>
        <v>0</v>
      </c>
      <c r="U238" s="15">
        <f t="shared" si="37"/>
        <v>0</v>
      </c>
      <c r="V238" s="15">
        <f t="shared" si="30"/>
        <v>0</v>
      </c>
      <c r="W238" s="15">
        <f t="shared" si="38"/>
        <v>0</v>
      </c>
      <c r="X238" s="26"/>
      <c r="Y238" s="26"/>
      <c r="Z238" s="26"/>
      <c r="AA238" s="26"/>
      <c r="AB238" s="27"/>
      <c r="AC238" s="27"/>
      <c r="AD238" s="27"/>
      <c r="AE238" s="27"/>
      <c r="AF238" s="27"/>
      <c r="AG238" s="27"/>
      <c r="AH238" s="17">
        <f>_xlfn.XLOOKUP(D238,'①7月-花名册'!E:E,'①7月-花名册'!T:T,0)</f>
        <v>0</v>
      </c>
      <c r="AI238" s="15">
        <f>SUMIFS('7月运营'!$L:$L,'7月运营'!$A:$A,D238,'7月运营'!$K:$K,$A$1)</f>
        <v>0</v>
      </c>
      <c r="AJ238" s="15">
        <f>SUMIFS('7月运营'!H:H,'7月运营'!$A:$A,D238,'7月运营'!$K:$K,$A$1)</f>
        <v>0</v>
      </c>
      <c r="AK238" s="15">
        <f>SUMIFS(上月未发人员明细!I:I,上月未发人员明细!J:J,$AK$2,上月未发人员明细!A:A,D238)</f>
        <v>0</v>
      </c>
      <c r="AL238" s="15">
        <f>SUMIFS('7月运营'!L:L,'7月运营'!$A:$A,D238,'7月运营'!$K:$K,$AL$2)</f>
        <v>0</v>
      </c>
      <c r="AM238" s="18">
        <f>SUMIFS('7月运营'!$F:$F,'7月运营'!$A:$A,D238,'7月运营'!$K:$K,'②7月-汇总'!$AM$2,'7月运营'!$G:$G,"岗位核算")</f>
        <v>0</v>
      </c>
      <c r="AN238" s="18">
        <f>SUMIFS('7月运营'!$F:$F,'7月运营'!$A:$A,D238,'7月运营'!$K:$K,$AN$2,'7月运营'!$G:$G,"岗位核算")</f>
        <v>0</v>
      </c>
      <c r="AO238" s="18" t="str">
        <f t="shared" si="39"/>
        <v/>
      </c>
      <c r="AP238" s="18">
        <f t="shared" si="31"/>
        <v>31</v>
      </c>
      <c r="AQ238" s="18">
        <f>_xlfn.XLOOKUP(D238,'7月运营'!A:A,'7月运营'!G:G,0)</f>
        <v>0</v>
      </c>
    </row>
    <row r="239" spans="1:43" x14ac:dyDescent="0.15">
      <c r="A239" s="11" t="str">
        <v>总部</v>
      </c>
      <c r="B239" s="11" t="str">
        <v>拓展部</v>
      </c>
      <c r="C239" s="11" t="str">
        <v>A</v>
      </c>
      <c r="D239" s="11" t="str">
        <v>杨苹</v>
      </c>
      <c r="E239" s="11" t="str">
        <v>在职</v>
      </c>
      <c r="F239" s="11" t="str">
        <v>拓展部</v>
      </c>
      <c r="G239" s="11">
        <f>_xlfn.XLOOKUP(D239,'①7月-花名册'!E:E,'①7月-花名册'!U:U,0)</f>
        <v>0</v>
      </c>
      <c r="H239" s="11">
        <f>_xlfn.XLOOKUP(D239,'①7月-花名册'!E:E,'①7月-花名册'!M:M,0)</f>
        <v>31</v>
      </c>
      <c r="I239" s="11">
        <f>_xlfn.XLOOKUP(D239,'①7月-花名册'!E:E,'①7月-花名册'!S:S,0)</f>
        <v>6</v>
      </c>
      <c r="J239" s="14">
        <f t="shared" si="32"/>
        <v>6</v>
      </c>
      <c r="K239" s="23">
        <v>6</v>
      </c>
      <c r="L239" s="23"/>
      <c r="M239" s="23"/>
      <c r="N239" s="23"/>
      <c r="O239" s="23"/>
      <c r="P239" s="15">
        <f t="shared" si="33"/>
        <v>25</v>
      </c>
      <c r="Q239" s="15">
        <f t="shared" si="34"/>
        <v>31</v>
      </c>
      <c r="R239" s="15">
        <f>IF(F239="事业部",LOOKUP(Q239,基础设置!$T$2:$T$6,基础设置!$U$2:$U$6),IF(F239="总部",LOOKUP(Q239,基础设置!$T$8:$T$13,基础设置!$V$8:$V$13),IF(F239="拓展部",LOOKUP(Q239,基础设置!$T$8:$T$13,基础设置!$W$8:$W$13),2000)))</f>
        <v>6</v>
      </c>
      <c r="S239" s="15">
        <f t="shared" si="35"/>
        <v>31</v>
      </c>
      <c r="T239" s="15">
        <f t="shared" si="36"/>
        <v>0</v>
      </c>
      <c r="U239" s="15">
        <f t="shared" si="37"/>
        <v>0</v>
      </c>
      <c r="V239" s="15">
        <f t="shared" si="30"/>
        <v>0</v>
      </c>
      <c r="W239" s="15">
        <f t="shared" si="38"/>
        <v>0</v>
      </c>
      <c r="X239" s="26"/>
      <c r="Y239" s="26"/>
      <c r="Z239" s="26"/>
      <c r="AA239" s="26"/>
      <c r="AB239" s="27"/>
      <c r="AC239" s="27"/>
      <c r="AD239" s="27"/>
      <c r="AE239" s="27"/>
      <c r="AF239" s="27"/>
      <c r="AG239" s="27"/>
      <c r="AH239" s="17">
        <f>_xlfn.XLOOKUP(D239,'①7月-花名册'!E:E,'①7月-花名册'!T:T,0)</f>
        <v>0</v>
      </c>
      <c r="AI239" s="15">
        <f>SUMIFS('7月运营'!$L:$L,'7月运营'!$A:$A,D239,'7月运营'!$K:$K,$A$1)</f>
        <v>0</v>
      </c>
      <c r="AJ239" s="15">
        <f>SUMIFS('7月运营'!H:H,'7月运营'!$A:$A,D239,'7月运营'!$K:$K,$A$1)</f>
        <v>0</v>
      </c>
      <c r="AK239" s="15">
        <f>SUMIFS(上月未发人员明细!I:I,上月未发人员明细!J:J,$AK$2,上月未发人员明细!A:A,D239)</f>
        <v>0</v>
      </c>
      <c r="AL239" s="15">
        <f>SUMIFS('7月运营'!L:L,'7月运营'!$A:$A,D239,'7月运营'!$K:$K,$AL$2)</f>
        <v>0</v>
      </c>
      <c r="AM239" s="18">
        <f>SUMIFS('7月运营'!$F:$F,'7月运营'!$A:$A,D239,'7月运营'!$K:$K,'②7月-汇总'!$AM$2,'7月运营'!$G:$G,"岗位核算")</f>
        <v>0</v>
      </c>
      <c r="AN239" s="18">
        <f>SUMIFS('7月运营'!$F:$F,'7月运营'!$A:$A,D239,'7月运营'!$K:$K,$AN$2,'7月运营'!$G:$G,"岗位核算")</f>
        <v>0</v>
      </c>
      <c r="AO239" s="18" t="str">
        <f t="shared" si="39"/>
        <v/>
      </c>
      <c r="AP239" s="18">
        <f t="shared" si="31"/>
        <v>31</v>
      </c>
      <c r="AQ239" s="18">
        <f>_xlfn.XLOOKUP(D239,'7月运营'!A:A,'7月运营'!G:G,0)</f>
        <v>0</v>
      </c>
    </row>
    <row r="240" spans="1:43" x14ac:dyDescent="0.15">
      <c r="A240" s="11" t="str">
        <v>总部</v>
      </c>
      <c r="B240" s="11" t="str">
        <v>拓展部</v>
      </c>
      <c r="C240" s="11" t="str">
        <v>A</v>
      </c>
      <c r="D240" s="11" t="str">
        <v>赵倩</v>
      </c>
      <c r="E240" s="11" t="str">
        <v>在职</v>
      </c>
      <c r="F240" s="11" t="str">
        <v>拓展部</v>
      </c>
      <c r="G240" s="11">
        <f>_xlfn.XLOOKUP(D240,'①7月-花名册'!E:E,'①7月-花名册'!U:U,0)</f>
        <v>0</v>
      </c>
      <c r="H240" s="11">
        <f>_xlfn.XLOOKUP(D240,'①7月-花名册'!E:E,'①7月-花名册'!M:M,0)</f>
        <v>31</v>
      </c>
      <c r="I240" s="11">
        <f>_xlfn.XLOOKUP(D240,'①7月-花名册'!E:E,'①7月-花名册'!S:S,0)</f>
        <v>6</v>
      </c>
      <c r="J240" s="14">
        <f t="shared" si="32"/>
        <v>6</v>
      </c>
      <c r="K240" s="23">
        <v>6</v>
      </c>
      <c r="L240" s="23"/>
      <c r="M240" s="23"/>
      <c r="N240" s="23"/>
      <c r="O240" s="23"/>
      <c r="P240" s="15">
        <f t="shared" si="33"/>
        <v>25</v>
      </c>
      <c r="Q240" s="15">
        <f t="shared" si="34"/>
        <v>31</v>
      </c>
      <c r="R240" s="15">
        <f>IF(F240="事业部",LOOKUP(Q240,基础设置!$T$2:$T$6,基础设置!$U$2:$U$6),IF(F240="总部",LOOKUP(Q240,基础设置!$T$8:$T$13,基础设置!$V$8:$V$13),IF(F240="拓展部",LOOKUP(Q240,基础设置!$T$8:$T$13,基础设置!$W$8:$W$13),2000)))</f>
        <v>6</v>
      </c>
      <c r="S240" s="15">
        <f t="shared" si="35"/>
        <v>31</v>
      </c>
      <c r="T240" s="15">
        <f t="shared" si="36"/>
        <v>0</v>
      </c>
      <c r="U240" s="15">
        <f t="shared" si="37"/>
        <v>0</v>
      </c>
      <c r="V240" s="15">
        <f t="shared" si="30"/>
        <v>0</v>
      </c>
      <c r="W240" s="15">
        <f t="shared" si="38"/>
        <v>0</v>
      </c>
      <c r="X240" s="26"/>
      <c r="Y240" s="26"/>
      <c r="Z240" s="26"/>
      <c r="AA240" s="26"/>
      <c r="AB240" s="27"/>
      <c r="AC240" s="27"/>
      <c r="AD240" s="27"/>
      <c r="AE240" s="27"/>
      <c r="AF240" s="27"/>
      <c r="AG240" s="27"/>
      <c r="AH240" s="17">
        <f>_xlfn.XLOOKUP(D240,'①7月-花名册'!E:E,'①7月-花名册'!T:T,0)</f>
        <v>0</v>
      </c>
      <c r="AI240" s="15">
        <f>SUMIFS('7月运营'!$L:$L,'7月运营'!$A:$A,D240,'7月运营'!$K:$K,$A$1)</f>
        <v>0</v>
      </c>
      <c r="AJ240" s="15">
        <f>SUMIFS('7月运营'!H:H,'7月运营'!$A:$A,D240,'7月运营'!$K:$K,$A$1)</f>
        <v>0</v>
      </c>
      <c r="AK240" s="15">
        <f>SUMIFS(上月未发人员明细!I:I,上月未发人员明细!J:J,$AK$2,上月未发人员明细!A:A,D240)</f>
        <v>0</v>
      </c>
      <c r="AL240" s="15">
        <f>SUMIFS('7月运营'!L:L,'7月运营'!$A:$A,D240,'7月运营'!$K:$K,$AL$2)</f>
        <v>0</v>
      </c>
      <c r="AM240" s="18">
        <f>SUMIFS('7月运营'!$F:$F,'7月运营'!$A:$A,D240,'7月运营'!$K:$K,'②7月-汇总'!$AM$2,'7月运营'!$G:$G,"岗位核算")</f>
        <v>0</v>
      </c>
      <c r="AN240" s="18">
        <f>SUMIFS('7月运营'!$F:$F,'7月运营'!$A:$A,D240,'7月运营'!$K:$K,$AN$2,'7月运营'!$G:$G,"岗位核算")</f>
        <v>0</v>
      </c>
      <c r="AO240" s="18" t="str">
        <f t="shared" si="39"/>
        <v/>
      </c>
      <c r="AP240" s="18">
        <f t="shared" si="31"/>
        <v>31</v>
      </c>
      <c r="AQ240" s="18">
        <f>_xlfn.XLOOKUP(D240,'7月运营'!A:A,'7月运营'!G:G,0)</f>
        <v>0</v>
      </c>
    </row>
    <row r="241" spans="1:43" x14ac:dyDescent="0.15">
      <c r="A241" s="11" t="str">
        <v>总部</v>
      </c>
      <c r="B241" s="11" t="str">
        <v>财务老师</v>
      </c>
      <c r="C241" s="11" t="str">
        <v>B</v>
      </c>
      <c r="D241" s="11" t="str">
        <v>梁诗雨</v>
      </c>
      <c r="E241" s="11" t="str">
        <v>在职</v>
      </c>
      <c r="F241" s="11" t="str">
        <v>总部</v>
      </c>
      <c r="G241" s="11">
        <f>_xlfn.XLOOKUP(D241,'①7月-花名册'!E:E,'①7月-花名册'!U:U,0)</f>
        <v>0</v>
      </c>
      <c r="H241" s="11">
        <f>_xlfn.XLOOKUP(D241,'①7月-花名册'!E:E,'①7月-花名册'!M:M,0)</f>
        <v>31</v>
      </c>
      <c r="I241" s="11">
        <f>_xlfn.XLOOKUP(D241,'①7月-花名册'!E:E,'①7月-花名册'!S:S,0)</f>
        <v>5</v>
      </c>
      <c r="J241" s="14">
        <f t="shared" si="32"/>
        <v>5</v>
      </c>
      <c r="K241" s="23">
        <v>5</v>
      </c>
      <c r="L241" s="23"/>
      <c r="M241" s="23"/>
      <c r="N241" s="23"/>
      <c r="O241" s="23"/>
      <c r="P241" s="15">
        <f t="shared" si="33"/>
        <v>26</v>
      </c>
      <c r="Q241" s="15">
        <f t="shared" si="34"/>
        <v>31</v>
      </c>
      <c r="R241" s="15">
        <f>IF(F241="事业部",LOOKUP(Q241,基础设置!$T$2:$T$6,基础设置!$U$2:$U$6),IF(F241="总部",LOOKUP(Q241,基础设置!$T$8:$T$13,基础设置!$V$8:$V$13),IF(F241="拓展部",LOOKUP(Q241,基础设置!$T$8:$T$13,基础设置!$W$8:$W$13),2000)))</f>
        <v>5</v>
      </c>
      <c r="S241" s="15">
        <f t="shared" si="35"/>
        <v>31</v>
      </c>
      <c r="T241" s="15">
        <f t="shared" si="36"/>
        <v>0</v>
      </c>
      <c r="U241" s="15">
        <f t="shared" si="37"/>
        <v>0</v>
      </c>
      <c r="V241" s="15">
        <f t="shared" si="30"/>
        <v>0</v>
      </c>
      <c r="W241" s="15">
        <f t="shared" si="38"/>
        <v>0</v>
      </c>
      <c r="X241" s="26"/>
      <c r="Y241" s="26"/>
      <c r="Z241" s="26"/>
      <c r="AA241" s="26"/>
      <c r="AB241" s="27"/>
      <c r="AC241" s="27"/>
      <c r="AD241" s="27"/>
      <c r="AE241" s="27"/>
      <c r="AF241" s="27"/>
      <c r="AG241" s="27"/>
      <c r="AH241" s="17">
        <f>_xlfn.XLOOKUP(D241,'①7月-花名册'!E:E,'①7月-花名册'!T:T,0)</f>
        <v>0</v>
      </c>
      <c r="AI241" s="15">
        <f>SUMIFS('7月运营'!$L:$L,'7月运营'!$A:$A,D241,'7月运营'!$K:$K,$A$1)</f>
        <v>0</v>
      </c>
      <c r="AJ241" s="15">
        <f>SUMIFS('7月运营'!H:H,'7月运营'!$A:$A,D241,'7月运营'!$K:$K,$A$1)</f>
        <v>0</v>
      </c>
      <c r="AK241" s="15">
        <f>SUMIFS(上月未发人员明细!I:I,上月未发人员明细!J:J,$AK$2,上月未发人员明细!A:A,D241)</f>
        <v>0</v>
      </c>
      <c r="AL241" s="15">
        <f>SUMIFS('7月运营'!L:L,'7月运营'!$A:$A,D241,'7月运营'!$K:$K,$AL$2)</f>
        <v>0</v>
      </c>
      <c r="AM241" s="18">
        <f>SUMIFS('7月运营'!$F:$F,'7月运营'!$A:$A,D241,'7月运营'!$K:$K,'②7月-汇总'!$AM$2,'7月运营'!$G:$G,"岗位核算")</f>
        <v>0</v>
      </c>
      <c r="AN241" s="18">
        <f>SUMIFS('7月运营'!$F:$F,'7月运营'!$A:$A,D241,'7月运营'!$K:$K,$AN$2,'7月运营'!$G:$G,"岗位核算")</f>
        <v>0</v>
      </c>
      <c r="AO241" s="18" t="str">
        <f t="shared" si="39"/>
        <v/>
      </c>
      <c r="AP241" s="18">
        <f t="shared" si="31"/>
        <v>31</v>
      </c>
      <c r="AQ241" s="18">
        <f>_xlfn.XLOOKUP(D241,'7月运营'!A:A,'7月运营'!G:G,0)</f>
        <v>0</v>
      </c>
    </row>
    <row r="242" spans="1:43" x14ac:dyDescent="0.15">
      <c r="A242" s="11" t="str">
        <v>总部</v>
      </c>
      <c r="B242" s="11" t="str">
        <v>财务主管</v>
      </c>
      <c r="C242" s="11" t="str">
        <v>B</v>
      </c>
      <c r="D242" s="11" t="str">
        <v>郭思瑞</v>
      </c>
      <c r="E242" s="11" t="str">
        <v>在职</v>
      </c>
      <c r="F242" s="11" t="str">
        <v>总部</v>
      </c>
      <c r="G242" s="11">
        <f>_xlfn.XLOOKUP(D242,'①7月-花名册'!E:E,'①7月-花名册'!U:U,0)</f>
        <v>0</v>
      </c>
      <c r="H242" s="11">
        <f>_xlfn.XLOOKUP(D242,'①7月-花名册'!E:E,'①7月-花名册'!M:M,0)</f>
        <v>31</v>
      </c>
      <c r="I242" s="11">
        <f>_xlfn.XLOOKUP(D242,'①7月-花名册'!E:E,'①7月-花名册'!S:S,0)</f>
        <v>5</v>
      </c>
      <c r="J242" s="14">
        <f t="shared" si="32"/>
        <v>5</v>
      </c>
      <c r="K242" s="23">
        <v>5</v>
      </c>
      <c r="L242" s="23"/>
      <c r="M242" s="23"/>
      <c r="N242" s="23"/>
      <c r="O242" s="23"/>
      <c r="P242" s="15">
        <f t="shared" si="33"/>
        <v>26</v>
      </c>
      <c r="Q242" s="15">
        <f t="shared" si="34"/>
        <v>31</v>
      </c>
      <c r="R242" s="15">
        <f>IF(F242="事业部",LOOKUP(Q242,基础设置!$T$2:$T$6,基础设置!$U$2:$U$6),IF(F242="总部",LOOKUP(Q242,基础设置!$T$8:$T$13,基础设置!$V$8:$V$13),IF(F242="拓展部",LOOKUP(Q242,基础设置!$T$8:$T$13,基础设置!$W$8:$W$13),2000)))</f>
        <v>5</v>
      </c>
      <c r="S242" s="15">
        <f t="shared" si="35"/>
        <v>31</v>
      </c>
      <c r="T242" s="15">
        <f t="shared" si="36"/>
        <v>0</v>
      </c>
      <c r="U242" s="15">
        <f t="shared" si="37"/>
        <v>0</v>
      </c>
      <c r="V242" s="15">
        <f t="shared" si="30"/>
        <v>0</v>
      </c>
      <c r="W242" s="15">
        <f t="shared" si="38"/>
        <v>0</v>
      </c>
      <c r="X242" s="26"/>
      <c r="Y242" s="26">
        <v>10</v>
      </c>
      <c r="Z242" s="26"/>
      <c r="AA242" s="26"/>
      <c r="AB242" s="27"/>
      <c r="AC242" s="27"/>
      <c r="AD242" s="27"/>
      <c r="AE242" s="27"/>
      <c r="AF242" s="27"/>
      <c r="AG242" s="27"/>
      <c r="AH242" s="17">
        <f>_xlfn.XLOOKUP(D242,'①7月-花名册'!E:E,'①7月-花名册'!T:T,0)</f>
        <v>0</v>
      </c>
      <c r="AI242" s="15">
        <f>SUMIFS('7月运营'!$L:$L,'7月运营'!$A:$A,D242,'7月运营'!$K:$K,$A$1)</f>
        <v>0</v>
      </c>
      <c r="AJ242" s="15">
        <f>SUMIFS('7月运营'!H:H,'7月运营'!$A:$A,D242,'7月运营'!$K:$K,$A$1)</f>
        <v>0</v>
      </c>
      <c r="AK242" s="15">
        <f>SUMIFS(上月未发人员明细!I:I,上月未发人员明细!J:J,$AK$2,上月未发人员明细!A:A,D242)</f>
        <v>0</v>
      </c>
      <c r="AL242" s="15">
        <f>SUMIFS('7月运营'!L:L,'7月运营'!$A:$A,D242,'7月运营'!$K:$K,$AL$2)</f>
        <v>0</v>
      </c>
      <c r="AM242" s="18">
        <f>SUMIFS('7月运营'!$F:$F,'7月运营'!$A:$A,D242,'7月运营'!$K:$K,'②7月-汇总'!$AM$2,'7月运营'!$G:$G,"岗位核算")</f>
        <v>0</v>
      </c>
      <c r="AN242" s="18">
        <f>SUMIFS('7月运营'!$F:$F,'7月运营'!$A:$A,D242,'7月运营'!$K:$K,$AN$2,'7月运营'!$G:$G,"岗位核算")</f>
        <v>0</v>
      </c>
      <c r="AO242" s="18" t="str">
        <f t="shared" si="39"/>
        <v/>
      </c>
      <c r="AP242" s="18">
        <f t="shared" si="31"/>
        <v>31</v>
      </c>
      <c r="AQ242" s="18">
        <f>_xlfn.XLOOKUP(D242,'7月运营'!A:A,'7月运营'!G:G,0)</f>
        <v>0</v>
      </c>
    </row>
    <row r="243" spans="1:43" x14ac:dyDescent="0.15">
      <c r="A243" s="11" t="str">
        <v>总部</v>
      </c>
      <c r="B243" s="11" t="str">
        <v>财务老师</v>
      </c>
      <c r="C243" s="11" t="str">
        <v>B</v>
      </c>
      <c r="D243" s="11" t="str">
        <v>文倩</v>
      </c>
      <c r="E243" s="11" t="str">
        <v>在职</v>
      </c>
      <c r="F243" s="11" t="str">
        <v>总部</v>
      </c>
      <c r="G243" s="11">
        <f>_xlfn.XLOOKUP(D243,'①7月-花名册'!E:E,'①7月-花名册'!U:U,0)</f>
        <v>0</v>
      </c>
      <c r="H243" s="11">
        <f>_xlfn.XLOOKUP(D243,'①7月-花名册'!E:E,'①7月-花名册'!M:M,0)</f>
        <v>31</v>
      </c>
      <c r="I243" s="11">
        <f>_xlfn.XLOOKUP(D243,'①7月-花名册'!E:E,'①7月-花名册'!S:S,0)</f>
        <v>5</v>
      </c>
      <c r="J243" s="14">
        <f t="shared" si="32"/>
        <v>6</v>
      </c>
      <c r="K243" s="23">
        <v>5</v>
      </c>
      <c r="L243" s="23"/>
      <c r="M243" s="23"/>
      <c r="N243" s="23"/>
      <c r="O243" s="23">
        <v>1</v>
      </c>
      <c r="P243" s="15">
        <f t="shared" si="33"/>
        <v>25</v>
      </c>
      <c r="Q243" s="15">
        <f t="shared" si="34"/>
        <v>31</v>
      </c>
      <c r="R243" s="15">
        <f>IF(F243="事业部",LOOKUP(Q243,基础设置!$T$2:$T$6,基础设置!$U$2:$U$6),IF(F243="总部",LOOKUP(Q243,基础设置!$T$8:$T$13,基础设置!$V$8:$V$13),IF(F243="拓展部",LOOKUP(Q243,基础设置!$T$8:$T$13,基础设置!$W$8:$W$13),2000)))</f>
        <v>5</v>
      </c>
      <c r="S243" s="15">
        <f t="shared" si="35"/>
        <v>31</v>
      </c>
      <c r="T243" s="15">
        <f t="shared" si="36"/>
        <v>0</v>
      </c>
      <c r="U243" s="15">
        <f t="shared" si="37"/>
        <v>0</v>
      </c>
      <c r="V243" s="15">
        <f t="shared" si="30"/>
        <v>0</v>
      </c>
      <c r="W243" s="15">
        <f t="shared" si="38"/>
        <v>0</v>
      </c>
      <c r="X243" s="26"/>
      <c r="Y243" s="26"/>
      <c r="Z243" s="26"/>
      <c r="AA243" s="26"/>
      <c r="AB243" s="27"/>
      <c r="AC243" s="27"/>
      <c r="AD243" s="27"/>
      <c r="AE243" s="27"/>
      <c r="AF243" s="27"/>
      <c r="AG243" s="27"/>
      <c r="AH243" s="17">
        <f>_xlfn.XLOOKUP(D243,'①7月-花名册'!E:E,'①7月-花名册'!T:T,0)</f>
        <v>0</v>
      </c>
      <c r="AI243" s="15">
        <f>SUMIFS('7月运营'!$L:$L,'7月运营'!$A:$A,D243,'7月运营'!$K:$K,$A$1)</f>
        <v>0</v>
      </c>
      <c r="AJ243" s="15">
        <f>SUMIFS('7月运营'!H:H,'7月运营'!$A:$A,D243,'7月运营'!$K:$K,$A$1)</f>
        <v>0</v>
      </c>
      <c r="AK243" s="15">
        <f>SUMIFS(上月未发人员明细!I:I,上月未发人员明细!J:J,$AK$2,上月未发人员明细!A:A,D243)</f>
        <v>0</v>
      </c>
      <c r="AL243" s="15">
        <f>SUMIFS('7月运营'!L:L,'7月运营'!$A:$A,D243,'7月运营'!$K:$K,$AL$2)</f>
        <v>0</v>
      </c>
      <c r="AM243" s="18">
        <f>SUMIFS('7月运营'!$F:$F,'7月运营'!$A:$A,D243,'7月运营'!$K:$K,'②7月-汇总'!$AM$2,'7月运营'!$G:$G,"岗位核算")</f>
        <v>0</v>
      </c>
      <c r="AN243" s="18">
        <f>SUMIFS('7月运营'!$F:$F,'7月运营'!$A:$A,D243,'7月运营'!$K:$K,$AN$2,'7月运营'!$G:$G,"岗位核算")</f>
        <v>0</v>
      </c>
      <c r="AO243" s="18" t="str">
        <f t="shared" si="39"/>
        <v/>
      </c>
      <c r="AP243" s="18">
        <f t="shared" si="31"/>
        <v>31</v>
      </c>
      <c r="AQ243" s="18">
        <f>_xlfn.XLOOKUP(D243,'7月运营'!A:A,'7月运营'!G:G,0)</f>
        <v>0</v>
      </c>
    </row>
    <row r="244" spans="1:43" x14ac:dyDescent="0.15">
      <c r="A244" s="11" t="str">
        <v>总部</v>
      </c>
      <c r="B244" s="11" t="str">
        <v>财务总监</v>
      </c>
      <c r="C244" s="11" t="str">
        <v>B</v>
      </c>
      <c r="D244" s="11" t="str">
        <v>刘佳</v>
      </c>
      <c r="E244" s="11" t="str">
        <v>在职</v>
      </c>
      <c r="F244" s="11" t="str">
        <v>总部</v>
      </c>
      <c r="G244" s="11">
        <f>_xlfn.XLOOKUP(D244,'①7月-花名册'!E:E,'①7月-花名册'!U:U,0)</f>
        <v>0</v>
      </c>
      <c r="H244" s="11">
        <f>_xlfn.XLOOKUP(D244,'①7月-花名册'!E:E,'①7月-花名册'!M:M,0)</f>
        <v>31</v>
      </c>
      <c r="I244" s="11">
        <f>_xlfn.XLOOKUP(D244,'①7月-花名册'!E:E,'①7月-花名册'!S:S,0)</f>
        <v>5</v>
      </c>
      <c r="J244" s="14">
        <f t="shared" si="32"/>
        <v>5</v>
      </c>
      <c r="K244" s="23">
        <v>5</v>
      </c>
      <c r="L244" s="23"/>
      <c r="M244" s="23"/>
      <c r="N244" s="23"/>
      <c r="O244" s="23"/>
      <c r="P244" s="15">
        <f t="shared" si="33"/>
        <v>26</v>
      </c>
      <c r="Q244" s="15">
        <f t="shared" si="34"/>
        <v>31</v>
      </c>
      <c r="R244" s="15">
        <f>IF(F244="事业部",LOOKUP(Q244,基础设置!$T$2:$T$6,基础设置!$U$2:$U$6),IF(F244="总部",LOOKUP(Q244,基础设置!$T$8:$T$13,基础设置!$V$8:$V$13),IF(F244="拓展部",LOOKUP(Q244,基础设置!$T$8:$T$13,基础设置!$W$8:$W$13),2000)))</f>
        <v>5</v>
      </c>
      <c r="S244" s="15">
        <f t="shared" si="35"/>
        <v>31</v>
      </c>
      <c r="T244" s="15">
        <f t="shared" si="36"/>
        <v>0</v>
      </c>
      <c r="U244" s="15">
        <f t="shared" si="37"/>
        <v>0</v>
      </c>
      <c r="V244" s="15">
        <f t="shared" si="30"/>
        <v>0</v>
      </c>
      <c r="W244" s="15">
        <f t="shared" si="38"/>
        <v>0</v>
      </c>
      <c r="X244" s="26"/>
      <c r="Y244" s="26"/>
      <c r="Z244" s="26"/>
      <c r="AA244" s="26"/>
      <c r="AB244" s="27"/>
      <c r="AC244" s="27"/>
      <c r="AD244" s="27"/>
      <c r="AE244" s="27"/>
      <c r="AF244" s="27"/>
      <c r="AG244" s="27"/>
      <c r="AH244" s="17">
        <f>_xlfn.XLOOKUP(D244,'①7月-花名册'!E:E,'①7月-花名册'!T:T,0)</f>
        <v>0</v>
      </c>
      <c r="AI244" s="15">
        <f>SUMIFS('7月运营'!$L:$L,'7月运营'!$A:$A,D244,'7月运营'!$K:$K,$A$1)</f>
        <v>0</v>
      </c>
      <c r="AJ244" s="15">
        <f>SUMIFS('7月运营'!H:H,'7月运营'!$A:$A,D244,'7月运营'!$K:$K,$A$1)</f>
        <v>0</v>
      </c>
      <c r="AK244" s="15">
        <f>SUMIFS(上月未发人员明细!I:I,上月未发人员明细!J:J,$AK$2,上月未发人员明细!A:A,D244)</f>
        <v>0</v>
      </c>
      <c r="AL244" s="15">
        <f>SUMIFS('7月运营'!L:L,'7月运营'!$A:$A,D244,'7月运营'!$K:$K,$AL$2)</f>
        <v>0</v>
      </c>
      <c r="AM244" s="18">
        <f>SUMIFS('7月运营'!$F:$F,'7月运营'!$A:$A,D244,'7月运营'!$K:$K,'②7月-汇总'!$AM$2,'7月运营'!$G:$G,"岗位核算")</f>
        <v>0</v>
      </c>
      <c r="AN244" s="18">
        <f>SUMIFS('7月运营'!$F:$F,'7月运营'!$A:$A,D244,'7月运营'!$K:$K,$AN$2,'7月运营'!$G:$G,"岗位核算")</f>
        <v>0</v>
      </c>
      <c r="AO244" s="18" t="str">
        <f t="shared" si="39"/>
        <v/>
      </c>
      <c r="AP244" s="18">
        <f t="shared" si="31"/>
        <v>31</v>
      </c>
      <c r="AQ244" s="18">
        <f>_xlfn.XLOOKUP(D244,'7月运营'!A:A,'7月运营'!G:G,0)</f>
        <v>0</v>
      </c>
    </row>
    <row r="245" spans="1:43" x14ac:dyDescent="0.15">
      <c r="A245" s="11" t="str">
        <v>总部</v>
      </c>
      <c r="B245" s="11" t="str">
        <v>企划</v>
      </c>
      <c r="C245" s="11" t="str">
        <v>B</v>
      </c>
      <c r="D245" s="11" t="str">
        <v>杨磊</v>
      </c>
      <c r="E245" s="11" t="str">
        <v>离职</v>
      </c>
      <c r="F245" s="11" t="str">
        <v>总部</v>
      </c>
      <c r="G245" s="11">
        <f>_xlfn.XLOOKUP(D245,'①7月-花名册'!E:E,'①7月-花名册'!U:U,0)</f>
        <v>0</v>
      </c>
      <c r="H245" s="11">
        <f>_xlfn.XLOOKUP(D245,'①7月-花名册'!E:E,'①7月-花名册'!M:M,0)</f>
        <v>13</v>
      </c>
      <c r="I245" s="11">
        <f>_xlfn.XLOOKUP(D245,'①7月-花名册'!E:E,'①7月-花名册'!S:S,0)</f>
        <v>2</v>
      </c>
      <c r="J245" s="14">
        <f t="shared" si="32"/>
        <v>5</v>
      </c>
      <c r="K245" s="23">
        <v>1</v>
      </c>
      <c r="L245" s="23">
        <v>4</v>
      </c>
      <c r="M245" s="23"/>
      <c r="N245" s="23"/>
      <c r="O245" s="23"/>
      <c r="P245" s="15">
        <f t="shared" si="33"/>
        <v>8</v>
      </c>
      <c r="Q245" s="15">
        <f t="shared" si="34"/>
        <v>9</v>
      </c>
      <c r="R245" s="15">
        <f>IF(F245="事业部",LOOKUP(Q245,基础设置!$T$2:$T$6,基础设置!$U$2:$U$6),IF(F245="总部",LOOKUP(Q245,基础设置!$T$8:$T$13,基础设置!$V$8:$V$13),IF(F245="拓展部",LOOKUP(Q245,基础设置!$T$8:$T$13,基础设置!$W$8:$W$13),2000)))</f>
        <v>1</v>
      </c>
      <c r="S245" s="15">
        <f t="shared" si="35"/>
        <v>9</v>
      </c>
      <c r="T245" s="15">
        <f t="shared" si="36"/>
        <v>0</v>
      </c>
      <c r="U245" s="15">
        <f t="shared" si="37"/>
        <v>4</v>
      </c>
      <c r="V245" s="15">
        <f t="shared" si="30"/>
        <v>0</v>
      </c>
      <c r="W245" s="15">
        <f t="shared" si="38"/>
        <v>0</v>
      </c>
      <c r="X245" s="26"/>
      <c r="Y245" s="26"/>
      <c r="Z245" s="26"/>
      <c r="AA245" s="26"/>
      <c r="AB245" s="27"/>
      <c r="AC245" s="27"/>
      <c r="AD245" s="27"/>
      <c r="AE245" s="27"/>
      <c r="AF245" s="27"/>
      <c r="AG245" s="27"/>
      <c r="AH245" s="17">
        <f>_xlfn.XLOOKUP(D245,'①7月-花名册'!E:E,'①7月-花名册'!T:T,0)</f>
        <v>0</v>
      </c>
      <c r="AI245" s="15">
        <f>SUMIFS('7月运营'!$L:$L,'7月运营'!$A:$A,D245,'7月运营'!$K:$K,$A$1)</f>
        <v>0</v>
      </c>
      <c r="AJ245" s="15">
        <f>SUMIFS('7月运营'!H:H,'7月运营'!$A:$A,D245,'7月运营'!$K:$K,$A$1)</f>
        <v>0</v>
      </c>
      <c r="AK245" s="15">
        <f>SUMIFS(上月未发人员明细!I:I,上月未发人员明细!J:J,$AK$2,上月未发人员明细!A:A,D245)</f>
        <v>0</v>
      </c>
      <c r="AL245" s="15">
        <f>SUMIFS('7月运营'!L:L,'7月运营'!$A:$A,D245,'7月运营'!$K:$K,$AL$2)</f>
        <v>0</v>
      </c>
      <c r="AM245" s="18">
        <f>SUMIFS('7月运营'!$F:$F,'7月运营'!$A:$A,D245,'7月运营'!$K:$K,'②7月-汇总'!$AM$2,'7月运营'!$G:$G,"岗位核算")</f>
        <v>0</v>
      </c>
      <c r="AN245" s="18">
        <f>SUMIFS('7月运营'!$F:$F,'7月运营'!$A:$A,D245,'7月运营'!$K:$K,$AN$2,'7月运营'!$G:$G,"岗位核算")</f>
        <v>0</v>
      </c>
      <c r="AO245" s="18" t="str">
        <f t="shared" si="39"/>
        <v/>
      </c>
      <c r="AP245" s="18">
        <f t="shared" si="31"/>
        <v>9</v>
      </c>
      <c r="AQ245" s="18">
        <f>_xlfn.XLOOKUP(D245,'7月运营'!A:A,'7月运营'!G:G,0)</f>
        <v>0</v>
      </c>
    </row>
    <row r="246" spans="1:43" x14ac:dyDescent="0.15">
      <c r="A246" s="11" t="str">
        <v>总部</v>
      </c>
      <c r="B246" s="11" t="str">
        <v>选址</v>
      </c>
      <c r="C246" s="11" t="str">
        <v>B</v>
      </c>
      <c r="D246" s="11" t="str">
        <v>李吉原</v>
      </c>
      <c r="E246" s="11" t="str">
        <v>在职</v>
      </c>
      <c r="F246" s="11" t="str">
        <v>总部</v>
      </c>
      <c r="G246" s="11">
        <f>_xlfn.XLOOKUP(D246,'①7月-花名册'!E:E,'①7月-花名册'!U:U,0)</f>
        <v>0</v>
      </c>
      <c r="H246" s="11">
        <f>_xlfn.XLOOKUP(D246,'①7月-花名册'!E:E,'①7月-花名册'!M:M,0)</f>
        <v>31</v>
      </c>
      <c r="I246" s="11">
        <f>_xlfn.XLOOKUP(D246,'①7月-花名册'!E:E,'①7月-花名册'!S:S,0)</f>
        <v>5</v>
      </c>
      <c r="J246" s="14">
        <f t="shared" si="32"/>
        <v>5</v>
      </c>
      <c r="K246" s="23">
        <v>5</v>
      </c>
      <c r="L246" s="23"/>
      <c r="M246" s="23"/>
      <c r="N246" s="23"/>
      <c r="O246" s="23"/>
      <c r="P246" s="15">
        <f t="shared" si="33"/>
        <v>26</v>
      </c>
      <c r="Q246" s="15">
        <f t="shared" si="34"/>
        <v>31</v>
      </c>
      <c r="R246" s="15">
        <f>IF(F246="事业部",LOOKUP(Q246,基础设置!$T$2:$T$6,基础设置!$U$2:$U$6),IF(F246="总部",LOOKUP(Q246,基础设置!$T$8:$T$13,基础设置!$V$8:$V$13),IF(F246="拓展部",LOOKUP(Q246,基础设置!$T$8:$T$13,基础设置!$W$8:$W$13),2000)))</f>
        <v>5</v>
      </c>
      <c r="S246" s="15">
        <f t="shared" si="35"/>
        <v>31</v>
      </c>
      <c r="T246" s="15">
        <f t="shared" si="36"/>
        <v>0</v>
      </c>
      <c r="U246" s="15">
        <f t="shared" si="37"/>
        <v>0</v>
      </c>
      <c r="V246" s="15">
        <f t="shared" si="30"/>
        <v>0</v>
      </c>
      <c r="W246" s="15">
        <f t="shared" si="38"/>
        <v>0</v>
      </c>
      <c r="X246" s="26">
        <v>90</v>
      </c>
      <c r="Y246" s="26">
        <v>10</v>
      </c>
      <c r="Z246" s="26"/>
      <c r="AA246" s="26"/>
      <c r="AB246" s="27"/>
      <c r="AC246" s="27"/>
      <c r="AD246" s="27"/>
      <c r="AE246" s="27"/>
      <c r="AF246" s="27"/>
      <c r="AG246" s="27"/>
      <c r="AH246" s="17">
        <f>_xlfn.XLOOKUP(D246,'①7月-花名册'!E:E,'①7月-花名册'!T:T,0)</f>
        <v>0</v>
      </c>
      <c r="AI246" s="15">
        <f>SUMIFS('7月运营'!$L:$L,'7月运营'!$A:$A,D246,'7月运营'!$K:$K,$A$1)</f>
        <v>0</v>
      </c>
      <c r="AJ246" s="15">
        <f>SUMIFS('7月运营'!H:H,'7月运营'!$A:$A,D246,'7月运营'!$K:$K,$A$1)</f>
        <v>0</v>
      </c>
      <c r="AK246" s="15">
        <f>SUMIFS(上月未发人员明细!I:I,上月未发人员明细!J:J,$AK$2,上月未发人员明细!A:A,D246)</f>
        <v>0</v>
      </c>
      <c r="AL246" s="15">
        <f>SUMIFS('7月运营'!L:L,'7月运营'!$A:$A,D246,'7月运营'!$K:$K,$AL$2)</f>
        <v>0</v>
      </c>
      <c r="AM246" s="18">
        <f>SUMIFS('7月运营'!$F:$F,'7月运营'!$A:$A,D246,'7月运营'!$K:$K,'②7月-汇总'!$AM$2,'7月运营'!$G:$G,"岗位核算")</f>
        <v>0</v>
      </c>
      <c r="AN246" s="18">
        <f>SUMIFS('7月运营'!$F:$F,'7月运营'!$A:$A,D246,'7月运营'!$K:$K,$AN$2,'7月运营'!$G:$G,"岗位核算")</f>
        <v>0</v>
      </c>
      <c r="AO246" s="18" t="str">
        <f t="shared" si="39"/>
        <v/>
      </c>
      <c r="AP246" s="18">
        <f t="shared" si="31"/>
        <v>31</v>
      </c>
      <c r="AQ246" s="18">
        <f>_xlfn.XLOOKUP(D246,'7月运营'!A:A,'7月运营'!G:G,0)</f>
        <v>0</v>
      </c>
    </row>
    <row r="247" spans="1:43" x14ac:dyDescent="0.15">
      <c r="A247" s="11" t="str">
        <v>总部</v>
      </c>
      <c r="B247" s="11" t="str">
        <v>大项目主管</v>
      </c>
      <c r="C247" s="11" t="str">
        <v>B</v>
      </c>
      <c r="D247" s="11" t="str">
        <v>黄桂琴</v>
      </c>
      <c r="E247" s="11" t="str">
        <v>在职</v>
      </c>
      <c r="F247" s="11" t="str">
        <v>事业部</v>
      </c>
      <c r="G247" s="11">
        <f>_xlfn.XLOOKUP(D247,'①7月-花名册'!E:E,'①7月-花名册'!U:U,0)</f>
        <v>0</v>
      </c>
      <c r="H247" s="11">
        <f>_xlfn.XLOOKUP(D247,'①7月-花名册'!E:E,'①7月-花名册'!M:M,0)</f>
        <v>31</v>
      </c>
      <c r="I247" s="11">
        <f>_xlfn.XLOOKUP(D247,'①7月-花名册'!E:E,'①7月-花名册'!S:S,0)</f>
        <v>4</v>
      </c>
      <c r="J247" s="14">
        <f t="shared" si="32"/>
        <v>5</v>
      </c>
      <c r="K247" s="23">
        <v>4</v>
      </c>
      <c r="L247" s="23"/>
      <c r="M247" s="23">
        <v>1</v>
      </c>
      <c r="N247" s="23"/>
      <c r="O247" s="23"/>
      <c r="P247" s="15">
        <f t="shared" si="33"/>
        <v>26</v>
      </c>
      <c r="Q247" s="15">
        <f t="shared" si="34"/>
        <v>31</v>
      </c>
      <c r="R247" s="15">
        <f>IF(F247="事业部",LOOKUP(Q247,基础设置!$T$2:$T$6,基础设置!$U$2:$U$6),IF(F247="总部",LOOKUP(Q247,基础设置!$T$8:$T$13,基础设置!$V$8:$V$13),IF(F247="拓展部",LOOKUP(Q247,基础设置!$T$8:$T$13,基础设置!$W$8:$W$13),2000)))</f>
        <v>4</v>
      </c>
      <c r="S247" s="15">
        <f t="shared" si="35"/>
        <v>31</v>
      </c>
      <c r="T247" s="15">
        <f t="shared" si="36"/>
        <v>0</v>
      </c>
      <c r="U247" s="15">
        <f t="shared" si="37"/>
        <v>0</v>
      </c>
      <c r="V247" s="15">
        <f t="shared" si="30"/>
        <v>0</v>
      </c>
      <c r="W247" s="15">
        <f t="shared" si="38"/>
        <v>0</v>
      </c>
      <c r="X247" s="26"/>
      <c r="Y247" s="26"/>
      <c r="Z247" s="26"/>
      <c r="AA247" s="26"/>
      <c r="AB247" s="27"/>
      <c r="AC247" s="27"/>
      <c r="AD247" s="27"/>
      <c r="AE247" s="27"/>
      <c r="AF247" s="27"/>
      <c r="AG247" s="27"/>
      <c r="AH247" s="17">
        <f>_xlfn.XLOOKUP(D247,'①7月-花名册'!E:E,'①7月-花名册'!T:T,0)</f>
        <v>0</v>
      </c>
      <c r="AI247" s="15">
        <f>SUMIFS('7月运营'!$L:$L,'7月运营'!$A:$A,D247,'7月运营'!$K:$K,$A$1)</f>
        <v>0</v>
      </c>
      <c r="AJ247" s="15">
        <f>SUMIFS('7月运营'!H:H,'7月运营'!$A:$A,D247,'7月运营'!$K:$K,$A$1)</f>
        <v>0</v>
      </c>
      <c r="AK247" s="15">
        <f>SUMIFS(上月未发人员明细!I:I,上月未发人员明细!J:J,$AK$2,上月未发人员明细!A:A,D247)</f>
        <v>0</v>
      </c>
      <c r="AL247" s="15">
        <f>SUMIFS('7月运营'!L:L,'7月运营'!$A:$A,D247,'7月运营'!$K:$K,$AL$2)</f>
        <v>0</v>
      </c>
      <c r="AM247" s="18">
        <f>SUMIFS('7月运营'!$F:$F,'7月运营'!$A:$A,D247,'7月运营'!$K:$K,'②7月-汇总'!$AM$2,'7月运营'!$G:$G,"岗位核算")</f>
        <v>0</v>
      </c>
      <c r="AN247" s="18">
        <f>SUMIFS('7月运营'!$F:$F,'7月运营'!$A:$A,D247,'7月运营'!$K:$K,$AN$2,'7月运营'!$G:$G,"岗位核算")</f>
        <v>0</v>
      </c>
      <c r="AO247" s="18" t="str">
        <f t="shared" si="39"/>
        <v/>
      </c>
      <c r="AP247" s="18">
        <f t="shared" si="31"/>
        <v>31</v>
      </c>
      <c r="AQ247" s="18">
        <f>_xlfn.XLOOKUP(D247,'7月运营'!A:A,'7月运营'!G:G,0)</f>
        <v>0</v>
      </c>
    </row>
    <row r="248" spans="1:43" x14ac:dyDescent="0.15">
      <c r="A248" s="11" t="str">
        <v>总部</v>
      </c>
      <c r="B248" s="11" t="str">
        <v>大项目主管</v>
      </c>
      <c r="C248" s="11" t="str">
        <v>B</v>
      </c>
      <c r="D248" s="11" t="str">
        <v>詹芳英</v>
      </c>
      <c r="E248" s="11" t="str">
        <v>在职</v>
      </c>
      <c r="F248" s="11" t="str">
        <v>事业部</v>
      </c>
      <c r="G248" s="11">
        <f>_xlfn.XLOOKUP(D248,'①7月-花名册'!E:E,'①7月-花名册'!U:U,0)</f>
        <v>0</v>
      </c>
      <c r="H248" s="11">
        <f>_xlfn.XLOOKUP(D248,'①7月-花名册'!E:E,'①7月-花名册'!M:M,0)</f>
        <v>31</v>
      </c>
      <c r="I248" s="11">
        <f>_xlfn.XLOOKUP(D248,'①7月-花名册'!E:E,'①7月-花名册'!S:S,0)</f>
        <v>4</v>
      </c>
      <c r="J248" s="14">
        <f t="shared" si="32"/>
        <v>5</v>
      </c>
      <c r="K248" s="23">
        <v>4</v>
      </c>
      <c r="L248" s="23">
        <v>1</v>
      </c>
      <c r="M248" s="23"/>
      <c r="N248" s="23"/>
      <c r="O248" s="23"/>
      <c r="P248" s="15">
        <f t="shared" si="33"/>
        <v>26</v>
      </c>
      <c r="Q248" s="15">
        <f t="shared" si="34"/>
        <v>30</v>
      </c>
      <c r="R248" s="15">
        <f>IF(F248="事业部",LOOKUP(Q248,基础设置!$T$2:$T$6,基础设置!$U$2:$U$6),IF(F248="总部",LOOKUP(Q248,基础设置!$T$8:$T$13,基础设置!$V$8:$V$13),IF(F248="拓展部",LOOKUP(Q248,基础设置!$T$8:$T$13,基础设置!$W$8:$W$13),2000)))</f>
        <v>4</v>
      </c>
      <c r="S248" s="15">
        <f t="shared" si="35"/>
        <v>30</v>
      </c>
      <c r="T248" s="15">
        <f t="shared" si="36"/>
        <v>0</v>
      </c>
      <c r="U248" s="15">
        <f t="shared" si="37"/>
        <v>1</v>
      </c>
      <c r="V248" s="15">
        <f t="shared" si="30"/>
        <v>0</v>
      </c>
      <c r="W248" s="15">
        <f t="shared" si="38"/>
        <v>0</v>
      </c>
      <c r="X248" s="26"/>
      <c r="Y248" s="26"/>
      <c r="Z248" s="26"/>
      <c r="AA248" s="26"/>
      <c r="AB248" s="27"/>
      <c r="AC248" s="27"/>
      <c r="AD248" s="27"/>
      <c r="AE248" s="27"/>
      <c r="AF248" s="27"/>
      <c r="AG248" s="27"/>
      <c r="AH248" s="17">
        <f>_xlfn.XLOOKUP(D248,'①7月-花名册'!E:E,'①7月-花名册'!T:T,0)</f>
        <v>0</v>
      </c>
      <c r="AI248" s="15">
        <f>SUMIFS('7月运营'!$L:$L,'7月运营'!$A:$A,D248,'7月运营'!$K:$K,$A$1)</f>
        <v>0</v>
      </c>
      <c r="AJ248" s="15">
        <f>SUMIFS('7月运营'!H:H,'7月运营'!$A:$A,D248,'7月运营'!$K:$K,$A$1)</f>
        <v>0</v>
      </c>
      <c r="AK248" s="15">
        <f>SUMIFS(上月未发人员明细!I:I,上月未发人员明细!J:J,$AK$2,上月未发人员明细!A:A,D248)</f>
        <v>0</v>
      </c>
      <c r="AL248" s="15">
        <f>SUMIFS('7月运营'!L:L,'7月运营'!$A:$A,D248,'7月运营'!$K:$K,$AL$2)</f>
        <v>0</v>
      </c>
      <c r="AM248" s="18">
        <f>SUMIFS('7月运营'!$F:$F,'7月运营'!$A:$A,D248,'7月运营'!$K:$K,'②7月-汇总'!$AM$2,'7月运营'!$G:$G,"岗位核算")</f>
        <v>0</v>
      </c>
      <c r="AN248" s="18">
        <f>SUMIFS('7月运营'!$F:$F,'7月运营'!$A:$A,D248,'7月运营'!$K:$K,$AN$2,'7月运营'!$G:$G,"岗位核算")</f>
        <v>0</v>
      </c>
      <c r="AO248" s="18" t="str">
        <f t="shared" si="39"/>
        <v/>
      </c>
      <c r="AP248" s="18">
        <f t="shared" si="31"/>
        <v>30</v>
      </c>
      <c r="AQ248" s="18">
        <f>_xlfn.XLOOKUP(D248,'7月运营'!A:A,'7月运营'!G:G,0)</f>
        <v>0</v>
      </c>
    </row>
    <row r="249" spans="1:43" x14ac:dyDescent="0.15">
      <c r="A249" s="11" t="str">
        <v>总部</v>
      </c>
      <c r="B249" s="11" t="str">
        <v>大项目老师</v>
      </c>
      <c r="C249" s="11" t="str">
        <v>B</v>
      </c>
      <c r="D249" s="11" t="str">
        <v>陈思思</v>
      </c>
      <c r="E249" s="11" t="str">
        <v>在职</v>
      </c>
      <c r="F249" s="11" t="str">
        <v>事业部</v>
      </c>
      <c r="G249" s="11">
        <f>_xlfn.XLOOKUP(D249,'①7月-花名册'!E:E,'①7月-花名册'!U:U,0)</f>
        <v>0</v>
      </c>
      <c r="H249" s="11">
        <f>_xlfn.XLOOKUP(D249,'①7月-花名册'!E:E,'①7月-花名册'!M:M,0)</f>
        <v>31</v>
      </c>
      <c r="I249" s="11">
        <f>_xlfn.XLOOKUP(D249,'①7月-花名册'!E:E,'①7月-花名册'!S:S,0)</f>
        <v>4</v>
      </c>
      <c r="J249" s="14">
        <f t="shared" si="32"/>
        <v>5</v>
      </c>
      <c r="K249" s="23">
        <v>4</v>
      </c>
      <c r="L249" s="23"/>
      <c r="M249" s="23">
        <v>1</v>
      </c>
      <c r="N249" s="23"/>
      <c r="O249" s="23"/>
      <c r="P249" s="15">
        <f t="shared" si="33"/>
        <v>26</v>
      </c>
      <c r="Q249" s="15">
        <f t="shared" si="34"/>
        <v>31</v>
      </c>
      <c r="R249" s="15">
        <f>IF(F249="事业部",LOOKUP(Q249,基础设置!$T$2:$T$6,基础设置!$U$2:$U$6),IF(F249="总部",LOOKUP(Q249,基础设置!$T$8:$T$13,基础设置!$V$8:$V$13),IF(F249="拓展部",LOOKUP(Q249,基础设置!$T$8:$T$13,基础设置!$W$8:$W$13),2000)))</f>
        <v>4</v>
      </c>
      <c r="S249" s="15">
        <f t="shared" si="35"/>
        <v>31</v>
      </c>
      <c r="T249" s="15">
        <f t="shared" si="36"/>
        <v>0</v>
      </c>
      <c r="U249" s="15">
        <f t="shared" si="37"/>
        <v>0</v>
      </c>
      <c r="V249" s="15">
        <f t="shared" si="30"/>
        <v>0</v>
      </c>
      <c r="W249" s="15">
        <f t="shared" si="38"/>
        <v>0</v>
      </c>
      <c r="X249" s="26">
        <v>20</v>
      </c>
      <c r="Y249" s="26"/>
      <c r="Z249" s="26"/>
      <c r="AA249" s="26"/>
      <c r="AB249" s="27"/>
      <c r="AC249" s="27"/>
      <c r="AD249" s="27"/>
      <c r="AE249" s="27"/>
      <c r="AF249" s="27"/>
      <c r="AG249" s="27"/>
      <c r="AH249" s="17">
        <f>_xlfn.XLOOKUP(D249,'①7月-花名册'!E:E,'①7月-花名册'!T:T,0)</f>
        <v>0</v>
      </c>
      <c r="AI249" s="15">
        <f>SUMIFS('7月运营'!$L:$L,'7月运营'!$A:$A,D249,'7月运营'!$K:$K,$A$1)</f>
        <v>0</v>
      </c>
      <c r="AJ249" s="15">
        <f>SUMIFS('7月运营'!H:H,'7月运营'!$A:$A,D249,'7月运营'!$K:$K,$A$1)</f>
        <v>0</v>
      </c>
      <c r="AK249" s="15">
        <f>SUMIFS(上月未发人员明细!I:I,上月未发人员明细!J:J,$AK$2,上月未发人员明细!A:A,D249)</f>
        <v>0</v>
      </c>
      <c r="AL249" s="15">
        <f>SUMIFS('7月运营'!L:L,'7月运营'!$A:$A,D249,'7月运营'!$K:$K,$AL$2)</f>
        <v>0</v>
      </c>
      <c r="AM249" s="18">
        <f>SUMIFS('7月运营'!$F:$F,'7月运营'!$A:$A,D249,'7月运营'!$K:$K,'②7月-汇总'!$AM$2,'7月运营'!$G:$G,"岗位核算")</f>
        <v>0</v>
      </c>
      <c r="AN249" s="18">
        <f>SUMIFS('7月运营'!$F:$F,'7月运营'!$A:$A,D249,'7月运营'!$K:$K,$AN$2,'7月运营'!$G:$G,"岗位核算")</f>
        <v>0</v>
      </c>
      <c r="AO249" s="18" t="str">
        <f t="shared" si="39"/>
        <v/>
      </c>
      <c r="AP249" s="18">
        <f t="shared" si="31"/>
        <v>31</v>
      </c>
      <c r="AQ249" s="18">
        <f>_xlfn.XLOOKUP(D249,'7月运营'!A:A,'7月运营'!G:G,0)</f>
        <v>0</v>
      </c>
    </row>
    <row r="250" spans="1:43" x14ac:dyDescent="0.15">
      <c r="A250" s="11" t="str">
        <v>总部</v>
      </c>
      <c r="B250" s="11" t="str">
        <v>大项目老师</v>
      </c>
      <c r="C250" s="11" t="str">
        <v>B</v>
      </c>
      <c r="D250" s="11" t="str">
        <v>李洁</v>
      </c>
      <c r="E250" s="11" t="str">
        <v>在职</v>
      </c>
      <c r="F250" s="11" t="str">
        <v>事业部</v>
      </c>
      <c r="G250" s="11">
        <f>_xlfn.XLOOKUP(D250,'①7月-花名册'!E:E,'①7月-花名册'!U:U,0)</f>
        <v>0</v>
      </c>
      <c r="H250" s="11">
        <f>_xlfn.XLOOKUP(D250,'①7月-花名册'!E:E,'①7月-花名册'!M:M,0)</f>
        <v>31</v>
      </c>
      <c r="I250" s="11">
        <f>_xlfn.XLOOKUP(D250,'①7月-花名册'!E:E,'①7月-花名册'!S:S,0)</f>
        <v>4</v>
      </c>
      <c r="J250" s="14">
        <f t="shared" si="32"/>
        <v>3</v>
      </c>
      <c r="K250" s="23">
        <v>3</v>
      </c>
      <c r="L250" s="23"/>
      <c r="M250" s="23"/>
      <c r="N250" s="23"/>
      <c r="O250" s="23"/>
      <c r="P250" s="15">
        <f t="shared" si="33"/>
        <v>28</v>
      </c>
      <c r="Q250" s="15">
        <f t="shared" si="34"/>
        <v>31</v>
      </c>
      <c r="R250" s="15">
        <f>IF(F250="事业部",LOOKUP(Q250,基础设置!$T$2:$T$6,基础设置!$U$2:$U$6),IF(F250="总部",LOOKUP(Q250,基础设置!$T$8:$T$13,基础设置!$V$8:$V$13),IF(F250="拓展部",LOOKUP(Q250,基础设置!$T$8:$T$13,基础设置!$W$8:$W$13),2000)))</f>
        <v>4</v>
      </c>
      <c r="S250" s="15">
        <f t="shared" si="35"/>
        <v>31</v>
      </c>
      <c r="T250" s="15">
        <f t="shared" si="36"/>
        <v>0</v>
      </c>
      <c r="U250" s="15">
        <f t="shared" si="37"/>
        <v>0</v>
      </c>
      <c r="V250" s="15">
        <f t="shared" si="30"/>
        <v>1</v>
      </c>
      <c r="W250" s="15">
        <f t="shared" si="38"/>
        <v>20</v>
      </c>
      <c r="X250" s="26"/>
      <c r="Y250" s="26"/>
      <c r="Z250" s="26">
        <v>50</v>
      </c>
      <c r="AA250" s="26"/>
      <c r="AB250" s="27"/>
      <c r="AC250" s="27"/>
      <c r="AD250" s="27"/>
      <c r="AE250" s="27"/>
      <c r="AF250" s="27"/>
      <c r="AG250" s="27"/>
      <c r="AH250" s="17">
        <f>_xlfn.XLOOKUP(D250,'①7月-花名册'!E:E,'①7月-花名册'!T:T,0)</f>
        <v>0</v>
      </c>
      <c r="AI250" s="15">
        <f>SUMIFS('7月运营'!$L:$L,'7月运营'!$A:$A,D250,'7月运营'!$K:$K,$A$1)</f>
        <v>0</v>
      </c>
      <c r="AJ250" s="15">
        <f>SUMIFS('7月运营'!H:H,'7月运营'!$A:$A,D250,'7月运营'!$K:$K,$A$1)</f>
        <v>0</v>
      </c>
      <c r="AK250" s="15">
        <f>SUMIFS(上月未发人员明细!I:I,上月未发人员明细!J:J,$AK$2,上月未发人员明细!A:A,D250)</f>
        <v>0</v>
      </c>
      <c r="AL250" s="15">
        <f>SUMIFS('7月运营'!L:L,'7月运营'!$A:$A,D250,'7月运营'!$K:$K,$AL$2)</f>
        <v>0</v>
      </c>
      <c r="AM250" s="18">
        <f>SUMIFS('7月运营'!$F:$F,'7月运营'!$A:$A,D250,'7月运营'!$K:$K,'②7月-汇总'!$AM$2,'7月运营'!$G:$G,"岗位核算")</f>
        <v>0</v>
      </c>
      <c r="AN250" s="18">
        <f>SUMIFS('7月运营'!$F:$F,'7月运营'!$A:$A,D250,'7月运营'!$K:$K,$AN$2,'7月运营'!$G:$G,"岗位核算")</f>
        <v>0</v>
      </c>
      <c r="AO250" s="18" t="str">
        <f t="shared" si="39"/>
        <v/>
      </c>
      <c r="AP250" s="18">
        <f t="shared" si="31"/>
        <v>31</v>
      </c>
      <c r="AQ250" s="18">
        <f>_xlfn.XLOOKUP(D250,'7月运营'!A:A,'7月运营'!G:G,0)</f>
        <v>0</v>
      </c>
    </row>
    <row r="251" spans="1:43" x14ac:dyDescent="0.15">
      <c r="A251" s="11" t="str">
        <v>总部</v>
      </c>
      <c r="B251" s="11" t="str">
        <v>教育部总经理</v>
      </c>
      <c r="C251" s="11" t="str">
        <v>B</v>
      </c>
      <c r="D251" s="11" t="str">
        <v>马小英</v>
      </c>
      <c r="E251" s="11" t="str">
        <v>在职</v>
      </c>
      <c r="F251" s="11" t="str">
        <v>总部</v>
      </c>
      <c r="G251" s="11">
        <f>_xlfn.XLOOKUP(D251,'①7月-花名册'!E:E,'①7月-花名册'!U:U,0)</f>
        <v>0</v>
      </c>
      <c r="H251" s="11">
        <f>_xlfn.XLOOKUP(D251,'①7月-花名册'!E:E,'①7月-花名册'!M:M,0)</f>
        <v>31</v>
      </c>
      <c r="I251" s="11">
        <f>_xlfn.XLOOKUP(D251,'①7月-花名册'!E:E,'①7月-花名册'!S:S,0)</f>
        <v>5</v>
      </c>
      <c r="J251" s="14">
        <f t="shared" si="32"/>
        <v>3</v>
      </c>
      <c r="K251" s="23">
        <v>3</v>
      </c>
      <c r="L251" s="23"/>
      <c r="M251" s="23"/>
      <c r="N251" s="23"/>
      <c r="O251" s="23"/>
      <c r="P251" s="15">
        <f t="shared" si="33"/>
        <v>28</v>
      </c>
      <c r="Q251" s="15">
        <f t="shared" si="34"/>
        <v>31</v>
      </c>
      <c r="R251" s="15">
        <f>IF(F251="事业部",LOOKUP(Q251,基础设置!$T$2:$T$6,基础设置!$U$2:$U$6),IF(F251="总部",LOOKUP(Q251,基础设置!$T$8:$T$13,基础设置!$V$8:$V$13),IF(F251="拓展部",LOOKUP(Q251,基础设置!$T$8:$T$13,基础设置!$W$8:$W$13),2000)))</f>
        <v>5</v>
      </c>
      <c r="S251" s="15">
        <f t="shared" si="35"/>
        <v>31</v>
      </c>
      <c r="T251" s="15">
        <f t="shared" si="36"/>
        <v>0</v>
      </c>
      <c r="U251" s="15">
        <f t="shared" si="37"/>
        <v>0</v>
      </c>
      <c r="V251" s="15">
        <f t="shared" si="30"/>
        <v>0</v>
      </c>
      <c r="W251" s="15">
        <f t="shared" si="38"/>
        <v>0</v>
      </c>
      <c r="X251" s="26">
        <v>20</v>
      </c>
      <c r="Y251" s="26"/>
      <c r="Z251" s="26"/>
      <c r="AA251" s="26"/>
      <c r="AB251" s="27"/>
      <c r="AC251" s="27"/>
      <c r="AD251" s="27"/>
      <c r="AE251" s="27"/>
      <c r="AF251" s="27"/>
      <c r="AG251" s="27"/>
      <c r="AH251" s="17">
        <f>_xlfn.XLOOKUP(D251,'①7月-花名册'!E:E,'①7月-花名册'!T:T,0)</f>
        <v>0</v>
      </c>
      <c r="AI251" s="15">
        <f>SUMIFS('7月运营'!$L:$L,'7月运营'!$A:$A,D251,'7月运营'!$K:$K,$A$1)</f>
        <v>0</v>
      </c>
      <c r="AJ251" s="15">
        <f>SUMIFS('7月运营'!H:H,'7月运营'!$A:$A,D251,'7月运营'!$K:$K,$A$1)</f>
        <v>0</v>
      </c>
      <c r="AK251" s="15">
        <f>SUMIFS(上月未发人员明细!I:I,上月未发人员明细!J:J,$AK$2,上月未发人员明细!A:A,D251)</f>
        <v>0</v>
      </c>
      <c r="AL251" s="15">
        <f>SUMIFS('7月运营'!L:L,'7月运营'!$A:$A,D251,'7月运营'!$K:$K,$AL$2)</f>
        <v>0</v>
      </c>
      <c r="AM251" s="18">
        <f>SUMIFS('7月运营'!$F:$F,'7月运营'!$A:$A,D251,'7月运营'!$K:$K,'②7月-汇总'!$AM$2,'7月运营'!$G:$G,"岗位核算")</f>
        <v>0</v>
      </c>
      <c r="AN251" s="18">
        <f>SUMIFS('7月运营'!$F:$F,'7月运营'!$A:$A,D251,'7月运营'!$K:$K,$AN$2,'7月运营'!$G:$G,"岗位核算")</f>
        <v>0</v>
      </c>
      <c r="AO251" s="18" t="str">
        <f t="shared" si="39"/>
        <v/>
      </c>
      <c r="AP251" s="18">
        <f t="shared" si="31"/>
        <v>31</v>
      </c>
      <c r="AQ251" s="18">
        <f>_xlfn.XLOOKUP(D251,'7月运营'!A:A,'7月运营'!G:G,0)</f>
        <v>0</v>
      </c>
    </row>
    <row r="252" spans="1:43" x14ac:dyDescent="0.15">
      <c r="A252" s="11" t="str">
        <v>总部</v>
      </c>
      <c r="B252" s="11" t="str">
        <v>教育部总经理</v>
      </c>
      <c r="C252" s="11" t="str">
        <v>B</v>
      </c>
      <c r="D252" s="11" t="str">
        <v>欧阳敏</v>
      </c>
      <c r="E252" s="11" t="str">
        <v>在职</v>
      </c>
      <c r="F252" s="11" t="str">
        <v>总部</v>
      </c>
      <c r="G252" s="11">
        <f>_xlfn.XLOOKUP(D252,'①7月-花名册'!E:E,'①7月-花名册'!U:U,0)</f>
        <v>0</v>
      </c>
      <c r="H252" s="11">
        <f>_xlfn.XLOOKUP(D252,'①7月-花名册'!E:E,'①7月-花名册'!M:M,0)</f>
        <v>31</v>
      </c>
      <c r="I252" s="11">
        <f>_xlfn.XLOOKUP(D252,'①7月-花名册'!E:E,'①7月-花名册'!S:S,0)</f>
        <v>5</v>
      </c>
      <c r="J252" s="14">
        <f t="shared" si="32"/>
        <v>6</v>
      </c>
      <c r="K252" s="23">
        <v>4</v>
      </c>
      <c r="L252" s="23">
        <v>2</v>
      </c>
      <c r="M252" s="23"/>
      <c r="N252" s="23"/>
      <c r="O252" s="23"/>
      <c r="P252" s="15">
        <f t="shared" si="33"/>
        <v>25</v>
      </c>
      <c r="Q252" s="15">
        <f t="shared" si="34"/>
        <v>29</v>
      </c>
      <c r="R252" s="15">
        <f>IF(F252="事业部",LOOKUP(Q252,基础设置!$T$2:$T$6,基础设置!$U$2:$U$6),IF(F252="总部",LOOKUP(Q252,基础设置!$T$8:$T$13,基础设置!$V$8:$V$13),IF(F252="拓展部",LOOKUP(Q252,基础设置!$T$8:$T$13,基础设置!$W$8:$W$13),2000)))</f>
        <v>4</v>
      </c>
      <c r="S252" s="15">
        <f t="shared" si="35"/>
        <v>29</v>
      </c>
      <c r="T252" s="15">
        <f t="shared" si="36"/>
        <v>0</v>
      </c>
      <c r="U252" s="15">
        <f t="shared" si="37"/>
        <v>2</v>
      </c>
      <c r="V252" s="15">
        <f t="shared" si="30"/>
        <v>0</v>
      </c>
      <c r="W252" s="15">
        <f t="shared" si="38"/>
        <v>0</v>
      </c>
      <c r="X252" s="26">
        <v>10</v>
      </c>
      <c r="Y252" s="26"/>
      <c r="Z252" s="26"/>
      <c r="AA252" s="26"/>
      <c r="AB252" s="27"/>
      <c r="AC252" s="27"/>
      <c r="AD252" s="27"/>
      <c r="AE252" s="27"/>
      <c r="AF252" s="27"/>
      <c r="AG252" s="27"/>
      <c r="AH252" s="17">
        <f>_xlfn.XLOOKUP(D252,'①7月-花名册'!E:E,'①7月-花名册'!T:T,0)</f>
        <v>0</v>
      </c>
      <c r="AI252" s="15">
        <f>SUMIFS('7月运营'!$L:$L,'7月运营'!$A:$A,D252,'7月运营'!$K:$K,$A$1)</f>
        <v>0</v>
      </c>
      <c r="AJ252" s="15">
        <f>SUMIFS('7月运营'!H:H,'7月运营'!$A:$A,D252,'7月运营'!$K:$K,$A$1)</f>
        <v>0</v>
      </c>
      <c r="AK252" s="15">
        <f>SUMIFS(上月未发人员明细!I:I,上月未发人员明细!J:J,$AK$2,上月未发人员明细!A:A,D252)</f>
        <v>0</v>
      </c>
      <c r="AL252" s="15">
        <f>SUMIFS('7月运营'!L:L,'7月运营'!$A:$A,D252,'7月运营'!$K:$K,$AL$2)</f>
        <v>0</v>
      </c>
      <c r="AM252" s="18">
        <f>SUMIFS('7月运营'!$F:$F,'7月运营'!$A:$A,D252,'7月运营'!$K:$K,'②7月-汇总'!$AM$2,'7月运营'!$G:$G,"岗位核算")</f>
        <v>0</v>
      </c>
      <c r="AN252" s="18">
        <f>SUMIFS('7月运营'!$F:$F,'7月运营'!$A:$A,D252,'7月运营'!$K:$K,$AN$2,'7月运营'!$G:$G,"岗位核算")</f>
        <v>0</v>
      </c>
      <c r="AO252" s="18" t="str">
        <f t="shared" si="39"/>
        <v/>
      </c>
      <c r="AP252" s="18">
        <f t="shared" si="31"/>
        <v>29</v>
      </c>
      <c r="AQ252" s="18">
        <f>_xlfn.XLOOKUP(D252,'7月运营'!A:A,'7月运营'!G:G,0)</f>
        <v>0</v>
      </c>
    </row>
    <row r="253" spans="1:43" x14ac:dyDescent="0.15">
      <c r="A253" s="11" t="str">
        <v>总部</v>
      </c>
      <c r="B253" s="11" t="str">
        <v>教育部老师</v>
      </c>
      <c r="C253" s="11" t="str">
        <v>B</v>
      </c>
      <c r="D253" s="11" t="str">
        <v>程燕</v>
      </c>
      <c r="E253" s="11" t="str">
        <v>在职</v>
      </c>
      <c r="F253" s="11" t="str">
        <v>总部</v>
      </c>
      <c r="G253" s="11">
        <f>_xlfn.XLOOKUP(D253,'①7月-花名册'!E:E,'①7月-花名册'!U:U,0)</f>
        <v>0</v>
      </c>
      <c r="H253" s="11">
        <f>_xlfn.XLOOKUP(D253,'①7月-花名册'!E:E,'①7月-花名册'!M:M,0)</f>
        <v>31</v>
      </c>
      <c r="I253" s="11">
        <f>_xlfn.XLOOKUP(D253,'①7月-花名册'!E:E,'①7月-花名册'!S:S,0)</f>
        <v>5</v>
      </c>
      <c r="J253" s="14">
        <f t="shared" si="32"/>
        <v>12</v>
      </c>
      <c r="K253" s="23">
        <v>3</v>
      </c>
      <c r="L253" s="23">
        <v>9</v>
      </c>
      <c r="M253" s="23"/>
      <c r="N253" s="23"/>
      <c r="O253" s="23"/>
      <c r="P253" s="15">
        <f t="shared" si="33"/>
        <v>19</v>
      </c>
      <c r="Q253" s="15">
        <f t="shared" si="34"/>
        <v>22</v>
      </c>
      <c r="R253" s="15">
        <f>IF(F253="事业部",LOOKUP(Q253,基础设置!$T$2:$T$6,基础设置!$U$2:$U$6),IF(F253="总部",LOOKUP(Q253,基础设置!$T$8:$T$13,基础设置!$V$8:$V$13),IF(F253="拓展部",LOOKUP(Q253,基础设置!$T$8:$T$13,基础设置!$W$8:$W$13),2000)))</f>
        <v>3</v>
      </c>
      <c r="S253" s="15">
        <f t="shared" si="35"/>
        <v>22</v>
      </c>
      <c r="T253" s="15">
        <f t="shared" si="36"/>
        <v>0</v>
      </c>
      <c r="U253" s="15">
        <f t="shared" si="37"/>
        <v>9</v>
      </c>
      <c r="V253" s="15">
        <f t="shared" si="30"/>
        <v>0</v>
      </c>
      <c r="W253" s="15">
        <f t="shared" si="38"/>
        <v>0</v>
      </c>
      <c r="X253" s="26"/>
      <c r="Y253" s="26"/>
      <c r="Z253" s="26"/>
      <c r="AA253" s="26"/>
      <c r="AB253" s="27"/>
      <c r="AC253" s="27"/>
      <c r="AD253" s="27"/>
      <c r="AE253" s="27"/>
      <c r="AF253" s="27"/>
      <c r="AG253" s="27"/>
      <c r="AH253" s="17">
        <f>_xlfn.XLOOKUP(D253,'①7月-花名册'!E:E,'①7月-花名册'!T:T,0)</f>
        <v>0</v>
      </c>
      <c r="AI253" s="15">
        <f>SUMIFS('7月运营'!$L:$L,'7月运营'!$A:$A,D253,'7月运营'!$K:$K,$A$1)</f>
        <v>0</v>
      </c>
      <c r="AJ253" s="15">
        <f>SUMIFS('7月运营'!H:H,'7月运营'!$A:$A,D253,'7月运营'!$K:$K,$A$1)</f>
        <v>0</v>
      </c>
      <c r="AK253" s="15">
        <f>SUMIFS(上月未发人员明细!I:I,上月未发人员明细!J:J,$AK$2,上月未发人员明细!A:A,D253)</f>
        <v>0</v>
      </c>
      <c r="AL253" s="15">
        <f>SUMIFS('7月运营'!L:L,'7月运营'!$A:$A,D253,'7月运营'!$K:$K,$AL$2)</f>
        <v>0</v>
      </c>
      <c r="AM253" s="18">
        <f>SUMIFS('7月运营'!$F:$F,'7月运营'!$A:$A,D253,'7月运营'!$K:$K,'②7月-汇总'!$AM$2,'7月运营'!$G:$G,"岗位核算")</f>
        <v>0</v>
      </c>
      <c r="AN253" s="18">
        <f>SUMIFS('7月运营'!$F:$F,'7月运营'!$A:$A,D253,'7月运营'!$K:$K,$AN$2,'7月运营'!$G:$G,"岗位核算")</f>
        <v>0</v>
      </c>
      <c r="AO253" s="18" t="str">
        <f t="shared" si="39"/>
        <v/>
      </c>
      <c r="AP253" s="18">
        <f t="shared" si="31"/>
        <v>22</v>
      </c>
      <c r="AQ253" s="18">
        <f>_xlfn.XLOOKUP(D253,'7月运营'!A:A,'7月运营'!G:G,0)</f>
        <v>0</v>
      </c>
    </row>
    <row r="254" spans="1:43" x14ac:dyDescent="0.15">
      <c r="A254" s="11" t="str">
        <v>总部</v>
      </c>
      <c r="B254" s="11" t="str">
        <v>教育部老师</v>
      </c>
      <c r="C254" s="11" t="str">
        <v>B</v>
      </c>
      <c r="D254" s="11" t="str">
        <v>肖倩</v>
      </c>
      <c r="E254" s="11" t="str">
        <v>在职</v>
      </c>
      <c r="F254" s="11" t="str">
        <v>总部</v>
      </c>
      <c r="G254" s="11">
        <f>_xlfn.XLOOKUP(D254,'①7月-花名册'!E:E,'①7月-花名册'!U:U,0)</f>
        <v>0</v>
      </c>
      <c r="H254" s="11">
        <f>_xlfn.XLOOKUP(D254,'①7月-花名册'!E:E,'①7月-花名册'!M:M,0)</f>
        <v>31</v>
      </c>
      <c r="I254" s="11">
        <f>_xlfn.XLOOKUP(D254,'①7月-花名册'!E:E,'①7月-花名册'!S:S,0)</f>
        <v>5</v>
      </c>
      <c r="J254" s="14">
        <f t="shared" si="32"/>
        <v>4</v>
      </c>
      <c r="K254" s="23">
        <v>4</v>
      </c>
      <c r="L254" s="23"/>
      <c r="M254" s="23"/>
      <c r="N254" s="23"/>
      <c r="O254" s="23"/>
      <c r="P254" s="15">
        <f t="shared" si="33"/>
        <v>27</v>
      </c>
      <c r="Q254" s="15">
        <f t="shared" si="34"/>
        <v>31</v>
      </c>
      <c r="R254" s="15">
        <f>IF(F254="事业部",LOOKUP(Q254,基础设置!$T$2:$T$6,基础设置!$U$2:$U$6),IF(F254="总部",LOOKUP(Q254,基础设置!$T$8:$T$13,基础设置!$V$8:$V$13),IF(F254="拓展部",LOOKUP(Q254,基础设置!$T$8:$T$13,基础设置!$W$8:$W$13),2000)))</f>
        <v>5</v>
      </c>
      <c r="S254" s="15">
        <f t="shared" si="35"/>
        <v>31</v>
      </c>
      <c r="T254" s="15">
        <f t="shared" si="36"/>
        <v>0</v>
      </c>
      <c r="U254" s="15">
        <f t="shared" si="37"/>
        <v>0</v>
      </c>
      <c r="V254" s="15">
        <f t="shared" si="30"/>
        <v>1</v>
      </c>
      <c r="W254" s="15">
        <f t="shared" si="38"/>
        <v>20</v>
      </c>
      <c r="X254" s="26"/>
      <c r="Y254" s="26"/>
      <c r="Z254" s="26">
        <v>50</v>
      </c>
      <c r="AA254" s="26"/>
      <c r="AB254" s="27"/>
      <c r="AC254" s="27"/>
      <c r="AD254" s="27"/>
      <c r="AE254" s="27"/>
      <c r="AF254" s="27"/>
      <c r="AG254" s="27"/>
      <c r="AH254" s="17">
        <f>_xlfn.XLOOKUP(D254,'①7月-花名册'!E:E,'①7月-花名册'!T:T,0)</f>
        <v>0</v>
      </c>
      <c r="AI254" s="15">
        <f>SUMIFS('7月运营'!$L:$L,'7月运营'!$A:$A,D254,'7月运营'!$K:$K,$A$1)</f>
        <v>0</v>
      </c>
      <c r="AJ254" s="15">
        <f>SUMIFS('7月运营'!H:H,'7月运营'!$A:$A,D254,'7月运营'!$K:$K,$A$1)</f>
        <v>0</v>
      </c>
      <c r="AK254" s="15">
        <f>SUMIFS(上月未发人员明细!I:I,上月未发人员明细!J:J,$AK$2,上月未发人员明细!A:A,D254)</f>
        <v>0</v>
      </c>
      <c r="AL254" s="15">
        <f>SUMIFS('7月运营'!L:L,'7月运营'!$A:$A,D254,'7月运营'!$K:$K,$AL$2)</f>
        <v>0</v>
      </c>
      <c r="AM254" s="18">
        <f>SUMIFS('7月运营'!$F:$F,'7月运营'!$A:$A,D254,'7月运营'!$K:$K,'②7月-汇总'!$AM$2,'7月运营'!$G:$G,"岗位核算")</f>
        <v>0</v>
      </c>
      <c r="AN254" s="18">
        <f>SUMIFS('7月运营'!$F:$F,'7月运营'!$A:$A,D254,'7月运营'!$K:$K,$AN$2,'7月运营'!$G:$G,"岗位核算")</f>
        <v>0</v>
      </c>
      <c r="AO254" s="18" t="str">
        <f t="shared" si="39"/>
        <v/>
      </c>
      <c r="AP254" s="18">
        <f t="shared" si="31"/>
        <v>31</v>
      </c>
      <c r="AQ254" s="18">
        <f>_xlfn.XLOOKUP(D254,'7月运营'!A:A,'7月运营'!G:G,0)</f>
        <v>0</v>
      </c>
    </row>
    <row r="255" spans="1:43" x14ac:dyDescent="0.15">
      <c r="A255" s="11" t="str">
        <v>总部</v>
      </c>
      <c r="B255" s="11" t="str">
        <v>教育部老师</v>
      </c>
      <c r="C255" s="11" t="str">
        <v>B</v>
      </c>
      <c r="D255" s="11" t="str">
        <v>王丽娟</v>
      </c>
      <c r="E255" s="11" t="str">
        <v>在职</v>
      </c>
      <c r="F255" s="11" t="str">
        <v>总部</v>
      </c>
      <c r="G255" s="11">
        <f>_xlfn.XLOOKUP(D255,'①7月-花名册'!E:E,'①7月-花名册'!U:U,0)</f>
        <v>0</v>
      </c>
      <c r="H255" s="11">
        <f>_xlfn.XLOOKUP(D255,'①7月-花名册'!E:E,'①7月-花名册'!M:M,0)</f>
        <v>31</v>
      </c>
      <c r="I255" s="11">
        <f>_xlfn.XLOOKUP(D255,'①7月-花名册'!E:E,'①7月-花名册'!S:S,0)</f>
        <v>5</v>
      </c>
      <c r="J255" s="14">
        <f t="shared" si="32"/>
        <v>5</v>
      </c>
      <c r="K255" s="23">
        <v>5</v>
      </c>
      <c r="L255" s="23"/>
      <c r="M255" s="23"/>
      <c r="N255" s="23"/>
      <c r="O255" s="23"/>
      <c r="P255" s="15">
        <f t="shared" si="33"/>
        <v>26</v>
      </c>
      <c r="Q255" s="15">
        <f t="shared" si="34"/>
        <v>31</v>
      </c>
      <c r="R255" s="15">
        <f>IF(F255="事业部",LOOKUP(Q255,基础设置!$T$2:$T$6,基础设置!$U$2:$U$6),IF(F255="总部",LOOKUP(Q255,基础设置!$T$8:$T$13,基础设置!$V$8:$V$13),IF(F255="拓展部",LOOKUP(Q255,基础设置!$T$8:$T$13,基础设置!$W$8:$W$13),2000)))</f>
        <v>5</v>
      </c>
      <c r="S255" s="15">
        <f t="shared" si="35"/>
        <v>31</v>
      </c>
      <c r="T255" s="15">
        <f t="shared" si="36"/>
        <v>0</v>
      </c>
      <c r="U255" s="15">
        <f t="shared" si="37"/>
        <v>0</v>
      </c>
      <c r="V255" s="15">
        <f t="shared" si="30"/>
        <v>0</v>
      </c>
      <c r="W255" s="15">
        <f t="shared" si="38"/>
        <v>0</v>
      </c>
      <c r="X255" s="26"/>
      <c r="Y255" s="26"/>
      <c r="Z255" s="26"/>
      <c r="AA255" s="26"/>
      <c r="AB255" s="27"/>
      <c r="AC255" s="27"/>
      <c r="AD255" s="27"/>
      <c r="AE255" s="27"/>
      <c r="AF255" s="27"/>
      <c r="AG255" s="27"/>
      <c r="AH255" s="17">
        <f>_xlfn.XLOOKUP(D255,'①7月-花名册'!E:E,'①7月-花名册'!T:T,0)</f>
        <v>0</v>
      </c>
      <c r="AI255" s="15">
        <f>SUMIFS('7月运营'!$L:$L,'7月运营'!$A:$A,D255,'7月运营'!$K:$K,$A$1)</f>
        <v>0</v>
      </c>
      <c r="AJ255" s="15">
        <f>SUMIFS('7月运营'!H:H,'7月运营'!$A:$A,D255,'7月运营'!$K:$K,$A$1)</f>
        <v>0</v>
      </c>
      <c r="AK255" s="15">
        <f>SUMIFS(上月未发人员明细!I:I,上月未发人员明细!J:J,$AK$2,上月未发人员明细!A:A,D255)</f>
        <v>0</v>
      </c>
      <c r="AL255" s="15">
        <f>SUMIFS('7月运营'!L:L,'7月运营'!$A:$A,D255,'7月运营'!$K:$K,$AL$2)</f>
        <v>0</v>
      </c>
      <c r="AM255" s="18">
        <f>SUMIFS('7月运营'!$F:$F,'7月运营'!$A:$A,D255,'7月运营'!$K:$K,'②7月-汇总'!$AM$2,'7月运营'!$G:$G,"岗位核算")</f>
        <v>0</v>
      </c>
      <c r="AN255" s="18">
        <f>SUMIFS('7月运营'!$F:$F,'7月运营'!$A:$A,D255,'7月运营'!$K:$K,$AN$2,'7月运营'!$G:$G,"岗位核算")</f>
        <v>0</v>
      </c>
      <c r="AO255" s="18" t="str">
        <f t="shared" si="39"/>
        <v/>
      </c>
      <c r="AP255" s="18">
        <f t="shared" si="31"/>
        <v>31</v>
      </c>
      <c r="AQ255" s="18">
        <f>_xlfn.XLOOKUP(D255,'7月运营'!A:A,'7月运营'!G:G,0)</f>
        <v>0</v>
      </c>
    </row>
    <row r="256" spans="1:43" x14ac:dyDescent="0.15">
      <c r="A256" s="11" t="str">
        <v>总部</v>
      </c>
      <c r="B256" s="11" t="str">
        <v>教育部老师</v>
      </c>
      <c r="C256" s="11" t="str">
        <v>B</v>
      </c>
      <c r="D256" s="11" t="str">
        <v>蓝海英</v>
      </c>
      <c r="E256" s="11" t="str">
        <v>在职</v>
      </c>
      <c r="F256" s="11" t="str">
        <v>总部</v>
      </c>
      <c r="G256" s="11">
        <f>_xlfn.XLOOKUP(D256,'①7月-花名册'!E:E,'①7月-花名册'!U:U,0)</f>
        <v>0</v>
      </c>
      <c r="H256" s="11">
        <f>_xlfn.XLOOKUP(D256,'①7月-花名册'!E:E,'①7月-花名册'!M:M,0)</f>
        <v>31</v>
      </c>
      <c r="I256" s="11">
        <f>_xlfn.XLOOKUP(D256,'①7月-花名册'!E:E,'①7月-花名册'!S:S,0)</f>
        <v>5</v>
      </c>
      <c r="J256" s="14">
        <f t="shared" si="32"/>
        <v>5</v>
      </c>
      <c r="K256" s="23">
        <v>5</v>
      </c>
      <c r="L256" s="23"/>
      <c r="M256" s="23"/>
      <c r="N256" s="23"/>
      <c r="O256" s="23"/>
      <c r="P256" s="15">
        <f t="shared" si="33"/>
        <v>26</v>
      </c>
      <c r="Q256" s="15">
        <f t="shared" si="34"/>
        <v>31</v>
      </c>
      <c r="R256" s="15">
        <f>IF(F256="事业部",LOOKUP(Q256,基础设置!$T$2:$T$6,基础设置!$U$2:$U$6),IF(F256="总部",LOOKUP(Q256,基础设置!$T$8:$T$13,基础设置!$V$8:$V$13),IF(F256="拓展部",LOOKUP(Q256,基础设置!$T$8:$T$13,基础设置!$W$8:$W$13),2000)))</f>
        <v>5</v>
      </c>
      <c r="S256" s="15">
        <f t="shared" si="35"/>
        <v>31</v>
      </c>
      <c r="T256" s="15">
        <f t="shared" si="36"/>
        <v>0</v>
      </c>
      <c r="U256" s="15">
        <f t="shared" si="37"/>
        <v>0</v>
      </c>
      <c r="V256" s="15">
        <f t="shared" si="30"/>
        <v>0</v>
      </c>
      <c r="W256" s="15">
        <f t="shared" si="38"/>
        <v>0</v>
      </c>
      <c r="X256" s="26">
        <v>20</v>
      </c>
      <c r="Y256" s="26"/>
      <c r="Z256" s="26"/>
      <c r="AA256" s="26"/>
      <c r="AB256" s="27"/>
      <c r="AC256" s="27"/>
      <c r="AD256" s="27"/>
      <c r="AE256" s="27"/>
      <c r="AF256" s="27"/>
      <c r="AG256" s="27"/>
      <c r="AH256" s="17">
        <f>_xlfn.XLOOKUP(D256,'①7月-花名册'!E:E,'①7月-花名册'!T:T,0)</f>
        <v>0</v>
      </c>
      <c r="AI256" s="15">
        <f>SUMIFS('7月运营'!$L:$L,'7月运营'!$A:$A,D256,'7月运营'!$K:$K,$A$1)</f>
        <v>0</v>
      </c>
      <c r="AJ256" s="15">
        <f>SUMIFS('7月运营'!H:H,'7月运营'!$A:$A,D256,'7月运营'!$K:$K,$A$1)</f>
        <v>0</v>
      </c>
      <c r="AK256" s="15">
        <f>SUMIFS(上月未发人员明细!I:I,上月未发人员明细!J:J,$AK$2,上月未发人员明细!A:A,D256)</f>
        <v>0</v>
      </c>
      <c r="AL256" s="15">
        <f>SUMIFS('7月运营'!L:L,'7月运营'!$A:$A,D256,'7月运营'!$K:$K,$AL$2)</f>
        <v>0</v>
      </c>
      <c r="AM256" s="18">
        <f>SUMIFS('7月运营'!$F:$F,'7月运营'!$A:$A,D256,'7月运营'!$K:$K,'②7月-汇总'!$AM$2,'7月运营'!$G:$G,"岗位核算")</f>
        <v>0</v>
      </c>
      <c r="AN256" s="18">
        <f>SUMIFS('7月运营'!$F:$F,'7月运营'!$A:$A,D256,'7月运营'!$K:$K,$AN$2,'7月运营'!$G:$G,"岗位核算")</f>
        <v>0</v>
      </c>
      <c r="AO256" s="18" t="str">
        <f t="shared" si="39"/>
        <v/>
      </c>
      <c r="AP256" s="18">
        <f t="shared" si="31"/>
        <v>31</v>
      </c>
      <c r="AQ256" s="18">
        <f>_xlfn.XLOOKUP(D256,'7月运营'!A:A,'7月运营'!G:G,0)</f>
        <v>0</v>
      </c>
    </row>
    <row r="257" spans="1:43" x14ac:dyDescent="0.15">
      <c r="A257" s="11" t="str">
        <v>科技一部</v>
      </c>
      <c r="B257" s="11" t="str">
        <v>总经理</v>
      </c>
      <c r="C257" s="11" t="str">
        <v>B</v>
      </c>
      <c r="D257" s="11" t="str">
        <v>夏萍</v>
      </c>
      <c r="E257" s="11" t="str">
        <v>在职</v>
      </c>
      <c r="F257" s="11" t="str">
        <v>事业部</v>
      </c>
      <c r="G257" s="11">
        <f>_xlfn.XLOOKUP(D257,'①7月-花名册'!E:E,'①7月-花名册'!U:U,0)</f>
        <v>0</v>
      </c>
      <c r="H257" s="11">
        <f>_xlfn.XLOOKUP(D257,'①7月-花名册'!E:E,'①7月-花名册'!M:M,0)</f>
        <v>31</v>
      </c>
      <c r="I257" s="11">
        <f>_xlfn.XLOOKUP(D257,'①7月-花名册'!E:E,'①7月-花名册'!S:S,0)</f>
        <v>4</v>
      </c>
      <c r="J257" s="14">
        <f t="shared" si="32"/>
        <v>4</v>
      </c>
      <c r="K257" s="23">
        <v>4</v>
      </c>
      <c r="L257" s="23"/>
      <c r="M257" s="23"/>
      <c r="N257" s="23"/>
      <c r="O257" s="23"/>
      <c r="P257" s="15">
        <f t="shared" si="33"/>
        <v>27</v>
      </c>
      <c r="Q257" s="15">
        <f t="shared" si="34"/>
        <v>31</v>
      </c>
      <c r="R257" s="15">
        <f>IF(F257="事业部",LOOKUP(Q257,基础设置!$T$2:$T$6,基础设置!$U$2:$U$6),IF(F257="总部",LOOKUP(Q257,基础设置!$T$8:$T$13,基础设置!$V$8:$V$13),IF(F257="拓展部",LOOKUP(Q257,基础设置!$T$8:$T$13,基础设置!$W$8:$W$13),2000)))</f>
        <v>4</v>
      </c>
      <c r="S257" s="15">
        <f t="shared" si="35"/>
        <v>31</v>
      </c>
      <c r="T257" s="15">
        <f t="shared" si="36"/>
        <v>0</v>
      </c>
      <c r="U257" s="15">
        <f t="shared" si="37"/>
        <v>0</v>
      </c>
      <c r="V257" s="15">
        <f t="shared" si="30"/>
        <v>0</v>
      </c>
      <c r="W257" s="15">
        <f t="shared" si="38"/>
        <v>0</v>
      </c>
      <c r="X257" s="26">
        <v>20</v>
      </c>
      <c r="Y257" s="26">
        <v>20</v>
      </c>
      <c r="Z257" s="26"/>
      <c r="AA257" s="26"/>
      <c r="AB257" s="27"/>
      <c r="AC257" s="27"/>
      <c r="AD257" s="27"/>
      <c r="AE257" s="27"/>
      <c r="AF257" s="27"/>
      <c r="AG257" s="27"/>
      <c r="AH257" s="17">
        <f>_xlfn.XLOOKUP(D257,'①7月-花名册'!E:E,'①7月-花名册'!T:T,0)</f>
        <v>0</v>
      </c>
      <c r="AI257" s="15">
        <f>SUMIFS('7月运营'!$L:$L,'7月运营'!$A:$A,D257,'7月运营'!$K:$K,$A$1)</f>
        <v>0</v>
      </c>
      <c r="AJ257" s="15">
        <f>SUMIFS('7月运营'!H:H,'7月运营'!$A:$A,D257,'7月运营'!$K:$K,$A$1)</f>
        <v>0</v>
      </c>
      <c r="AK257" s="15">
        <f>SUMIFS(上月未发人员明细!I:I,上月未发人员明细!J:J,$AK$2,上月未发人员明细!A:A,D257)</f>
        <v>0</v>
      </c>
      <c r="AL257" s="15">
        <f>SUMIFS('7月运营'!L:L,'7月运营'!$A:$A,D257,'7月运营'!$K:$K,$AL$2)</f>
        <v>0</v>
      </c>
      <c r="AM257" s="18">
        <f>SUMIFS('7月运营'!$F:$F,'7月运营'!$A:$A,D257,'7月运营'!$K:$K,'②7月-汇总'!$AM$2,'7月运营'!$G:$G,"岗位核算")</f>
        <v>0</v>
      </c>
      <c r="AN257" s="18">
        <f>SUMIFS('7月运营'!$F:$F,'7月运营'!$A:$A,D257,'7月运营'!$K:$K,$AN$2,'7月运营'!$G:$G,"岗位核算")</f>
        <v>0</v>
      </c>
      <c r="AO257" s="18" t="str">
        <f t="shared" si="39"/>
        <v/>
      </c>
      <c r="AP257" s="18">
        <f t="shared" si="31"/>
        <v>31</v>
      </c>
      <c r="AQ257" s="18">
        <f>_xlfn.XLOOKUP(D257,'7月运营'!A:A,'7月运营'!G:G,0)</f>
        <v>0</v>
      </c>
    </row>
    <row r="258" spans="1:43" x14ac:dyDescent="0.15">
      <c r="A258" s="11" t="str">
        <v>科技一部</v>
      </c>
      <c r="B258" s="11" t="str">
        <v>组长</v>
      </c>
      <c r="C258" s="11" t="str">
        <v>B</v>
      </c>
      <c r="D258" s="11" t="str">
        <v>王方贤</v>
      </c>
      <c r="E258" s="11" t="str">
        <v>在职</v>
      </c>
      <c r="F258" s="11" t="str">
        <v>事业部</v>
      </c>
      <c r="G258" s="11">
        <f>_xlfn.XLOOKUP(D258,'①7月-花名册'!E:E,'①7月-花名册'!U:U,0)</f>
        <v>0</v>
      </c>
      <c r="H258" s="11">
        <f>_xlfn.XLOOKUP(D258,'①7月-花名册'!E:E,'①7月-花名册'!M:M,0)</f>
        <v>31</v>
      </c>
      <c r="I258" s="11">
        <f>_xlfn.XLOOKUP(D258,'①7月-花名册'!E:E,'①7月-花名册'!S:S,0)</f>
        <v>4</v>
      </c>
      <c r="J258" s="14">
        <f t="shared" si="32"/>
        <v>4</v>
      </c>
      <c r="K258" s="23">
        <v>4</v>
      </c>
      <c r="L258" s="23"/>
      <c r="M258" s="23"/>
      <c r="N258" s="23"/>
      <c r="O258" s="23"/>
      <c r="P258" s="15">
        <f t="shared" si="33"/>
        <v>27</v>
      </c>
      <c r="Q258" s="15">
        <f t="shared" si="34"/>
        <v>31</v>
      </c>
      <c r="R258" s="15">
        <f>IF(F258="事业部",LOOKUP(Q258,基础设置!$T$2:$T$6,基础设置!$U$2:$U$6),IF(F258="总部",LOOKUP(Q258,基础设置!$T$8:$T$13,基础设置!$V$8:$V$13),IF(F258="拓展部",LOOKUP(Q258,基础设置!$T$8:$T$13,基础设置!$W$8:$W$13),2000)))</f>
        <v>4</v>
      </c>
      <c r="S258" s="15">
        <f t="shared" si="35"/>
        <v>31</v>
      </c>
      <c r="T258" s="15">
        <f t="shared" si="36"/>
        <v>0</v>
      </c>
      <c r="U258" s="15">
        <f t="shared" si="37"/>
        <v>0</v>
      </c>
      <c r="V258" s="15">
        <f t="shared" si="30"/>
        <v>0</v>
      </c>
      <c r="W258" s="15">
        <f t="shared" si="38"/>
        <v>0</v>
      </c>
      <c r="X258" s="26">
        <v>10</v>
      </c>
      <c r="Y258" s="26"/>
      <c r="Z258" s="26"/>
      <c r="AA258" s="26"/>
      <c r="AB258" s="27"/>
      <c r="AC258" s="27"/>
      <c r="AD258" s="27"/>
      <c r="AE258" s="27"/>
      <c r="AF258" s="27"/>
      <c r="AG258" s="27"/>
      <c r="AH258" s="17">
        <f>_xlfn.XLOOKUP(D258,'①7月-花名册'!E:E,'①7月-花名册'!T:T,0)</f>
        <v>0</v>
      </c>
      <c r="AI258" s="15">
        <f>SUMIFS('7月运营'!$L:$L,'7月运营'!$A:$A,D258,'7月运营'!$K:$K,$A$1)</f>
        <v>0</v>
      </c>
      <c r="AJ258" s="15">
        <f>SUMIFS('7月运营'!H:H,'7月运营'!$A:$A,D258,'7月运营'!$K:$K,$A$1)</f>
        <v>0</v>
      </c>
      <c r="AK258" s="15">
        <f>SUMIFS(上月未发人员明细!I:I,上月未发人员明细!J:J,$AK$2,上月未发人员明细!A:A,D258)</f>
        <v>0</v>
      </c>
      <c r="AL258" s="15">
        <f>SUMIFS('7月运营'!L:L,'7月运营'!$A:$A,D258,'7月运营'!$K:$K,$AL$2)</f>
        <v>0</v>
      </c>
      <c r="AM258" s="18">
        <f>SUMIFS('7月运营'!$F:$F,'7月运营'!$A:$A,D258,'7月运营'!$K:$K,'②7月-汇总'!$AM$2,'7月运营'!$G:$G,"岗位核算")</f>
        <v>0</v>
      </c>
      <c r="AN258" s="18">
        <f>SUMIFS('7月运营'!$F:$F,'7月运营'!$A:$A,D258,'7月运营'!$K:$K,$AN$2,'7月运营'!$G:$G,"岗位核算")</f>
        <v>0</v>
      </c>
      <c r="AO258" s="18" t="str">
        <f t="shared" si="39"/>
        <v/>
      </c>
      <c r="AP258" s="18">
        <f t="shared" si="31"/>
        <v>31</v>
      </c>
      <c r="AQ258" s="18">
        <f>_xlfn.XLOOKUP(D258,'7月运营'!A:A,'7月运营'!G:G,0)</f>
        <v>0</v>
      </c>
    </row>
    <row r="259" spans="1:43" x14ac:dyDescent="0.15">
      <c r="A259" s="11" t="str">
        <v>科技一部</v>
      </c>
      <c r="B259" s="11" t="str">
        <v>科技老师</v>
      </c>
      <c r="C259" s="11" t="str">
        <v>B</v>
      </c>
      <c r="D259" s="11" t="str">
        <v>杨琴</v>
      </c>
      <c r="E259" s="11" t="str">
        <v>在职</v>
      </c>
      <c r="F259" s="11" t="str">
        <v>事业部</v>
      </c>
      <c r="G259" s="11">
        <f>_xlfn.XLOOKUP(D259,'①7月-花名册'!E:E,'①7月-花名册'!U:U,0)</f>
        <v>0</v>
      </c>
      <c r="H259" s="11">
        <f>_xlfn.XLOOKUP(D259,'①7月-花名册'!E:E,'①7月-花名册'!M:M,0)</f>
        <v>31</v>
      </c>
      <c r="I259" s="11">
        <f>_xlfn.XLOOKUP(D259,'①7月-花名册'!E:E,'①7月-花名册'!S:S,0)</f>
        <v>4</v>
      </c>
      <c r="J259" s="14">
        <f t="shared" si="32"/>
        <v>5</v>
      </c>
      <c r="K259" s="23">
        <v>4</v>
      </c>
      <c r="L259" s="23">
        <v>1</v>
      </c>
      <c r="M259" s="23"/>
      <c r="N259" s="23"/>
      <c r="O259" s="23"/>
      <c r="P259" s="15">
        <f t="shared" si="33"/>
        <v>26</v>
      </c>
      <c r="Q259" s="15">
        <f t="shared" si="34"/>
        <v>30</v>
      </c>
      <c r="R259" s="15">
        <f>IF(F259="事业部",LOOKUP(Q259,基础设置!$T$2:$T$6,基础设置!$U$2:$U$6),IF(F259="总部",LOOKUP(Q259,基础设置!$T$8:$T$13,基础设置!$V$8:$V$13),IF(F259="拓展部",LOOKUP(Q259,基础设置!$T$8:$T$13,基础设置!$W$8:$W$13),2000)))</f>
        <v>4</v>
      </c>
      <c r="S259" s="15">
        <f t="shared" si="35"/>
        <v>30</v>
      </c>
      <c r="T259" s="15">
        <f t="shared" si="36"/>
        <v>0</v>
      </c>
      <c r="U259" s="15">
        <f t="shared" si="37"/>
        <v>1</v>
      </c>
      <c r="V259" s="15">
        <f t="shared" si="30"/>
        <v>0</v>
      </c>
      <c r="W259" s="15">
        <f t="shared" si="38"/>
        <v>0</v>
      </c>
      <c r="X259" s="26">
        <v>90</v>
      </c>
      <c r="Y259" s="26">
        <v>10</v>
      </c>
      <c r="Z259" s="26"/>
      <c r="AA259" s="26"/>
      <c r="AB259" s="27"/>
      <c r="AC259" s="27"/>
      <c r="AD259" s="27"/>
      <c r="AE259" s="27"/>
      <c r="AF259" s="27"/>
      <c r="AG259" s="27"/>
      <c r="AH259" s="17">
        <f>_xlfn.XLOOKUP(D259,'①7月-花名册'!E:E,'①7月-花名册'!T:T,0)</f>
        <v>0</v>
      </c>
      <c r="AI259" s="15">
        <f>SUMIFS('7月运营'!$L:$L,'7月运营'!$A:$A,D259,'7月运营'!$K:$K,$A$1)</f>
        <v>0</v>
      </c>
      <c r="AJ259" s="15">
        <f>SUMIFS('7月运营'!H:H,'7月运营'!$A:$A,D259,'7月运营'!$K:$K,$A$1)</f>
        <v>0</v>
      </c>
      <c r="AK259" s="15">
        <f>SUMIFS(上月未发人员明细!I:I,上月未发人员明细!J:J,$AK$2,上月未发人员明细!A:A,D259)</f>
        <v>0</v>
      </c>
      <c r="AL259" s="15">
        <f>SUMIFS('7月运营'!L:L,'7月运营'!$A:$A,D259,'7月运营'!$K:$K,$AL$2)</f>
        <v>0</v>
      </c>
      <c r="AM259" s="18">
        <f>SUMIFS('7月运营'!$F:$F,'7月运营'!$A:$A,D259,'7月运营'!$K:$K,'②7月-汇总'!$AM$2,'7月运营'!$G:$G,"岗位核算")</f>
        <v>0</v>
      </c>
      <c r="AN259" s="18">
        <f>SUMIFS('7月运营'!$F:$F,'7月运营'!$A:$A,D259,'7月运营'!$K:$K,$AN$2,'7月运营'!$G:$G,"岗位核算")</f>
        <v>0</v>
      </c>
      <c r="AO259" s="18" t="str">
        <f t="shared" si="39"/>
        <v/>
      </c>
      <c r="AP259" s="18">
        <f t="shared" si="31"/>
        <v>30</v>
      </c>
      <c r="AQ259" s="18">
        <f>_xlfn.XLOOKUP(D259,'7月运营'!A:A,'7月运营'!G:G,0)</f>
        <v>0</v>
      </c>
    </row>
    <row r="260" spans="1:43" x14ac:dyDescent="0.15">
      <c r="A260" s="11" t="str">
        <v>科技一部</v>
      </c>
      <c r="B260" s="11" t="str">
        <v>组长</v>
      </c>
      <c r="C260" s="11" t="str">
        <v>B</v>
      </c>
      <c r="D260" s="11" t="str">
        <v>赵美艳</v>
      </c>
      <c r="E260" s="11" t="str">
        <v>在职</v>
      </c>
      <c r="F260" s="11" t="str">
        <v>事业部</v>
      </c>
      <c r="G260" s="11">
        <f>_xlfn.XLOOKUP(D260,'①7月-花名册'!E:E,'①7月-花名册'!U:U,0)</f>
        <v>0</v>
      </c>
      <c r="H260" s="11">
        <f>_xlfn.XLOOKUP(D260,'①7月-花名册'!E:E,'①7月-花名册'!M:M,0)</f>
        <v>31</v>
      </c>
      <c r="I260" s="11">
        <f>_xlfn.XLOOKUP(D260,'①7月-花名册'!E:E,'①7月-花名册'!S:S,0)</f>
        <v>4</v>
      </c>
      <c r="J260" s="14">
        <f t="shared" si="32"/>
        <v>4</v>
      </c>
      <c r="K260" s="23">
        <v>4</v>
      </c>
      <c r="L260" s="23"/>
      <c r="M260" s="23"/>
      <c r="N260" s="23"/>
      <c r="O260" s="23"/>
      <c r="P260" s="15">
        <f t="shared" si="33"/>
        <v>27</v>
      </c>
      <c r="Q260" s="15">
        <f t="shared" si="34"/>
        <v>31</v>
      </c>
      <c r="R260" s="15">
        <f>IF(F260="事业部",LOOKUP(Q260,基础设置!$T$2:$T$6,基础设置!$U$2:$U$6),IF(F260="总部",LOOKUP(Q260,基础设置!$T$8:$T$13,基础设置!$V$8:$V$13),IF(F260="拓展部",LOOKUP(Q260,基础设置!$T$8:$T$13,基础设置!$W$8:$W$13),2000)))</f>
        <v>4</v>
      </c>
      <c r="S260" s="15">
        <f t="shared" si="35"/>
        <v>31</v>
      </c>
      <c r="T260" s="15">
        <f t="shared" si="36"/>
        <v>0</v>
      </c>
      <c r="U260" s="15">
        <f t="shared" si="37"/>
        <v>0</v>
      </c>
      <c r="V260" s="15">
        <f t="shared" ref="V260:V326" si="40">IF(AND(E260="离职",H260&lt;=26),0,IF(AND(X260=0,Y260=0,AH260=0),IF(B260="保洁",0,IF(R260-K260&lt;0,0,R260-K260)),0))</f>
        <v>0</v>
      </c>
      <c r="W260" s="15">
        <f t="shared" si="38"/>
        <v>0</v>
      </c>
      <c r="X260" s="26">
        <v>120</v>
      </c>
      <c r="Y260" s="26">
        <v>50</v>
      </c>
      <c r="Z260" s="26"/>
      <c r="AA260" s="26"/>
      <c r="AB260" s="27"/>
      <c r="AC260" s="27"/>
      <c r="AD260" s="27"/>
      <c r="AE260" s="27"/>
      <c r="AF260" s="27"/>
      <c r="AG260" s="27"/>
      <c r="AH260" s="17">
        <f>_xlfn.XLOOKUP(D260,'①7月-花名册'!E:E,'①7月-花名册'!T:T,0)</f>
        <v>0</v>
      </c>
      <c r="AI260" s="15">
        <f>SUMIFS('7月运营'!$L:$L,'7月运营'!$A:$A,D260,'7月运营'!$K:$K,$A$1)</f>
        <v>0</v>
      </c>
      <c r="AJ260" s="15">
        <f>SUMIFS('7月运营'!H:H,'7月运营'!$A:$A,D260,'7月运营'!$K:$K,$A$1)</f>
        <v>0</v>
      </c>
      <c r="AK260" s="15">
        <f>SUMIFS(上月未发人员明细!I:I,上月未发人员明细!J:J,$AK$2,上月未发人员明细!A:A,D260)</f>
        <v>0</v>
      </c>
      <c r="AL260" s="15">
        <f>SUMIFS('7月运营'!L:L,'7月运营'!$A:$A,D260,'7月运营'!$K:$K,$AL$2)</f>
        <v>0</v>
      </c>
      <c r="AM260" s="18">
        <f>SUMIFS('7月运营'!$F:$F,'7月运营'!$A:$A,D260,'7月运营'!$K:$K,'②7月-汇总'!$AM$2,'7月运营'!$G:$G,"岗位核算")</f>
        <v>0</v>
      </c>
      <c r="AN260" s="18">
        <f>SUMIFS('7月运营'!$F:$F,'7月运营'!$A:$A,D260,'7月运营'!$K:$K,$AN$2,'7月运营'!$G:$G,"岗位核算")</f>
        <v>0</v>
      </c>
      <c r="AO260" s="18" t="str">
        <f t="shared" si="39"/>
        <v/>
      </c>
      <c r="AP260" s="18">
        <f t="shared" ref="AP260:AP325" si="41">IF(AM260=0,S260,AM260)</f>
        <v>31</v>
      </c>
      <c r="AQ260" s="18">
        <f>_xlfn.XLOOKUP(D260,'7月运营'!A:A,'7月运营'!G:G,0)</f>
        <v>0</v>
      </c>
    </row>
    <row r="261" spans="1:43" x14ac:dyDescent="0.15">
      <c r="A261" s="11" t="str">
        <v>科技一部</v>
      </c>
      <c r="B261" s="11" t="str">
        <v>科技老师</v>
      </c>
      <c r="C261" s="11" t="str">
        <v>B</v>
      </c>
      <c r="D261" s="11" t="str">
        <v>郭兰</v>
      </c>
      <c r="E261" s="11" t="str">
        <v>在职</v>
      </c>
      <c r="F261" s="11" t="str">
        <v>事业部</v>
      </c>
      <c r="G261" s="11">
        <f>_xlfn.XLOOKUP(D261,'①7月-花名册'!E:E,'①7月-花名册'!U:U,0)</f>
        <v>0</v>
      </c>
      <c r="H261" s="11">
        <f>_xlfn.XLOOKUP(D261,'①7月-花名册'!E:E,'①7月-花名册'!M:M,0)</f>
        <v>31</v>
      </c>
      <c r="I261" s="11">
        <f>_xlfn.XLOOKUP(D261,'①7月-花名册'!E:E,'①7月-花名册'!S:S,0)</f>
        <v>4</v>
      </c>
      <c r="J261" s="14">
        <f t="shared" ref="J261:J324" si="42">SUM(K261:O261)</f>
        <v>4</v>
      </c>
      <c r="K261" s="23">
        <v>4</v>
      </c>
      <c r="L261" s="23"/>
      <c r="M261" s="23"/>
      <c r="N261" s="23"/>
      <c r="O261" s="23"/>
      <c r="P261" s="15">
        <f t="shared" ref="P261:P324" si="43">H261-SUM(K261:O261)</f>
        <v>27</v>
      </c>
      <c r="Q261" s="15">
        <f t="shared" ref="Q261:Q324" si="44">P261+K261+O261+N261+M261</f>
        <v>31</v>
      </c>
      <c r="R261" s="15">
        <f>IF(F261="事业部",LOOKUP(Q261,基础设置!$T$2:$T$6,基础设置!$U$2:$U$6),IF(F261="总部",LOOKUP(Q261,基础设置!$T$8:$T$13,基础设置!$V$8:$V$13),IF(F261="拓展部",LOOKUP(Q261,基础设置!$T$8:$T$13,基础设置!$W$8:$W$13),2000)))</f>
        <v>4</v>
      </c>
      <c r="S261" s="15">
        <f t="shared" ref="S261:S324" si="45">K261+M261+N261+O261+P261</f>
        <v>31</v>
      </c>
      <c r="T261" s="15">
        <f t="shared" ref="T261:T324" si="46">IF(K261-R261&lt;0,0,K261-R261)</f>
        <v>0</v>
      </c>
      <c r="U261" s="15">
        <f t="shared" ref="U261:U324" si="47">T261+L261</f>
        <v>0</v>
      </c>
      <c r="V261" s="15">
        <f t="shared" si="40"/>
        <v>0</v>
      </c>
      <c r="W261" s="15">
        <f t="shared" ref="W261:W324" si="48">V261*20</f>
        <v>0</v>
      </c>
      <c r="X261" s="26"/>
      <c r="Y261" s="26"/>
      <c r="Z261" s="26"/>
      <c r="AA261" s="26"/>
      <c r="AB261" s="27"/>
      <c r="AC261" s="27"/>
      <c r="AD261" s="27"/>
      <c r="AE261" s="27"/>
      <c r="AF261" s="27"/>
      <c r="AG261" s="27"/>
      <c r="AH261" s="17">
        <f>_xlfn.XLOOKUP(D261,'①7月-花名册'!E:E,'①7月-花名册'!T:T,0)</f>
        <v>0</v>
      </c>
      <c r="AI261" s="15">
        <f>SUMIFS('7月运营'!$L:$L,'7月运营'!$A:$A,D261,'7月运营'!$K:$K,$A$1)</f>
        <v>0</v>
      </c>
      <c r="AJ261" s="15">
        <f>SUMIFS('7月运营'!H:H,'7月运营'!$A:$A,D261,'7月运营'!$K:$K,$A$1)</f>
        <v>0</v>
      </c>
      <c r="AK261" s="15">
        <f>SUMIFS(上月未发人员明细!I:I,上月未发人员明细!J:J,$AK$2,上月未发人员明细!A:A,D261)</f>
        <v>0</v>
      </c>
      <c r="AL261" s="15">
        <f>SUMIFS('7月运营'!L:L,'7月运营'!$A:$A,D261,'7月运营'!$K:$K,$AL$2)</f>
        <v>0</v>
      </c>
      <c r="AM261" s="18">
        <f>SUMIFS('7月运营'!$F:$F,'7月运营'!$A:$A,D261,'7月运营'!$K:$K,'②7月-汇总'!$AM$2,'7月运营'!$G:$G,"岗位核算")</f>
        <v>0</v>
      </c>
      <c r="AN261" s="18">
        <f>SUMIFS('7月运营'!$F:$F,'7月运营'!$A:$A,D261,'7月运营'!$K:$K,$AN$2,'7月运营'!$G:$G,"岗位核算")</f>
        <v>0</v>
      </c>
      <c r="AO261" s="18" t="str">
        <f t="shared" ref="AO261:AO324" si="49">IF(AN261&lt;&gt;0,"有","")</f>
        <v/>
      </c>
      <c r="AP261" s="18">
        <f t="shared" si="41"/>
        <v>31</v>
      </c>
      <c r="AQ261" s="18">
        <f>_xlfn.XLOOKUP(D261,'7月运营'!A:A,'7月运营'!G:G,0)</f>
        <v>0</v>
      </c>
    </row>
    <row r="262" spans="1:43" x14ac:dyDescent="0.15">
      <c r="A262" s="11" t="str">
        <v>科技一部</v>
      </c>
      <c r="B262" s="11" t="str">
        <v>科技老师</v>
      </c>
      <c r="C262" s="11" t="str">
        <v>B</v>
      </c>
      <c r="D262" s="11" t="str">
        <v>戴林</v>
      </c>
      <c r="E262" s="11" t="str">
        <v>在职</v>
      </c>
      <c r="F262" s="11" t="str">
        <v>事业部</v>
      </c>
      <c r="G262" s="11">
        <f>_xlfn.XLOOKUP(D262,'①7月-花名册'!E:E,'①7月-花名册'!U:U,0)</f>
        <v>0</v>
      </c>
      <c r="H262" s="11">
        <f>_xlfn.XLOOKUP(D262,'①7月-花名册'!E:E,'①7月-花名册'!M:M,0)</f>
        <v>31</v>
      </c>
      <c r="I262" s="11">
        <f>_xlfn.XLOOKUP(D262,'①7月-花名册'!E:E,'①7月-花名册'!S:S,0)</f>
        <v>4</v>
      </c>
      <c r="J262" s="14">
        <f t="shared" si="42"/>
        <v>4</v>
      </c>
      <c r="K262" s="23">
        <v>4</v>
      </c>
      <c r="L262" s="23"/>
      <c r="M262" s="23"/>
      <c r="N262" s="23"/>
      <c r="O262" s="23"/>
      <c r="P262" s="15">
        <f t="shared" si="43"/>
        <v>27</v>
      </c>
      <c r="Q262" s="15">
        <f t="shared" si="44"/>
        <v>31</v>
      </c>
      <c r="R262" s="15">
        <f>IF(F262="事业部",LOOKUP(Q262,基础设置!$T$2:$T$6,基础设置!$U$2:$U$6),IF(F262="总部",LOOKUP(Q262,基础设置!$T$8:$T$13,基础设置!$V$8:$V$13),IF(F262="拓展部",LOOKUP(Q262,基础设置!$T$8:$T$13,基础设置!$W$8:$W$13),2000)))</f>
        <v>4</v>
      </c>
      <c r="S262" s="15">
        <f t="shared" si="45"/>
        <v>31</v>
      </c>
      <c r="T262" s="15">
        <f t="shared" si="46"/>
        <v>0</v>
      </c>
      <c r="U262" s="15">
        <f t="shared" si="47"/>
        <v>0</v>
      </c>
      <c r="V262" s="15">
        <f t="shared" si="40"/>
        <v>0</v>
      </c>
      <c r="W262" s="15">
        <f t="shared" si="48"/>
        <v>0</v>
      </c>
      <c r="X262" s="26">
        <v>20</v>
      </c>
      <c r="Y262" s="26">
        <v>20</v>
      </c>
      <c r="Z262" s="26"/>
      <c r="AA262" s="26"/>
      <c r="AB262" s="27"/>
      <c r="AC262" s="27"/>
      <c r="AD262" s="27"/>
      <c r="AE262" s="27"/>
      <c r="AF262" s="27"/>
      <c r="AG262" s="27"/>
      <c r="AH262" s="17">
        <f>_xlfn.XLOOKUP(D262,'①7月-花名册'!E:E,'①7月-花名册'!T:T,0)</f>
        <v>0</v>
      </c>
      <c r="AI262" s="15">
        <f>SUMIFS('7月运营'!$L:$L,'7月运营'!$A:$A,D262,'7月运营'!$K:$K,$A$1)</f>
        <v>0</v>
      </c>
      <c r="AJ262" s="15">
        <f>SUMIFS('7月运营'!H:H,'7月运营'!$A:$A,D262,'7月运营'!$K:$K,$A$1)</f>
        <v>0</v>
      </c>
      <c r="AK262" s="15">
        <f>SUMIFS(上月未发人员明细!I:I,上月未发人员明细!J:J,$AK$2,上月未发人员明细!A:A,D262)</f>
        <v>0</v>
      </c>
      <c r="AL262" s="15">
        <f>SUMIFS('7月运营'!L:L,'7月运营'!$A:$A,D262,'7月运营'!$K:$K,$AL$2)</f>
        <v>0</v>
      </c>
      <c r="AM262" s="18">
        <f>SUMIFS('7月运营'!$F:$F,'7月运营'!$A:$A,D262,'7月运营'!$K:$K,'②7月-汇总'!$AM$2,'7月运营'!$G:$G,"岗位核算")</f>
        <v>0</v>
      </c>
      <c r="AN262" s="18">
        <f>SUMIFS('7月运营'!$F:$F,'7月运营'!$A:$A,D262,'7月运营'!$K:$K,$AN$2,'7月运营'!$G:$G,"岗位核算")</f>
        <v>0</v>
      </c>
      <c r="AO262" s="18" t="str">
        <f t="shared" si="49"/>
        <v/>
      </c>
      <c r="AP262" s="18">
        <f t="shared" si="41"/>
        <v>31</v>
      </c>
      <c r="AQ262" s="18">
        <f>_xlfn.XLOOKUP(D262,'7月运营'!A:A,'7月运营'!G:G,0)</f>
        <v>0</v>
      </c>
    </row>
    <row r="263" spans="1:43" x14ac:dyDescent="0.15">
      <c r="A263" s="11" t="str">
        <v>科技一部</v>
      </c>
      <c r="B263" s="11" t="str">
        <v>科技老师</v>
      </c>
      <c r="C263" s="11" t="str">
        <v>B</v>
      </c>
      <c r="D263" s="11" t="str">
        <v>蒲俊峰</v>
      </c>
      <c r="E263" s="11" t="str">
        <v>在职</v>
      </c>
      <c r="F263" s="11" t="str">
        <v>事业部</v>
      </c>
      <c r="G263" s="11">
        <f>_xlfn.XLOOKUP(D263,'①7月-花名册'!E:E,'①7月-花名册'!U:U,0)</f>
        <v>0</v>
      </c>
      <c r="H263" s="11">
        <f>_xlfn.XLOOKUP(D263,'①7月-花名册'!E:E,'①7月-花名册'!M:M,0)</f>
        <v>31</v>
      </c>
      <c r="I263" s="11">
        <f>_xlfn.XLOOKUP(D263,'①7月-花名册'!E:E,'①7月-花名册'!S:S,0)</f>
        <v>4</v>
      </c>
      <c r="J263" s="14">
        <f t="shared" si="42"/>
        <v>4</v>
      </c>
      <c r="K263" s="23">
        <v>4</v>
      </c>
      <c r="L263" s="23"/>
      <c r="M263" s="23"/>
      <c r="N263" s="23"/>
      <c r="O263" s="23"/>
      <c r="P263" s="15">
        <f t="shared" si="43"/>
        <v>27</v>
      </c>
      <c r="Q263" s="15">
        <f t="shared" si="44"/>
        <v>31</v>
      </c>
      <c r="R263" s="15">
        <f>IF(F263="事业部",LOOKUP(Q263,基础设置!$T$2:$T$6,基础设置!$U$2:$U$6),IF(F263="总部",LOOKUP(Q263,基础设置!$T$8:$T$13,基础设置!$V$8:$V$13),IF(F263="拓展部",LOOKUP(Q263,基础设置!$T$8:$T$13,基础设置!$W$8:$W$13),2000)))</f>
        <v>4</v>
      </c>
      <c r="S263" s="15">
        <f t="shared" si="45"/>
        <v>31</v>
      </c>
      <c r="T263" s="15">
        <f t="shared" si="46"/>
        <v>0</v>
      </c>
      <c r="U263" s="15">
        <f t="shared" si="47"/>
        <v>0</v>
      </c>
      <c r="V263" s="15">
        <f t="shared" si="40"/>
        <v>0</v>
      </c>
      <c r="W263" s="15">
        <f t="shared" si="48"/>
        <v>0</v>
      </c>
      <c r="X263" s="26"/>
      <c r="Y263" s="26"/>
      <c r="Z263" s="26"/>
      <c r="AA263" s="26"/>
      <c r="AB263" s="27"/>
      <c r="AC263" s="27"/>
      <c r="AD263" s="27"/>
      <c r="AE263" s="27"/>
      <c r="AF263" s="27"/>
      <c r="AG263" s="27"/>
      <c r="AH263" s="17">
        <f>_xlfn.XLOOKUP(D263,'①7月-花名册'!E:E,'①7月-花名册'!T:T,0)</f>
        <v>0</v>
      </c>
      <c r="AI263" s="15">
        <f>SUMIFS('7月运营'!$L:$L,'7月运营'!$A:$A,D263,'7月运营'!$K:$K,$A$1)</f>
        <v>0</v>
      </c>
      <c r="AJ263" s="15">
        <f>SUMIFS('7月运营'!H:H,'7月运营'!$A:$A,D263,'7月运营'!$K:$K,$A$1)</f>
        <v>0</v>
      </c>
      <c r="AK263" s="15">
        <f>SUMIFS(上月未发人员明细!I:I,上月未发人员明细!J:J,$AK$2,上月未发人员明细!A:A,D263)</f>
        <v>0</v>
      </c>
      <c r="AL263" s="15">
        <f>SUMIFS('7月运营'!L:L,'7月运营'!$A:$A,D263,'7月运营'!$K:$K,$AL$2)</f>
        <v>0</v>
      </c>
      <c r="AM263" s="18">
        <f>SUMIFS('7月运营'!$F:$F,'7月运营'!$A:$A,D263,'7月运营'!$K:$K,'②7月-汇总'!$AM$2,'7月运营'!$G:$G,"岗位核算")</f>
        <v>0</v>
      </c>
      <c r="AN263" s="18">
        <f>SUMIFS('7月运营'!$F:$F,'7月运营'!$A:$A,D263,'7月运营'!$K:$K,$AN$2,'7月运营'!$G:$G,"岗位核算")</f>
        <v>0</v>
      </c>
      <c r="AO263" s="18" t="str">
        <f t="shared" si="49"/>
        <v/>
      </c>
      <c r="AP263" s="18">
        <f t="shared" si="41"/>
        <v>31</v>
      </c>
      <c r="AQ263" s="18">
        <f>_xlfn.XLOOKUP(D263,'7月运营'!A:A,'7月运营'!G:G,0)</f>
        <v>0</v>
      </c>
    </row>
    <row r="264" spans="1:43" x14ac:dyDescent="0.15">
      <c r="A264" s="11" t="str">
        <v>科技二部</v>
      </c>
      <c r="B264" s="11" t="str">
        <v>总经理</v>
      </c>
      <c r="C264" s="11" t="str">
        <v>B</v>
      </c>
      <c r="D264" s="11" t="str">
        <v>张雪颖</v>
      </c>
      <c r="E264" s="11" t="str">
        <v>在职</v>
      </c>
      <c r="F264" s="11" t="str">
        <v>事业部</v>
      </c>
      <c r="G264" s="11">
        <f>_xlfn.XLOOKUP(D264,'①7月-花名册'!E:E,'①7月-花名册'!U:U,0)</f>
        <v>0</v>
      </c>
      <c r="H264" s="11">
        <f>_xlfn.XLOOKUP(D264,'①7月-花名册'!E:E,'①7月-花名册'!M:M,0)</f>
        <v>31</v>
      </c>
      <c r="I264" s="11">
        <f>_xlfn.XLOOKUP(D264,'①7月-花名册'!E:E,'①7月-花名册'!S:S,0)</f>
        <v>4</v>
      </c>
      <c r="J264" s="14">
        <f t="shared" si="42"/>
        <v>4</v>
      </c>
      <c r="K264" s="23">
        <v>4</v>
      </c>
      <c r="L264" s="23"/>
      <c r="M264" s="23"/>
      <c r="N264" s="23"/>
      <c r="O264" s="23"/>
      <c r="P264" s="15">
        <f t="shared" si="43"/>
        <v>27</v>
      </c>
      <c r="Q264" s="15">
        <f t="shared" si="44"/>
        <v>31</v>
      </c>
      <c r="R264" s="15">
        <f>IF(F264="事业部",LOOKUP(Q264,基础设置!$T$2:$T$6,基础设置!$U$2:$U$6),IF(F264="总部",LOOKUP(Q264,基础设置!$T$8:$T$13,基础设置!$V$8:$V$13),IF(F264="拓展部",LOOKUP(Q264,基础设置!$T$8:$T$13,基础设置!$W$8:$W$13),2000)))</f>
        <v>4</v>
      </c>
      <c r="S264" s="15">
        <f t="shared" si="45"/>
        <v>31</v>
      </c>
      <c r="T264" s="15">
        <f t="shared" si="46"/>
        <v>0</v>
      </c>
      <c r="U264" s="15">
        <f t="shared" si="47"/>
        <v>0</v>
      </c>
      <c r="V264" s="15">
        <f t="shared" si="40"/>
        <v>0</v>
      </c>
      <c r="W264" s="15">
        <f t="shared" si="48"/>
        <v>0</v>
      </c>
      <c r="X264" s="26">
        <v>20</v>
      </c>
      <c r="Y264" s="26"/>
      <c r="Z264" s="26"/>
      <c r="AA264" s="26"/>
      <c r="AB264" s="27"/>
      <c r="AC264" s="27"/>
      <c r="AD264" s="27"/>
      <c r="AE264" s="27"/>
      <c r="AF264" s="27"/>
      <c r="AG264" s="27"/>
      <c r="AH264" s="17">
        <f>_xlfn.XLOOKUP(D264,'①7月-花名册'!E:E,'①7月-花名册'!T:T,0)</f>
        <v>0</v>
      </c>
      <c r="AI264" s="15">
        <f>SUMIFS('7月运营'!$L:$L,'7月运营'!$A:$A,D264,'7月运营'!$K:$K,$A$1)</f>
        <v>0</v>
      </c>
      <c r="AJ264" s="15">
        <f>SUMIFS('7月运营'!H:H,'7月运营'!$A:$A,D264,'7月运营'!$K:$K,$A$1)</f>
        <v>0</v>
      </c>
      <c r="AK264" s="15">
        <f>SUMIFS(上月未发人员明细!I:I,上月未发人员明细!J:J,$AK$2,上月未发人员明细!A:A,D264)</f>
        <v>0</v>
      </c>
      <c r="AL264" s="15">
        <f>SUMIFS('7月运营'!L:L,'7月运营'!$A:$A,D264,'7月运营'!$K:$K,$AL$2)</f>
        <v>0</v>
      </c>
      <c r="AM264" s="18">
        <f>SUMIFS('7月运营'!$F:$F,'7月运营'!$A:$A,D264,'7月运营'!$K:$K,'②7月-汇总'!$AM$2,'7月运营'!$G:$G,"岗位核算")</f>
        <v>0</v>
      </c>
      <c r="AN264" s="18">
        <f>SUMIFS('7月运营'!$F:$F,'7月运营'!$A:$A,D264,'7月运营'!$K:$K,$AN$2,'7月运营'!$G:$G,"岗位核算")</f>
        <v>0</v>
      </c>
      <c r="AO264" s="18" t="str">
        <f t="shared" si="49"/>
        <v/>
      </c>
      <c r="AP264" s="18">
        <f t="shared" si="41"/>
        <v>31</v>
      </c>
      <c r="AQ264" s="18">
        <f>_xlfn.XLOOKUP(D264,'7月运营'!A:A,'7月运营'!G:G,0)</f>
        <v>0</v>
      </c>
    </row>
    <row r="265" spans="1:43" x14ac:dyDescent="0.15">
      <c r="A265" s="11" t="str">
        <v>科技二部</v>
      </c>
      <c r="B265" s="11" t="str">
        <v>科技老师</v>
      </c>
      <c r="C265" s="11" t="str">
        <v>B</v>
      </c>
      <c r="D265" s="11" t="str">
        <v>张雨露</v>
      </c>
      <c r="E265" s="11" t="str">
        <v>在职</v>
      </c>
      <c r="F265" s="11" t="str">
        <v>事业部</v>
      </c>
      <c r="G265" s="11">
        <f>_xlfn.XLOOKUP(D265,'①7月-花名册'!E:E,'①7月-花名册'!U:U,0)</f>
        <v>0</v>
      </c>
      <c r="H265" s="11">
        <f>_xlfn.XLOOKUP(D265,'①7月-花名册'!E:E,'①7月-花名册'!M:M,0)</f>
        <v>31</v>
      </c>
      <c r="I265" s="11">
        <f>_xlfn.XLOOKUP(D265,'①7月-花名册'!E:E,'①7月-花名册'!S:S,0)</f>
        <v>4</v>
      </c>
      <c r="J265" s="14">
        <f t="shared" si="42"/>
        <v>4</v>
      </c>
      <c r="K265" s="23">
        <v>4</v>
      </c>
      <c r="L265" s="23"/>
      <c r="M265" s="23"/>
      <c r="N265" s="23"/>
      <c r="O265" s="23"/>
      <c r="P265" s="15">
        <f t="shared" si="43"/>
        <v>27</v>
      </c>
      <c r="Q265" s="15">
        <f t="shared" si="44"/>
        <v>31</v>
      </c>
      <c r="R265" s="15">
        <f>IF(F265="事业部",LOOKUP(Q265,基础设置!$T$2:$T$6,基础设置!$U$2:$U$6),IF(F265="总部",LOOKUP(Q265,基础设置!$T$8:$T$13,基础设置!$V$8:$V$13),IF(F265="拓展部",LOOKUP(Q265,基础设置!$T$8:$T$13,基础设置!$W$8:$W$13),2000)))</f>
        <v>4</v>
      </c>
      <c r="S265" s="15">
        <f t="shared" si="45"/>
        <v>31</v>
      </c>
      <c r="T265" s="15">
        <f t="shared" si="46"/>
        <v>0</v>
      </c>
      <c r="U265" s="15">
        <f t="shared" si="47"/>
        <v>0</v>
      </c>
      <c r="V265" s="15">
        <f t="shared" si="40"/>
        <v>0</v>
      </c>
      <c r="W265" s="15">
        <f t="shared" si="48"/>
        <v>0</v>
      </c>
      <c r="X265" s="26"/>
      <c r="Y265" s="26">
        <v>10</v>
      </c>
      <c r="Z265" s="26"/>
      <c r="AA265" s="26"/>
      <c r="AB265" s="27"/>
      <c r="AC265" s="27"/>
      <c r="AD265" s="27"/>
      <c r="AE265" s="27"/>
      <c r="AF265" s="27"/>
      <c r="AG265" s="27"/>
      <c r="AH265" s="17">
        <f>_xlfn.XLOOKUP(D265,'①7月-花名册'!E:E,'①7月-花名册'!T:T,0)</f>
        <v>0</v>
      </c>
      <c r="AI265" s="15">
        <f>SUMIFS('7月运营'!$L:$L,'7月运营'!$A:$A,D265,'7月运营'!$K:$K,$A$1)</f>
        <v>0</v>
      </c>
      <c r="AJ265" s="15">
        <f>SUMIFS('7月运营'!H:H,'7月运营'!$A:$A,D265,'7月运营'!$K:$K,$A$1)</f>
        <v>0</v>
      </c>
      <c r="AK265" s="15">
        <f>SUMIFS(上月未发人员明细!I:I,上月未发人员明细!J:J,$AK$2,上月未发人员明细!A:A,D265)</f>
        <v>0</v>
      </c>
      <c r="AL265" s="15">
        <f>SUMIFS('7月运营'!L:L,'7月运营'!$A:$A,D265,'7月运营'!$K:$K,$AL$2)</f>
        <v>0</v>
      </c>
      <c r="AM265" s="18">
        <f>SUMIFS('7月运营'!$F:$F,'7月运营'!$A:$A,D265,'7月运营'!$K:$K,'②7月-汇总'!$AM$2,'7月运营'!$G:$G,"岗位核算")</f>
        <v>0</v>
      </c>
      <c r="AN265" s="18">
        <f>SUMIFS('7月运营'!$F:$F,'7月运营'!$A:$A,D265,'7月运营'!$K:$K,$AN$2,'7月运营'!$G:$G,"岗位核算")</f>
        <v>0</v>
      </c>
      <c r="AO265" s="18" t="str">
        <f t="shared" si="49"/>
        <v/>
      </c>
      <c r="AP265" s="18">
        <f t="shared" si="41"/>
        <v>31</v>
      </c>
      <c r="AQ265" s="18">
        <f>_xlfn.XLOOKUP(D265,'7月运营'!A:A,'7月运营'!G:G,0)</f>
        <v>0</v>
      </c>
    </row>
    <row r="266" spans="1:43" x14ac:dyDescent="0.15">
      <c r="A266" s="11" t="str">
        <v>科技二部</v>
      </c>
      <c r="B266" s="11" t="str">
        <v>科技老师</v>
      </c>
      <c r="C266" s="11" t="str">
        <v>B</v>
      </c>
      <c r="D266" s="11" t="str">
        <v>刘祖红</v>
      </c>
      <c r="E266" s="11" t="str">
        <v>在职</v>
      </c>
      <c r="F266" s="11" t="str">
        <v>事业部</v>
      </c>
      <c r="G266" s="11">
        <f>_xlfn.XLOOKUP(D266,'①7月-花名册'!E:E,'①7月-花名册'!U:U,0)</f>
        <v>0</v>
      </c>
      <c r="H266" s="11">
        <f>_xlfn.XLOOKUP(D266,'①7月-花名册'!E:E,'①7月-花名册'!M:M,0)</f>
        <v>31</v>
      </c>
      <c r="I266" s="11">
        <f>_xlfn.XLOOKUP(D266,'①7月-花名册'!E:E,'①7月-花名册'!S:S,0)</f>
        <v>4</v>
      </c>
      <c r="J266" s="14">
        <f t="shared" si="42"/>
        <v>4</v>
      </c>
      <c r="K266" s="23">
        <v>4</v>
      </c>
      <c r="L266" s="23"/>
      <c r="M266" s="23"/>
      <c r="N266" s="23"/>
      <c r="O266" s="23"/>
      <c r="P266" s="15">
        <f t="shared" si="43"/>
        <v>27</v>
      </c>
      <c r="Q266" s="15">
        <f t="shared" si="44"/>
        <v>31</v>
      </c>
      <c r="R266" s="15">
        <f>IF(F266="事业部",LOOKUP(Q266,基础设置!$T$2:$T$6,基础设置!$U$2:$U$6),IF(F266="总部",LOOKUP(Q266,基础设置!$T$8:$T$13,基础设置!$V$8:$V$13),IF(F266="拓展部",LOOKUP(Q266,基础设置!$T$8:$T$13,基础设置!$W$8:$W$13),2000)))</f>
        <v>4</v>
      </c>
      <c r="S266" s="15">
        <f t="shared" si="45"/>
        <v>31</v>
      </c>
      <c r="T266" s="15">
        <f t="shared" si="46"/>
        <v>0</v>
      </c>
      <c r="U266" s="15">
        <f t="shared" si="47"/>
        <v>0</v>
      </c>
      <c r="V266" s="15">
        <f t="shared" si="40"/>
        <v>0</v>
      </c>
      <c r="W266" s="15">
        <f t="shared" si="48"/>
        <v>0</v>
      </c>
      <c r="X266" s="26"/>
      <c r="Y266" s="26">
        <v>30</v>
      </c>
      <c r="Z266" s="26"/>
      <c r="AA266" s="26"/>
      <c r="AB266" s="27"/>
      <c r="AC266" s="27"/>
      <c r="AD266" s="27"/>
      <c r="AE266" s="27"/>
      <c r="AF266" s="27"/>
      <c r="AG266" s="27"/>
      <c r="AH266" s="17">
        <f>_xlfn.XLOOKUP(D266,'①7月-花名册'!E:E,'①7月-花名册'!T:T,0)</f>
        <v>0</v>
      </c>
      <c r="AI266" s="15">
        <f>SUMIFS('7月运营'!$L:$L,'7月运营'!$A:$A,D266,'7月运营'!$K:$K,$A$1)</f>
        <v>0</v>
      </c>
      <c r="AJ266" s="15">
        <f>SUMIFS('7月运营'!H:H,'7月运营'!$A:$A,D266,'7月运营'!$K:$K,$A$1)</f>
        <v>0</v>
      </c>
      <c r="AK266" s="15">
        <f>SUMIFS(上月未发人员明细!I:I,上月未发人员明细!J:J,$AK$2,上月未发人员明细!A:A,D266)</f>
        <v>0</v>
      </c>
      <c r="AL266" s="15">
        <f>SUMIFS('7月运营'!L:L,'7月运营'!$A:$A,D266,'7月运营'!$K:$K,$AL$2)</f>
        <v>0</v>
      </c>
      <c r="AM266" s="18">
        <f>SUMIFS('7月运营'!$F:$F,'7月运营'!$A:$A,D266,'7月运营'!$K:$K,'②7月-汇总'!$AM$2,'7月运营'!$G:$G,"岗位核算")</f>
        <v>0</v>
      </c>
      <c r="AN266" s="18">
        <f>SUMIFS('7月运营'!$F:$F,'7月运营'!$A:$A,D266,'7月运营'!$K:$K,$AN$2,'7月运营'!$G:$G,"岗位核算")</f>
        <v>0</v>
      </c>
      <c r="AO266" s="18" t="str">
        <f t="shared" si="49"/>
        <v/>
      </c>
      <c r="AP266" s="18">
        <f t="shared" si="41"/>
        <v>31</v>
      </c>
      <c r="AQ266" s="18">
        <f>_xlfn.XLOOKUP(D266,'7月运营'!A:A,'7月运营'!G:G,0)</f>
        <v>0</v>
      </c>
    </row>
    <row r="267" spans="1:43" x14ac:dyDescent="0.15">
      <c r="A267" s="11" t="str">
        <v>科技二部</v>
      </c>
      <c r="B267" s="11" t="str">
        <v>科技老师</v>
      </c>
      <c r="C267" s="11" t="str">
        <v>B</v>
      </c>
      <c r="D267" s="11" t="str">
        <v>谢宗富</v>
      </c>
      <c r="E267" s="11" t="str">
        <v>在职</v>
      </c>
      <c r="F267" s="11" t="str">
        <v>事业部</v>
      </c>
      <c r="G267" s="11">
        <f>_xlfn.XLOOKUP(D267,'①7月-花名册'!E:E,'①7月-花名册'!U:U,0)</f>
        <v>0</v>
      </c>
      <c r="H267" s="11">
        <f>_xlfn.XLOOKUP(D267,'①7月-花名册'!E:E,'①7月-花名册'!M:M,0)</f>
        <v>31</v>
      </c>
      <c r="I267" s="11">
        <f>_xlfn.XLOOKUP(D267,'①7月-花名册'!E:E,'①7月-花名册'!S:S,0)</f>
        <v>4</v>
      </c>
      <c r="J267" s="14">
        <f t="shared" si="42"/>
        <v>4</v>
      </c>
      <c r="K267" s="23">
        <v>4</v>
      </c>
      <c r="L267" s="23"/>
      <c r="M267" s="23"/>
      <c r="N267" s="23"/>
      <c r="O267" s="23"/>
      <c r="P267" s="15">
        <f t="shared" si="43"/>
        <v>27</v>
      </c>
      <c r="Q267" s="15">
        <f t="shared" si="44"/>
        <v>31</v>
      </c>
      <c r="R267" s="15">
        <f>IF(F267="事业部",LOOKUP(Q267,基础设置!$T$2:$T$6,基础设置!$U$2:$U$6),IF(F267="总部",LOOKUP(Q267,基础设置!$T$8:$T$13,基础设置!$V$8:$V$13),IF(F267="拓展部",LOOKUP(Q267,基础设置!$T$8:$T$13,基础设置!$W$8:$W$13),2000)))</f>
        <v>4</v>
      </c>
      <c r="S267" s="15">
        <f t="shared" si="45"/>
        <v>31</v>
      </c>
      <c r="T267" s="15">
        <f t="shared" si="46"/>
        <v>0</v>
      </c>
      <c r="U267" s="15">
        <f t="shared" si="47"/>
        <v>0</v>
      </c>
      <c r="V267" s="15">
        <f t="shared" si="40"/>
        <v>0</v>
      </c>
      <c r="W267" s="15">
        <f t="shared" si="48"/>
        <v>0</v>
      </c>
      <c r="X267" s="26"/>
      <c r="Y267" s="26"/>
      <c r="Z267" s="26"/>
      <c r="AA267" s="26"/>
      <c r="AB267" s="27"/>
      <c r="AC267" s="27"/>
      <c r="AD267" s="27"/>
      <c r="AE267" s="27"/>
      <c r="AF267" s="27"/>
      <c r="AG267" s="27"/>
      <c r="AH267" s="17">
        <f>_xlfn.XLOOKUP(D267,'①7月-花名册'!E:E,'①7月-花名册'!T:T,0)</f>
        <v>0</v>
      </c>
      <c r="AI267" s="15">
        <f>SUMIFS('7月运营'!$L:$L,'7月运营'!$A:$A,D267,'7月运营'!$K:$K,$A$1)</f>
        <v>0</v>
      </c>
      <c r="AJ267" s="15">
        <f>SUMIFS('7月运营'!H:H,'7月运营'!$A:$A,D267,'7月运营'!$K:$K,$A$1)</f>
        <v>0</v>
      </c>
      <c r="AK267" s="15">
        <f>SUMIFS(上月未发人员明细!I:I,上月未发人员明细!J:J,$AK$2,上月未发人员明细!A:A,D267)</f>
        <v>0</v>
      </c>
      <c r="AL267" s="15">
        <f>SUMIFS('7月运营'!L:L,'7月运营'!$A:$A,D267,'7月运营'!$K:$K,$AL$2)</f>
        <v>0</v>
      </c>
      <c r="AM267" s="18">
        <f>SUMIFS('7月运营'!$F:$F,'7月运营'!$A:$A,D267,'7月运营'!$K:$K,'②7月-汇总'!$AM$2,'7月运营'!$G:$G,"岗位核算")</f>
        <v>0</v>
      </c>
      <c r="AN267" s="18">
        <f>SUMIFS('7月运营'!$F:$F,'7月运营'!$A:$A,D267,'7月运营'!$K:$K,$AN$2,'7月运营'!$G:$G,"岗位核算")</f>
        <v>0</v>
      </c>
      <c r="AO267" s="18" t="str">
        <f t="shared" si="49"/>
        <v/>
      </c>
      <c r="AP267" s="18">
        <f t="shared" si="41"/>
        <v>31</v>
      </c>
      <c r="AQ267" s="18">
        <f>_xlfn.XLOOKUP(D267,'7月运营'!A:A,'7月运营'!G:G,0)</f>
        <v>0</v>
      </c>
    </row>
    <row r="268" spans="1:43" x14ac:dyDescent="0.15">
      <c r="A268" s="11" t="str">
        <v>科技二部</v>
      </c>
      <c r="B268" s="11" t="str">
        <v>科技老师</v>
      </c>
      <c r="C268" s="11" t="str">
        <v>B</v>
      </c>
      <c r="D268" s="11" t="str">
        <v>余文</v>
      </c>
      <c r="E268" s="11" t="str">
        <v>在职</v>
      </c>
      <c r="F268" s="11" t="str">
        <v>事业部</v>
      </c>
      <c r="G268" s="11">
        <f>_xlfn.XLOOKUP(D268,'①7月-花名册'!E:E,'①7月-花名册'!U:U,0)</f>
        <v>0</v>
      </c>
      <c r="H268" s="11">
        <f>_xlfn.XLOOKUP(D268,'①7月-花名册'!E:E,'①7月-花名册'!M:M,0)</f>
        <v>31</v>
      </c>
      <c r="I268" s="11">
        <f>_xlfn.XLOOKUP(D268,'①7月-花名册'!E:E,'①7月-花名册'!S:S,0)</f>
        <v>4</v>
      </c>
      <c r="J268" s="14">
        <f t="shared" si="42"/>
        <v>4</v>
      </c>
      <c r="K268" s="23">
        <v>4</v>
      </c>
      <c r="L268" s="23"/>
      <c r="M268" s="23"/>
      <c r="N268" s="23"/>
      <c r="O268" s="23"/>
      <c r="P268" s="15">
        <f t="shared" si="43"/>
        <v>27</v>
      </c>
      <c r="Q268" s="15">
        <f t="shared" si="44"/>
        <v>31</v>
      </c>
      <c r="R268" s="15">
        <f>IF(F268="事业部",LOOKUP(Q268,基础设置!$T$2:$T$6,基础设置!$U$2:$U$6),IF(F268="总部",LOOKUP(Q268,基础设置!$T$8:$T$13,基础设置!$V$8:$V$13),IF(F268="拓展部",LOOKUP(Q268,基础设置!$T$8:$T$13,基础设置!$W$8:$W$13),2000)))</f>
        <v>4</v>
      </c>
      <c r="S268" s="15">
        <f t="shared" si="45"/>
        <v>31</v>
      </c>
      <c r="T268" s="15">
        <f t="shared" si="46"/>
        <v>0</v>
      </c>
      <c r="U268" s="15">
        <f t="shared" si="47"/>
        <v>0</v>
      </c>
      <c r="V268" s="15">
        <f t="shared" si="40"/>
        <v>0</v>
      </c>
      <c r="W268" s="15">
        <f t="shared" si="48"/>
        <v>0</v>
      </c>
      <c r="X268" s="26">
        <v>20</v>
      </c>
      <c r="Y268" s="26">
        <v>30</v>
      </c>
      <c r="Z268" s="26"/>
      <c r="AA268" s="26"/>
      <c r="AB268" s="27"/>
      <c r="AC268" s="27"/>
      <c r="AD268" s="27"/>
      <c r="AE268" s="27"/>
      <c r="AF268" s="27"/>
      <c r="AG268" s="27"/>
      <c r="AH268" s="17">
        <f>_xlfn.XLOOKUP(D268,'①7月-花名册'!E:E,'①7月-花名册'!T:T,0)</f>
        <v>0</v>
      </c>
      <c r="AI268" s="15">
        <f>SUMIFS('7月运营'!$L:$L,'7月运营'!$A:$A,D268,'7月运营'!$K:$K,$A$1)</f>
        <v>0</v>
      </c>
      <c r="AJ268" s="15">
        <f>SUMIFS('7月运营'!H:H,'7月运营'!$A:$A,D268,'7月运营'!$K:$K,$A$1)</f>
        <v>0</v>
      </c>
      <c r="AK268" s="15">
        <f>SUMIFS(上月未发人员明细!I:I,上月未发人员明细!J:J,$AK$2,上月未发人员明细!A:A,D268)</f>
        <v>0</v>
      </c>
      <c r="AL268" s="15">
        <f>SUMIFS('7月运营'!L:L,'7月运营'!$A:$A,D268,'7月运营'!$K:$K,$AL$2)</f>
        <v>0</v>
      </c>
      <c r="AM268" s="18">
        <f>SUMIFS('7月运营'!$F:$F,'7月运营'!$A:$A,D268,'7月运营'!$K:$K,'②7月-汇总'!$AM$2,'7月运营'!$G:$G,"岗位核算")</f>
        <v>0</v>
      </c>
      <c r="AN268" s="18">
        <f>SUMIFS('7月运营'!$F:$F,'7月运营'!$A:$A,D268,'7月运营'!$K:$K,$AN$2,'7月运营'!$G:$G,"岗位核算")</f>
        <v>0</v>
      </c>
      <c r="AO268" s="18" t="str">
        <f t="shared" si="49"/>
        <v/>
      </c>
      <c r="AP268" s="18">
        <f t="shared" si="41"/>
        <v>31</v>
      </c>
      <c r="AQ268" s="18">
        <f>_xlfn.XLOOKUP(D268,'7月运营'!A:A,'7月运营'!G:G,0)</f>
        <v>0</v>
      </c>
    </row>
    <row r="269" spans="1:43" x14ac:dyDescent="0.15">
      <c r="A269" s="11" t="str">
        <v>科技二部</v>
      </c>
      <c r="B269" s="11" t="str">
        <v>科技老师</v>
      </c>
      <c r="C269" s="11" t="str">
        <v>B</v>
      </c>
      <c r="D269" s="11" t="str">
        <v>王洪武</v>
      </c>
      <c r="E269" s="11" t="str">
        <v>在职</v>
      </c>
      <c r="F269" s="11" t="str">
        <v>事业部</v>
      </c>
      <c r="G269" s="11">
        <f>_xlfn.XLOOKUP(D269,'①7月-花名册'!E:E,'①7月-花名册'!U:U,0)</f>
        <v>0</v>
      </c>
      <c r="H269" s="11">
        <f>_xlfn.XLOOKUP(D269,'①7月-花名册'!E:E,'①7月-花名册'!M:M,0)</f>
        <v>31</v>
      </c>
      <c r="I269" s="11">
        <f>_xlfn.XLOOKUP(D269,'①7月-花名册'!E:E,'①7月-花名册'!S:S,0)</f>
        <v>4</v>
      </c>
      <c r="J269" s="14">
        <f t="shared" si="42"/>
        <v>4</v>
      </c>
      <c r="K269" s="23">
        <v>4</v>
      </c>
      <c r="L269" s="23"/>
      <c r="M269" s="23"/>
      <c r="N269" s="23"/>
      <c r="O269" s="23"/>
      <c r="P269" s="15">
        <f t="shared" si="43"/>
        <v>27</v>
      </c>
      <c r="Q269" s="15">
        <f t="shared" si="44"/>
        <v>31</v>
      </c>
      <c r="R269" s="15">
        <f>IF(F269="事业部",LOOKUP(Q269,基础设置!$T$2:$T$6,基础设置!$U$2:$U$6),IF(F269="总部",LOOKUP(Q269,基础设置!$T$8:$T$13,基础设置!$V$8:$V$13),IF(F269="拓展部",LOOKUP(Q269,基础设置!$T$8:$T$13,基础设置!$W$8:$W$13),2000)))</f>
        <v>4</v>
      </c>
      <c r="S269" s="15">
        <f t="shared" si="45"/>
        <v>31</v>
      </c>
      <c r="T269" s="15">
        <f t="shared" si="46"/>
        <v>0</v>
      </c>
      <c r="U269" s="15">
        <f t="shared" si="47"/>
        <v>0</v>
      </c>
      <c r="V269" s="15">
        <f t="shared" si="40"/>
        <v>0</v>
      </c>
      <c r="W269" s="15">
        <f t="shared" si="48"/>
        <v>0</v>
      </c>
      <c r="X269" s="26"/>
      <c r="Y269" s="26">
        <v>10</v>
      </c>
      <c r="Z269" s="26"/>
      <c r="AA269" s="26"/>
      <c r="AB269" s="27"/>
      <c r="AC269" s="27"/>
      <c r="AD269" s="27"/>
      <c r="AE269" s="27"/>
      <c r="AF269" s="27"/>
      <c r="AG269" s="27"/>
      <c r="AH269" s="17">
        <f>_xlfn.XLOOKUP(D269,'①7月-花名册'!E:E,'①7月-花名册'!T:T,0)</f>
        <v>0</v>
      </c>
      <c r="AI269" s="15">
        <f>SUMIFS('7月运营'!$L:$L,'7月运营'!$A:$A,D269,'7月运营'!$K:$K,$A$1)</f>
        <v>0</v>
      </c>
      <c r="AJ269" s="15">
        <f>SUMIFS('7月运营'!H:H,'7月运营'!$A:$A,D269,'7月运营'!$K:$K,$A$1)</f>
        <v>0</v>
      </c>
      <c r="AK269" s="15">
        <f>SUMIFS(上月未发人员明细!I:I,上月未发人员明细!J:J,$AK$2,上月未发人员明细!A:A,D269)</f>
        <v>0</v>
      </c>
      <c r="AL269" s="15">
        <f>SUMIFS('7月运营'!L:L,'7月运营'!$A:$A,D269,'7月运营'!$K:$K,$AL$2)</f>
        <v>0</v>
      </c>
      <c r="AM269" s="18">
        <f>SUMIFS('7月运营'!$F:$F,'7月运营'!$A:$A,D269,'7月运营'!$K:$K,'②7月-汇总'!$AM$2,'7月运营'!$G:$G,"岗位核算")</f>
        <v>0</v>
      </c>
      <c r="AN269" s="18">
        <f>SUMIFS('7月运营'!$F:$F,'7月运营'!$A:$A,D269,'7月运营'!$K:$K,$AN$2,'7月运营'!$G:$G,"岗位核算")</f>
        <v>0</v>
      </c>
      <c r="AO269" s="18" t="str">
        <f t="shared" si="49"/>
        <v/>
      </c>
      <c r="AP269" s="18">
        <f t="shared" si="41"/>
        <v>31</v>
      </c>
      <c r="AQ269" s="18">
        <f>_xlfn.XLOOKUP(D269,'7月运营'!A:A,'7月运营'!G:G,0)</f>
        <v>0</v>
      </c>
    </row>
    <row r="270" spans="1:43" x14ac:dyDescent="0.15">
      <c r="A270" s="11" t="str">
        <v>总部</v>
      </c>
      <c r="B270" s="11" t="str">
        <v>保洁</v>
      </c>
      <c r="C270" s="11">
        <v>0</v>
      </c>
      <c r="D270" s="11" t="str">
        <v>王国英</v>
      </c>
      <c r="E270" s="11" t="str">
        <v>在职</v>
      </c>
      <c r="F270" s="11" t="str">
        <v>事业部</v>
      </c>
      <c r="G270" s="11">
        <f>_xlfn.XLOOKUP(D270,'①7月-花名册'!E:E,'①7月-花名册'!U:U,0)</f>
        <v>0</v>
      </c>
      <c r="H270" s="11">
        <f>_xlfn.XLOOKUP(D270,'①7月-花名册'!E:E,'①7月-花名册'!M:M,0)</f>
        <v>31</v>
      </c>
      <c r="I270" s="11">
        <f>_xlfn.XLOOKUP(D270,'①7月-花名册'!E:E,'①7月-花名册'!S:S,0)</f>
        <v>4</v>
      </c>
      <c r="J270" s="14">
        <f t="shared" si="42"/>
        <v>0</v>
      </c>
      <c r="K270" s="23"/>
      <c r="L270" s="23"/>
      <c r="M270" s="23"/>
      <c r="N270" s="23"/>
      <c r="O270" s="23"/>
      <c r="P270" s="15">
        <f t="shared" si="43"/>
        <v>31</v>
      </c>
      <c r="Q270" s="15">
        <f t="shared" si="44"/>
        <v>31</v>
      </c>
      <c r="R270" s="15">
        <f>IF(F270="事业部",LOOKUP(Q270,基础设置!$T$2:$T$6,基础设置!$U$2:$U$6),IF(F270="总部",LOOKUP(Q270,基础设置!$T$8:$T$13,基础设置!$V$8:$V$13),IF(F270="拓展部",LOOKUP(Q270,基础设置!$T$8:$T$13,基础设置!$W$8:$W$13),2000)))</f>
        <v>4</v>
      </c>
      <c r="S270" s="15">
        <f t="shared" si="45"/>
        <v>31</v>
      </c>
      <c r="T270" s="15">
        <f t="shared" si="46"/>
        <v>0</v>
      </c>
      <c r="U270" s="15">
        <f t="shared" si="47"/>
        <v>0</v>
      </c>
      <c r="V270" s="15">
        <f t="shared" si="40"/>
        <v>0</v>
      </c>
      <c r="W270" s="15">
        <f t="shared" si="48"/>
        <v>0</v>
      </c>
      <c r="X270" s="26"/>
      <c r="Y270" s="26"/>
      <c r="Z270" s="26"/>
      <c r="AA270" s="26"/>
      <c r="AB270" s="27"/>
      <c r="AC270" s="27"/>
      <c r="AD270" s="27"/>
      <c r="AE270" s="27"/>
      <c r="AF270" s="27"/>
      <c r="AG270" s="27"/>
      <c r="AH270" s="17">
        <f>_xlfn.XLOOKUP(D270,'①7月-花名册'!E:E,'①7月-花名册'!T:T,0)</f>
        <v>600</v>
      </c>
      <c r="AI270" s="15">
        <f>SUMIFS('7月运营'!$L:$L,'7月运营'!$A:$A,D270,'7月运营'!$K:$K,$A$1)</f>
        <v>0</v>
      </c>
      <c r="AJ270" s="15">
        <f>SUMIFS('7月运营'!H:H,'7月运营'!$A:$A,D270,'7月运营'!$K:$K,$A$1)</f>
        <v>0</v>
      </c>
      <c r="AK270" s="15">
        <f>SUMIFS(上月未发人员明细!I:I,上月未发人员明细!J:J,$AK$2,上月未发人员明细!A:A,D270)</f>
        <v>0</v>
      </c>
      <c r="AL270" s="15">
        <f>SUMIFS('7月运营'!L:L,'7月运营'!$A:$A,D270,'7月运营'!$K:$K,$AL$2)</f>
        <v>0</v>
      </c>
      <c r="AM270" s="18">
        <f>SUMIFS('7月运营'!$F:$F,'7月运营'!$A:$A,D270,'7月运营'!$K:$K,'②7月-汇总'!$AM$2,'7月运营'!$G:$G,"岗位核算")</f>
        <v>0</v>
      </c>
      <c r="AN270" s="18">
        <f>SUMIFS('7月运营'!$F:$F,'7月运营'!$A:$A,D270,'7月运营'!$K:$K,$AN$2,'7月运营'!$G:$G,"岗位核算")</f>
        <v>0</v>
      </c>
      <c r="AO270" s="18" t="str">
        <f t="shared" si="49"/>
        <v/>
      </c>
      <c r="AP270" s="18">
        <f t="shared" si="41"/>
        <v>31</v>
      </c>
      <c r="AQ270" s="18">
        <f>_xlfn.XLOOKUP(D270,'7月运营'!A:A,'7月运营'!G:G,0)</f>
        <v>0</v>
      </c>
    </row>
    <row r="271" spans="1:43" x14ac:dyDescent="0.15">
      <c r="A271" s="11" t="str">
        <v>鹭岛</v>
      </c>
      <c r="B271" s="11" t="str">
        <v>保洁</v>
      </c>
      <c r="C271" s="11">
        <v>0</v>
      </c>
      <c r="D271" s="11" t="str">
        <v>周莉</v>
      </c>
      <c r="E271" s="11" t="str">
        <v>在职</v>
      </c>
      <c r="F271" s="11" t="str">
        <v>事业部</v>
      </c>
      <c r="G271" s="11">
        <f>_xlfn.XLOOKUP(D271,'①7月-花名册'!E:E,'①7月-花名册'!U:U,0)</f>
        <v>0</v>
      </c>
      <c r="H271" s="11">
        <f>_xlfn.XLOOKUP(D271,'①7月-花名册'!E:E,'①7月-花名册'!M:M,0)</f>
        <v>31</v>
      </c>
      <c r="I271" s="11">
        <f>_xlfn.XLOOKUP(D271,'①7月-花名册'!E:E,'①7月-花名册'!S:S,0)</f>
        <v>4</v>
      </c>
      <c r="J271" s="14">
        <f t="shared" si="42"/>
        <v>0</v>
      </c>
      <c r="K271" s="23"/>
      <c r="L271" s="23"/>
      <c r="M271" s="23"/>
      <c r="N271" s="23"/>
      <c r="O271" s="23"/>
      <c r="P271" s="15">
        <f t="shared" si="43"/>
        <v>31</v>
      </c>
      <c r="Q271" s="15">
        <f t="shared" si="44"/>
        <v>31</v>
      </c>
      <c r="R271" s="15">
        <f>IF(F271="事业部",LOOKUP(Q271,基础设置!$T$2:$T$6,基础设置!$U$2:$U$6),IF(F271="总部",LOOKUP(Q271,基础设置!$T$8:$T$13,基础设置!$V$8:$V$13),IF(F271="拓展部",LOOKUP(Q271,基础设置!$T$8:$T$13,基础设置!$W$8:$W$13),2000)))</f>
        <v>4</v>
      </c>
      <c r="S271" s="15">
        <f t="shared" si="45"/>
        <v>31</v>
      </c>
      <c r="T271" s="15">
        <f t="shared" si="46"/>
        <v>0</v>
      </c>
      <c r="U271" s="15">
        <f t="shared" si="47"/>
        <v>0</v>
      </c>
      <c r="V271" s="15">
        <f t="shared" si="40"/>
        <v>0</v>
      </c>
      <c r="W271" s="15">
        <f t="shared" si="48"/>
        <v>0</v>
      </c>
      <c r="X271" s="26"/>
      <c r="Y271" s="26"/>
      <c r="Z271" s="26"/>
      <c r="AA271" s="26"/>
      <c r="AB271" s="27"/>
      <c r="AC271" s="27"/>
      <c r="AD271" s="27"/>
      <c r="AE271" s="27"/>
      <c r="AF271" s="27"/>
      <c r="AG271" s="27"/>
      <c r="AH271" s="17">
        <f>_xlfn.XLOOKUP(D271,'①7月-花名册'!E:E,'①7月-花名册'!T:T,0)</f>
        <v>1400</v>
      </c>
      <c r="AI271" s="15">
        <f>SUMIFS('7月运营'!$L:$L,'7月运营'!$A:$A,D271,'7月运营'!$K:$K,$A$1)</f>
        <v>0</v>
      </c>
      <c r="AJ271" s="15">
        <f>SUMIFS('7月运营'!H:H,'7月运营'!$A:$A,D271,'7月运营'!$K:$K,$A$1)</f>
        <v>0</v>
      </c>
      <c r="AK271" s="15">
        <f>SUMIFS(上月未发人员明细!I:I,上月未发人员明细!J:J,$AK$2,上月未发人员明细!A:A,D271)</f>
        <v>0</v>
      </c>
      <c r="AL271" s="15">
        <f>SUMIFS('7月运营'!L:L,'7月运营'!$A:$A,D271,'7月运营'!$K:$K,$AL$2)</f>
        <v>0</v>
      </c>
      <c r="AM271" s="18">
        <f>SUMIFS('7月运营'!$F:$F,'7月运营'!$A:$A,D271,'7月运营'!$K:$K,'②7月-汇总'!$AM$2,'7月运营'!$G:$G,"岗位核算")</f>
        <v>0</v>
      </c>
      <c r="AN271" s="18">
        <f>SUMIFS('7月运营'!$F:$F,'7月运营'!$A:$A,D271,'7月运营'!$K:$K,$AN$2,'7月运营'!$G:$G,"岗位核算")</f>
        <v>0</v>
      </c>
      <c r="AO271" s="18" t="str">
        <f t="shared" si="49"/>
        <v/>
      </c>
      <c r="AP271" s="18">
        <f t="shared" si="41"/>
        <v>31</v>
      </c>
      <c r="AQ271" s="18">
        <f>_xlfn.XLOOKUP(D271,'7月运营'!A:A,'7月运营'!G:G,0)</f>
        <v>0</v>
      </c>
    </row>
    <row r="272" spans="1:43" x14ac:dyDescent="0.15">
      <c r="A272" s="11" t="str">
        <v>融创</v>
      </c>
      <c r="B272" s="11" t="str">
        <v>保洁</v>
      </c>
      <c r="C272" s="11">
        <v>0</v>
      </c>
      <c r="D272" s="11" t="str">
        <v>吴斌</v>
      </c>
      <c r="E272" s="11" t="str">
        <v>在职</v>
      </c>
      <c r="F272" s="11" t="str">
        <v>事业部</v>
      </c>
      <c r="G272" s="11">
        <f>_xlfn.XLOOKUP(D272,'①7月-花名册'!E:E,'①7月-花名册'!U:U,0)</f>
        <v>0</v>
      </c>
      <c r="H272" s="11">
        <f>_xlfn.XLOOKUP(D272,'①7月-花名册'!E:E,'①7月-花名册'!M:M,0)</f>
        <v>31</v>
      </c>
      <c r="I272" s="11">
        <f>_xlfn.XLOOKUP(D272,'①7月-花名册'!E:E,'①7月-花名册'!S:S,0)</f>
        <v>4</v>
      </c>
      <c r="J272" s="14">
        <f t="shared" si="42"/>
        <v>0</v>
      </c>
      <c r="K272" s="23"/>
      <c r="L272" s="23"/>
      <c r="M272" s="23"/>
      <c r="N272" s="23"/>
      <c r="O272" s="23"/>
      <c r="P272" s="15">
        <f t="shared" si="43"/>
        <v>31</v>
      </c>
      <c r="Q272" s="15">
        <f t="shared" si="44"/>
        <v>31</v>
      </c>
      <c r="R272" s="15">
        <f>IF(F272="事业部",LOOKUP(Q272,基础设置!$T$2:$T$6,基础设置!$U$2:$U$6),IF(F272="总部",LOOKUP(Q272,基础设置!$T$8:$T$13,基础设置!$V$8:$V$13),IF(F272="拓展部",LOOKUP(Q272,基础设置!$T$8:$T$13,基础设置!$W$8:$W$13),2000)))</f>
        <v>4</v>
      </c>
      <c r="S272" s="15">
        <f t="shared" si="45"/>
        <v>31</v>
      </c>
      <c r="T272" s="15">
        <f t="shared" si="46"/>
        <v>0</v>
      </c>
      <c r="U272" s="15">
        <f t="shared" si="47"/>
        <v>0</v>
      </c>
      <c r="V272" s="15">
        <f t="shared" si="40"/>
        <v>0</v>
      </c>
      <c r="W272" s="15">
        <f t="shared" si="48"/>
        <v>0</v>
      </c>
      <c r="X272" s="26"/>
      <c r="Y272" s="26"/>
      <c r="Z272" s="26"/>
      <c r="AA272" s="26"/>
      <c r="AB272" s="27"/>
      <c r="AC272" s="27"/>
      <c r="AD272" s="27"/>
      <c r="AE272" s="27"/>
      <c r="AF272" s="27"/>
      <c r="AG272" s="27"/>
      <c r="AH272" s="17">
        <f>_xlfn.XLOOKUP(D272,'①7月-花名册'!E:E,'①7月-花名册'!T:T,0)</f>
        <v>1000</v>
      </c>
      <c r="AI272" s="15">
        <f>SUMIFS('7月运营'!$L:$L,'7月运营'!$A:$A,D272,'7月运营'!$K:$K,$A$1)</f>
        <v>0</v>
      </c>
      <c r="AJ272" s="15">
        <f>SUMIFS('7月运营'!H:H,'7月运营'!$A:$A,D272,'7月运营'!$K:$K,$A$1)</f>
        <v>0</v>
      </c>
      <c r="AK272" s="15">
        <f>SUMIFS(上月未发人员明细!I:I,上月未发人员明细!J:J,$AK$2,上月未发人员明细!A:A,D272)</f>
        <v>0</v>
      </c>
      <c r="AL272" s="15">
        <f>SUMIFS('7月运营'!L:L,'7月运营'!$A:$A,D272,'7月运营'!$K:$K,$AL$2)</f>
        <v>0</v>
      </c>
      <c r="AM272" s="18">
        <f>SUMIFS('7月运营'!$F:$F,'7月运营'!$A:$A,D272,'7月运营'!$K:$K,'②7月-汇总'!$AM$2,'7月运营'!$G:$G,"岗位核算")</f>
        <v>0</v>
      </c>
      <c r="AN272" s="18">
        <f>SUMIFS('7月运营'!$F:$F,'7月运营'!$A:$A,D272,'7月运营'!$K:$K,$AN$2,'7月运营'!$G:$G,"岗位核算")</f>
        <v>0</v>
      </c>
      <c r="AO272" s="18" t="str">
        <f t="shared" si="49"/>
        <v/>
      </c>
      <c r="AP272" s="18">
        <f t="shared" si="41"/>
        <v>31</v>
      </c>
      <c r="AQ272" s="18">
        <f>_xlfn.XLOOKUP(D272,'7月运营'!A:A,'7月运营'!G:G,0)</f>
        <v>0</v>
      </c>
    </row>
    <row r="273" spans="1:43" x14ac:dyDescent="0.15">
      <c r="A273" s="11">
        <v>468</v>
      </c>
      <c r="B273" s="11" t="str">
        <v>保洁</v>
      </c>
      <c r="C273" s="11">
        <v>0</v>
      </c>
      <c r="D273" s="11" t="str">
        <v>吴斌</v>
      </c>
      <c r="E273" s="11" t="str">
        <v>在职</v>
      </c>
      <c r="F273" s="11" t="str">
        <v>事业部</v>
      </c>
      <c r="G273" s="11">
        <f>_xlfn.XLOOKUP(D273,'①7月-花名册'!E:E,'①7月-花名册'!U:U,0)</f>
        <v>0</v>
      </c>
      <c r="H273" s="11">
        <f>_xlfn.XLOOKUP(D273,'①7月-花名册'!E:E,'①7月-花名册'!M:M,0)</f>
        <v>31</v>
      </c>
      <c r="I273" s="11">
        <f>_xlfn.XLOOKUP(D273,'①7月-花名册'!E:E,'①7月-花名册'!S:S,0)</f>
        <v>4</v>
      </c>
      <c r="J273" s="14">
        <f t="shared" si="42"/>
        <v>0</v>
      </c>
      <c r="K273" s="23"/>
      <c r="L273" s="23"/>
      <c r="M273" s="23"/>
      <c r="N273" s="23"/>
      <c r="O273" s="23"/>
      <c r="P273" s="15">
        <f t="shared" si="43"/>
        <v>31</v>
      </c>
      <c r="Q273" s="15">
        <f t="shared" si="44"/>
        <v>31</v>
      </c>
      <c r="R273" s="15">
        <f>IF(F273="事业部",LOOKUP(Q273,基础设置!$T$2:$T$6,基础设置!$U$2:$U$6),IF(F273="总部",LOOKUP(Q273,基础设置!$T$8:$T$13,基础设置!$V$8:$V$13),IF(F273="拓展部",LOOKUP(Q273,基础设置!$T$8:$T$13,基础设置!$W$8:$W$13),2000)))</f>
        <v>4</v>
      </c>
      <c r="S273" s="15">
        <f t="shared" si="45"/>
        <v>31</v>
      </c>
      <c r="T273" s="15">
        <f t="shared" si="46"/>
        <v>0</v>
      </c>
      <c r="U273" s="15">
        <f t="shared" si="47"/>
        <v>0</v>
      </c>
      <c r="V273" s="15">
        <f t="shared" si="40"/>
        <v>0</v>
      </c>
      <c r="W273" s="15">
        <f t="shared" si="48"/>
        <v>0</v>
      </c>
      <c r="X273" s="26"/>
      <c r="Y273" s="26"/>
      <c r="Z273" s="26"/>
      <c r="AA273" s="26"/>
      <c r="AB273" s="27"/>
      <c r="AC273" s="27"/>
      <c r="AD273" s="27"/>
      <c r="AE273" s="27"/>
      <c r="AF273" s="27"/>
      <c r="AG273" s="27"/>
      <c r="AH273" s="17">
        <f>_xlfn.XLOOKUP(D273,'①7月-花名册'!E:E,'①7月-花名册'!T:T,0)</f>
        <v>1000</v>
      </c>
      <c r="AI273" s="15">
        <f>SUMIFS('7月运营'!$L:$L,'7月运营'!$A:$A,D273,'7月运营'!$K:$K,$A$1)</f>
        <v>0</v>
      </c>
      <c r="AJ273" s="15">
        <f>SUMIFS('7月运营'!H:H,'7月运营'!$A:$A,D273,'7月运营'!$K:$K,$A$1)</f>
        <v>0</v>
      </c>
      <c r="AK273" s="15">
        <f>SUMIFS(上月未发人员明细!I:I,上月未发人员明细!J:J,$AK$2,上月未发人员明细!A:A,D273)</f>
        <v>0</v>
      </c>
      <c r="AL273" s="15">
        <f>SUMIFS('7月运营'!L:L,'7月运营'!$A:$A,D273,'7月运营'!$K:$K,$AL$2)</f>
        <v>0</v>
      </c>
      <c r="AM273" s="18">
        <f>SUMIFS('7月运营'!$F:$F,'7月运营'!$A:$A,D273,'7月运营'!$K:$K,'②7月-汇总'!$AM$2,'7月运营'!$G:$G,"岗位核算")</f>
        <v>0</v>
      </c>
      <c r="AN273" s="18">
        <f>SUMIFS('7月运营'!$F:$F,'7月运营'!$A:$A,D273,'7月运营'!$K:$K,$AN$2,'7月运营'!$G:$G,"岗位核算")</f>
        <v>0</v>
      </c>
      <c r="AO273" s="18" t="str">
        <f t="shared" si="49"/>
        <v/>
      </c>
      <c r="AP273" s="18">
        <f t="shared" si="41"/>
        <v>31</v>
      </c>
      <c r="AQ273" s="18">
        <f>_xlfn.XLOOKUP(D273,'7月运营'!A:A,'7月运营'!G:G,0)</f>
        <v>0</v>
      </c>
    </row>
    <row r="274" spans="1:43" x14ac:dyDescent="0.15">
      <c r="A274" s="11" t="str">
        <v>静居寺</v>
      </c>
      <c r="B274" s="11" t="str">
        <v>保洁</v>
      </c>
      <c r="C274" s="11">
        <v>0</v>
      </c>
      <c r="D274" s="11" t="str">
        <v>杨汉玉</v>
      </c>
      <c r="E274" s="11" t="str">
        <v>在职</v>
      </c>
      <c r="F274" s="11" t="str">
        <v>事业部</v>
      </c>
      <c r="G274" s="11">
        <f>_xlfn.XLOOKUP(D274,'①7月-花名册'!E:E,'①7月-花名册'!U:U,0)</f>
        <v>0</v>
      </c>
      <c r="H274" s="11">
        <f>_xlfn.XLOOKUP(D274,'①7月-花名册'!E:E,'①7月-花名册'!M:M,0)</f>
        <v>31</v>
      </c>
      <c r="I274" s="11">
        <f>_xlfn.XLOOKUP(D274,'①7月-花名册'!E:E,'①7月-花名册'!S:S,0)</f>
        <v>4</v>
      </c>
      <c r="J274" s="14">
        <f t="shared" si="42"/>
        <v>0</v>
      </c>
      <c r="K274" s="23"/>
      <c r="L274" s="23"/>
      <c r="M274" s="23"/>
      <c r="N274" s="23"/>
      <c r="O274" s="23"/>
      <c r="P274" s="15">
        <f t="shared" si="43"/>
        <v>31</v>
      </c>
      <c r="Q274" s="15">
        <f t="shared" si="44"/>
        <v>31</v>
      </c>
      <c r="R274" s="15">
        <f>IF(F274="事业部",LOOKUP(Q274,基础设置!$T$2:$T$6,基础设置!$U$2:$U$6),IF(F274="总部",LOOKUP(Q274,基础设置!$T$8:$T$13,基础设置!$V$8:$V$13),IF(F274="拓展部",LOOKUP(Q274,基础设置!$T$8:$T$13,基础设置!$W$8:$W$13),2000)))</f>
        <v>4</v>
      </c>
      <c r="S274" s="15">
        <f t="shared" si="45"/>
        <v>31</v>
      </c>
      <c r="T274" s="15">
        <f t="shared" si="46"/>
        <v>0</v>
      </c>
      <c r="U274" s="15">
        <f t="shared" si="47"/>
        <v>0</v>
      </c>
      <c r="V274" s="15">
        <f t="shared" si="40"/>
        <v>0</v>
      </c>
      <c r="W274" s="15">
        <f t="shared" si="48"/>
        <v>0</v>
      </c>
      <c r="X274" s="26"/>
      <c r="Y274" s="26"/>
      <c r="Z274" s="26"/>
      <c r="AA274" s="26"/>
      <c r="AB274" s="27"/>
      <c r="AC274" s="27"/>
      <c r="AD274" s="27"/>
      <c r="AE274" s="27"/>
      <c r="AF274" s="27"/>
      <c r="AG274" s="27"/>
      <c r="AH274" s="17">
        <f>_xlfn.XLOOKUP(D274,'①7月-花名册'!E:E,'①7月-花名册'!T:T,0)</f>
        <v>3200</v>
      </c>
      <c r="AI274" s="15">
        <f>SUMIFS('7月运营'!$L:$L,'7月运营'!$A:$A,D274,'7月运营'!$K:$K,$A$1)</f>
        <v>0</v>
      </c>
      <c r="AJ274" s="15">
        <f>SUMIFS('7月运营'!H:H,'7月运营'!$A:$A,D274,'7月运营'!$K:$K,$A$1)</f>
        <v>0</v>
      </c>
      <c r="AK274" s="15">
        <f>SUMIFS(上月未发人员明细!I:I,上月未发人员明细!J:J,$AK$2,上月未发人员明细!A:A,D274)</f>
        <v>0</v>
      </c>
      <c r="AL274" s="15">
        <f>SUMIFS('7月运营'!L:L,'7月运营'!$A:$A,D274,'7月运营'!$K:$K,$AL$2)</f>
        <v>0</v>
      </c>
      <c r="AM274" s="18">
        <f>SUMIFS('7月运营'!$F:$F,'7月运营'!$A:$A,D274,'7月运营'!$K:$K,'②7月-汇总'!$AM$2,'7月运营'!$G:$G,"岗位核算")</f>
        <v>0</v>
      </c>
      <c r="AN274" s="18">
        <f>SUMIFS('7月运营'!$F:$F,'7月运营'!$A:$A,D274,'7月运营'!$K:$K,$AN$2,'7月运营'!$G:$G,"岗位核算")</f>
        <v>0</v>
      </c>
      <c r="AO274" s="18" t="str">
        <f t="shared" si="49"/>
        <v/>
      </c>
      <c r="AP274" s="18">
        <f t="shared" si="41"/>
        <v>31</v>
      </c>
      <c r="AQ274" s="18">
        <f>_xlfn.XLOOKUP(D274,'7月运营'!A:A,'7月运营'!G:G,0)</f>
        <v>0</v>
      </c>
    </row>
    <row r="275" spans="1:43" x14ac:dyDescent="0.15">
      <c r="A275" s="11" t="str">
        <v>紫荆</v>
      </c>
      <c r="B275" s="11" t="str">
        <v>保洁</v>
      </c>
      <c r="C275" s="11">
        <v>0</v>
      </c>
      <c r="D275" s="11" t="str">
        <v>杨润琼</v>
      </c>
      <c r="E275" s="11" t="str">
        <v>在职</v>
      </c>
      <c r="F275" s="11" t="str">
        <v>事业部</v>
      </c>
      <c r="G275" s="11">
        <f>_xlfn.XLOOKUP(D275,'①7月-花名册'!E:E,'①7月-花名册'!U:U,0)</f>
        <v>0</v>
      </c>
      <c r="H275" s="11">
        <f>_xlfn.XLOOKUP(D275,'①7月-花名册'!E:E,'①7月-花名册'!M:M,0)</f>
        <v>31</v>
      </c>
      <c r="I275" s="11">
        <f>_xlfn.XLOOKUP(D275,'①7月-花名册'!E:E,'①7月-花名册'!S:S,0)</f>
        <v>4</v>
      </c>
      <c r="J275" s="14">
        <f t="shared" si="42"/>
        <v>0</v>
      </c>
      <c r="K275" s="23"/>
      <c r="L275" s="23"/>
      <c r="M275" s="23"/>
      <c r="N275" s="23"/>
      <c r="O275" s="23"/>
      <c r="P275" s="15">
        <f t="shared" si="43"/>
        <v>31</v>
      </c>
      <c r="Q275" s="15">
        <f t="shared" si="44"/>
        <v>31</v>
      </c>
      <c r="R275" s="15">
        <f>IF(F275="事业部",LOOKUP(Q275,基础设置!$T$2:$T$6,基础设置!$U$2:$U$6),IF(F275="总部",LOOKUP(Q275,基础设置!$T$8:$T$13,基础设置!$V$8:$V$13),IF(F275="拓展部",LOOKUP(Q275,基础设置!$T$8:$T$13,基础设置!$W$8:$W$13),2000)))</f>
        <v>4</v>
      </c>
      <c r="S275" s="15">
        <f t="shared" si="45"/>
        <v>31</v>
      </c>
      <c r="T275" s="15">
        <f t="shared" si="46"/>
        <v>0</v>
      </c>
      <c r="U275" s="15">
        <f t="shared" si="47"/>
        <v>0</v>
      </c>
      <c r="V275" s="15">
        <f t="shared" si="40"/>
        <v>0</v>
      </c>
      <c r="W275" s="15">
        <f t="shared" si="48"/>
        <v>0</v>
      </c>
      <c r="X275" s="26"/>
      <c r="Y275" s="26"/>
      <c r="Z275" s="26"/>
      <c r="AA275" s="26"/>
      <c r="AB275" s="27"/>
      <c r="AC275" s="27"/>
      <c r="AD275" s="27"/>
      <c r="AE275" s="27"/>
      <c r="AF275" s="27"/>
      <c r="AG275" s="27"/>
      <c r="AH275" s="17">
        <f>_xlfn.XLOOKUP(D275,'①7月-花名册'!E:E,'①7月-花名册'!T:T,0)</f>
        <v>3200</v>
      </c>
      <c r="AI275" s="15">
        <f>SUMIFS('7月运营'!$L:$L,'7月运营'!$A:$A,D275,'7月运营'!$K:$K,$A$1)</f>
        <v>0</v>
      </c>
      <c r="AJ275" s="15">
        <f>SUMIFS('7月运营'!H:H,'7月运营'!$A:$A,D275,'7月运营'!$K:$K,$A$1)</f>
        <v>0</v>
      </c>
      <c r="AK275" s="15">
        <f>SUMIFS(上月未发人员明细!I:I,上月未发人员明细!J:J,$AK$2,上月未发人员明细!A:A,D275)</f>
        <v>0</v>
      </c>
      <c r="AL275" s="15">
        <f>SUMIFS('7月运营'!L:L,'7月运营'!$A:$A,D275,'7月运营'!$K:$K,$AL$2)</f>
        <v>0</v>
      </c>
      <c r="AM275" s="18">
        <f>SUMIFS('7月运营'!$F:$F,'7月运营'!$A:$A,D275,'7月运营'!$K:$K,'②7月-汇总'!$AM$2,'7月运营'!$G:$G,"岗位核算")</f>
        <v>0</v>
      </c>
      <c r="AN275" s="18">
        <f>SUMIFS('7月运营'!$F:$F,'7月运营'!$A:$A,D275,'7月运营'!$K:$K,$AN$2,'7月运营'!$G:$G,"岗位核算")</f>
        <v>0</v>
      </c>
      <c r="AO275" s="18" t="str">
        <f t="shared" si="49"/>
        <v/>
      </c>
      <c r="AP275" s="18">
        <f t="shared" si="41"/>
        <v>31</v>
      </c>
      <c r="AQ275" s="18">
        <f>_xlfn.XLOOKUP(D275,'7月运营'!A:A,'7月运营'!G:G,0)</f>
        <v>0</v>
      </c>
    </row>
    <row r="276" spans="1:43" x14ac:dyDescent="0.15">
      <c r="A276" s="11" t="str">
        <v>沙河</v>
      </c>
      <c r="B276" s="11" t="str">
        <v>保洁</v>
      </c>
      <c r="C276" s="11">
        <v>0</v>
      </c>
      <c r="D276" s="11" t="str">
        <v>林玉琼</v>
      </c>
      <c r="E276" s="11" t="str">
        <v>在职</v>
      </c>
      <c r="F276" s="11" t="str">
        <v>事业部</v>
      </c>
      <c r="G276" s="11">
        <f>_xlfn.XLOOKUP(D276,'①7月-花名册'!E:E,'①7月-花名册'!U:U,0)</f>
        <v>0</v>
      </c>
      <c r="H276" s="11">
        <f>_xlfn.XLOOKUP(D276,'①7月-花名册'!E:E,'①7月-花名册'!M:M,0)</f>
        <v>31</v>
      </c>
      <c r="I276" s="11">
        <f>_xlfn.XLOOKUP(D276,'①7月-花名册'!E:E,'①7月-花名册'!S:S,0)</f>
        <v>4</v>
      </c>
      <c r="J276" s="14">
        <f t="shared" si="42"/>
        <v>0</v>
      </c>
      <c r="K276" s="23"/>
      <c r="L276" s="23"/>
      <c r="M276" s="23"/>
      <c r="N276" s="23"/>
      <c r="O276" s="23"/>
      <c r="P276" s="15">
        <f t="shared" si="43"/>
        <v>31</v>
      </c>
      <c r="Q276" s="15">
        <f t="shared" si="44"/>
        <v>31</v>
      </c>
      <c r="R276" s="15">
        <f>IF(F276="事业部",LOOKUP(Q276,基础设置!$T$2:$T$6,基础设置!$U$2:$U$6),IF(F276="总部",LOOKUP(Q276,基础设置!$T$8:$T$13,基础设置!$V$8:$V$13),IF(F276="拓展部",LOOKUP(Q276,基础设置!$T$8:$T$13,基础设置!$W$8:$W$13),2000)))</f>
        <v>4</v>
      </c>
      <c r="S276" s="15">
        <f t="shared" si="45"/>
        <v>31</v>
      </c>
      <c r="T276" s="15">
        <f t="shared" si="46"/>
        <v>0</v>
      </c>
      <c r="U276" s="15">
        <f t="shared" si="47"/>
        <v>0</v>
      </c>
      <c r="V276" s="15">
        <f t="shared" si="40"/>
        <v>0</v>
      </c>
      <c r="W276" s="15">
        <f t="shared" si="48"/>
        <v>0</v>
      </c>
      <c r="X276" s="26"/>
      <c r="Y276" s="26"/>
      <c r="Z276" s="26"/>
      <c r="AA276" s="26"/>
      <c r="AB276" s="27"/>
      <c r="AC276" s="27"/>
      <c r="AD276" s="27"/>
      <c r="AE276" s="27"/>
      <c r="AF276" s="27"/>
      <c r="AG276" s="27"/>
      <c r="AH276" s="17">
        <f>_xlfn.XLOOKUP(D276,'①7月-花名册'!E:E,'①7月-花名册'!T:T,0)</f>
        <v>1200</v>
      </c>
      <c r="AI276" s="15">
        <f>SUMIFS('7月运营'!$L:$L,'7月运营'!$A:$A,D276,'7月运营'!$K:$K,$A$1)</f>
        <v>0</v>
      </c>
      <c r="AJ276" s="15">
        <f>SUMIFS('7月运营'!H:H,'7月运营'!$A:$A,D276,'7月运营'!$K:$K,$A$1)</f>
        <v>0</v>
      </c>
      <c r="AK276" s="15">
        <f>SUMIFS(上月未发人员明细!I:I,上月未发人员明细!J:J,$AK$2,上月未发人员明细!A:A,D276)</f>
        <v>0</v>
      </c>
      <c r="AL276" s="15">
        <f>SUMIFS('7月运营'!L:L,'7月运营'!$A:$A,D276,'7月运营'!$K:$K,$AL$2)</f>
        <v>0</v>
      </c>
      <c r="AM276" s="18">
        <f>SUMIFS('7月运营'!$F:$F,'7月运营'!$A:$A,D276,'7月运营'!$K:$K,'②7月-汇总'!$AM$2,'7月运营'!$G:$G,"岗位核算")</f>
        <v>0</v>
      </c>
      <c r="AN276" s="18">
        <f>SUMIFS('7月运营'!$F:$F,'7月运营'!$A:$A,D276,'7月运营'!$K:$K,$AN$2,'7月运营'!$G:$G,"岗位核算")</f>
        <v>0</v>
      </c>
      <c r="AO276" s="18" t="str">
        <f t="shared" si="49"/>
        <v/>
      </c>
      <c r="AP276" s="18">
        <f t="shared" si="41"/>
        <v>31</v>
      </c>
      <c r="AQ276" s="18">
        <f>_xlfn.XLOOKUP(D276,'7月运营'!A:A,'7月运营'!G:G,0)</f>
        <v>0</v>
      </c>
    </row>
    <row r="277" spans="1:43" x14ac:dyDescent="0.15">
      <c r="A277" s="11" t="str">
        <v>川师</v>
      </c>
      <c r="B277" s="11" t="str">
        <v>保洁</v>
      </c>
      <c r="C277" s="11">
        <v>0</v>
      </c>
      <c r="D277" s="11" t="str">
        <v>王秀华</v>
      </c>
      <c r="E277" s="11" t="str">
        <v>在职</v>
      </c>
      <c r="F277" s="11" t="str">
        <v>事业部</v>
      </c>
      <c r="G277" s="11">
        <f>_xlfn.XLOOKUP(D277,'①7月-花名册'!E:E,'①7月-花名册'!U:U,0)</f>
        <v>0</v>
      </c>
      <c r="H277" s="11">
        <f>_xlfn.XLOOKUP(D277,'①7月-花名册'!E:E,'①7月-花名册'!M:M,0)</f>
        <v>31</v>
      </c>
      <c r="I277" s="11">
        <f>_xlfn.XLOOKUP(D277,'①7月-花名册'!E:E,'①7月-花名册'!S:S,0)</f>
        <v>4</v>
      </c>
      <c r="J277" s="14">
        <f t="shared" si="42"/>
        <v>0</v>
      </c>
      <c r="K277" s="23"/>
      <c r="L277" s="23"/>
      <c r="M277" s="23"/>
      <c r="N277" s="23"/>
      <c r="O277" s="23"/>
      <c r="P277" s="15">
        <f t="shared" si="43"/>
        <v>31</v>
      </c>
      <c r="Q277" s="15">
        <f t="shared" si="44"/>
        <v>31</v>
      </c>
      <c r="R277" s="15">
        <f>IF(F277="事业部",LOOKUP(Q277,基础设置!$T$2:$T$6,基础设置!$U$2:$U$6),IF(F277="总部",LOOKUP(Q277,基础设置!$T$8:$T$13,基础设置!$V$8:$V$13),IF(F277="拓展部",LOOKUP(Q277,基础设置!$T$8:$T$13,基础设置!$W$8:$W$13),2000)))</f>
        <v>4</v>
      </c>
      <c r="S277" s="15">
        <f t="shared" si="45"/>
        <v>31</v>
      </c>
      <c r="T277" s="15">
        <f t="shared" si="46"/>
        <v>0</v>
      </c>
      <c r="U277" s="15">
        <f t="shared" si="47"/>
        <v>0</v>
      </c>
      <c r="V277" s="15">
        <f t="shared" si="40"/>
        <v>0</v>
      </c>
      <c r="W277" s="15">
        <f t="shared" si="48"/>
        <v>0</v>
      </c>
      <c r="X277" s="26"/>
      <c r="Y277" s="26"/>
      <c r="Z277" s="26"/>
      <c r="AA277" s="26"/>
      <c r="AB277" s="27"/>
      <c r="AC277" s="27"/>
      <c r="AD277" s="27"/>
      <c r="AE277" s="27"/>
      <c r="AF277" s="27"/>
      <c r="AG277" s="27"/>
      <c r="AH277" s="17">
        <f>_xlfn.XLOOKUP(D277,'①7月-花名册'!E:E,'①7月-花名册'!T:T,0)</f>
        <v>1200</v>
      </c>
      <c r="AI277" s="15">
        <f>SUMIFS('7月运营'!$L:$L,'7月运营'!$A:$A,D277,'7月运营'!$K:$K,$A$1)</f>
        <v>0</v>
      </c>
      <c r="AJ277" s="15">
        <f>SUMIFS('7月运营'!H:H,'7月运营'!$A:$A,D277,'7月运营'!$K:$K,$A$1)</f>
        <v>0</v>
      </c>
      <c r="AK277" s="15">
        <f>SUMIFS(上月未发人员明细!I:I,上月未发人员明细!J:J,$AK$2,上月未发人员明细!A:A,D277)</f>
        <v>0</v>
      </c>
      <c r="AL277" s="15">
        <f>SUMIFS('7月运营'!L:L,'7月运营'!$A:$A,D277,'7月运营'!$K:$K,$AL$2)</f>
        <v>0</v>
      </c>
      <c r="AM277" s="18">
        <f>SUMIFS('7月运营'!$F:$F,'7月运营'!$A:$A,D277,'7月运营'!$K:$K,'②7月-汇总'!$AM$2,'7月运营'!$G:$G,"岗位核算")</f>
        <v>0</v>
      </c>
      <c r="AN277" s="18">
        <f>SUMIFS('7月运营'!$F:$F,'7月运营'!$A:$A,D277,'7月运营'!$K:$K,$AN$2,'7月运营'!$G:$G,"岗位核算")</f>
        <v>0</v>
      </c>
      <c r="AO277" s="18" t="str">
        <f t="shared" si="49"/>
        <v/>
      </c>
      <c r="AP277" s="18">
        <f t="shared" si="41"/>
        <v>31</v>
      </c>
      <c r="AQ277" s="18">
        <f>_xlfn.XLOOKUP(D277,'7月运营'!A:A,'7月运营'!G:G,0)</f>
        <v>0</v>
      </c>
    </row>
    <row r="278" spans="1:43" x14ac:dyDescent="0.15">
      <c r="A278" s="11" t="str">
        <v>双流</v>
      </c>
      <c r="B278" s="11" t="str">
        <v>保洁</v>
      </c>
      <c r="C278" s="11">
        <v>0</v>
      </c>
      <c r="D278" s="11" t="str">
        <v>刘陈秀</v>
      </c>
      <c r="E278" s="11" t="str">
        <v>在职</v>
      </c>
      <c r="F278" s="11" t="str">
        <v>事业部</v>
      </c>
      <c r="G278" s="11">
        <f>_xlfn.XLOOKUP(D278,'①7月-花名册'!E:E,'①7月-花名册'!U:U,0)</f>
        <v>0</v>
      </c>
      <c r="H278" s="11">
        <f>_xlfn.XLOOKUP(D278,'①7月-花名册'!E:E,'①7月-花名册'!M:M,0)</f>
        <v>31</v>
      </c>
      <c r="I278" s="11">
        <f>_xlfn.XLOOKUP(D278,'①7月-花名册'!E:E,'①7月-花名册'!S:S,0)</f>
        <v>4</v>
      </c>
      <c r="J278" s="14">
        <f t="shared" si="42"/>
        <v>0</v>
      </c>
      <c r="K278" s="23"/>
      <c r="L278" s="23"/>
      <c r="M278" s="23"/>
      <c r="N278" s="23"/>
      <c r="O278" s="23"/>
      <c r="P278" s="15">
        <f t="shared" si="43"/>
        <v>31</v>
      </c>
      <c r="Q278" s="15">
        <f t="shared" si="44"/>
        <v>31</v>
      </c>
      <c r="R278" s="15">
        <f>IF(F278="事业部",LOOKUP(Q278,基础设置!$T$2:$T$6,基础设置!$U$2:$U$6),IF(F278="总部",LOOKUP(Q278,基础设置!$T$8:$T$13,基础设置!$V$8:$V$13),IF(F278="拓展部",LOOKUP(Q278,基础设置!$T$8:$T$13,基础设置!$W$8:$W$13),2000)))</f>
        <v>4</v>
      </c>
      <c r="S278" s="15">
        <f t="shared" si="45"/>
        <v>31</v>
      </c>
      <c r="T278" s="15">
        <f t="shared" si="46"/>
        <v>0</v>
      </c>
      <c r="U278" s="15">
        <f t="shared" si="47"/>
        <v>0</v>
      </c>
      <c r="V278" s="15">
        <f t="shared" si="40"/>
        <v>0</v>
      </c>
      <c r="W278" s="15">
        <f t="shared" si="48"/>
        <v>0</v>
      </c>
      <c r="X278" s="26"/>
      <c r="Y278" s="26"/>
      <c r="Z278" s="26"/>
      <c r="AA278" s="26"/>
      <c r="AB278" s="27"/>
      <c r="AC278" s="27"/>
      <c r="AD278" s="27"/>
      <c r="AE278" s="27"/>
      <c r="AF278" s="27"/>
      <c r="AG278" s="27"/>
      <c r="AH278" s="17">
        <f>_xlfn.XLOOKUP(D278,'①7月-花名册'!E:E,'①7月-花名册'!T:T,0)</f>
        <v>1300</v>
      </c>
      <c r="AI278" s="15">
        <f>SUMIFS('7月运营'!$L:$L,'7月运营'!$A:$A,D278,'7月运营'!$K:$K,$A$1)</f>
        <v>0</v>
      </c>
      <c r="AJ278" s="15">
        <f>SUMIFS('7月运营'!H:H,'7月运营'!$A:$A,D278,'7月运营'!$K:$K,$A$1)</f>
        <v>0</v>
      </c>
      <c r="AK278" s="15">
        <f>SUMIFS(上月未发人员明细!I:I,上月未发人员明细!J:J,$AK$2,上月未发人员明细!A:A,D278)</f>
        <v>0</v>
      </c>
      <c r="AL278" s="15">
        <f>SUMIFS('7月运营'!L:L,'7月运营'!$A:$A,D278,'7月运营'!$K:$K,$AL$2)</f>
        <v>0</v>
      </c>
      <c r="AM278" s="18">
        <f>SUMIFS('7月运营'!$F:$F,'7月运营'!$A:$A,D278,'7月运营'!$K:$K,'②7月-汇总'!$AM$2,'7月运营'!$G:$G,"岗位核算")</f>
        <v>0</v>
      </c>
      <c r="AN278" s="18">
        <f>SUMIFS('7月运营'!$F:$F,'7月运营'!$A:$A,D278,'7月运营'!$K:$K,$AN$2,'7月运营'!$G:$G,"岗位核算")</f>
        <v>0</v>
      </c>
      <c r="AO278" s="18" t="str">
        <f t="shared" si="49"/>
        <v/>
      </c>
      <c r="AP278" s="18">
        <f t="shared" si="41"/>
        <v>31</v>
      </c>
      <c r="AQ278" s="18">
        <f>_xlfn.XLOOKUP(D278,'7月运营'!A:A,'7月运营'!G:G,0)</f>
        <v>0</v>
      </c>
    </row>
    <row r="279" spans="1:43" x14ac:dyDescent="0.15">
      <c r="A279" s="11" t="str">
        <v>龙城国际</v>
      </c>
      <c r="B279" s="11" t="str">
        <v>保洁</v>
      </c>
      <c r="C279" s="11">
        <v>0</v>
      </c>
      <c r="D279" s="11" t="str">
        <v>钟术群</v>
      </c>
      <c r="E279" s="11" t="str">
        <v>在职</v>
      </c>
      <c r="F279" s="11" t="str">
        <v>事业部</v>
      </c>
      <c r="G279" s="11">
        <f>_xlfn.XLOOKUP(D279,'①7月-花名册'!E:E,'①7月-花名册'!U:U,0)</f>
        <v>0</v>
      </c>
      <c r="H279" s="11">
        <f>_xlfn.XLOOKUP(D279,'①7月-花名册'!E:E,'①7月-花名册'!M:M,0)</f>
        <v>31</v>
      </c>
      <c r="I279" s="11">
        <f>_xlfn.XLOOKUP(D279,'①7月-花名册'!E:E,'①7月-花名册'!S:S,0)</f>
        <v>4</v>
      </c>
      <c r="J279" s="14">
        <f t="shared" si="42"/>
        <v>0</v>
      </c>
      <c r="K279" s="23"/>
      <c r="L279" s="23"/>
      <c r="M279" s="23"/>
      <c r="N279" s="23"/>
      <c r="O279" s="23"/>
      <c r="P279" s="15">
        <f t="shared" si="43"/>
        <v>31</v>
      </c>
      <c r="Q279" s="15">
        <f t="shared" si="44"/>
        <v>31</v>
      </c>
      <c r="R279" s="15">
        <f>IF(F279="事业部",LOOKUP(Q279,基础设置!$T$2:$T$6,基础设置!$U$2:$U$6),IF(F279="总部",LOOKUP(Q279,基础设置!$T$8:$T$13,基础设置!$V$8:$V$13),IF(F279="拓展部",LOOKUP(Q279,基础设置!$T$8:$T$13,基础设置!$W$8:$W$13),2000)))</f>
        <v>4</v>
      </c>
      <c r="S279" s="15">
        <f t="shared" si="45"/>
        <v>31</v>
      </c>
      <c r="T279" s="15">
        <f t="shared" si="46"/>
        <v>0</v>
      </c>
      <c r="U279" s="15">
        <f t="shared" si="47"/>
        <v>0</v>
      </c>
      <c r="V279" s="15">
        <f t="shared" si="40"/>
        <v>0</v>
      </c>
      <c r="W279" s="15">
        <f t="shared" si="48"/>
        <v>0</v>
      </c>
      <c r="X279" s="26"/>
      <c r="Y279" s="26"/>
      <c r="Z279" s="26"/>
      <c r="AA279" s="26"/>
      <c r="AB279" s="27"/>
      <c r="AC279" s="27"/>
      <c r="AD279" s="27"/>
      <c r="AE279" s="27"/>
      <c r="AF279" s="27"/>
      <c r="AG279" s="27"/>
      <c r="AH279" s="17">
        <f>_xlfn.XLOOKUP(D279,'①7月-花名册'!E:E,'①7月-花名册'!T:T,0)</f>
        <v>1000</v>
      </c>
      <c r="AI279" s="15">
        <f>SUMIFS('7月运营'!$L:$L,'7月运营'!$A:$A,D279,'7月运营'!$K:$K,$A$1)</f>
        <v>0</v>
      </c>
      <c r="AJ279" s="15">
        <f>SUMIFS('7月运营'!H:H,'7月运营'!$A:$A,D279,'7月运营'!$K:$K,$A$1)</f>
        <v>0</v>
      </c>
      <c r="AK279" s="15">
        <f>SUMIFS(上月未发人员明细!I:I,上月未发人员明细!J:J,$AK$2,上月未发人员明细!A:A,D279)</f>
        <v>0</v>
      </c>
      <c r="AL279" s="15">
        <f>SUMIFS('7月运营'!L:L,'7月运营'!$A:$A,D279,'7月运营'!$K:$K,$AL$2)</f>
        <v>0</v>
      </c>
      <c r="AM279" s="18">
        <f>SUMIFS('7月运营'!$F:$F,'7月运营'!$A:$A,D279,'7月运营'!$K:$K,'②7月-汇总'!$AM$2,'7月运营'!$G:$G,"岗位核算")</f>
        <v>0</v>
      </c>
      <c r="AN279" s="18">
        <f>SUMIFS('7月运营'!$F:$F,'7月运营'!$A:$A,D279,'7月运营'!$K:$K,$AN$2,'7月运营'!$G:$G,"岗位核算")</f>
        <v>0</v>
      </c>
      <c r="AO279" s="18" t="str">
        <f t="shared" si="49"/>
        <v/>
      </c>
      <c r="AP279" s="18">
        <f t="shared" si="41"/>
        <v>31</v>
      </c>
      <c r="AQ279" s="18">
        <f>_xlfn.XLOOKUP(D279,'7月运营'!A:A,'7月运营'!G:G,0)</f>
        <v>0</v>
      </c>
    </row>
    <row r="280" spans="1:43" x14ac:dyDescent="0.15">
      <c r="A280" s="11" t="str">
        <v>荣华南路</v>
      </c>
      <c r="B280" s="11" t="str">
        <v>保洁</v>
      </c>
      <c r="C280" s="11">
        <v>0</v>
      </c>
      <c r="D280" s="11" t="str">
        <v>郑竹兰</v>
      </c>
      <c r="E280" s="11" t="str">
        <v>在职</v>
      </c>
      <c r="F280" s="11" t="str">
        <v>事业部</v>
      </c>
      <c r="G280" s="11">
        <f>_xlfn.XLOOKUP(D280,'①7月-花名册'!E:E,'①7月-花名册'!U:U,0)</f>
        <v>0</v>
      </c>
      <c r="H280" s="11">
        <f>_xlfn.XLOOKUP(D280,'①7月-花名册'!E:E,'①7月-花名册'!M:M,0)</f>
        <v>31</v>
      </c>
      <c r="I280" s="11">
        <f>_xlfn.XLOOKUP(D280,'①7月-花名册'!E:E,'①7月-花名册'!S:S,0)</f>
        <v>4</v>
      </c>
      <c r="J280" s="14">
        <f t="shared" si="42"/>
        <v>0</v>
      </c>
      <c r="K280" s="23"/>
      <c r="L280" s="23"/>
      <c r="M280" s="23"/>
      <c r="N280" s="23"/>
      <c r="O280" s="23"/>
      <c r="P280" s="15">
        <f t="shared" si="43"/>
        <v>31</v>
      </c>
      <c r="Q280" s="15">
        <f t="shared" si="44"/>
        <v>31</v>
      </c>
      <c r="R280" s="15">
        <f>IF(F280="事业部",LOOKUP(Q280,基础设置!$T$2:$T$6,基础设置!$U$2:$U$6),IF(F280="总部",LOOKUP(Q280,基础设置!$T$8:$T$13,基础设置!$V$8:$V$13),IF(F280="拓展部",LOOKUP(Q280,基础设置!$T$8:$T$13,基础设置!$W$8:$W$13),2000)))</f>
        <v>4</v>
      </c>
      <c r="S280" s="15">
        <f t="shared" si="45"/>
        <v>31</v>
      </c>
      <c r="T280" s="15">
        <f t="shared" si="46"/>
        <v>0</v>
      </c>
      <c r="U280" s="15">
        <f t="shared" si="47"/>
        <v>0</v>
      </c>
      <c r="V280" s="15">
        <f t="shared" si="40"/>
        <v>0</v>
      </c>
      <c r="W280" s="15">
        <f t="shared" si="48"/>
        <v>0</v>
      </c>
      <c r="X280" s="26"/>
      <c r="Y280" s="26"/>
      <c r="Z280" s="26"/>
      <c r="AA280" s="26"/>
      <c r="AB280" s="27"/>
      <c r="AC280" s="27"/>
      <c r="AD280" s="27"/>
      <c r="AE280" s="27"/>
      <c r="AF280" s="27"/>
      <c r="AG280" s="27"/>
      <c r="AH280" s="17">
        <f>_xlfn.XLOOKUP(D280,'①7月-花名册'!E:E,'①7月-花名册'!T:T,0)</f>
        <v>320</v>
      </c>
      <c r="AI280" s="15">
        <f>SUMIFS('7月运营'!$L:$L,'7月运营'!$A:$A,D280,'7月运营'!$K:$K,$A$1)</f>
        <v>0</v>
      </c>
      <c r="AJ280" s="15">
        <f>SUMIFS('7月运营'!H:H,'7月运营'!$A:$A,D280,'7月运营'!$K:$K,$A$1)</f>
        <v>0</v>
      </c>
      <c r="AK280" s="15">
        <f>SUMIFS(上月未发人员明细!I:I,上月未发人员明细!J:J,$AK$2,上月未发人员明细!A:A,D280)</f>
        <v>0</v>
      </c>
      <c r="AL280" s="15">
        <f>SUMIFS('7月运营'!L:L,'7月运营'!$A:$A,D280,'7月运营'!$K:$K,$AL$2)</f>
        <v>0</v>
      </c>
      <c r="AM280" s="18">
        <f>SUMIFS('7月运营'!$F:$F,'7月运营'!$A:$A,D280,'7月运营'!$K:$K,'②7月-汇总'!$AM$2,'7月运营'!$G:$G,"岗位核算")</f>
        <v>0</v>
      </c>
      <c r="AN280" s="18">
        <f>SUMIFS('7月运营'!$F:$F,'7月运营'!$A:$A,D280,'7月运营'!$K:$K,$AN$2,'7月运营'!$G:$G,"岗位核算")</f>
        <v>0</v>
      </c>
      <c r="AO280" s="18" t="str">
        <f t="shared" si="49"/>
        <v/>
      </c>
      <c r="AP280" s="18">
        <f t="shared" si="41"/>
        <v>31</v>
      </c>
      <c r="AQ280" s="18">
        <f>_xlfn.XLOOKUP(D280,'7月运营'!A:A,'7月运营'!G:G,0)</f>
        <v>0</v>
      </c>
    </row>
    <row r="281" spans="1:43" x14ac:dyDescent="0.15">
      <c r="A281" s="11" t="str">
        <v>骑士郡</v>
      </c>
      <c r="B281" s="11" t="str">
        <v>保洁</v>
      </c>
      <c r="C281" s="11">
        <v>0</v>
      </c>
      <c r="D281" s="11" t="str">
        <v>陈春蓉</v>
      </c>
      <c r="E281" s="11" t="str">
        <v>在职</v>
      </c>
      <c r="F281" s="11" t="str">
        <v>事业部</v>
      </c>
      <c r="G281" s="11">
        <f>_xlfn.XLOOKUP(D281,'①7月-花名册'!E:E,'①7月-花名册'!U:U,0)</f>
        <v>0</v>
      </c>
      <c r="H281" s="11">
        <f>_xlfn.XLOOKUP(D281,'①7月-花名册'!E:E,'①7月-花名册'!M:M,0)</f>
        <v>31</v>
      </c>
      <c r="I281" s="11">
        <f>_xlfn.XLOOKUP(D281,'①7月-花名册'!E:E,'①7月-花名册'!S:S,0)</f>
        <v>4</v>
      </c>
      <c r="J281" s="14">
        <f t="shared" si="42"/>
        <v>0</v>
      </c>
      <c r="K281" s="23"/>
      <c r="L281" s="23"/>
      <c r="M281" s="23"/>
      <c r="N281" s="23"/>
      <c r="O281" s="23"/>
      <c r="P281" s="15">
        <f t="shared" si="43"/>
        <v>31</v>
      </c>
      <c r="Q281" s="15">
        <f t="shared" si="44"/>
        <v>31</v>
      </c>
      <c r="R281" s="15">
        <f>IF(F281="事业部",LOOKUP(Q281,基础设置!$T$2:$T$6,基础设置!$U$2:$U$6),IF(F281="总部",LOOKUP(Q281,基础设置!$T$8:$T$13,基础设置!$V$8:$V$13),IF(F281="拓展部",LOOKUP(Q281,基础设置!$T$8:$T$13,基础设置!$W$8:$W$13),2000)))</f>
        <v>4</v>
      </c>
      <c r="S281" s="15">
        <f t="shared" si="45"/>
        <v>31</v>
      </c>
      <c r="T281" s="15">
        <f t="shared" si="46"/>
        <v>0</v>
      </c>
      <c r="U281" s="15">
        <f t="shared" si="47"/>
        <v>0</v>
      </c>
      <c r="V281" s="15">
        <f t="shared" si="40"/>
        <v>0</v>
      </c>
      <c r="W281" s="15">
        <f t="shared" si="48"/>
        <v>0</v>
      </c>
      <c r="X281" s="26"/>
      <c r="Y281" s="26"/>
      <c r="Z281" s="26"/>
      <c r="AA281" s="26"/>
      <c r="AB281" s="27"/>
      <c r="AC281" s="27"/>
      <c r="AD281" s="27"/>
      <c r="AE281" s="27"/>
      <c r="AF281" s="27"/>
      <c r="AG281" s="27"/>
      <c r="AH281" s="17">
        <f>_xlfn.XLOOKUP(D281,'①7月-花名册'!E:E,'①7月-花名册'!T:T,0)</f>
        <v>2903.22580645161</v>
      </c>
      <c r="AI281" s="15">
        <f>SUMIFS('7月运营'!$L:$L,'7月运营'!$A:$A,D281,'7月运营'!$K:$K,$A$1)</f>
        <v>0</v>
      </c>
      <c r="AJ281" s="15">
        <f>SUMIFS('7月运营'!H:H,'7月运营'!$A:$A,D281,'7月运营'!$K:$K,$A$1)</f>
        <v>0</v>
      </c>
      <c r="AK281" s="15">
        <f>SUMIFS(上月未发人员明细!I:I,上月未发人员明细!J:J,$AK$2,上月未发人员明细!A:A,D281)</f>
        <v>0</v>
      </c>
      <c r="AL281" s="15">
        <f>SUMIFS('7月运营'!L:L,'7月运营'!$A:$A,D281,'7月运营'!$K:$K,$AL$2)</f>
        <v>0</v>
      </c>
      <c r="AM281" s="18">
        <f>SUMIFS('7月运营'!$F:$F,'7月运营'!$A:$A,D281,'7月运营'!$K:$K,'②7月-汇总'!$AM$2,'7月运营'!$G:$G,"岗位核算")</f>
        <v>0</v>
      </c>
      <c r="AN281" s="18">
        <f>SUMIFS('7月运营'!$F:$F,'7月运营'!$A:$A,D281,'7月运营'!$K:$K,$AN$2,'7月运营'!$G:$G,"岗位核算")</f>
        <v>0</v>
      </c>
      <c r="AO281" s="18" t="str">
        <f t="shared" si="49"/>
        <v/>
      </c>
      <c r="AP281" s="18">
        <f t="shared" si="41"/>
        <v>31</v>
      </c>
      <c r="AQ281" s="18">
        <f>_xlfn.XLOOKUP(D281,'7月运营'!A:A,'7月运营'!G:G,0)</f>
        <v>0</v>
      </c>
    </row>
    <row r="282" spans="1:43" x14ac:dyDescent="0.15">
      <c r="A282" s="11" t="str">
        <v>犀浦</v>
      </c>
      <c r="B282" s="11" t="str">
        <v>保洁</v>
      </c>
      <c r="C282" s="11">
        <v>0</v>
      </c>
      <c r="D282" s="11" t="str">
        <v>陈明秀</v>
      </c>
      <c r="E282" s="11" t="str">
        <v>在职</v>
      </c>
      <c r="F282" s="11" t="str">
        <v>事业部</v>
      </c>
      <c r="G282" s="11">
        <f>_xlfn.XLOOKUP(D282,'①7月-花名册'!E:E,'①7月-花名册'!U:U,0)</f>
        <v>0</v>
      </c>
      <c r="H282" s="11">
        <f>_xlfn.XLOOKUP(D282,'①7月-花名册'!E:E,'①7月-花名册'!M:M,0)</f>
        <v>31</v>
      </c>
      <c r="I282" s="11">
        <f>_xlfn.XLOOKUP(D282,'①7月-花名册'!E:E,'①7月-花名册'!S:S,0)</f>
        <v>4</v>
      </c>
      <c r="J282" s="14">
        <f t="shared" si="42"/>
        <v>0</v>
      </c>
      <c r="K282" s="23"/>
      <c r="L282" s="23"/>
      <c r="M282" s="23"/>
      <c r="N282" s="23"/>
      <c r="O282" s="23"/>
      <c r="P282" s="15">
        <f t="shared" si="43"/>
        <v>31</v>
      </c>
      <c r="Q282" s="15">
        <f t="shared" si="44"/>
        <v>31</v>
      </c>
      <c r="R282" s="15">
        <f>IF(F282="事业部",LOOKUP(Q282,基础设置!$T$2:$T$6,基础设置!$U$2:$U$6),IF(F282="总部",LOOKUP(Q282,基础设置!$T$8:$T$13,基础设置!$V$8:$V$13),IF(F282="拓展部",LOOKUP(Q282,基础设置!$T$8:$T$13,基础设置!$W$8:$W$13),2000)))</f>
        <v>4</v>
      </c>
      <c r="S282" s="15">
        <f t="shared" si="45"/>
        <v>31</v>
      </c>
      <c r="T282" s="15">
        <f t="shared" si="46"/>
        <v>0</v>
      </c>
      <c r="U282" s="15">
        <f t="shared" si="47"/>
        <v>0</v>
      </c>
      <c r="V282" s="15">
        <f t="shared" si="40"/>
        <v>0</v>
      </c>
      <c r="W282" s="15">
        <f t="shared" si="48"/>
        <v>0</v>
      </c>
      <c r="X282" s="26"/>
      <c r="Y282" s="26"/>
      <c r="Z282" s="26"/>
      <c r="AA282" s="26"/>
      <c r="AB282" s="27"/>
      <c r="AC282" s="27"/>
      <c r="AD282" s="27"/>
      <c r="AE282" s="27"/>
      <c r="AF282" s="27"/>
      <c r="AG282" s="27"/>
      <c r="AH282" s="17">
        <f>_xlfn.XLOOKUP(D282,'①7月-花名册'!E:E,'①7月-花名册'!T:T,0)</f>
        <v>1200</v>
      </c>
      <c r="AI282" s="15">
        <f>SUMIFS('7月运营'!$L:$L,'7月运营'!$A:$A,D282,'7月运营'!$K:$K,$A$1)</f>
        <v>0</v>
      </c>
      <c r="AJ282" s="15">
        <f>SUMIFS('7月运营'!H:H,'7月运营'!$A:$A,D282,'7月运营'!$K:$K,$A$1)</f>
        <v>0</v>
      </c>
      <c r="AK282" s="15">
        <f>SUMIFS(上月未发人员明细!I:I,上月未发人员明细!J:J,$AK$2,上月未发人员明细!A:A,D282)</f>
        <v>0</v>
      </c>
      <c r="AL282" s="15">
        <f>SUMIFS('7月运营'!L:L,'7月运营'!$A:$A,D282,'7月运营'!$K:$K,$AL$2)</f>
        <v>0</v>
      </c>
      <c r="AM282" s="18">
        <f>SUMIFS('7月运营'!$F:$F,'7月运营'!$A:$A,D282,'7月运营'!$K:$K,'②7月-汇总'!$AM$2,'7月运营'!$G:$G,"岗位核算")</f>
        <v>0</v>
      </c>
      <c r="AN282" s="18">
        <f>SUMIFS('7月运营'!$F:$F,'7月运营'!$A:$A,D282,'7月运营'!$K:$K,$AN$2,'7月运营'!$G:$G,"岗位核算")</f>
        <v>0</v>
      </c>
      <c r="AO282" s="18" t="str">
        <f t="shared" si="49"/>
        <v/>
      </c>
      <c r="AP282" s="18">
        <f t="shared" si="41"/>
        <v>31</v>
      </c>
      <c r="AQ282" s="18">
        <f>_xlfn.XLOOKUP(D282,'7月运营'!A:A,'7月运营'!G:G,0)</f>
        <v>0</v>
      </c>
    </row>
    <row r="283" spans="1:43" x14ac:dyDescent="0.15">
      <c r="A283" s="11" t="str">
        <v>明信</v>
      </c>
      <c r="B283" s="11" t="str">
        <v>保洁</v>
      </c>
      <c r="C283" s="11">
        <v>0</v>
      </c>
      <c r="D283" s="11" t="str">
        <v>许开会</v>
      </c>
      <c r="E283" s="11" t="str">
        <v>在职</v>
      </c>
      <c r="F283" s="11" t="str">
        <v>事业部</v>
      </c>
      <c r="G283" s="11">
        <f>_xlfn.XLOOKUP(D283,'①7月-花名册'!E:E,'①7月-花名册'!U:U,0)</f>
        <v>0</v>
      </c>
      <c r="H283" s="11">
        <f>_xlfn.XLOOKUP(D283,'①7月-花名册'!E:E,'①7月-花名册'!M:M,0)</f>
        <v>31</v>
      </c>
      <c r="I283" s="11">
        <f>_xlfn.XLOOKUP(D283,'①7月-花名册'!E:E,'①7月-花名册'!S:S,0)</f>
        <v>4</v>
      </c>
      <c r="J283" s="14">
        <f t="shared" si="42"/>
        <v>0</v>
      </c>
      <c r="K283" s="23"/>
      <c r="L283" s="23"/>
      <c r="M283" s="23"/>
      <c r="N283" s="23"/>
      <c r="O283" s="23"/>
      <c r="P283" s="15">
        <f t="shared" si="43"/>
        <v>31</v>
      </c>
      <c r="Q283" s="15">
        <f t="shared" si="44"/>
        <v>31</v>
      </c>
      <c r="R283" s="15">
        <f>IF(F283="事业部",LOOKUP(Q283,基础设置!$T$2:$T$6,基础设置!$U$2:$U$6),IF(F283="总部",LOOKUP(Q283,基础设置!$T$8:$T$13,基础设置!$V$8:$V$13),IF(F283="拓展部",LOOKUP(Q283,基础设置!$T$8:$T$13,基础设置!$W$8:$W$13),2000)))</f>
        <v>4</v>
      </c>
      <c r="S283" s="15">
        <f t="shared" si="45"/>
        <v>31</v>
      </c>
      <c r="T283" s="15">
        <f t="shared" si="46"/>
        <v>0</v>
      </c>
      <c r="U283" s="15">
        <f t="shared" si="47"/>
        <v>0</v>
      </c>
      <c r="V283" s="15">
        <f t="shared" si="40"/>
        <v>0</v>
      </c>
      <c r="W283" s="15">
        <f t="shared" si="48"/>
        <v>0</v>
      </c>
      <c r="X283" s="26"/>
      <c r="Y283" s="26"/>
      <c r="Z283" s="26"/>
      <c r="AA283" s="26"/>
      <c r="AB283" s="27"/>
      <c r="AC283" s="27"/>
      <c r="AD283" s="27"/>
      <c r="AE283" s="27"/>
      <c r="AF283" s="27"/>
      <c r="AG283" s="27"/>
      <c r="AH283" s="17">
        <f>_xlfn.XLOOKUP(D283,'①7月-花名册'!E:E,'①7月-花名册'!T:T,0)</f>
        <v>1300</v>
      </c>
      <c r="AI283" s="15">
        <f>SUMIFS('7月运营'!$L:$L,'7月运营'!$A:$A,D283,'7月运营'!$K:$K,$A$1)</f>
        <v>0</v>
      </c>
      <c r="AJ283" s="15">
        <f>SUMIFS('7月运营'!H:H,'7月运营'!$A:$A,D283,'7月运营'!$K:$K,$A$1)</f>
        <v>0</v>
      </c>
      <c r="AK283" s="15">
        <f>SUMIFS(上月未发人员明细!I:I,上月未发人员明细!J:J,$AK$2,上月未发人员明细!A:A,D283)</f>
        <v>0</v>
      </c>
      <c r="AL283" s="15">
        <f>SUMIFS('7月运营'!L:L,'7月运营'!$A:$A,D283,'7月运营'!$K:$K,$AL$2)</f>
        <v>0</v>
      </c>
      <c r="AM283" s="18">
        <f>SUMIFS('7月运营'!$F:$F,'7月运营'!$A:$A,D283,'7月运营'!$K:$K,'②7月-汇总'!$AM$2,'7月运营'!$G:$G,"岗位核算")</f>
        <v>0</v>
      </c>
      <c r="AN283" s="18">
        <f>SUMIFS('7月运营'!$F:$F,'7月运营'!$A:$A,D283,'7月运营'!$K:$K,$AN$2,'7月运营'!$G:$G,"岗位核算")</f>
        <v>0</v>
      </c>
      <c r="AO283" s="18" t="str">
        <f t="shared" si="49"/>
        <v/>
      </c>
      <c r="AP283" s="18">
        <f t="shared" si="41"/>
        <v>31</v>
      </c>
      <c r="AQ283" s="18">
        <f>_xlfn.XLOOKUP(D283,'7月运营'!A:A,'7月运营'!G:G,0)</f>
        <v>0</v>
      </c>
    </row>
    <row r="284" spans="1:43" x14ac:dyDescent="0.15">
      <c r="A284" s="11" t="str">
        <v>千禧</v>
      </c>
      <c r="B284" s="11" t="str">
        <v>保洁</v>
      </c>
      <c r="C284" s="11">
        <v>0</v>
      </c>
      <c r="D284" s="11" t="str">
        <v>蒋治琼</v>
      </c>
      <c r="E284" s="11" t="str">
        <v>在职</v>
      </c>
      <c r="F284" s="11" t="str">
        <v>事业部</v>
      </c>
      <c r="G284" s="11">
        <f>_xlfn.XLOOKUP(D284,'①7月-花名册'!E:E,'①7月-花名册'!U:U,0)</f>
        <v>0</v>
      </c>
      <c r="H284" s="11">
        <f>_xlfn.XLOOKUP(D284,'①7月-花名册'!E:E,'①7月-花名册'!M:M,0)</f>
        <v>31</v>
      </c>
      <c r="I284" s="11">
        <f>_xlfn.XLOOKUP(D284,'①7月-花名册'!E:E,'①7月-花名册'!S:S,0)</f>
        <v>4</v>
      </c>
      <c r="J284" s="14">
        <f t="shared" si="42"/>
        <v>0</v>
      </c>
      <c r="K284" s="23"/>
      <c r="L284" s="23"/>
      <c r="M284" s="23"/>
      <c r="N284" s="23"/>
      <c r="O284" s="23"/>
      <c r="P284" s="15">
        <f t="shared" si="43"/>
        <v>31</v>
      </c>
      <c r="Q284" s="15">
        <f t="shared" si="44"/>
        <v>31</v>
      </c>
      <c r="R284" s="15">
        <f>IF(F284="事业部",LOOKUP(Q284,基础设置!$T$2:$T$6,基础设置!$U$2:$U$6),IF(F284="总部",LOOKUP(Q284,基础设置!$T$8:$T$13,基础设置!$V$8:$V$13),IF(F284="拓展部",LOOKUP(Q284,基础设置!$T$8:$T$13,基础设置!$W$8:$W$13),2000)))</f>
        <v>4</v>
      </c>
      <c r="S284" s="15">
        <f t="shared" si="45"/>
        <v>31</v>
      </c>
      <c r="T284" s="15">
        <f t="shared" si="46"/>
        <v>0</v>
      </c>
      <c r="U284" s="15">
        <f t="shared" si="47"/>
        <v>0</v>
      </c>
      <c r="V284" s="15">
        <f t="shared" si="40"/>
        <v>0</v>
      </c>
      <c r="W284" s="15">
        <f t="shared" si="48"/>
        <v>0</v>
      </c>
      <c r="X284" s="26"/>
      <c r="Y284" s="26"/>
      <c r="Z284" s="26"/>
      <c r="AA284" s="26"/>
      <c r="AB284" s="27"/>
      <c r="AC284" s="27"/>
      <c r="AD284" s="27"/>
      <c r="AE284" s="27"/>
      <c r="AF284" s="27"/>
      <c r="AG284" s="27"/>
      <c r="AH284" s="17">
        <f>_xlfn.XLOOKUP(D284,'①7月-花名册'!E:E,'①7月-花名册'!T:T,0)</f>
        <v>1200</v>
      </c>
      <c r="AI284" s="15">
        <f>SUMIFS('7月运营'!$L:$L,'7月运营'!$A:$A,D284,'7月运营'!$K:$K,$A$1)</f>
        <v>0</v>
      </c>
      <c r="AJ284" s="15">
        <f>SUMIFS('7月运营'!H:H,'7月运营'!$A:$A,D284,'7月运营'!$K:$K,$A$1)</f>
        <v>0</v>
      </c>
      <c r="AK284" s="15">
        <f>SUMIFS(上月未发人员明细!I:I,上月未发人员明细!J:J,$AK$2,上月未发人员明细!A:A,D284)</f>
        <v>0</v>
      </c>
      <c r="AL284" s="15">
        <f>SUMIFS('7月运营'!L:L,'7月运营'!$A:$A,D284,'7月运营'!$K:$K,$AL$2)</f>
        <v>0</v>
      </c>
      <c r="AM284" s="18">
        <f>SUMIFS('7月运营'!$F:$F,'7月运营'!$A:$A,D284,'7月运营'!$K:$K,'②7月-汇总'!$AM$2,'7月运营'!$G:$G,"岗位核算")</f>
        <v>0</v>
      </c>
      <c r="AN284" s="18">
        <f>SUMIFS('7月运营'!$F:$F,'7月运营'!$A:$A,D284,'7月运营'!$K:$K,$AN$2,'7月运营'!$G:$G,"岗位核算")</f>
        <v>0</v>
      </c>
      <c r="AO284" s="18" t="str">
        <f t="shared" si="49"/>
        <v/>
      </c>
      <c r="AP284" s="18">
        <f t="shared" si="41"/>
        <v>31</v>
      </c>
      <c r="AQ284" s="18">
        <f>_xlfn.XLOOKUP(D284,'7月运营'!A:A,'7月运营'!G:G,0)</f>
        <v>0</v>
      </c>
    </row>
    <row r="285" spans="1:43" x14ac:dyDescent="0.15">
      <c r="A285" s="11" t="str">
        <v>中和</v>
      </c>
      <c r="B285" s="11" t="str">
        <v>保洁</v>
      </c>
      <c r="C285" s="11">
        <v>0</v>
      </c>
      <c r="D285" s="11" t="str">
        <v>曾志芬</v>
      </c>
      <c r="E285" s="11" t="str">
        <v>在职</v>
      </c>
      <c r="F285" s="11" t="str">
        <v>事业部</v>
      </c>
      <c r="G285" s="11">
        <f>_xlfn.XLOOKUP(D285,'①7月-花名册'!E:E,'①7月-花名册'!U:U,0)</f>
        <v>0</v>
      </c>
      <c r="H285" s="11">
        <f>_xlfn.XLOOKUP(D285,'①7月-花名册'!E:E,'①7月-花名册'!M:M,0)</f>
        <v>31</v>
      </c>
      <c r="I285" s="11">
        <f>_xlfn.XLOOKUP(D285,'①7月-花名册'!E:E,'①7月-花名册'!S:S,0)</f>
        <v>4</v>
      </c>
      <c r="J285" s="14">
        <f t="shared" si="42"/>
        <v>0</v>
      </c>
      <c r="K285" s="23"/>
      <c r="L285" s="23"/>
      <c r="M285" s="23"/>
      <c r="N285" s="23"/>
      <c r="O285" s="23"/>
      <c r="P285" s="15">
        <f t="shared" si="43"/>
        <v>31</v>
      </c>
      <c r="Q285" s="15">
        <f t="shared" si="44"/>
        <v>31</v>
      </c>
      <c r="R285" s="15">
        <f>IF(F285="事业部",LOOKUP(Q285,基础设置!$T$2:$T$6,基础设置!$U$2:$U$6),IF(F285="总部",LOOKUP(Q285,基础设置!$T$8:$T$13,基础设置!$V$8:$V$13),IF(F285="拓展部",LOOKUP(Q285,基础设置!$T$8:$T$13,基础设置!$W$8:$W$13),2000)))</f>
        <v>4</v>
      </c>
      <c r="S285" s="15">
        <f t="shared" si="45"/>
        <v>31</v>
      </c>
      <c r="T285" s="15">
        <f t="shared" si="46"/>
        <v>0</v>
      </c>
      <c r="U285" s="15">
        <f t="shared" si="47"/>
        <v>0</v>
      </c>
      <c r="V285" s="15">
        <f t="shared" si="40"/>
        <v>0</v>
      </c>
      <c r="W285" s="15">
        <f t="shared" si="48"/>
        <v>0</v>
      </c>
      <c r="X285" s="26"/>
      <c r="Y285" s="26"/>
      <c r="Z285" s="26"/>
      <c r="AA285" s="26"/>
      <c r="AB285" s="27"/>
      <c r="AC285" s="27"/>
      <c r="AD285" s="27"/>
      <c r="AE285" s="27"/>
      <c r="AF285" s="27"/>
      <c r="AG285" s="27"/>
      <c r="AH285" s="17">
        <f>_xlfn.XLOOKUP(D285,'①7月-花名册'!E:E,'①7月-花名册'!T:T,0)</f>
        <v>1200</v>
      </c>
      <c r="AI285" s="15">
        <f>SUMIFS('7月运营'!$L:$L,'7月运营'!$A:$A,D285,'7月运营'!$K:$K,$A$1)</f>
        <v>0</v>
      </c>
      <c r="AJ285" s="15">
        <f>SUMIFS('7月运营'!H:H,'7月运营'!$A:$A,D285,'7月运营'!$K:$K,$A$1)</f>
        <v>0</v>
      </c>
      <c r="AK285" s="15">
        <f>SUMIFS(上月未发人员明细!I:I,上月未发人员明细!J:J,$AK$2,上月未发人员明细!A:A,D285)</f>
        <v>0</v>
      </c>
      <c r="AL285" s="15">
        <f>SUMIFS('7月运营'!L:L,'7月运营'!$A:$A,D285,'7月运营'!$K:$K,$AL$2)</f>
        <v>0</v>
      </c>
      <c r="AM285" s="18">
        <f>SUMIFS('7月运营'!$F:$F,'7月运营'!$A:$A,D285,'7月运营'!$K:$K,'②7月-汇总'!$AM$2,'7月运营'!$G:$G,"岗位核算")</f>
        <v>0</v>
      </c>
      <c r="AN285" s="18">
        <f>SUMIFS('7月运营'!$F:$F,'7月运营'!$A:$A,D285,'7月运营'!$K:$K,$AN$2,'7月运营'!$G:$G,"岗位核算")</f>
        <v>0</v>
      </c>
      <c r="AO285" s="18" t="str">
        <f t="shared" si="49"/>
        <v/>
      </c>
      <c r="AP285" s="18">
        <f t="shared" si="41"/>
        <v>31</v>
      </c>
      <c r="AQ285" s="18">
        <f>_xlfn.XLOOKUP(D285,'7月运营'!A:A,'7月运营'!G:G,0)</f>
        <v>0</v>
      </c>
    </row>
    <row r="286" spans="1:43" x14ac:dyDescent="0.15">
      <c r="A286" s="11" t="str">
        <v>光华</v>
      </c>
      <c r="B286" s="11" t="str">
        <v>保洁</v>
      </c>
      <c r="C286" s="11">
        <v>0</v>
      </c>
      <c r="D286" s="11" t="str">
        <v>罗广秀</v>
      </c>
      <c r="E286" s="11" t="str">
        <v>在职</v>
      </c>
      <c r="F286" s="11" t="str">
        <v>事业部</v>
      </c>
      <c r="G286" s="11">
        <f>_xlfn.XLOOKUP(D286,'①7月-花名册'!E:E,'①7月-花名册'!U:U,0)</f>
        <v>0</v>
      </c>
      <c r="H286" s="11">
        <f>_xlfn.XLOOKUP(D286,'①7月-花名册'!E:E,'①7月-花名册'!M:M,0)</f>
        <v>31</v>
      </c>
      <c r="I286" s="11">
        <f>_xlfn.XLOOKUP(D286,'①7月-花名册'!E:E,'①7月-花名册'!S:S,0)</f>
        <v>4</v>
      </c>
      <c r="J286" s="14">
        <f t="shared" si="42"/>
        <v>0</v>
      </c>
      <c r="K286" s="23"/>
      <c r="L286" s="23"/>
      <c r="M286" s="23"/>
      <c r="N286" s="23"/>
      <c r="O286" s="23"/>
      <c r="P286" s="15">
        <f t="shared" si="43"/>
        <v>31</v>
      </c>
      <c r="Q286" s="15">
        <f t="shared" si="44"/>
        <v>31</v>
      </c>
      <c r="R286" s="15">
        <f>IF(F286="事业部",LOOKUP(Q286,基础设置!$T$2:$T$6,基础设置!$U$2:$U$6),IF(F286="总部",LOOKUP(Q286,基础设置!$T$8:$T$13,基础设置!$V$8:$V$13),IF(F286="拓展部",LOOKUP(Q286,基础设置!$T$8:$T$13,基础设置!$W$8:$W$13),2000)))</f>
        <v>4</v>
      </c>
      <c r="S286" s="15">
        <f t="shared" si="45"/>
        <v>31</v>
      </c>
      <c r="T286" s="15">
        <f t="shared" si="46"/>
        <v>0</v>
      </c>
      <c r="U286" s="15">
        <f t="shared" si="47"/>
        <v>0</v>
      </c>
      <c r="V286" s="15">
        <f t="shared" si="40"/>
        <v>0</v>
      </c>
      <c r="W286" s="15">
        <f t="shared" si="48"/>
        <v>0</v>
      </c>
      <c r="X286" s="26"/>
      <c r="Y286" s="26"/>
      <c r="Z286" s="26"/>
      <c r="AA286" s="26"/>
      <c r="AB286" s="27"/>
      <c r="AC286" s="27"/>
      <c r="AD286" s="27"/>
      <c r="AE286" s="27"/>
      <c r="AF286" s="27"/>
      <c r="AG286" s="27"/>
      <c r="AH286" s="17">
        <f>_xlfn.XLOOKUP(D286,'①7月-花名册'!E:E,'①7月-花名册'!T:T,0)</f>
        <v>1400</v>
      </c>
      <c r="AI286" s="15">
        <f>SUMIFS('7月运营'!$L:$L,'7月运营'!$A:$A,D286,'7月运营'!$K:$K,$A$1)</f>
        <v>0</v>
      </c>
      <c r="AJ286" s="15">
        <f>SUMIFS('7月运营'!H:H,'7月运营'!$A:$A,D286,'7月运营'!$K:$K,$A$1)</f>
        <v>0</v>
      </c>
      <c r="AK286" s="15">
        <f>SUMIFS(上月未发人员明细!I:I,上月未发人员明细!J:J,$AK$2,上月未发人员明细!A:A,D286)</f>
        <v>0</v>
      </c>
      <c r="AL286" s="15">
        <f>SUMIFS('7月运营'!L:L,'7月运营'!$A:$A,D286,'7月运营'!$K:$K,$AL$2)</f>
        <v>0</v>
      </c>
      <c r="AM286" s="18">
        <f>SUMIFS('7月运营'!$F:$F,'7月运营'!$A:$A,D286,'7月运营'!$K:$K,'②7月-汇总'!$AM$2,'7月运营'!$G:$G,"岗位核算")</f>
        <v>0</v>
      </c>
      <c r="AN286" s="18">
        <f>SUMIFS('7月运营'!$F:$F,'7月运营'!$A:$A,D286,'7月运营'!$K:$K,$AN$2,'7月运营'!$G:$G,"岗位核算")</f>
        <v>0</v>
      </c>
      <c r="AO286" s="18" t="str">
        <f t="shared" si="49"/>
        <v/>
      </c>
      <c r="AP286" s="18">
        <f t="shared" si="41"/>
        <v>31</v>
      </c>
      <c r="AQ286" s="18">
        <f>_xlfn.XLOOKUP(D286,'7月运营'!A:A,'7月运营'!G:G,0)</f>
        <v>0</v>
      </c>
    </row>
    <row r="287" spans="1:43" x14ac:dyDescent="0.15">
      <c r="A287" s="11" t="str">
        <v>亚洲湾</v>
      </c>
      <c r="B287" s="11" t="str">
        <v>保洁</v>
      </c>
      <c r="C287" s="11">
        <v>0</v>
      </c>
      <c r="D287" s="11" t="str">
        <v>何先会</v>
      </c>
      <c r="E287" s="11" t="str">
        <v>在职</v>
      </c>
      <c r="F287" s="11" t="str">
        <v>事业部</v>
      </c>
      <c r="G287" s="11">
        <f>_xlfn.XLOOKUP(D287,'①7月-花名册'!E:E,'①7月-花名册'!U:U,0)</f>
        <v>0</v>
      </c>
      <c r="H287" s="11">
        <f>_xlfn.XLOOKUP(D287,'①7月-花名册'!E:E,'①7月-花名册'!M:M,0)</f>
        <v>31</v>
      </c>
      <c r="I287" s="11">
        <f>_xlfn.XLOOKUP(D287,'①7月-花名册'!E:E,'①7月-花名册'!S:S,0)</f>
        <v>4</v>
      </c>
      <c r="J287" s="14">
        <f t="shared" si="42"/>
        <v>0</v>
      </c>
      <c r="K287" s="23"/>
      <c r="L287" s="23"/>
      <c r="M287" s="23"/>
      <c r="N287" s="23"/>
      <c r="O287" s="23"/>
      <c r="P287" s="15">
        <f t="shared" si="43"/>
        <v>31</v>
      </c>
      <c r="Q287" s="15">
        <f t="shared" si="44"/>
        <v>31</v>
      </c>
      <c r="R287" s="15">
        <f>IF(F287="事业部",LOOKUP(Q287,基础设置!$T$2:$T$6,基础设置!$U$2:$U$6),IF(F287="总部",LOOKUP(Q287,基础设置!$T$8:$T$13,基础设置!$V$8:$V$13),IF(F287="拓展部",LOOKUP(Q287,基础设置!$T$8:$T$13,基础设置!$W$8:$W$13),2000)))</f>
        <v>4</v>
      </c>
      <c r="S287" s="15">
        <f t="shared" si="45"/>
        <v>31</v>
      </c>
      <c r="T287" s="15">
        <f t="shared" si="46"/>
        <v>0</v>
      </c>
      <c r="U287" s="15">
        <f t="shared" si="47"/>
        <v>0</v>
      </c>
      <c r="V287" s="15">
        <f t="shared" si="40"/>
        <v>0</v>
      </c>
      <c r="W287" s="15">
        <f t="shared" si="48"/>
        <v>0</v>
      </c>
      <c r="X287" s="26"/>
      <c r="Y287" s="26"/>
      <c r="Z287" s="26"/>
      <c r="AA287" s="26"/>
      <c r="AB287" s="27"/>
      <c r="AC287" s="27"/>
      <c r="AD287" s="27"/>
      <c r="AE287" s="27"/>
      <c r="AF287" s="27"/>
      <c r="AG287" s="27"/>
      <c r="AH287" s="17">
        <f>_xlfn.XLOOKUP(D287,'①7月-花名册'!E:E,'①7月-花名册'!T:T,0)</f>
        <v>1500</v>
      </c>
      <c r="AI287" s="15">
        <f>SUMIFS('7月运营'!$L:$L,'7月运营'!$A:$A,D287,'7月运营'!$K:$K,$A$1)</f>
        <v>0</v>
      </c>
      <c r="AJ287" s="15">
        <f>SUMIFS('7月运营'!H:H,'7月运营'!$A:$A,D287,'7月运营'!$K:$K,$A$1)</f>
        <v>0</v>
      </c>
      <c r="AK287" s="15">
        <f>SUMIFS(上月未发人员明细!I:I,上月未发人员明细!J:J,$AK$2,上月未发人员明细!A:A,D287)</f>
        <v>0</v>
      </c>
      <c r="AL287" s="15">
        <f>SUMIFS('7月运营'!L:L,'7月运营'!$A:$A,D287,'7月运营'!$K:$K,$AL$2)</f>
        <v>0</v>
      </c>
      <c r="AM287" s="18">
        <f>SUMIFS('7月运营'!$F:$F,'7月运营'!$A:$A,D287,'7月运营'!$K:$K,'②7月-汇总'!$AM$2,'7月运营'!$G:$G,"岗位核算")</f>
        <v>0</v>
      </c>
      <c r="AN287" s="18">
        <f>SUMIFS('7月运营'!$F:$F,'7月运营'!$A:$A,D287,'7月运营'!$K:$K,$AN$2,'7月运营'!$G:$G,"岗位核算")</f>
        <v>0</v>
      </c>
      <c r="AO287" s="18" t="str">
        <f t="shared" si="49"/>
        <v/>
      </c>
      <c r="AP287" s="18">
        <f t="shared" si="41"/>
        <v>31</v>
      </c>
      <c r="AQ287" s="18">
        <f>_xlfn.XLOOKUP(D287,'7月运营'!A:A,'7月运营'!G:G,0)</f>
        <v>0</v>
      </c>
    </row>
    <row r="288" spans="1:43" x14ac:dyDescent="0.15">
      <c r="A288" s="11" t="str">
        <v>凤凰山</v>
      </c>
      <c r="B288" s="11" t="str">
        <v>保洁</v>
      </c>
      <c r="C288" s="11">
        <v>0</v>
      </c>
      <c r="D288" s="11" t="str">
        <v>陈德芳</v>
      </c>
      <c r="E288" s="11" t="str">
        <v>在职</v>
      </c>
      <c r="F288" s="11" t="str">
        <v>事业部</v>
      </c>
      <c r="G288" s="11">
        <f>_xlfn.XLOOKUP(D288,'①7月-花名册'!E:E,'①7月-花名册'!U:U,0)</f>
        <v>0</v>
      </c>
      <c r="H288" s="11">
        <f>_xlfn.XLOOKUP(D288,'①7月-花名册'!E:E,'①7月-花名册'!M:M,0)</f>
        <v>31</v>
      </c>
      <c r="I288" s="11">
        <f>_xlfn.XLOOKUP(D288,'①7月-花名册'!E:E,'①7月-花名册'!S:S,0)</f>
        <v>4</v>
      </c>
      <c r="J288" s="14">
        <f t="shared" si="42"/>
        <v>0</v>
      </c>
      <c r="K288" s="23"/>
      <c r="L288" s="23"/>
      <c r="M288" s="23"/>
      <c r="N288" s="23"/>
      <c r="O288" s="23"/>
      <c r="P288" s="15">
        <f t="shared" si="43"/>
        <v>31</v>
      </c>
      <c r="Q288" s="15">
        <f t="shared" si="44"/>
        <v>31</v>
      </c>
      <c r="R288" s="15">
        <f>IF(F288="事业部",LOOKUP(Q288,基础设置!$T$2:$T$6,基础设置!$U$2:$U$6),IF(F288="总部",LOOKUP(Q288,基础设置!$T$8:$T$13,基础设置!$V$8:$V$13),IF(F288="拓展部",LOOKUP(Q288,基础设置!$T$8:$T$13,基础设置!$W$8:$W$13),2000)))</f>
        <v>4</v>
      </c>
      <c r="S288" s="15">
        <f t="shared" si="45"/>
        <v>31</v>
      </c>
      <c r="T288" s="15">
        <f t="shared" si="46"/>
        <v>0</v>
      </c>
      <c r="U288" s="15">
        <f t="shared" si="47"/>
        <v>0</v>
      </c>
      <c r="V288" s="15">
        <f t="shared" si="40"/>
        <v>0</v>
      </c>
      <c r="W288" s="15">
        <f t="shared" si="48"/>
        <v>0</v>
      </c>
      <c r="X288" s="26"/>
      <c r="Y288" s="26"/>
      <c r="Z288" s="26"/>
      <c r="AA288" s="26"/>
      <c r="AB288" s="27"/>
      <c r="AC288" s="27"/>
      <c r="AD288" s="27"/>
      <c r="AE288" s="27"/>
      <c r="AF288" s="27"/>
      <c r="AG288" s="27"/>
      <c r="AH288" s="17">
        <f>_xlfn.XLOOKUP(D288,'①7月-花名册'!E:E,'①7月-花名册'!T:T,0)</f>
        <v>1400</v>
      </c>
      <c r="AI288" s="15">
        <f>SUMIFS('7月运营'!$L:$L,'7月运营'!$A:$A,D288,'7月运营'!$K:$K,$A$1)</f>
        <v>0</v>
      </c>
      <c r="AJ288" s="15">
        <f>SUMIFS('7月运营'!H:H,'7月运营'!$A:$A,D288,'7月运营'!$K:$K,$A$1)</f>
        <v>0</v>
      </c>
      <c r="AK288" s="15">
        <f>SUMIFS(上月未发人员明细!I:I,上月未发人员明细!J:J,$AK$2,上月未发人员明细!A:A,D288)</f>
        <v>0</v>
      </c>
      <c r="AL288" s="15">
        <f>SUMIFS('7月运营'!L:L,'7月运营'!$A:$A,D288,'7月运营'!$K:$K,$AL$2)</f>
        <v>0</v>
      </c>
      <c r="AM288" s="18">
        <f>SUMIFS('7月运营'!$F:$F,'7月运营'!$A:$A,D288,'7月运营'!$K:$K,'②7月-汇总'!$AM$2,'7月运营'!$G:$G,"岗位核算")</f>
        <v>0</v>
      </c>
      <c r="AN288" s="18">
        <f>SUMIFS('7月运营'!$F:$F,'7月运营'!$A:$A,D288,'7月运营'!$K:$K,$AN$2,'7月运营'!$G:$G,"岗位核算")</f>
        <v>0</v>
      </c>
      <c r="AO288" s="18" t="str">
        <f t="shared" si="49"/>
        <v/>
      </c>
      <c r="AP288" s="18">
        <f t="shared" si="41"/>
        <v>31</v>
      </c>
      <c r="AQ288" s="18">
        <f>_xlfn.XLOOKUP(D288,'7月运营'!A:A,'7月运营'!G:G,0)</f>
        <v>0</v>
      </c>
    </row>
    <row r="289" spans="1:43" x14ac:dyDescent="0.15">
      <c r="A289" s="11" t="str">
        <v>华润</v>
      </c>
      <c r="B289" s="11" t="str">
        <v>保洁</v>
      </c>
      <c r="C289" s="11">
        <v>0</v>
      </c>
      <c r="D289" s="11" t="str">
        <v>邓成分</v>
      </c>
      <c r="E289" s="11" t="str">
        <v>在职</v>
      </c>
      <c r="F289" s="11" t="str">
        <v>事业部</v>
      </c>
      <c r="G289" s="11">
        <f>_xlfn.XLOOKUP(D289,'①7月-花名册'!E:E,'①7月-花名册'!U:U,0)</f>
        <v>0</v>
      </c>
      <c r="H289" s="11">
        <f>_xlfn.XLOOKUP(D289,'①7月-花名册'!E:E,'①7月-花名册'!M:M,0)</f>
        <v>31</v>
      </c>
      <c r="I289" s="11">
        <f>_xlfn.XLOOKUP(D289,'①7月-花名册'!E:E,'①7月-花名册'!S:S,0)</f>
        <v>4</v>
      </c>
      <c r="J289" s="14">
        <f t="shared" si="42"/>
        <v>0</v>
      </c>
      <c r="K289" s="23"/>
      <c r="L289" s="23"/>
      <c r="M289" s="23"/>
      <c r="N289" s="23"/>
      <c r="O289" s="23"/>
      <c r="P289" s="15">
        <f t="shared" si="43"/>
        <v>31</v>
      </c>
      <c r="Q289" s="15">
        <f t="shared" si="44"/>
        <v>31</v>
      </c>
      <c r="R289" s="15">
        <f>IF(F289="事业部",LOOKUP(Q289,基础设置!$T$2:$T$6,基础设置!$U$2:$U$6),IF(F289="总部",LOOKUP(Q289,基础设置!$T$8:$T$13,基础设置!$V$8:$V$13),IF(F289="拓展部",LOOKUP(Q289,基础设置!$T$8:$T$13,基础设置!$W$8:$W$13),2000)))</f>
        <v>4</v>
      </c>
      <c r="S289" s="15">
        <f t="shared" si="45"/>
        <v>31</v>
      </c>
      <c r="T289" s="15">
        <f t="shared" si="46"/>
        <v>0</v>
      </c>
      <c r="U289" s="15">
        <f t="shared" si="47"/>
        <v>0</v>
      </c>
      <c r="V289" s="15">
        <f t="shared" si="40"/>
        <v>0</v>
      </c>
      <c r="W289" s="15">
        <f t="shared" si="48"/>
        <v>0</v>
      </c>
      <c r="X289" s="26"/>
      <c r="Y289" s="26"/>
      <c r="Z289" s="26"/>
      <c r="AA289" s="26"/>
      <c r="AB289" s="27"/>
      <c r="AC289" s="27"/>
      <c r="AD289" s="27"/>
      <c r="AE289" s="27"/>
      <c r="AF289" s="27"/>
      <c r="AG289" s="27"/>
      <c r="AH289" s="17">
        <f>_xlfn.XLOOKUP(D289,'①7月-花名册'!E:E,'①7月-花名册'!T:T,0)</f>
        <v>1300</v>
      </c>
      <c r="AI289" s="15">
        <f>SUMIFS('7月运营'!$L:$L,'7月运营'!$A:$A,D289,'7月运营'!$K:$K,$A$1)</f>
        <v>0</v>
      </c>
      <c r="AJ289" s="15">
        <f>SUMIFS('7月运营'!H:H,'7月运营'!$A:$A,D289,'7月运营'!$K:$K,$A$1)</f>
        <v>0</v>
      </c>
      <c r="AK289" s="15">
        <f>SUMIFS(上月未发人员明细!I:I,上月未发人员明细!J:J,$AK$2,上月未发人员明细!A:A,D289)</f>
        <v>0</v>
      </c>
      <c r="AL289" s="15">
        <f>SUMIFS('7月运营'!L:L,'7月运营'!$A:$A,D289,'7月运营'!$K:$K,$AL$2)</f>
        <v>0</v>
      </c>
      <c r="AM289" s="18">
        <f>SUMIFS('7月运营'!$F:$F,'7月运营'!$A:$A,D289,'7月运营'!$K:$K,'②7月-汇总'!$AM$2,'7月运营'!$G:$G,"岗位核算")</f>
        <v>0</v>
      </c>
      <c r="AN289" s="18">
        <f>SUMIFS('7月运营'!$F:$F,'7月运营'!$A:$A,D289,'7月运营'!$K:$K,$AN$2,'7月运营'!$G:$G,"岗位核算")</f>
        <v>0</v>
      </c>
      <c r="AO289" s="18" t="str">
        <f t="shared" si="49"/>
        <v/>
      </c>
      <c r="AP289" s="18">
        <f t="shared" si="41"/>
        <v>31</v>
      </c>
      <c r="AQ289" s="18">
        <f>_xlfn.XLOOKUP(D289,'7月运营'!A:A,'7月运营'!G:G,0)</f>
        <v>0</v>
      </c>
    </row>
    <row r="290" spans="1:43" x14ac:dyDescent="0.15">
      <c r="A290" s="11" t="str">
        <v>涌泉</v>
      </c>
      <c r="B290" s="11" t="str">
        <v>保洁</v>
      </c>
      <c r="C290" s="11">
        <v>0</v>
      </c>
      <c r="D290" s="11" t="str">
        <v>刘胜琼</v>
      </c>
      <c r="E290" s="11" t="str">
        <v>在职</v>
      </c>
      <c r="F290" s="11" t="str">
        <v>事业部</v>
      </c>
      <c r="G290" s="11">
        <f>_xlfn.XLOOKUP(D290,'①7月-花名册'!E:E,'①7月-花名册'!U:U,0)</f>
        <v>0</v>
      </c>
      <c r="H290" s="11">
        <f>_xlfn.XLOOKUP(D290,'①7月-花名册'!E:E,'①7月-花名册'!M:M,0)</f>
        <v>31</v>
      </c>
      <c r="I290" s="11">
        <f>_xlfn.XLOOKUP(D290,'①7月-花名册'!E:E,'①7月-花名册'!S:S,0)</f>
        <v>4</v>
      </c>
      <c r="J290" s="14">
        <f t="shared" si="42"/>
        <v>0</v>
      </c>
      <c r="K290" s="23"/>
      <c r="L290" s="23"/>
      <c r="M290" s="23"/>
      <c r="N290" s="23"/>
      <c r="O290" s="23"/>
      <c r="P290" s="15">
        <f t="shared" si="43"/>
        <v>31</v>
      </c>
      <c r="Q290" s="15">
        <f t="shared" si="44"/>
        <v>31</v>
      </c>
      <c r="R290" s="15">
        <f>IF(F290="事业部",LOOKUP(Q290,基础设置!$T$2:$T$6,基础设置!$U$2:$U$6),IF(F290="总部",LOOKUP(Q290,基础设置!$T$8:$T$13,基础设置!$V$8:$V$13),IF(F290="拓展部",LOOKUP(Q290,基础设置!$T$8:$T$13,基础设置!$W$8:$W$13),2000)))</f>
        <v>4</v>
      </c>
      <c r="S290" s="15">
        <f t="shared" si="45"/>
        <v>31</v>
      </c>
      <c r="T290" s="15">
        <f t="shared" si="46"/>
        <v>0</v>
      </c>
      <c r="U290" s="15">
        <f t="shared" si="47"/>
        <v>0</v>
      </c>
      <c r="V290" s="15">
        <f t="shared" si="40"/>
        <v>0</v>
      </c>
      <c r="W290" s="15">
        <f t="shared" si="48"/>
        <v>0</v>
      </c>
      <c r="X290" s="26"/>
      <c r="Y290" s="26"/>
      <c r="Z290" s="26"/>
      <c r="AA290" s="26"/>
      <c r="AB290" s="27"/>
      <c r="AC290" s="27"/>
      <c r="AD290" s="27"/>
      <c r="AE290" s="27"/>
      <c r="AF290" s="27"/>
      <c r="AG290" s="27"/>
      <c r="AH290" s="17">
        <f>_xlfn.XLOOKUP(D290,'①7月-花名册'!E:E,'①7月-花名册'!T:T,0)</f>
        <v>1200</v>
      </c>
      <c r="AI290" s="15">
        <f>SUMIFS('7月运营'!$L:$L,'7月运营'!$A:$A,D290,'7月运营'!$K:$K,$A$1)</f>
        <v>0</v>
      </c>
      <c r="AJ290" s="15">
        <f>SUMIFS('7月运营'!H:H,'7月运营'!$A:$A,D290,'7月运营'!$K:$K,$A$1)</f>
        <v>0</v>
      </c>
      <c r="AK290" s="15">
        <f>SUMIFS(上月未发人员明细!I:I,上月未发人员明细!J:J,$AK$2,上月未发人员明细!A:A,D290)</f>
        <v>0</v>
      </c>
      <c r="AL290" s="15">
        <f>SUMIFS('7月运营'!L:L,'7月运营'!$A:$A,D290,'7月运营'!$K:$K,$AL$2)</f>
        <v>0</v>
      </c>
      <c r="AM290" s="18">
        <f>SUMIFS('7月运营'!$F:$F,'7月运营'!$A:$A,D290,'7月运营'!$K:$K,'②7月-汇总'!$AM$2,'7月运营'!$G:$G,"岗位核算")</f>
        <v>0</v>
      </c>
      <c r="AN290" s="18">
        <f>SUMIFS('7月运营'!$F:$F,'7月运营'!$A:$A,D290,'7月运营'!$K:$K,$AN$2,'7月运营'!$G:$G,"岗位核算")</f>
        <v>0</v>
      </c>
      <c r="AO290" s="18" t="str">
        <f t="shared" si="49"/>
        <v/>
      </c>
      <c r="AP290" s="18">
        <f t="shared" si="41"/>
        <v>31</v>
      </c>
      <c r="AQ290" s="18">
        <f>_xlfn.XLOOKUP(D290,'7月运营'!A:A,'7月运营'!G:G,0)</f>
        <v>0</v>
      </c>
    </row>
    <row r="291" spans="1:43" x14ac:dyDescent="0.15">
      <c r="A291" s="11" t="str">
        <v>优品道</v>
      </c>
      <c r="B291" s="11" t="str">
        <v>保洁</v>
      </c>
      <c r="C291" s="11">
        <v>0</v>
      </c>
      <c r="D291" s="11" t="str">
        <v>陈文先</v>
      </c>
      <c r="E291" s="11" t="str">
        <v>在职</v>
      </c>
      <c r="F291" s="11" t="str">
        <v>事业部</v>
      </c>
      <c r="G291" s="11">
        <f>_xlfn.XLOOKUP(D291,'①7月-花名册'!E:E,'①7月-花名册'!U:U,0)</f>
        <v>0</v>
      </c>
      <c r="H291" s="11">
        <f>_xlfn.XLOOKUP(D291,'①7月-花名册'!E:E,'①7月-花名册'!M:M,0)</f>
        <v>31</v>
      </c>
      <c r="I291" s="11">
        <f>_xlfn.XLOOKUP(D291,'①7月-花名册'!E:E,'①7月-花名册'!S:S,0)</f>
        <v>4</v>
      </c>
      <c r="J291" s="14">
        <f t="shared" si="42"/>
        <v>0</v>
      </c>
      <c r="K291" s="23"/>
      <c r="L291" s="23"/>
      <c r="M291" s="23"/>
      <c r="N291" s="23"/>
      <c r="O291" s="23"/>
      <c r="P291" s="15">
        <f t="shared" si="43"/>
        <v>31</v>
      </c>
      <c r="Q291" s="15">
        <f t="shared" si="44"/>
        <v>31</v>
      </c>
      <c r="R291" s="15">
        <f>IF(F291="事业部",LOOKUP(Q291,基础设置!$T$2:$T$6,基础设置!$U$2:$U$6),IF(F291="总部",LOOKUP(Q291,基础设置!$T$8:$T$13,基础设置!$V$8:$V$13),IF(F291="拓展部",LOOKUP(Q291,基础设置!$T$8:$T$13,基础设置!$W$8:$W$13),2000)))</f>
        <v>4</v>
      </c>
      <c r="S291" s="15">
        <f t="shared" si="45"/>
        <v>31</v>
      </c>
      <c r="T291" s="15">
        <f t="shared" si="46"/>
        <v>0</v>
      </c>
      <c r="U291" s="15">
        <f t="shared" si="47"/>
        <v>0</v>
      </c>
      <c r="V291" s="15">
        <f t="shared" si="40"/>
        <v>0</v>
      </c>
      <c r="W291" s="15">
        <f t="shared" si="48"/>
        <v>0</v>
      </c>
      <c r="X291" s="26"/>
      <c r="Y291" s="26"/>
      <c r="Z291" s="26"/>
      <c r="AA291" s="26"/>
      <c r="AB291" s="27"/>
      <c r="AC291" s="27"/>
      <c r="AD291" s="27"/>
      <c r="AE291" s="27"/>
      <c r="AF291" s="27"/>
      <c r="AG291" s="27"/>
      <c r="AH291" s="17">
        <f>_xlfn.XLOOKUP(D291,'①7月-花名册'!E:E,'①7月-花名册'!T:T,0)</f>
        <v>1100</v>
      </c>
      <c r="AI291" s="15">
        <f>SUMIFS('7月运营'!$L:$L,'7月运营'!$A:$A,D291,'7月运营'!$K:$K,$A$1)</f>
        <v>0</v>
      </c>
      <c r="AJ291" s="15">
        <f>SUMIFS('7月运营'!H:H,'7月运营'!$A:$A,D291,'7月运营'!$K:$K,$A$1)</f>
        <v>0</v>
      </c>
      <c r="AK291" s="15">
        <f>SUMIFS(上月未发人员明细!I:I,上月未发人员明细!J:J,$AK$2,上月未发人员明细!A:A,D291)</f>
        <v>0</v>
      </c>
      <c r="AL291" s="15">
        <f>SUMIFS('7月运营'!L:L,'7月运营'!$A:$A,D291,'7月运营'!$K:$K,$AL$2)</f>
        <v>0</v>
      </c>
      <c r="AM291" s="18">
        <f>SUMIFS('7月运营'!$F:$F,'7月运营'!$A:$A,D291,'7月运营'!$K:$K,'②7月-汇总'!$AM$2,'7月运营'!$G:$G,"岗位核算")</f>
        <v>0</v>
      </c>
      <c r="AN291" s="18">
        <f>SUMIFS('7月运营'!$F:$F,'7月运营'!$A:$A,D291,'7月运营'!$K:$K,$AN$2,'7月运营'!$G:$G,"岗位核算")</f>
        <v>0</v>
      </c>
      <c r="AO291" s="18" t="str">
        <f t="shared" si="49"/>
        <v/>
      </c>
      <c r="AP291" s="18">
        <f t="shared" si="41"/>
        <v>31</v>
      </c>
      <c r="AQ291" s="18">
        <f>_xlfn.XLOOKUP(D291,'7月运营'!A:A,'7月运营'!G:G,0)</f>
        <v>0</v>
      </c>
    </row>
    <row r="292" spans="1:43" x14ac:dyDescent="0.15">
      <c r="A292" s="11" t="str">
        <v>大源</v>
      </c>
      <c r="B292" s="11" t="str">
        <v>保洁</v>
      </c>
      <c r="C292" s="11">
        <v>0</v>
      </c>
      <c r="D292" s="11" t="str">
        <v>杨则琼</v>
      </c>
      <c r="E292" s="11" t="str">
        <v>在职</v>
      </c>
      <c r="F292" s="11" t="str">
        <v>事业部</v>
      </c>
      <c r="G292" s="11">
        <f>_xlfn.XLOOKUP(D292,'①7月-花名册'!E:E,'①7月-花名册'!U:U,0)</f>
        <v>0</v>
      </c>
      <c r="H292" s="11">
        <f>_xlfn.XLOOKUP(D292,'①7月-花名册'!E:E,'①7月-花名册'!M:M,0)</f>
        <v>31</v>
      </c>
      <c r="I292" s="11">
        <f>_xlfn.XLOOKUP(D292,'①7月-花名册'!E:E,'①7月-花名册'!S:S,0)</f>
        <v>4</v>
      </c>
      <c r="J292" s="14">
        <f t="shared" si="42"/>
        <v>0</v>
      </c>
      <c r="K292" s="23"/>
      <c r="L292" s="23"/>
      <c r="M292" s="23"/>
      <c r="N292" s="23"/>
      <c r="O292" s="23"/>
      <c r="P292" s="15">
        <f t="shared" si="43"/>
        <v>31</v>
      </c>
      <c r="Q292" s="15">
        <f t="shared" si="44"/>
        <v>31</v>
      </c>
      <c r="R292" s="15">
        <f>IF(F292="事业部",LOOKUP(Q292,基础设置!$T$2:$T$6,基础设置!$U$2:$U$6),IF(F292="总部",LOOKUP(Q292,基础设置!$T$8:$T$13,基础设置!$V$8:$V$13),IF(F292="拓展部",LOOKUP(Q292,基础设置!$T$8:$T$13,基础设置!$W$8:$W$13),2000)))</f>
        <v>4</v>
      </c>
      <c r="S292" s="15">
        <f t="shared" si="45"/>
        <v>31</v>
      </c>
      <c r="T292" s="15">
        <f t="shared" si="46"/>
        <v>0</v>
      </c>
      <c r="U292" s="15">
        <f t="shared" si="47"/>
        <v>0</v>
      </c>
      <c r="V292" s="15">
        <f t="shared" si="40"/>
        <v>0</v>
      </c>
      <c r="W292" s="15">
        <f t="shared" si="48"/>
        <v>0</v>
      </c>
      <c r="X292" s="26"/>
      <c r="Y292" s="26"/>
      <c r="Z292" s="26"/>
      <c r="AA292" s="26"/>
      <c r="AB292" s="27"/>
      <c r="AC292" s="27"/>
      <c r="AD292" s="27"/>
      <c r="AE292" s="27"/>
      <c r="AF292" s="27"/>
      <c r="AG292" s="27"/>
      <c r="AH292" s="17">
        <f>_xlfn.XLOOKUP(D292,'①7月-花名册'!E:E,'①7月-花名册'!T:T,0)</f>
        <v>1400</v>
      </c>
      <c r="AI292" s="15">
        <f>SUMIFS('7月运营'!$L:$L,'7月运营'!$A:$A,D292,'7月运营'!$K:$K,$A$1)</f>
        <v>0</v>
      </c>
      <c r="AJ292" s="15">
        <f>SUMIFS('7月运营'!H:H,'7月运营'!$A:$A,D292,'7月运营'!$K:$K,$A$1)</f>
        <v>0</v>
      </c>
      <c r="AK292" s="15">
        <f>SUMIFS(上月未发人员明细!I:I,上月未发人员明细!J:J,$AK$2,上月未发人员明细!A:A,D292)</f>
        <v>0</v>
      </c>
      <c r="AL292" s="15">
        <f>SUMIFS('7月运营'!L:L,'7月运营'!$A:$A,D292,'7月运营'!$K:$K,$AL$2)</f>
        <v>0</v>
      </c>
      <c r="AM292" s="18">
        <f>SUMIFS('7月运营'!$F:$F,'7月运营'!$A:$A,D292,'7月运营'!$K:$K,'②7月-汇总'!$AM$2,'7月运营'!$G:$G,"岗位核算")</f>
        <v>0</v>
      </c>
      <c r="AN292" s="18">
        <f>SUMIFS('7月运营'!$F:$F,'7月运营'!$A:$A,D292,'7月运营'!$K:$K,$AN$2,'7月运营'!$G:$G,"岗位核算")</f>
        <v>0</v>
      </c>
      <c r="AO292" s="18" t="str">
        <f t="shared" si="49"/>
        <v/>
      </c>
      <c r="AP292" s="18">
        <f t="shared" si="41"/>
        <v>31</v>
      </c>
      <c r="AQ292" s="18">
        <f>_xlfn.XLOOKUP(D292,'7月运营'!A:A,'7月运营'!G:G,0)</f>
        <v>0</v>
      </c>
    </row>
    <row r="293" spans="1:43" x14ac:dyDescent="0.15">
      <c r="A293" s="11" t="str">
        <v>南湖</v>
      </c>
      <c r="B293" s="11" t="str">
        <v>保洁</v>
      </c>
      <c r="C293" s="11">
        <v>0</v>
      </c>
      <c r="D293" s="11" t="str">
        <v>李培英</v>
      </c>
      <c r="E293" s="11" t="str">
        <v>在职</v>
      </c>
      <c r="F293" s="11" t="str">
        <v>事业部</v>
      </c>
      <c r="G293" s="11">
        <f>_xlfn.XLOOKUP(D293,'①7月-花名册'!E:E,'①7月-花名册'!U:U,0)</f>
        <v>0</v>
      </c>
      <c r="H293" s="11">
        <f>_xlfn.XLOOKUP(D293,'①7月-花名册'!E:E,'①7月-花名册'!M:M,0)</f>
        <v>31</v>
      </c>
      <c r="I293" s="11">
        <f>_xlfn.XLOOKUP(D293,'①7月-花名册'!E:E,'①7月-花名册'!S:S,0)</f>
        <v>4</v>
      </c>
      <c r="J293" s="14">
        <f t="shared" si="42"/>
        <v>0</v>
      </c>
      <c r="K293" s="23"/>
      <c r="L293" s="23"/>
      <c r="M293" s="23"/>
      <c r="N293" s="23"/>
      <c r="O293" s="23"/>
      <c r="P293" s="15">
        <f t="shared" si="43"/>
        <v>31</v>
      </c>
      <c r="Q293" s="15">
        <f t="shared" si="44"/>
        <v>31</v>
      </c>
      <c r="R293" s="15">
        <f>IF(F293="事业部",LOOKUP(Q293,基础设置!$T$2:$T$6,基础设置!$U$2:$U$6),IF(F293="总部",LOOKUP(Q293,基础设置!$T$8:$T$13,基础设置!$V$8:$V$13),IF(F293="拓展部",LOOKUP(Q293,基础设置!$T$8:$T$13,基础设置!$W$8:$W$13),2000)))</f>
        <v>4</v>
      </c>
      <c r="S293" s="15">
        <f t="shared" si="45"/>
        <v>31</v>
      </c>
      <c r="T293" s="15">
        <f t="shared" si="46"/>
        <v>0</v>
      </c>
      <c r="U293" s="15">
        <f t="shared" si="47"/>
        <v>0</v>
      </c>
      <c r="V293" s="15">
        <f t="shared" si="40"/>
        <v>0</v>
      </c>
      <c r="W293" s="15">
        <f t="shared" si="48"/>
        <v>0</v>
      </c>
      <c r="X293" s="26"/>
      <c r="Y293" s="26"/>
      <c r="Z293" s="26"/>
      <c r="AA293" s="26"/>
      <c r="AB293" s="27"/>
      <c r="AC293" s="27"/>
      <c r="AD293" s="27"/>
      <c r="AE293" s="27"/>
      <c r="AF293" s="27"/>
      <c r="AG293" s="27"/>
      <c r="AH293" s="17">
        <f>_xlfn.XLOOKUP(D293,'①7月-花名册'!E:E,'①7月-花名册'!T:T,0)</f>
        <v>1445.16129032258</v>
      </c>
      <c r="AI293" s="15">
        <f>SUMIFS('7月运营'!$L:$L,'7月运营'!$A:$A,D293,'7月运营'!$K:$K,$A$1)</f>
        <v>0</v>
      </c>
      <c r="AJ293" s="15">
        <f>SUMIFS('7月运营'!H:H,'7月运营'!$A:$A,D293,'7月运营'!$K:$K,$A$1)</f>
        <v>0</v>
      </c>
      <c r="AK293" s="15">
        <f>SUMIFS(上月未发人员明细!I:I,上月未发人员明细!J:J,$AK$2,上月未发人员明细!A:A,D293)</f>
        <v>0</v>
      </c>
      <c r="AL293" s="15">
        <f>SUMIFS('7月运营'!L:L,'7月运营'!$A:$A,D293,'7月运营'!$K:$K,$AL$2)</f>
        <v>0</v>
      </c>
      <c r="AM293" s="18">
        <f>SUMIFS('7月运营'!$F:$F,'7月运营'!$A:$A,D293,'7月运营'!$K:$K,'②7月-汇总'!$AM$2,'7月运营'!$G:$G,"岗位核算")</f>
        <v>0</v>
      </c>
      <c r="AN293" s="18">
        <f>SUMIFS('7月运营'!$F:$F,'7月运营'!$A:$A,D293,'7月运营'!$K:$K,$AN$2,'7月运营'!$G:$G,"岗位核算")</f>
        <v>0</v>
      </c>
      <c r="AO293" s="18" t="str">
        <f t="shared" si="49"/>
        <v/>
      </c>
      <c r="AP293" s="18">
        <f t="shared" si="41"/>
        <v>31</v>
      </c>
      <c r="AQ293" s="18">
        <f>_xlfn.XLOOKUP(D293,'7月运营'!A:A,'7月运营'!G:G,0)</f>
        <v>0</v>
      </c>
    </row>
    <row r="294" spans="1:43" x14ac:dyDescent="0.15">
      <c r="A294" s="11" t="str">
        <v>大丰</v>
      </c>
      <c r="B294" s="11" t="str">
        <v>保洁</v>
      </c>
      <c r="C294" s="11">
        <v>0</v>
      </c>
      <c r="D294" s="11" t="str">
        <v>陈永秀</v>
      </c>
      <c r="E294" s="11" t="str">
        <v>在职</v>
      </c>
      <c r="F294" s="11" t="str">
        <v>事业部</v>
      </c>
      <c r="G294" s="11">
        <f>_xlfn.XLOOKUP(D294,'①7月-花名册'!E:E,'①7月-花名册'!U:U,0)</f>
        <v>0</v>
      </c>
      <c r="H294" s="11">
        <f>_xlfn.XLOOKUP(D294,'①7月-花名册'!E:E,'①7月-花名册'!M:M,0)</f>
        <v>31</v>
      </c>
      <c r="I294" s="11">
        <f>_xlfn.XLOOKUP(D294,'①7月-花名册'!E:E,'①7月-花名册'!S:S,0)</f>
        <v>4</v>
      </c>
      <c r="J294" s="14">
        <f t="shared" si="42"/>
        <v>0</v>
      </c>
      <c r="K294" s="23"/>
      <c r="L294" s="23"/>
      <c r="M294" s="23"/>
      <c r="N294" s="23"/>
      <c r="O294" s="23"/>
      <c r="P294" s="15">
        <f t="shared" si="43"/>
        <v>31</v>
      </c>
      <c r="Q294" s="15">
        <f t="shared" si="44"/>
        <v>31</v>
      </c>
      <c r="R294" s="15">
        <f>IF(F294="事业部",LOOKUP(Q294,基础设置!$T$2:$T$6,基础设置!$U$2:$U$6),IF(F294="总部",LOOKUP(Q294,基础设置!$T$8:$T$13,基础设置!$V$8:$V$13),IF(F294="拓展部",LOOKUP(Q294,基础设置!$T$8:$T$13,基础设置!$W$8:$W$13),2000)))</f>
        <v>4</v>
      </c>
      <c r="S294" s="15">
        <f t="shared" si="45"/>
        <v>31</v>
      </c>
      <c r="T294" s="15">
        <f t="shared" si="46"/>
        <v>0</v>
      </c>
      <c r="U294" s="15">
        <f t="shared" si="47"/>
        <v>0</v>
      </c>
      <c r="V294" s="15">
        <f t="shared" si="40"/>
        <v>0</v>
      </c>
      <c r="W294" s="15">
        <f t="shared" si="48"/>
        <v>0</v>
      </c>
      <c r="X294" s="26"/>
      <c r="Y294" s="26"/>
      <c r="Z294" s="26"/>
      <c r="AA294" s="26"/>
      <c r="AB294" s="27"/>
      <c r="AC294" s="27"/>
      <c r="AD294" s="27"/>
      <c r="AE294" s="27"/>
      <c r="AF294" s="27"/>
      <c r="AG294" s="27"/>
      <c r="AH294" s="17">
        <f>_xlfn.XLOOKUP(D294,'①7月-花名册'!E:E,'①7月-花名册'!T:T,0)</f>
        <v>1200</v>
      </c>
      <c r="AI294" s="15">
        <f>SUMIFS('7月运营'!$L:$L,'7月运营'!$A:$A,D294,'7月运营'!$K:$K,$A$1)</f>
        <v>0</v>
      </c>
      <c r="AJ294" s="15">
        <f>SUMIFS('7月运营'!H:H,'7月运营'!$A:$A,D294,'7月运营'!$K:$K,$A$1)</f>
        <v>0</v>
      </c>
      <c r="AK294" s="15">
        <f>SUMIFS(上月未发人员明细!I:I,上月未发人员明细!J:J,$AK$2,上月未发人员明细!A:A,D294)</f>
        <v>0</v>
      </c>
      <c r="AL294" s="15">
        <f>SUMIFS('7月运营'!L:L,'7月运营'!$A:$A,D294,'7月运营'!$K:$K,$AL$2)</f>
        <v>0</v>
      </c>
      <c r="AM294" s="18">
        <f>SUMIFS('7月运营'!$F:$F,'7月运营'!$A:$A,D294,'7月运营'!$K:$K,'②7月-汇总'!$AM$2,'7月运营'!$G:$G,"岗位核算")</f>
        <v>0</v>
      </c>
      <c r="AN294" s="18">
        <f>SUMIFS('7月运营'!$F:$F,'7月运营'!$A:$A,D294,'7月运营'!$K:$K,$AN$2,'7月运营'!$G:$G,"岗位核算")</f>
        <v>0</v>
      </c>
      <c r="AO294" s="18" t="str">
        <f t="shared" si="49"/>
        <v/>
      </c>
      <c r="AP294" s="18">
        <f t="shared" si="41"/>
        <v>31</v>
      </c>
      <c r="AQ294" s="18">
        <f>_xlfn.XLOOKUP(D294,'7月运营'!A:A,'7月运营'!G:G,0)</f>
        <v>0</v>
      </c>
    </row>
    <row r="295" spans="1:43" x14ac:dyDescent="0.15">
      <c r="A295" s="11" t="str">
        <v>红光</v>
      </c>
      <c r="B295" s="11" t="str">
        <v>保洁</v>
      </c>
      <c r="C295" s="11">
        <v>0</v>
      </c>
      <c r="D295" s="11" t="str">
        <v>李大英</v>
      </c>
      <c r="E295" s="11" t="str">
        <v>在职</v>
      </c>
      <c r="F295" s="11" t="str">
        <v>事业部</v>
      </c>
      <c r="G295" s="11">
        <f>_xlfn.XLOOKUP(D295,'①7月-花名册'!E:E,'①7月-花名册'!U:U,0)</f>
        <v>0</v>
      </c>
      <c r="H295" s="11">
        <f>_xlfn.XLOOKUP(D295,'①7月-花名册'!E:E,'①7月-花名册'!M:M,0)</f>
        <v>31</v>
      </c>
      <c r="I295" s="11">
        <f>_xlfn.XLOOKUP(D295,'①7月-花名册'!E:E,'①7月-花名册'!S:S,0)</f>
        <v>4</v>
      </c>
      <c r="J295" s="14">
        <f t="shared" si="42"/>
        <v>0</v>
      </c>
      <c r="K295" s="23"/>
      <c r="L295" s="23"/>
      <c r="M295" s="23"/>
      <c r="N295" s="23"/>
      <c r="O295" s="23"/>
      <c r="P295" s="15">
        <f t="shared" si="43"/>
        <v>31</v>
      </c>
      <c r="Q295" s="15">
        <f t="shared" si="44"/>
        <v>31</v>
      </c>
      <c r="R295" s="15">
        <f>IF(F295="事业部",LOOKUP(Q295,基础设置!$T$2:$T$6,基础设置!$U$2:$U$6),IF(F295="总部",LOOKUP(Q295,基础设置!$T$8:$T$13,基础设置!$V$8:$V$13),IF(F295="拓展部",LOOKUP(Q295,基础设置!$T$8:$T$13,基础设置!$W$8:$W$13),2000)))</f>
        <v>4</v>
      </c>
      <c r="S295" s="15">
        <f t="shared" si="45"/>
        <v>31</v>
      </c>
      <c r="T295" s="15">
        <f t="shared" si="46"/>
        <v>0</v>
      </c>
      <c r="U295" s="15">
        <f t="shared" si="47"/>
        <v>0</v>
      </c>
      <c r="V295" s="15">
        <f t="shared" si="40"/>
        <v>0</v>
      </c>
      <c r="W295" s="15">
        <f t="shared" si="48"/>
        <v>0</v>
      </c>
      <c r="X295" s="26"/>
      <c r="Y295" s="26"/>
      <c r="Z295" s="26"/>
      <c r="AA295" s="26"/>
      <c r="AB295" s="27"/>
      <c r="AC295" s="27"/>
      <c r="AD295" s="27"/>
      <c r="AE295" s="27"/>
      <c r="AF295" s="27"/>
      <c r="AG295" s="27"/>
      <c r="AH295" s="17">
        <f>_xlfn.XLOOKUP(D295,'①7月-花名册'!E:E,'①7月-花名册'!T:T,0)</f>
        <v>1161.2903225806499</v>
      </c>
      <c r="AI295" s="15">
        <f>SUMIFS('7月运营'!$L:$L,'7月运营'!$A:$A,D295,'7月运营'!$K:$K,$A$1)</f>
        <v>0</v>
      </c>
      <c r="AJ295" s="15">
        <f>SUMIFS('7月运营'!H:H,'7月运营'!$A:$A,D295,'7月运营'!$K:$K,$A$1)</f>
        <v>0</v>
      </c>
      <c r="AK295" s="15">
        <f>SUMIFS(上月未发人员明细!I:I,上月未发人员明细!J:J,$AK$2,上月未发人员明细!A:A,D295)</f>
        <v>0</v>
      </c>
      <c r="AL295" s="15">
        <f>SUMIFS('7月运营'!L:L,'7月运营'!$A:$A,D295,'7月运营'!$K:$K,$AL$2)</f>
        <v>0</v>
      </c>
      <c r="AM295" s="18">
        <f>SUMIFS('7月运营'!$F:$F,'7月运营'!$A:$A,D295,'7月运营'!$K:$K,'②7月-汇总'!$AM$2,'7月运营'!$G:$G,"岗位核算")</f>
        <v>0</v>
      </c>
      <c r="AN295" s="18">
        <f>SUMIFS('7月运营'!$F:$F,'7月运营'!$A:$A,D295,'7月运营'!$K:$K,$AN$2,'7月运营'!$G:$G,"岗位核算")</f>
        <v>0</v>
      </c>
      <c r="AO295" s="18" t="str">
        <f t="shared" si="49"/>
        <v/>
      </c>
      <c r="AP295" s="18">
        <f t="shared" si="41"/>
        <v>31</v>
      </c>
      <c r="AQ295" s="18">
        <f>_xlfn.XLOOKUP(D295,'7月运营'!A:A,'7月运营'!G:G,0)</f>
        <v>0</v>
      </c>
    </row>
    <row r="296" spans="1:43" x14ac:dyDescent="0.15">
      <c r="A296" s="11" t="str">
        <v>保利</v>
      </c>
      <c r="B296" s="11" t="str">
        <v>保洁</v>
      </c>
      <c r="C296" s="11">
        <v>0</v>
      </c>
      <c r="D296" s="11" t="str">
        <v>范世琼</v>
      </c>
      <c r="E296" s="11" t="str">
        <v>在职</v>
      </c>
      <c r="F296" s="11" t="str">
        <v>事业部</v>
      </c>
      <c r="G296" s="11">
        <f>_xlfn.XLOOKUP(D296,'①7月-花名册'!E:E,'①7月-花名册'!U:U,0)</f>
        <v>0</v>
      </c>
      <c r="H296" s="11">
        <f>_xlfn.XLOOKUP(D296,'①7月-花名册'!E:E,'①7月-花名册'!M:M,0)</f>
        <v>31</v>
      </c>
      <c r="I296" s="11">
        <f>_xlfn.XLOOKUP(D296,'①7月-花名册'!E:E,'①7月-花名册'!S:S,0)</f>
        <v>4</v>
      </c>
      <c r="J296" s="14">
        <f t="shared" si="42"/>
        <v>0</v>
      </c>
      <c r="K296" s="23"/>
      <c r="L296" s="23"/>
      <c r="M296" s="23"/>
      <c r="N296" s="23"/>
      <c r="O296" s="23"/>
      <c r="P296" s="15">
        <f t="shared" si="43"/>
        <v>31</v>
      </c>
      <c r="Q296" s="15">
        <f t="shared" si="44"/>
        <v>31</v>
      </c>
      <c r="R296" s="15">
        <f>IF(F296="事业部",LOOKUP(Q296,基础设置!$T$2:$T$6,基础设置!$U$2:$U$6),IF(F296="总部",LOOKUP(Q296,基础设置!$T$8:$T$13,基础设置!$V$8:$V$13),IF(F296="拓展部",LOOKUP(Q296,基础设置!$T$8:$T$13,基础设置!$W$8:$W$13),2000)))</f>
        <v>4</v>
      </c>
      <c r="S296" s="15">
        <f t="shared" si="45"/>
        <v>31</v>
      </c>
      <c r="T296" s="15">
        <f t="shared" si="46"/>
        <v>0</v>
      </c>
      <c r="U296" s="15">
        <f t="shared" si="47"/>
        <v>0</v>
      </c>
      <c r="V296" s="15">
        <f t="shared" si="40"/>
        <v>0</v>
      </c>
      <c r="W296" s="15">
        <f t="shared" si="48"/>
        <v>0</v>
      </c>
      <c r="X296" s="26"/>
      <c r="Y296" s="26"/>
      <c r="Z296" s="26"/>
      <c r="AA296" s="26"/>
      <c r="AB296" s="27"/>
      <c r="AC296" s="27"/>
      <c r="AD296" s="27"/>
      <c r="AE296" s="27"/>
      <c r="AF296" s="27"/>
      <c r="AG296" s="27"/>
      <c r="AH296" s="17">
        <f>_xlfn.XLOOKUP(D296,'①7月-花名册'!E:E,'①7月-花名册'!T:T,0)</f>
        <v>1064.5161290322601</v>
      </c>
      <c r="AI296" s="15">
        <f>SUMIFS('7月运营'!$L:$L,'7月运营'!$A:$A,D296,'7月运营'!$K:$K,$A$1)</f>
        <v>0</v>
      </c>
      <c r="AJ296" s="15">
        <f>SUMIFS('7月运营'!H:H,'7月运营'!$A:$A,D296,'7月运营'!$K:$K,$A$1)</f>
        <v>0</v>
      </c>
      <c r="AK296" s="15">
        <f>SUMIFS(上月未发人员明细!I:I,上月未发人员明细!J:J,$AK$2,上月未发人员明细!A:A,D296)</f>
        <v>0</v>
      </c>
      <c r="AL296" s="15">
        <f>SUMIFS('7月运营'!L:L,'7月运营'!$A:$A,D296,'7月运营'!$K:$K,$AL$2)</f>
        <v>0</v>
      </c>
      <c r="AM296" s="18">
        <f>SUMIFS('7月运营'!$F:$F,'7月运营'!$A:$A,D296,'7月运营'!$K:$K,'②7月-汇总'!$AM$2,'7月运营'!$G:$G,"岗位核算")</f>
        <v>0</v>
      </c>
      <c r="AN296" s="18">
        <f>SUMIFS('7月运营'!$F:$F,'7月运营'!$A:$A,D296,'7月运营'!$K:$K,$AN$2,'7月运营'!$G:$G,"岗位核算")</f>
        <v>0</v>
      </c>
      <c r="AO296" s="18" t="str">
        <f t="shared" si="49"/>
        <v/>
      </c>
      <c r="AP296" s="18">
        <f t="shared" si="41"/>
        <v>31</v>
      </c>
      <c r="AQ296" s="18">
        <f>_xlfn.XLOOKUP(D296,'7月运营'!A:A,'7月运营'!G:G,0)</f>
        <v>0</v>
      </c>
    </row>
    <row r="297" spans="1:43" x14ac:dyDescent="0.15">
      <c r="A297" s="11" t="str">
        <v>荣华北路</v>
      </c>
      <c r="B297" s="11" t="str">
        <v>保洁</v>
      </c>
      <c r="C297" s="11">
        <v>0</v>
      </c>
      <c r="D297" s="11" t="str">
        <v>倪巧琼</v>
      </c>
      <c r="E297" s="11" t="str">
        <v>在职</v>
      </c>
      <c r="F297" s="11" t="str">
        <v>事业部</v>
      </c>
      <c r="G297" s="11">
        <f>_xlfn.XLOOKUP(D297,'①7月-花名册'!E:E,'①7月-花名册'!U:U,0)</f>
        <v>0</v>
      </c>
      <c r="H297" s="11">
        <f>_xlfn.XLOOKUP(D297,'①7月-花名册'!E:E,'①7月-花名册'!M:M,0)</f>
        <v>31</v>
      </c>
      <c r="I297" s="11">
        <f>_xlfn.XLOOKUP(D297,'①7月-花名册'!E:E,'①7月-花名册'!S:S,0)</f>
        <v>4</v>
      </c>
      <c r="J297" s="14">
        <f t="shared" si="42"/>
        <v>0</v>
      </c>
      <c r="K297" s="23"/>
      <c r="L297" s="23"/>
      <c r="M297" s="23"/>
      <c r="N297" s="23"/>
      <c r="O297" s="23"/>
      <c r="P297" s="15">
        <f t="shared" si="43"/>
        <v>31</v>
      </c>
      <c r="Q297" s="15">
        <f t="shared" si="44"/>
        <v>31</v>
      </c>
      <c r="R297" s="15">
        <f>IF(F297="事业部",LOOKUP(Q297,基础设置!$T$2:$T$6,基础设置!$U$2:$U$6),IF(F297="总部",LOOKUP(Q297,基础设置!$T$8:$T$13,基础设置!$V$8:$V$13),IF(F297="拓展部",LOOKUP(Q297,基础设置!$T$8:$T$13,基础设置!$W$8:$W$13),2000)))</f>
        <v>4</v>
      </c>
      <c r="S297" s="15">
        <f t="shared" si="45"/>
        <v>31</v>
      </c>
      <c r="T297" s="15">
        <f t="shared" si="46"/>
        <v>0</v>
      </c>
      <c r="U297" s="15">
        <f t="shared" si="47"/>
        <v>0</v>
      </c>
      <c r="V297" s="15">
        <f t="shared" si="40"/>
        <v>0</v>
      </c>
      <c r="W297" s="15">
        <f t="shared" si="48"/>
        <v>0</v>
      </c>
      <c r="X297" s="26"/>
      <c r="Y297" s="26"/>
      <c r="Z297" s="26"/>
      <c r="AA297" s="26"/>
      <c r="AB297" s="27"/>
      <c r="AC297" s="27"/>
      <c r="AD297" s="27"/>
      <c r="AE297" s="27"/>
      <c r="AF297" s="27"/>
      <c r="AG297" s="27"/>
      <c r="AH297" s="17">
        <f>_xlfn.XLOOKUP(D297,'①7月-花名册'!E:E,'①7月-花名册'!T:T,0)</f>
        <v>1300</v>
      </c>
      <c r="AI297" s="15">
        <f>SUMIFS('7月运营'!$L:$L,'7月运营'!$A:$A,D297,'7月运营'!$K:$K,$A$1)</f>
        <v>0</v>
      </c>
      <c r="AJ297" s="15">
        <f>SUMIFS('7月运营'!H:H,'7月运营'!$A:$A,D297,'7月运营'!$K:$K,$A$1)</f>
        <v>0</v>
      </c>
      <c r="AK297" s="15">
        <f>SUMIFS(上月未发人员明细!I:I,上月未发人员明细!J:J,$AK$2,上月未发人员明细!A:A,D297)</f>
        <v>0</v>
      </c>
      <c r="AL297" s="15">
        <f>SUMIFS('7月运营'!L:L,'7月运营'!$A:$A,D297,'7月运营'!$K:$K,$AL$2)</f>
        <v>0</v>
      </c>
      <c r="AM297" s="18">
        <f>SUMIFS('7月运营'!$F:$F,'7月运营'!$A:$A,D297,'7月运营'!$K:$K,'②7月-汇总'!$AM$2,'7月运营'!$G:$G,"岗位核算")</f>
        <v>0</v>
      </c>
      <c r="AN297" s="18">
        <f>SUMIFS('7月运营'!$F:$F,'7月运营'!$A:$A,D297,'7月运营'!$K:$K,$AN$2,'7月运营'!$G:$G,"岗位核算")</f>
        <v>0</v>
      </c>
      <c r="AO297" s="18" t="str">
        <f t="shared" si="49"/>
        <v/>
      </c>
      <c r="AP297" s="18">
        <f t="shared" si="41"/>
        <v>31</v>
      </c>
      <c r="AQ297" s="18">
        <f>_xlfn.XLOOKUP(D297,'7月运营'!A:A,'7月运营'!G:G,0)</f>
        <v>0</v>
      </c>
    </row>
    <row r="298" spans="1:43" x14ac:dyDescent="0.15">
      <c r="A298" s="11" t="str">
        <v>川音</v>
      </c>
      <c r="B298" s="11" t="str">
        <v>保洁</v>
      </c>
      <c r="C298" s="11">
        <v>0</v>
      </c>
      <c r="D298" s="11" t="str">
        <v>颜香兰</v>
      </c>
      <c r="E298" s="11" t="str">
        <v>在职</v>
      </c>
      <c r="F298" s="11" t="str">
        <v>事业部</v>
      </c>
      <c r="G298" s="11">
        <f>_xlfn.XLOOKUP(D298,'①7月-花名册'!E:E,'①7月-花名册'!U:U,0)</f>
        <v>0</v>
      </c>
      <c r="H298" s="11">
        <f>_xlfn.XLOOKUP(D298,'①7月-花名册'!E:E,'①7月-花名册'!M:M,0)</f>
        <v>31</v>
      </c>
      <c r="I298" s="11">
        <f>_xlfn.XLOOKUP(D298,'①7月-花名册'!E:E,'①7月-花名册'!S:S,0)</f>
        <v>4</v>
      </c>
      <c r="J298" s="14">
        <f t="shared" si="42"/>
        <v>0</v>
      </c>
      <c r="K298" s="23"/>
      <c r="L298" s="23"/>
      <c r="M298" s="23"/>
      <c r="N298" s="23"/>
      <c r="O298" s="23"/>
      <c r="P298" s="15">
        <f t="shared" si="43"/>
        <v>31</v>
      </c>
      <c r="Q298" s="15">
        <f t="shared" si="44"/>
        <v>31</v>
      </c>
      <c r="R298" s="15">
        <f>IF(F298="事业部",LOOKUP(Q298,基础设置!$T$2:$T$6,基础设置!$U$2:$U$6),IF(F298="总部",LOOKUP(Q298,基础设置!$T$8:$T$13,基础设置!$V$8:$V$13),IF(F298="拓展部",LOOKUP(Q298,基础设置!$T$8:$T$13,基础设置!$W$8:$W$13),2000)))</f>
        <v>4</v>
      </c>
      <c r="S298" s="15">
        <f t="shared" si="45"/>
        <v>31</v>
      </c>
      <c r="T298" s="15">
        <f t="shared" si="46"/>
        <v>0</v>
      </c>
      <c r="U298" s="15">
        <f t="shared" si="47"/>
        <v>0</v>
      </c>
      <c r="V298" s="15">
        <f t="shared" si="40"/>
        <v>0</v>
      </c>
      <c r="W298" s="15">
        <f t="shared" si="48"/>
        <v>0</v>
      </c>
      <c r="X298" s="26"/>
      <c r="Y298" s="26"/>
      <c r="Z298" s="26"/>
      <c r="AA298" s="26"/>
      <c r="AB298" s="27"/>
      <c r="AC298" s="27"/>
      <c r="AD298" s="27"/>
      <c r="AE298" s="27"/>
      <c r="AF298" s="27"/>
      <c r="AG298" s="27"/>
      <c r="AH298" s="17">
        <f>_xlfn.XLOOKUP(D298,'①7月-花名册'!E:E,'①7月-花名册'!T:T,0)</f>
        <v>1200</v>
      </c>
      <c r="AI298" s="15">
        <f>SUMIFS('7月运营'!$L:$L,'7月运营'!$A:$A,D298,'7月运营'!$K:$K,$A$1)</f>
        <v>0</v>
      </c>
      <c r="AJ298" s="15">
        <f>SUMIFS('7月运营'!H:H,'7月运营'!$A:$A,D298,'7月运营'!$K:$K,$A$1)</f>
        <v>0</v>
      </c>
      <c r="AK298" s="15">
        <f>SUMIFS(上月未发人员明细!I:I,上月未发人员明细!J:J,$AK$2,上月未发人员明细!A:A,D298)</f>
        <v>0</v>
      </c>
      <c r="AL298" s="15">
        <f>SUMIFS('7月运营'!L:L,'7月运营'!$A:$A,D298,'7月运营'!$K:$K,$AL$2)</f>
        <v>0</v>
      </c>
      <c r="AM298" s="18">
        <f>SUMIFS('7月运营'!$F:$F,'7月运营'!$A:$A,D298,'7月运营'!$K:$K,'②7月-汇总'!$AM$2,'7月运营'!$G:$G,"岗位核算")</f>
        <v>0</v>
      </c>
      <c r="AN298" s="18">
        <f>SUMIFS('7月运营'!$F:$F,'7月运营'!$A:$A,D298,'7月运营'!$K:$K,$AN$2,'7月运营'!$G:$G,"岗位核算")</f>
        <v>0</v>
      </c>
      <c r="AO298" s="18" t="str">
        <f t="shared" si="49"/>
        <v/>
      </c>
      <c r="AP298" s="18">
        <f t="shared" si="41"/>
        <v>31</v>
      </c>
      <c r="AQ298" s="18">
        <f>_xlfn.XLOOKUP(D298,'7月运营'!A:A,'7月运营'!G:G,0)</f>
        <v>0</v>
      </c>
    </row>
    <row r="299" spans="1:43" s="13" customFormat="1" x14ac:dyDescent="0.15">
      <c r="A299" s="34" t="str">
        <v>龙湖</v>
      </c>
      <c r="B299" s="34" t="str">
        <v>保洁</v>
      </c>
      <c r="C299" s="34">
        <v>0</v>
      </c>
      <c r="D299" s="34" t="str">
        <v>刘治菊</v>
      </c>
      <c r="E299" s="34" t="str">
        <v>在职</v>
      </c>
      <c r="F299" s="34" t="str">
        <v>事业部</v>
      </c>
      <c r="G299" s="11">
        <f>_xlfn.XLOOKUP(D299,'①7月-花名册'!E:E,'①7月-花名册'!U:U,0)</f>
        <v>0</v>
      </c>
      <c r="H299" s="11">
        <f>_xlfn.XLOOKUP(D299,'①7月-花名册'!E:E,'①7月-花名册'!M:M,0)</f>
        <v>31</v>
      </c>
      <c r="I299" s="11">
        <f>_xlfn.XLOOKUP(D299,'①7月-花名册'!E:E,'①7月-花名册'!S:S,0)</f>
        <v>4</v>
      </c>
      <c r="J299" s="14">
        <f t="shared" si="42"/>
        <v>0</v>
      </c>
      <c r="K299" s="23"/>
      <c r="L299" s="23"/>
      <c r="M299" s="23"/>
      <c r="N299" s="23"/>
      <c r="O299" s="23"/>
      <c r="P299" s="15">
        <f t="shared" si="43"/>
        <v>31</v>
      </c>
      <c r="Q299" s="15">
        <f t="shared" si="44"/>
        <v>31</v>
      </c>
      <c r="R299" s="15">
        <f>IF(F299="事业部",LOOKUP(Q299,基础设置!$T$2:$T$6,基础设置!$U$2:$U$6),IF(F299="总部",LOOKUP(Q299,基础设置!$T$8:$T$13,基础设置!$V$8:$V$13),IF(F299="拓展部",LOOKUP(Q299,基础设置!$T$8:$T$13,基础设置!$W$8:$W$13),2000)))</f>
        <v>4</v>
      </c>
      <c r="S299" s="15">
        <f t="shared" si="45"/>
        <v>31</v>
      </c>
      <c r="T299" s="15">
        <f t="shared" si="46"/>
        <v>0</v>
      </c>
      <c r="U299" s="15">
        <f t="shared" si="47"/>
        <v>0</v>
      </c>
      <c r="V299" s="15">
        <f t="shared" si="40"/>
        <v>0</v>
      </c>
      <c r="W299" s="15">
        <f t="shared" si="48"/>
        <v>0</v>
      </c>
      <c r="X299" s="26"/>
      <c r="Y299" s="26"/>
      <c r="Z299" s="26"/>
      <c r="AA299" s="26"/>
      <c r="AB299" s="27"/>
      <c r="AC299" s="27"/>
      <c r="AD299" s="27"/>
      <c r="AE299" s="27"/>
      <c r="AF299" s="27"/>
      <c r="AG299" s="27"/>
      <c r="AH299" s="17">
        <f>_xlfn.XLOOKUP(D299,'①7月-花名册'!E:E,'①7月-花名册'!T:T,0)</f>
        <v>3000</v>
      </c>
      <c r="AI299" s="15">
        <f>SUMIFS('7月运营'!$L:$L,'7月运营'!$A:$A,D299,'7月运营'!$K:$K,$A$1)</f>
        <v>0</v>
      </c>
      <c r="AJ299" s="15">
        <f>SUMIFS('7月运营'!H:H,'7月运营'!$A:$A,D299,'7月运营'!$K:$K,$A$1)</f>
        <v>0</v>
      </c>
      <c r="AK299" s="15">
        <f>SUMIFS(上月未发人员明细!I:I,上月未发人员明细!J:J,$AK$2,上月未发人员明细!A:A,D299)</f>
        <v>0</v>
      </c>
      <c r="AL299" s="15">
        <f>SUMIFS('7月运营'!L:L,'7月运营'!$A:$A,D299,'7月运营'!$K:$K,$AL$2)</f>
        <v>0</v>
      </c>
      <c r="AM299" s="18">
        <f>SUMIFS('7月运营'!$F:$F,'7月运营'!$A:$A,D299,'7月运营'!$K:$K,'②7月-汇总'!$AM$2,'7月运营'!$G:$G,"岗位核算")</f>
        <v>0</v>
      </c>
      <c r="AN299" s="18">
        <f>SUMIFS('7月运营'!$F:$F,'7月运营'!$A:$A,D299,'7月运营'!$K:$K,$AN$2,'7月运营'!$G:$G,"岗位核算")</f>
        <v>0</v>
      </c>
      <c r="AO299" s="18" t="str">
        <f t="shared" si="49"/>
        <v/>
      </c>
      <c r="AP299" s="18">
        <f t="shared" si="41"/>
        <v>31</v>
      </c>
      <c r="AQ299" s="18">
        <f>_xlfn.XLOOKUP(D299,'7月运营'!A:A,'7月运营'!G:G,0)</f>
        <v>0</v>
      </c>
    </row>
    <row r="300" spans="1:43" x14ac:dyDescent="0.15">
      <c r="A300" s="11" t="str">
        <v>大源</v>
      </c>
      <c r="B300" s="11" t="str">
        <v>健康师</v>
      </c>
      <c r="C300" s="11" t="str">
        <v>A</v>
      </c>
      <c r="D300" s="11" t="str">
        <v>陈珊珊</v>
      </c>
      <c r="E300" s="11" t="str">
        <v>在职</v>
      </c>
      <c r="F300" s="11" t="str">
        <v>事业部</v>
      </c>
      <c r="G300" s="11">
        <f>_xlfn.XLOOKUP(D300,'①7月-花名册'!E:E,'①7月-花名册'!U:U,0)</f>
        <v>0</v>
      </c>
      <c r="H300" s="11">
        <f>_xlfn.XLOOKUP(D300,'①7月-花名册'!E:E,'①7月-花名册'!M:M,0)</f>
        <v>31</v>
      </c>
      <c r="I300" s="11">
        <f>_xlfn.XLOOKUP(D300,'①7月-花名册'!E:E,'①7月-花名册'!S:S,0)</f>
        <v>4</v>
      </c>
      <c r="J300" s="14">
        <f t="shared" si="42"/>
        <v>0</v>
      </c>
      <c r="K300" s="35"/>
      <c r="L300" s="35"/>
      <c r="M300" s="35"/>
      <c r="N300" s="35"/>
      <c r="O300" s="35"/>
      <c r="P300" s="15">
        <f t="shared" si="43"/>
        <v>31</v>
      </c>
      <c r="Q300" s="15">
        <f t="shared" si="44"/>
        <v>31</v>
      </c>
      <c r="R300" s="15">
        <f>IF(F300="事业部",LOOKUP(Q300,基础设置!$T$2:$T$6,基础设置!$U$2:$U$6),IF(F300="总部",LOOKUP(Q300,基础设置!$T$8:$T$13,基础设置!$V$8:$V$13),IF(F300="拓展部",LOOKUP(Q300,基础设置!$T$8:$T$13,基础设置!$W$8:$W$13),2000)))</f>
        <v>4</v>
      </c>
      <c r="S300" s="15">
        <f t="shared" si="45"/>
        <v>31</v>
      </c>
      <c r="T300" s="15">
        <f t="shared" si="46"/>
        <v>0</v>
      </c>
      <c r="U300" s="15">
        <f t="shared" si="47"/>
        <v>0</v>
      </c>
      <c r="V300" s="15">
        <f t="shared" si="40"/>
        <v>4</v>
      </c>
      <c r="W300" s="15">
        <f t="shared" si="48"/>
        <v>80</v>
      </c>
      <c r="X300" s="35"/>
      <c r="Y300" s="35"/>
      <c r="Z300" s="35"/>
      <c r="AA300" s="35"/>
      <c r="AB300" s="36"/>
      <c r="AC300" s="36"/>
      <c r="AD300" s="36">
        <v>130</v>
      </c>
      <c r="AE300" s="36"/>
      <c r="AF300" s="36"/>
      <c r="AG300" s="36"/>
      <c r="AH300" s="17">
        <f>_xlfn.XLOOKUP(D300,'①7月-花名册'!E:E,'①7月-花名册'!T:T,0)</f>
        <v>0</v>
      </c>
      <c r="AI300" s="15">
        <f>SUMIFS('7月运营'!$L:$L,'7月运营'!$A:$A,D300,'7月运营'!$K:$K,$A$1)</f>
        <v>120</v>
      </c>
      <c r="AJ300" s="15">
        <f>SUMIFS('7月运营'!H:H,'7月运营'!$A:$A,D300,'7月运营'!$K:$K,$A$1)</f>
        <v>0</v>
      </c>
      <c r="AK300" s="15">
        <f>SUMIFS(上月未发人员明细!I:I,上月未发人员明细!J:J,$AK$2,上月未发人员明细!A:A,D300)</f>
        <v>540</v>
      </c>
      <c r="AL300" s="15">
        <f>SUMIFS('7月运营'!L:L,'7月运营'!$A:$A,D300,'7月运营'!$K:$K,$AL$2)</f>
        <v>0</v>
      </c>
      <c r="AM300" s="18">
        <f>SUMIFS('7月运营'!$F:$F,'7月运营'!$A:$A,D300,'7月运营'!$K:$K,'②7月-汇总'!$AM$2,'7月运营'!$G:$G,"岗位核算")</f>
        <v>22</v>
      </c>
      <c r="AN300" s="18">
        <f>SUMIFS('7月运营'!$F:$F,'7月运营'!$A:$A,D300,'7月运营'!$K:$K,$AN$2,'7月运营'!$G:$G,"岗位核算")</f>
        <v>0</v>
      </c>
      <c r="AO300" s="18" t="str">
        <f t="shared" si="49"/>
        <v/>
      </c>
      <c r="AP300" s="18">
        <f t="shared" si="41"/>
        <v>22</v>
      </c>
      <c r="AQ300" s="18" t="str">
        <f>_xlfn.XLOOKUP(D300,'7月运营'!A:A,'7月运营'!G:G,0)</f>
        <v>培训-60</v>
      </c>
    </row>
    <row r="301" spans="1:43" x14ac:dyDescent="0.15">
      <c r="A301" s="11" t="str">
        <v>鹭岛</v>
      </c>
      <c r="B301" s="11" t="str">
        <v>健康师</v>
      </c>
      <c r="C301" s="11" t="str">
        <v>A</v>
      </c>
      <c r="D301" s="11" t="str">
        <v>安家晴</v>
      </c>
      <c r="E301" s="11" t="str">
        <v>在职</v>
      </c>
      <c r="F301" s="11" t="str">
        <v>事业部</v>
      </c>
      <c r="G301" s="11">
        <f>_xlfn.XLOOKUP(D301,'①7月-花名册'!E:E,'①7月-花名册'!U:U,0)</f>
        <v>0</v>
      </c>
      <c r="H301" s="11">
        <f>_xlfn.XLOOKUP(D301,'①7月-花名册'!E:E,'①7月-花名册'!M:M,0)</f>
        <v>29</v>
      </c>
      <c r="I301" s="11">
        <f>_xlfn.XLOOKUP(D301,'①7月-花名册'!E:E,'①7月-花名册'!S:S,0)</f>
        <v>4</v>
      </c>
      <c r="J301" s="14">
        <f t="shared" si="42"/>
        <v>2</v>
      </c>
      <c r="K301" s="23">
        <v>2</v>
      </c>
      <c r="L301" s="23"/>
      <c r="M301" s="23"/>
      <c r="N301" s="23"/>
      <c r="O301" s="23"/>
      <c r="P301" s="15">
        <f t="shared" si="43"/>
        <v>27</v>
      </c>
      <c r="Q301" s="15">
        <f t="shared" si="44"/>
        <v>29</v>
      </c>
      <c r="R301" s="15">
        <f>IF(F301="事业部",LOOKUP(Q301,基础设置!$T$2:$T$6,基础设置!$U$2:$U$6),IF(F301="总部",LOOKUP(Q301,基础设置!$T$8:$T$13,基础设置!$V$8:$V$13),IF(F301="拓展部",LOOKUP(Q301,基础设置!$T$8:$T$13,基础设置!$W$8:$W$13),2000)))</f>
        <v>4</v>
      </c>
      <c r="S301" s="15">
        <f t="shared" si="45"/>
        <v>29</v>
      </c>
      <c r="T301" s="15">
        <f t="shared" si="46"/>
        <v>0</v>
      </c>
      <c r="U301" s="15">
        <f t="shared" si="47"/>
        <v>0</v>
      </c>
      <c r="V301" s="15">
        <f t="shared" si="40"/>
        <v>2</v>
      </c>
      <c r="W301" s="15">
        <f t="shared" si="48"/>
        <v>40</v>
      </c>
      <c r="X301" s="26"/>
      <c r="Y301" s="26"/>
      <c r="Z301" s="26"/>
      <c r="AA301" s="26"/>
      <c r="AB301" s="27"/>
      <c r="AC301" s="27"/>
      <c r="AD301" s="27">
        <v>130</v>
      </c>
      <c r="AE301" s="27"/>
      <c r="AF301" s="27"/>
      <c r="AG301" s="27"/>
      <c r="AH301" s="17">
        <f>_xlfn.XLOOKUP(D301,'①7月-花名册'!E:E,'①7月-花名册'!T:T,0)</f>
        <v>0</v>
      </c>
      <c r="AI301" s="15">
        <f>SUMIFS('7月运营'!$L:$L,'7月运营'!$A:$A,D301,'7月运营'!$K:$K,$A$1)</f>
        <v>660</v>
      </c>
      <c r="AJ301" s="15">
        <f>SUMIFS('7月运营'!H:H,'7月运营'!$A:$A,D301,'7月运营'!$K:$K,$A$1)</f>
        <v>0</v>
      </c>
      <c r="AK301" s="15">
        <f>SUMIFS(上月未发人员明细!I:I,上月未发人员明细!J:J,$AK$2,上月未发人员明细!A:A,D301)</f>
        <v>0</v>
      </c>
      <c r="AL301" s="15">
        <f>SUMIFS('7月运营'!L:L,'7月运营'!$A:$A,D301,'7月运营'!$K:$K,$AL$2)</f>
        <v>0</v>
      </c>
      <c r="AM301" s="18">
        <f>SUMIFS('7月运营'!$F:$F,'7月运营'!$A:$A,D301,'7月运营'!$K:$K,'②7月-汇总'!$AM$2,'7月运营'!$G:$G,"岗位核算")</f>
        <v>18</v>
      </c>
      <c r="AN301" s="18">
        <f>SUMIFS('7月运营'!$F:$F,'7月运营'!$A:$A,D301,'7月运营'!$K:$K,$AN$2,'7月运营'!$G:$G,"岗位核算")</f>
        <v>0</v>
      </c>
      <c r="AO301" s="18" t="str">
        <f t="shared" si="49"/>
        <v/>
      </c>
      <c r="AP301" s="18">
        <f t="shared" si="41"/>
        <v>18</v>
      </c>
      <c r="AQ301" s="18" t="str">
        <f>_xlfn.XLOOKUP(D301,'7月运营'!A:A,'7月运营'!G:G,0)</f>
        <v>培训-60</v>
      </c>
    </row>
    <row r="302" spans="1:43" x14ac:dyDescent="0.15">
      <c r="A302" s="11" t="str">
        <v>双流</v>
      </c>
      <c r="B302" s="11" t="str">
        <v>店助</v>
      </c>
      <c r="C302" s="11" t="str">
        <v>A</v>
      </c>
      <c r="D302" s="11" t="str">
        <v>刘雨佳</v>
      </c>
      <c r="E302" s="11" t="str">
        <v>在职</v>
      </c>
      <c r="F302" s="11" t="str">
        <v>事业部</v>
      </c>
      <c r="G302" s="11">
        <f>_xlfn.XLOOKUP(D302,'①7月-花名册'!E:E,'①7月-花名册'!U:U,0)</f>
        <v>0</v>
      </c>
      <c r="H302" s="11">
        <f>_xlfn.XLOOKUP(D302,'①7月-花名册'!E:E,'①7月-花名册'!M:M,0)</f>
        <v>23</v>
      </c>
      <c r="I302" s="11">
        <f>_xlfn.XLOOKUP(D302,'①7月-花名册'!E:E,'①7月-花名册'!S:S,0)</f>
        <v>3</v>
      </c>
      <c r="J302" s="14">
        <f t="shared" si="42"/>
        <v>2</v>
      </c>
      <c r="K302" s="23">
        <v>2</v>
      </c>
      <c r="L302" s="23"/>
      <c r="M302" s="23"/>
      <c r="N302" s="23"/>
      <c r="O302" s="23"/>
      <c r="P302" s="15">
        <f t="shared" si="43"/>
        <v>21</v>
      </c>
      <c r="Q302" s="15">
        <f t="shared" si="44"/>
        <v>23</v>
      </c>
      <c r="R302" s="15">
        <f>IF(F302="事业部",LOOKUP(Q302,基础设置!$T$2:$T$6,基础设置!$U$2:$U$6),IF(F302="总部",LOOKUP(Q302,基础设置!$T$8:$T$13,基础设置!$V$8:$V$13),IF(F302="拓展部",LOOKUP(Q302,基础设置!$T$8:$T$13,基础设置!$W$8:$W$13),2000)))</f>
        <v>3</v>
      </c>
      <c r="S302" s="15">
        <f t="shared" si="45"/>
        <v>23</v>
      </c>
      <c r="T302" s="15">
        <f t="shared" si="46"/>
        <v>0</v>
      </c>
      <c r="U302" s="15">
        <f t="shared" si="47"/>
        <v>0</v>
      </c>
      <c r="V302" s="15">
        <f t="shared" si="40"/>
        <v>0</v>
      </c>
      <c r="W302" s="15">
        <f t="shared" si="48"/>
        <v>0</v>
      </c>
      <c r="X302" s="26"/>
      <c r="Y302" s="26"/>
      <c r="Z302" s="26"/>
      <c r="AA302" s="26"/>
      <c r="AB302" s="27"/>
      <c r="AC302" s="27"/>
      <c r="AD302" s="27">
        <v>130</v>
      </c>
      <c r="AE302" s="27"/>
      <c r="AF302" s="27"/>
      <c r="AG302" s="27"/>
      <c r="AH302" s="17">
        <f>_xlfn.XLOOKUP(D302,'①7月-花名册'!E:E,'①7月-花名册'!T:T,0)</f>
        <v>1806.4516129032299</v>
      </c>
      <c r="AI302" s="15">
        <f>SUMIFS('7月运营'!$L:$L,'7月运营'!$A:$A,D302,'7月运营'!$K:$K,$A$1)</f>
        <v>420</v>
      </c>
      <c r="AJ302" s="15">
        <f>SUMIFS('7月运营'!H:H,'7月运营'!$A:$A,D302,'7月运营'!$K:$K,$A$1)</f>
        <v>0</v>
      </c>
      <c r="AK302" s="15">
        <f>SUMIFS(上月未发人员明细!I:I,上月未发人员明细!J:J,$AK$2,上月未发人员明细!A:A,D302)</f>
        <v>0</v>
      </c>
      <c r="AL302" s="15">
        <f>SUMIFS('7月运营'!L:L,'7月运营'!$A:$A,D302,'7月运营'!$K:$K,$AL$2)</f>
        <v>0</v>
      </c>
      <c r="AM302" s="18">
        <f>SUMIFS('7月运营'!$F:$F,'7月运营'!$A:$A,D302,'7月运营'!$K:$K,'②7月-汇总'!$AM$2,'7月运营'!$G:$G,"岗位核算")</f>
        <v>16</v>
      </c>
      <c r="AN302" s="18">
        <f>SUMIFS('7月运营'!$F:$F,'7月运营'!$A:$A,D302,'7月运营'!$K:$K,$AN$2,'7月运营'!$G:$G,"岗位核算")</f>
        <v>0</v>
      </c>
      <c r="AO302" s="18" t="str">
        <f t="shared" si="49"/>
        <v/>
      </c>
      <c r="AP302" s="18">
        <f t="shared" si="41"/>
        <v>16</v>
      </c>
      <c r="AQ302" s="18" t="str">
        <f>_xlfn.XLOOKUP(D302,'7月运营'!A:A,'7月运营'!G:G,0)</f>
        <v>培训-60</v>
      </c>
    </row>
    <row r="303" spans="1:43" x14ac:dyDescent="0.15">
      <c r="A303" s="11" t="str">
        <v>明信</v>
      </c>
      <c r="B303" s="11" t="str">
        <v>健康师</v>
      </c>
      <c r="C303" s="11" t="str">
        <v>A</v>
      </c>
      <c r="D303" s="11" t="str">
        <v>谢翠华</v>
      </c>
      <c r="E303" s="11" t="str">
        <v>在职</v>
      </c>
      <c r="F303" s="11" t="str">
        <v>事业部</v>
      </c>
      <c r="G303" s="11">
        <f>_xlfn.XLOOKUP(D303,'①7月-花名册'!E:E,'①7月-花名册'!U:U,0)</f>
        <v>0</v>
      </c>
      <c r="H303" s="11">
        <f>_xlfn.XLOOKUP(D303,'①7月-花名册'!E:E,'①7月-花名册'!M:M,0)</f>
        <v>21</v>
      </c>
      <c r="I303" s="11">
        <f>_xlfn.XLOOKUP(D303,'①7月-花名册'!E:E,'①7月-花名册'!S:S,0)</f>
        <v>3</v>
      </c>
      <c r="J303" s="14">
        <f t="shared" si="42"/>
        <v>2</v>
      </c>
      <c r="K303" s="23">
        <v>2</v>
      </c>
      <c r="L303" s="23"/>
      <c r="M303" s="23"/>
      <c r="N303" s="23"/>
      <c r="O303" s="23"/>
      <c r="P303" s="15">
        <f t="shared" si="43"/>
        <v>19</v>
      </c>
      <c r="Q303" s="15">
        <f t="shared" si="44"/>
        <v>21</v>
      </c>
      <c r="R303" s="15">
        <f>IF(F303="事业部",LOOKUP(Q303,基础设置!$T$2:$T$6,基础设置!$U$2:$U$6),IF(F303="总部",LOOKUP(Q303,基础设置!$T$8:$T$13,基础设置!$V$8:$V$13),IF(F303="拓展部",LOOKUP(Q303,基础设置!$T$8:$T$13,基础设置!$W$8:$W$13),2000)))</f>
        <v>3</v>
      </c>
      <c r="S303" s="15">
        <f t="shared" si="45"/>
        <v>21</v>
      </c>
      <c r="T303" s="15">
        <f t="shared" si="46"/>
        <v>0</v>
      </c>
      <c r="U303" s="15">
        <f t="shared" si="47"/>
        <v>0</v>
      </c>
      <c r="V303" s="15">
        <f t="shared" si="40"/>
        <v>1</v>
      </c>
      <c r="W303" s="15">
        <f t="shared" si="48"/>
        <v>20</v>
      </c>
      <c r="X303" s="26"/>
      <c r="Y303" s="26"/>
      <c r="Z303" s="26"/>
      <c r="AA303" s="26"/>
      <c r="AB303" s="27"/>
      <c r="AC303" s="27"/>
      <c r="AD303" s="27">
        <v>130</v>
      </c>
      <c r="AE303" s="27"/>
      <c r="AF303" s="27"/>
      <c r="AG303" s="27"/>
      <c r="AH303" s="17">
        <f>_xlfn.XLOOKUP(D303,'①7月-花名册'!E:E,'①7月-花名册'!T:T,0)</f>
        <v>0</v>
      </c>
      <c r="AI303" s="15">
        <f>SUMIFS('7月运营'!$L:$L,'7月运营'!$A:$A,D303,'7月运营'!$K:$K,$A$1)</f>
        <v>480</v>
      </c>
      <c r="AJ303" s="15">
        <f>SUMIFS('7月运营'!H:H,'7月运营'!$A:$A,D303,'7月运营'!$K:$K,$A$1)</f>
        <v>0</v>
      </c>
      <c r="AK303" s="15">
        <f>SUMIFS(上月未发人员明细!I:I,上月未发人员明细!J:J,$AK$2,上月未发人员明细!A:A,D303)</f>
        <v>0</v>
      </c>
      <c r="AL303" s="15">
        <f>SUMIFS('7月运营'!L:L,'7月运营'!$A:$A,D303,'7月运营'!$K:$K,$AL$2)</f>
        <v>0</v>
      </c>
      <c r="AM303" s="18">
        <f>SUMIFS('7月运营'!$F:$F,'7月运营'!$A:$A,D303,'7月运营'!$K:$K,'②7月-汇总'!$AM$2,'7月运营'!$G:$G,"岗位核算")</f>
        <v>13</v>
      </c>
      <c r="AN303" s="18">
        <f>SUMIFS('7月运营'!$F:$F,'7月运营'!$A:$A,D303,'7月运营'!$K:$K,$AN$2,'7月运营'!$G:$G,"岗位核算")</f>
        <v>0</v>
      </c>
      <c r="AO303" s="18" t="str">
        <f t="shared" si="49"/>
        <v/>
      </c>
      <c r="AP303" s="18">
        <f t="shared" si="41"/>
        <v>13</v>
      </c>
      <c r="AQ303" s="18" t="str">
        <f>_xlfn.XLOOKUP(D303,'7月运营'!A:A,'7月运营'!G:G,0)</f>
        <v>培训-60</v>
      </c>
    </row>
    <row r="304" spans="1:43" x14ac:dyDescent="0.15">
      <c r="A304" s="11" t="str">
        <v>大丰</v>
      </c>
      <c r="B304" s="11" t="str">
        <v>健康师</v>
      </c>
      <c r="C304" s="11" t="str">
        <v>A</v>
      </c>
      <c r="D304" s="11" t="str">
        <v>袁晓梅</v>
      </c>
      <c r="E304" s="11" t="str">
        <v>在职</v>
      </c>
      <c r="F304" s="11" t="str">
        <v>事业部</v>
      </c>
      <c r="G304" s="11">
        <f>_xlfn.XLOOKUP(D304,'①7月-花名册'!E:E,'①7月-花名册'!U:U,0)</f>
        <v>0</v>
      </c>
      <c r="H304" s="11">
        <f>_xlfn.XLOOKUP(D304,'①7月-花名册'!E:E,'①7月-花名册'!M:M,0)</f>
        <v>20</v>
      </c>
      <c r="I304" s="11">
        <f>_xlfn.XLOOKUP(D304,'①7月-花名册'!E:E,'①7月-花名册'!S:S,0)</f>
        <v>2</v>
      </c>
      <c r="J304" s="14">
        <f t="shared" si="42"/>
        <v>2</v>
      </c>
      <c r="K304" s="23">
        <v>2</v>
      </c>
      <c r="L304" s="23"/>
      <c r="M304" s="23"/>
      <c r="N304" s="23"/>
      <c r="O304" s="23"/>
      <c r="P304" s="15">
        <f t="shared" si="43"/>
        <v>18</v>
      </c>
      <c r="Q304" s="15">
        <f t="shared" si="44"/>
        <v>20</v>
      </c>
      <c r="R304" s="15">
        <f>IF(F304="事业部",LOOKUP(Q304,基础设置!$T$2:$T$6,基础设置!$U$2:$U$6),IF(F304="总部",LOOKUP(Q304,基础设置!$T$8:$T$13,基础设置!$V$8:$V$13),IF(F304="拓展部",LOOKUP(Q304,基础设置!$T$8:$T$13,基础设置!$W$8:$W$13),2000)))</f>
        <v>2</v>
      </c>
      <c r="S304" s="15">
        <f t="shared" si="45"/>
        <v>20</v>
      </c>
      <c r="T304" s="15">
        <f t="shared" si="46"/>
        <v>0</v>
      </c>
      <c r="U304" s="15">
        <f t="shared" si="47"/>
        <v>0</v>
      </c>
      <c r="V304" s="15">
        <f t="shared" si="40"/>
        <v>0</v>
      </c>
      <c r="W304" s="15">
        <f t="shared" si="48"/>
        <v>0</v>
      </c>
      <c r="X304" s="26"/>
      <c r="Y304" s="26"/>
      <c r="Z304" s="26"/>
      <c r="AA304" s="26"/>
      <c r="AB304" s="27"/>
      <c r="AC304" s="27"/>
      <c r="AD304" s="27">
        <v>130</v>
      </c>
      <c r="AE304" s="27"/>
      <c r="AF304" s="27"/>
      <c r="AG304" s="27"/>
      <c r="AH304" s="17">
        <f>_xlfn.XLOOKUP(D304,'①7月-花名册'!E:E,'①7月-花名册'!T:T,0)</f>
        <v>0</v>
      </c>
      <c r="AI304" s="15">
        <f>SUMIFS('7月运营'!$L:$L,'7月运营'!$A:$A,D304,'7月运营'!$K:$K,$A$1)</f>
        <v>300</v>
      </c>
      <c r="AJ304" s="15">
        <f>SUMIFS('7月运营'!H:H,'7月运营'!$A:$A,D304,'7月运营'!$K:$K,$A$1)</f>
        <v>200</v>
      </c>
      <c r="AK304" s="15">
        <f>SUMIFS(上月未发人员明细!I:I,上月未发人员明细!J:J,$AK$2,上月未发人员明细!A:A,D304)</f>
        <v>0</v>
      </c>
      <c r="AL304" s="15">
        <f>SUMIFS('7月运营'!L:L,'7月运营'!$A:$A,D304,'7月运营'!$K:$K,$AL$2)</f>
        <v>0</v>
      </c>
      <c r="AM304" s="18">
        <f>SUMIFS('7月运营'!$F:$F,'7月运营'!$A:$A,D304,'7月运营'!$K:$K,'②7月-汇总'!$AM$2,'7月运营'!$G:$G,"岗位核算")</f>
        <v>15</v>
      </c>
      <c r="AN304" s="18">
        <f>SUMIFS('7月运营'!$F:$F,'7月运营'!$A:$A,D304,'7月运营'!$K:$K,$AN$2,'7月运营'!$G:$G,"岗位核算")</f>
        <v>0</v>
      </c>
      <c r="AO304" s="18" t="str">
        <f t="shared" si="49"/>
        <v/>
      </c>
      <c r="AP304" s="18">
        <f t="shared" si="41"/>
        <v>15</v>
      </c>
      <c r="AQ304" s="18" t="str">
        <f>_xlfn.XLOOKUP(D304,'7月运营'!A:A,'7月运营'!G:G,0)</f>
        <v>培训-60</v>
      </c>
    </row>
    <row r="305" spans="1:43" x14ac:dyDescent="0.15">
      <c r="A305" s="11" t="str">
        <v>科技二部</v>
      </c>
      <c r="B305" s="11" t="str">
        <v>科技老师</v>
      </c>
      <c r="C305" s="11" t="str">
        <v>B</v>
      </c>
      <c r="D305" s="11" t="str">
        <v>孙鲜</v>
      </c>
      <c r="E305" s="11" t="str">
        <v>离职</v>
      </c>
      <c r="F305" s="11" t="str">
        <v>事业部</v>
      </c>
      <c r="G305" s="11">
        <f>_xlfn.XLOOKUP(D305,'①7月-花名册'!E:E,'①7月-花名册'!U:U,0)</f>
        <v>0</v>
      </c>
      <c r="H305" s="11">
        <f>_xlfn.XLOOKUP(D305,'①7月-花名册'!E:E,'①7月-花名册'!M:M,0)</f>
        <v>15</v>
      </c>
      <c r="I305" s="11">
        <f>_xlfn.XLOOKUP(D305,'①7月-花名册'!E:E,'①7月-花名册'!S:S,0)</f>
        <v>2</v>
      </c>
      <c r="J305" s="14">
        <f t="shared" si="42"/>
        <v>2</v>
      </c>
      <c r="K305" s="23">
        <v>2</v>
      </c>
      <c r="L305" s="23"/>
      <c r="M305" s="23"/>
      <c r="N305" s="23"/>
      <c r="O305" s="23"/>
      <c r="P305" s="15">
        <f t="shared" si="43"/>
        <v>13</v>
      </c>
      <c r="Q305" s="15">
        <f t="shared" si="44"/>
        <v>15</v>
      </c>
      <c r="R305" s="15">
        <f>IF(F305="事业部",LOOKUP(Q305,基础设置!$T$2:$T$6,基础设置!$U$2:$U$6),IF(F305="总部",LOOKUP(Q305,基础设置!$T$8:$T$13,基础设置!$V$8:$V$13),IF(F305="拓展部",LOOKUP(Q305,基础设置!$T$8:$T$13,基础设置!$W$8:$W$13),2000)))</f>
        <v>2</v>
      </c>
      <c r="S305" s="15">
        <f t="shared" si="45"/>
        <v>15</v>
      </c>
      <c r="T305" s="15">
        <f t="shared" si="46"/>
        <v>0</v>
      </c>
      <c r="U305" s="15">
        <f t="shared" si="47"/>
        <v>0</v>
      </c>
      <c r="V305" s="15">
        <f t="shared" si="40"/>
        <v>0</v>
      </c>
      <c r="W305" s="15">
        <f t="shared" si="48"/>
        <v>0</v>
      </c>
      <c r="X305" s="26"/>
      <c r="Y305" s="26"/>
      <c r="Z305" s="26"/>
      <c r="AA305" s="26"/>
      <c r="AB305" s="27"/>
      <c r="AC305" s="27"/>
      <c r="AD305" s="27"/>
      <c r="AE305" s="27">
        <v>300</v>
      </c>
      <c r="AF305" s="27"/>
      <c r="AG305" s="27"/>
      <c r="AH305" s="17">
        <f>_xlfn.XLOOKUP(D305,'①7月-花名册'!E:E,'①7月-花名册'!T:T,0)</f>
        <v>0</v>
      </c>
      <c r="AI305" s="15">
        <f>SUMIFS('7月运营'!$L:$L,'7月运营'!$A:$A,D305,'7月运营'!$K:$K,$A$1)</f>
        <v>560</v>
      </c>
      <c r="AJ305" s="15">
        <f>SUMIFS('7月运营'!H:H,'7月运营'!$A:$A,D305,'7月运营'!$K:$K,$A$1)</f>
        <v>0</v>
      </c>
      <c r="AK305" s="15">
        <f>SUMIFS(上月未发人员明细!I:I,上月未发人员明细!J:J,$AK$2,上月未发人员明细!A:A,D305)</f>
        <v>0</v>
      </c>
      <c r="AL305" s="15">
        <f>SUMIFS('7月运营'!L:L,'7月运营'!$A:$A,D305,'7月运营'!$K:$K,$AL$2)</f>
        <v>0</v>
      </c>
      <c r="AM305" s="18">
        <f>SUMIFS('7月运营'!$F:$F,'7月运营'!$A:$A,D305,'7月运营'!$K:$K,'②7月-汇总'!$AM$2,'7月运营'!$G:$G,"岗位核算")</f>
        <v>8</v>
      </c>
      <c r="AN305" s="18">
        <f>SUMIFS('7月运营'!$F:$F,'7月运营'!$A:$A,D305,'7月运营'!$K:$K,$AN$2,'7月运营'!$G:$G,"岗位核算")</f>
        <v>0</v>
      </c>
      <c r="AO305" s="18" t="str">
        <f t="shared" si="49"/>
        <v/>
      </c>
      <c r="AP305" s="18">
        <f t="shared" si="41"/>
        <v>8</v>
      </c>
      <c r="AQ305" s="18" t="str">
        <f>_xlfn.XLOOKUP(D305,'7月运营'!A:A,'7月运营'!G:G,0)</f>
        <v>培训-80</v>
      </c>
    </row>
    <row r="306" spans="1:43" x14ac:dyDescent="0.15">
      <c r="A306" s="11" t="str">
        <v>龙湖</v>
      </c>
      <c r="B306" s="11" t="str">
        <v>健康师</v>
      </c>
      <c r="C306" s="11" t="str">
        <v>A</v>
      </c>
      <c r="D306" s="11" t="str">
        <v>陈春秀</v>
      </c>
      <c r="E306" s="11" t="str">
        <v>在职</v>
      </c>
      <c r="F306" s="11" t="str">
        <v>事业部</v>
      </c>
      <c r="G306" s="11">
        <f>_xlfn.XLOOKUP(D306,'①7月-花名册'!E:E,'①7月-花名册'!U:U,0)</f>
        <v>0</v>
      </c>
      <c r="H306" s="11">
        <f>_xlfn.XLOOKUP(D306,'①7月-花名册'!E:E,'①7月-花名册'!M:M,0)</f>
        <v>18</v>
      </c>
      <c r="I306" s="11">
        <f>_xlfn.XLOOKUP(D306,'①7月-花名册'!E:E,'①7月-花名册'!S:S,0)</f>
        <v>2</v>
      </c>
      <c r="J306" s="14">
        <f t="shared" si="42"/>
        <v>2</v>
      </c>
      <c r="K306" s="23">
        <v>2</v>
      </c>
      <c r="L306" s="23"/>
      <c r="M306" s="23"/>
      <c r="N306" s="23"/>
      <c r="O306" s="23"/>
      <c r="P306" s="15">
        <f t="shared" si="43"/>
        <v>16</v>
      </c>
      <c r="Q306" s="15">
        <f t="shared" si="44"/>
        <v>18</v>
      </c>
      <c r="R306" s="15">
        <f>IF(F306="事业部",LOOKUP(Q306,基础设置!$T$2:$T$6,基础设置!$U$2:$U$6),IF(F306="总部",LOOKUP(Q306,基础设置!$T$8:$T$13,基础设置!$V$8:$V$13),IF(F306="拓展部",LOOKUP(Q306,基础设置!$T$8:$T$13,基础设置!$W$8:$W$13),2000)))</f>
        <v>2</v>
      </c>
      <c r="S306" s="15">
        <f t="shared" si="45"/>
        <v>18</v>
      </c>
      <c r="T306" s="15">
        <f t="shared" si="46"/>
        <v>0</v>
      </c>
      <c r="U306" s="15">
        <f t="shared" si="47"/>
        <v>0</v>
      </c>
      <c r="V306" s="15">
        <f t="shared" si="40"/>
        <v>0</v>
      </c>
      <c r="W306" s="15">
        <f t="shared" si="48"/>
        <v>0</v>
      </c>
      <c r="X306" s="26"/>
      <c r="Y306" s="26"/>
      <c r="Z306" s="26"/>
      <c r="AA306" s="26"/>
      <c r="AB306" s="27"/>
      <c r="AC306" s="27"/>
      <c r="AD306" s="27">
        <v>130</v>
      </c>
      <c r="AE306" s="27"/>
      <c r="AF306" s="27"/>
      <c r="AG306" s="27"/>
      <c r="AH306" s="17">
        <f>_xlfn.XLOOKUP(D306,'①7月-花名册'!E:E,'①7月-花名册'!T:T,0)</f>
        <v>0</v>
      </c>
      <c r="AI306" s="15">
        <f>SUMIFS('7月运营'!$L:$L,'7月运营'!$A:$A,D306,'7月运营'!$K:$K,$A$1)</f>
        <v>540</v>
      </c>
      <c r="AJ306" s="15">
        <f>SUMIFS('7月运营'!H:H,'7月运营'!$A:$A,D306,'7月运营'!$K:$K,$A$1)</f>
        <v>0</v>
      </c>
      <c r="AK306" s="15">
        <f>SUMIFS(上月未发人员明细!I:I,上月未发人员明细!J:J,$AK$2,上月未发人员明细!A:A,D306)</f>
        <v>0</v>
      </c>
      <c r="AL306" s="15">
        <f>SUMIFS('7月运营'!L:L,'7月运营'!$A:$A,D306,'7月运营'!$K:$K,$AL$2)</f>
        <v>0</v>
      </c>
      <c r="AM306" s="18">
        <f>SUMIFS('7月运营'!$F:$F,'7月运营'!$A:$A,D306,'7月运营'!$K:$K,'②7月-汇总'!$AM$2,'7月运营'!$G:$G,"岗位核算")</f>
        <v>9</v>
      </c>
      <c r="AN306" s="18">
        <f>SUMIFS('7月运营'!$F:$F,'7月运营'!$A:$A,D306,'7月运营'!$K:$K,$AN$2,'7月运营'!$G:$G,"岗位核算")</f>
        <v>0</v>
      </c>
      <c r="AO306" s="18" t="str">
        <f t="shared" si="49"/>
        <v/>
      </c>
      <c r="AP306" s="18">
        <f t="shared" si="41"/>
        <v>9</v>
      </c>
      <c r="AQ306" s="18" t="str">
        <f>_xlfn.XLOOKUP(D306,'7月运营'!A:A,'7月运营'!G:G,0)</f>
        <v>培训-60</v>
      </c>
    </row>
    <row r="307" spans="1:43" x14ac:dyDescent="0.15">
      <c r="A307" s="11" t="str">
        <v>明信</v>
      </c>
      <c r="B307" s="11" t="str">
        <v>健康师</v>
      </c>
      <c r="C307" s="11" t="str">
        <v>A</v>
      </c>
      <c r="D307" s="11" t="str">
        <v>郑晓芳</v>
      </c>
      <c r="E307" s="11" t="str">
        <v>在职</v>
      </c>
      <c r="F307" s="11" t="str">
        <v>事业部</v>
      </c>
      <c r="G307" s="11">
        <f>_xlfn.XLOOKUP(D307,'①7月-花名册'!E:E,'①7月-花名册'!U:U,0)</f>
        <v>0</v>
      </c>
      <c r="H307" s="11">
        <f>_xlfn.XLOOKUP(D307,'①7月-花名册'!E:E,'①7月-花名册'!M:M,0)</f>
        <v>18</v>
      </c>
      <c r="I307" s="11">
        <f>_xlfn.XLOOKUP(D307,'①7月-花名册'!E:E,'①7月-花名册'!S:S,0)</f>
        <v>2</v>
      </c>
      <c r="J307" s="14">
        <f t="shared" si="42"/>
        <v>1</v>
      </c>
      <c r="K307" s="23">
        <v>1</v>
      </c>
      <c r="L307" s="23"/>
      <c r="M307" s="23"/>
      <c r="N307" s="23"/>
      <c r="O307" s="23"/>
      <c r="P307" s="15">
        <f t="shared" si="43"/>
        <v>17</v>
      </c>
      <c r="Q307" s="15">
        <f t="shared" si="44"/>
        <v>18</v>
      </c>
      <c r="R307" s="15">
        <f>IF(F307="事业部",LOOKUP(Q307,基础设置!$T$2:$T$6,基础设置!$U$2:$U$6),IF(F307="总部",LOOKUP(Q307,基础设置!$T$8:$T$13,基础设置!$V$8:$V$13),IF(F307="拓展部",LOOKUP(Q307,基础设置!$T$8:$T$13,基础设置!$W$8:$W$13),2000)))</f>
        <v>2</v>
      </c>
      <c r="S307" s="15">
        <f t="shared" si="45"/>
        <v>18</v>
      </c>
      <c r="T307" s="15">
        <f t="shared" si="46"/>
        <v>0</v>
      </c>
      <c r="U307" s="15">
        <f t="shared" si="47"/>
        <v>0</v>
      </c>
      <c r="V307" s="15">
        <f t="shared" si="40"/>
        <v>1</v>
      </c>
      <c r="W307" s="15">
        <f t="shared" si="48"/>
        <v>20</v>
      </c>
      <c r="X307" s="26"/>
      <c r="Y307" s="26"/>
      <c r="Z307" s="26"/>
      <c r="AA307" s="26"/>
      <c r="AB307" s="27"/>
      <c r="AC307" s="27"/>
      <c r="AD307" s="27">
        <v>130</v>
      </c>
      <c r="AE307" s="27"/>
      <c r="AF307" s="27"/>
      <c r="AG307" s="27"/>
      <c r="AH307" s="17">
        <f>_xlfn.XLOOKUP(D307,'①7月-花名册'!E:E,'①7月-花名册'!T:T,0)</f>
        <v>0</v>
      </c>
      <c r="AI307" s="15">
        <f>SUMIFS('7月运营'!$L:$L,'7月运营'!$A:$A,D307,'7月运营'!$K:$K,$A$1)</f>
        <v>600</v>
      </c>
      <c r="AJ307" s="15">
        <f>SUMIFS('7月运营'!H:H,'7月运营'!$A:$A,D307,'7月运营'!$K:$K,$A$1)</f>
        <v>0</v>
      </c>
      <c r="AK307" s="15">
        <f>SUMIFS(上月未发人员明细!I:I,上月未发人员明细!J:J,$AK$2,上月未发人员明细!A:A,D307)</f>
        <v>0</v>
      </c>
      <c r="AL307" s="15">
        <f>SUMIFS('7月运营'!L:L,'7月运营'!$A:$A,D307,'7月运营'!$K:$K,$AL$2)</f>
        <v>0</v>
      </c>
      <c r="AM307" s="18">
        <f>SUMIFS('7月运营'!$F:$F,'7月运营'!$A:$A,D307,'7月运营'!$K:$K,'②7月-汇总'!$AM$2,'7月运营'!$G:$G,"岗位核算")</f>
        <v>8</v>
      </c>
      <c r="AN307" s="18">
        <f>SUMIFS('7月运营'!$F:$F,'7月运营'!$A:$A,D307,'7月运营'!$K:$K,$AN$2,'7月运营'!$G:$G,"岗位核算")</f>
        <v>0</v>
      </c>
      <c r="AO307" s="18" t="str">
        <f t="shared" si="49"/>
        <v/>
      </c>
      <c r="AP307" s="18">
        <f t="shared" si="41"/>
        <v>8</v>
      </c>
      <c r="AQ307" s="18" t="str">
        <f>_xlfn.XLOOKUP(D307,'7月运营'!A:A,'7月运营'!G:G,0)</f>
        <v>培训-60</v>
      </c>
    </row>
    <row r="308" spans="1:43" x14ac:dyDescent="0.15">
      <c r="A308" s="11" t="str">
        <v>总部</v>
      </c>
      <c r="B308" s="11" t="str">
        <v>教育部老师</v>
      </c>
      <c r="C308" s="11" t="str">
        <v>B</v>
      </c>
      <c r="D308" s="11" t="str">
        <v>曾小凤</v>
      </c>
      <c r="E308" s="11" t="str">
        <v>在职</v>
      </c>
      <c r="F308" s="11" t="str">
        <v>总部</v>
      </c>
      <c r="G308" s="11">
        <f>_xlfn.XLOOKUP(D308,'①7月-花名册'!E:E,'①7月-花名册'!U:U,0)</f>
        <v>0</v>
      </c>
      <c r="H308" s="11">
        <f>_xlfn.XLOOKUP(D308,'①7月-花名册'!E:E,'①7月-花名册'!M:M,0)</f>
        <v>18</v>
      </c>
      <c r="I308" s="11">
        <f>_xlfn.XLOOKUP(D308,'①7月-花名册'!E:E,'①7月-花名册'!S:S,0)</f>
        <v>3</v>
      </c>
      <c r="J308" s="14">
        <f t="shared" si="42"/>
        <v>2</v>
      </c>
      <c r="K308" s="23">
        <v>2</v>
      </c>
      <c r="L308" s="23"/>
      <c r="M308" s="23"/>
      <c r="N308" s="23"/>
      <c r="O308" s="23"/>
      <c r="P308" s="15">
        <f t="shared" si="43"/>
        <v>16</v>
      </c>
      <c r="Q308" s="15">
        <f t="shared" si="44"/>
        <v>18</v>
      </c>
      <c r="R308" s="15">
        <f>IF(F308="事业部",LOOKUP(Q308,基础设置!$T$2:$T$6,基础设置!$U$2:$U$6),IF(F308="总部",LOOKUP(Q308,基础设置!$T$8:$T$13,基础设置!$V$8:$V$13),IF(F308="拓展部",LOOKUP(Q308,基础设置!$T$8:$T$13,基础设置!$W$8:$W$13),2000)))</f>
        <v>3</v>
      </c>
      <c r="S308" s="15">
        <f t="shared" si="45"/>
        <v>18</v>
      </c>
      <c r="T308" s="15">
        <f t="shared" si="46"/>
        <v>0</v>
      </c>
      <c r="U308" s="15">
        <f t="shared" si="47"/>
        <v>0</v>
      </c>
      <c r="V308" s="15">
        <f t="shared" si="40"/>
        <v>0</v>
      </c>
      <c r="W308" s="15">
        <f t="shared" si="48"/>
        <v>0</v>
      </c>
      <c r="X308" s="26"/>
      <c r="Y308" s="26"/>
      <c r="Z308" s="26"/>
      <c r="AA308" s="26"/>
      <c r="AB308" s="27"/>
      <c r="AC308" s="27"/>
      <c r="AD308" s="27"/>
      <c r="AE308" s="27"/>
      <c r="AF308" s="27"/>
      <c r="AG308" s="27"/>
      <c r="AH308" s="17">
        <f>_xlfn.XLOOKUP(D308,'①7月-花名册'!E:E,'①7月-花名册'!T:T,0)</f>
        <v>2483.8709677419401</v>
      </c>
      <c r="AI308" s="15">
        <f>SUMIFS('7月运营'!$L:$L,'7月运营'!$A:$A,D308,'7月运营'!$K:$K,$A$1)</f>
        <v>560</v>
      </c>
      <c r="AJ308" s="15">
        <f>SUMIFS('7月运营'!H:H,'7月运营'!$A:$A,D308,'7月运营'!$K:$K,$A$1)</f>
        <v>0</v>
      </c>
      <c r="AK308" s="15">
        <f>SUMIFS(上月未发人员明细!I:I,上月未发人员明细!J:J,$AK$2,上月未发人员明细!A:A,D308)</f>
        <v>0</v>
      </c>
      <c r="AL308" s="15">
        <f>SUMIFS('7月运营'!L:L,'7月运营'!$A:$A,D308,'7月运营'!$K:$K,$AL$2)</f>
        <v>0</v>
      </c>
      <c r="AM308" s="18">
        <f>SUMIFS('7月运营'!$F:$F,'7月运营'!$A:$A,D308,'7月运营'!$K:$K,'②7月-汇总'!$AM$2,'7月运营'!$G:$G,"岗位核算")</f>
        <v>11</v>
      </c>
      <c r="AN308" s="18">
        <f>SUMIFS('7月运营'!$F:$F,'7月运营'!$A:$A,D308,'7月运营'!$K:$K,$AN$2,'7月运营'!$G:$G,"岗位核算")</f>
        <v>0</v>
      </c>
      <c r="AO308" s="18" t="str">
        <f t="shared" si="49"/>
        <v/>
      </c>
      <c r="AP308" s="18">
        <f t="shared" si="41"/>
        <v>11</v>
      </c>
      <c r="AQ308" s="18" t="str">
        <f>_xlfn.XLOOKUP(D308,'7月运营'!A:A,'7月运营'!G:G,0)</f>
        <v>培训-80</v>
      </c>
    </row>
    <row r="309" spans="1:43" x14ac:dyDescent="0.15">
      <c r="A309" s="11" t="str">
        <v>龙城国际</v>
      </c>
      <c r="B309" s="11" t="str">
        <v>健康师</v>
      </c>
      <c r="C309" s="11" t="str">
        <v>A</v>
      </c>
      <c r="D309" s="11" t="str">
        <v>邹奇圻</v>
      </c>
      <c r="E309" s="11" t="str">
        <v>在职</v>
      </c>
      <c r="F309" s="11" t="str">
        <v>事业部</v>
      </c>
      <c r="G309" s="11">
        <f>_xlfn.XLOOKUP(D309,'①7月-花名册'!E:E,'①7月-花名册'!U:U,0)</f>
        <v>0</v>
      </c>
      <c r="H309" s="11">
        <f>_xlfn.XLOOKUP(D309,'①7月-花名册'!E:E,'①7月-花名册'!M:M,0)</f>
        <v>17</v>
      </c>
      <c r="I309" s="11">
        <f>_xlfn.XLOOKUP(D309,'①7月-花名册'!E:E,'①7月-花名册'!S:S,0)</f>
        <v>2</v>
      </c>
      <c r="J309" s="14">
        <f t="shared" si="42"/>
        <v>2</v>
      </c>
      <c r="K309" s="31">
        <v>2</v>
      </c>
      <c r="L309" s="23"/>
      <c r="M309" s="23"/>
      <c r="N309" s="23"/>
      <c r="O309" s="23"/>
      <c r="P309" s="15">
        <f t="shared" si="43"/>
        <v>15</v>
      </c>
      <c r="Q309" s="15">
        <f t="shared" si="44"/>
        <v>17</v>
      </c>
      <c r="R309" s="15">
        <f>IF(F309="事业部",LOOKUP(Q309,基础设置!$T$2:$T$6,基础设置!$U$2:$U$6),IF(F309="总部",LOOKUP(Q309,基础设置!$T$8:$T$13,基础设置!$V$8:$V$13),IF(F309="拓展部",LOOKUP(Q309,基础设置!$T$8:$T$13,基础设置!$W$8:$W$13),2000)))</f>
        <v>2</v>
      </c>
      <c r="S309" s="15">
        <f t="shared" si="45"/>
        <v>17</v>
      </c>
      <c r="T309" s="15">
        <f t="shared" si="46"/>
        <v>0</v>
      </c>
      <c r="U309" s="15">
        <f t="shared" si="47"/>
        <v>0</v>
      </c>
      <c r="V309" s="15">
        <f t="shared" si="40"/>
        <v>0</v>
      </c>
      <c r="W309" s="15">
        <f t="shared" si="48"/>
        <v>0</v>
      </c>
      <c r="X309" s="26"/>
      <c r="Y309" s="26"/>
      <c r="Z309" s="26"/>
      <c r="AA309" s="26"/>
      <c r="AB309" s="27"/>
      <c r="AC309" s="27"/>
      <c r="AD309" s="27">
        <v>130</v>
      </c>
      <c r="AE309" s="27"/>
      <c r="AF309" s="27"/>
      <c r="AG309" s="27"/>
      <c r="AH309" s="17">
        <f>_xlfn.XLOOKUP(D309,'①7月-花名册'!E:E,'①7月-花名册'!T:T,0)</f>
        <v>0</v>
      </c>
      <c r="AI309" s="15">
        <f>SUMIFS('7月运营'!$L:$L,'7月运营'!$A:$A,D309,'7月运营'!$K:$K,$A$1)</f>
        <v>420</v>
      </c>
      <c r="AJ309" s="15">
        <f>SUMIFS('7月运营'!H:H,'7月运营'!$A:$A,D309,'7月运营'!$K:$K,$A$1)</f>
        <v>240</v>
      </c>
      <c r="AK309" s="15">
        <f>SUMIFS(上月未发人员明细!I:I,上月未发人员明细!J:J,$AK$2,上月未发人员明细!A:A,D309)</f>
        <v>0</v>
      </c>
      <c r="AL309" s="15">
        <f>SUMIFS('7月运营'!L:L,'7月运营'!$A:$A,D309,'7月运营'!$K:$K,$AL$2)</f>
        <v>0</v>
      </c>
      <c r="AM309" s="18">
        <f>SUMIFS('7月运营'!$F:$F,'7月运营'!$A:$A,D309,'7月运营'!$K:$K,'②7月-汇总'!$AM$2,'7月运营'!$G:$G,"岗位核算")</f>
        <v>10</v>
      </c>
      <c r="AN309" s="18">
        <f>SUMIFS('7月运营'!$F:$F,'7月运营'!$A:$A,D309,'7月运营'!$K:$K,$AN$2,'7月运营'!$G:$G,"岗位核算")</f>
        <v>0</v>
      </c>
      <c r="AO309" s="18" t="str">
        <f t="shared" si="49"/>
        <v/>
      </c>
      <c r="AP309" s="18">
        <f t="shared" si="41"/>
        <v>10</v>
      </c>
      <c r="AQ309" s="18" t="str">
        <f>_xlfn.XLOOKUP(D309,'7月运营'!A:A,'7月运营'!G:G,0)</f>
        <v>培训-60</v>
      </c>
    </row>
    <row r="310" spans="1:43" x14ac:dyDescent="0.15">
      <c r="A310" s="11" t="str">
        <v>荣华北路</v>
      </c>
      <c r="B310" s="11" t="str">
        <v>健康师</v>
      </c>
      <c r="C310" s="11" t="str">
        <v>A</v>
      </c>
      <c r="D310" s="11" t="str">
        <v>路平</v>
      </c>
      <c r="E310" s="11" t="str">
        <v>离职</v>
      </c>
      <c r="F310" s="11" t="str">
        <v>事业部</v>
      </c>
      <c r="G310" s="11">
        <f>_xlfn.XLOOKUP(D310,'①7月-花名册'!E:E,'①7月-花名册'!U:U,0)</f>
        <v>0</v>
      </c>
      <c r="H310" s="11">
        <f>_xlfn.XLOOKUP(D310,'①7月-花名册'!E:E,'①7月-花名册'!M:M,0)</f>
        <v>17</v>
      </c>
      <c r="I310" s="11">
        <f>_xlfn.XLOOKUP(D310,'①7月-花名册'!E:E,'①7月-花名册'!S:S,0)</f>
        <v>2</v>
      </c>
      <c r="J310" s="14">
        <f t="shared" si="42"/>
        <v>1</v>
      </c>
      <c r="K310" s="23">
        <v>1</v>
      </c>
      <c r="L310" s="23"/>
      <c r="M310" s="23"/>
      <c r="N310" s="23"/>
      <c r="O310" s="23"/>
      <c r="P310" s="15">
        <f t="shared" si="43"/>
        <v>16</v>
      </c>
      <c r="Q310" s="15">
        <f t="shared" si="44"/>
        <v>17</v>
      </c>
      <c r="R310" s="15">
        <f>IF(F310="事业部",LOOKUP(Q310,基础设置!$T$2:$T$6,基础设置!$U$2:$U$6),IF(F310="总部",LOOKUP(Q310,基础设置!$T$8:$T$13,基础设置!$V$8:$V$13),IF(F310="拓展部",LOOKUP(Q310,基础设置!$T$8:$T$13,基础设置!$W$8:$W$13),2000)))</f>
        <v>2</v>
      </c>
      <c r="S310" s="15">
        <f t="shared" si="45"/>
        <v>17</v>
      </c>
      <c r="T310" s="15">
        <f t="shared" si="46"/>
        <v>0</v>
      </c>
      <c r="U310" s="15">
        <f t="shared" si="47"/>
        <v>0</v>
      </c>
      <c r="V310" s="15">
        <f t="shared" si="40"/>
        <v>0</v>
      </c>
      <c r="W310" s="15">
        <f t="shared" si="48"/>
        <v>0</v>
      </c>
      <c r="X310" s="26"/>
      <c r="Y310" s="26"/>
      <c r="Z310" s="26"/>
      <c r="AA310" s="26"/>
      <c r="AB310" s="27"/>
      <c r="AC310" s="27"/>
      <c r="AD310" s="27">
        <v>130</v>
      </c>
      <c r="AE310" s="27"/>
      <c r="AF310" s="27"/>
      <c r="AG310" s="27"/>
      <c r="AH310" s="17">
        <f>_xlfn.XLOOKUP(D310,'①7月-花名册'!E:E,'①7月-花名册'!T:T,0)</f>
        <v>0</v>
      </c>
      <c r="AI310" s="15">
        <f>SUMIFS('7月运营'!$L:$L,'7月运营'!$A:$A,D310,'7月运营'!$K:$K,$A$1)</f>
        <v>0</v>
      </c>
      <c r="AJ310" s="15">
        <f>SUMIFS('7月运营'!H:H,'7月运营'!$A:$A,D310,'7月运营'!$K:$K,$A$1)</f>
        <v>0</v>
      </c>
      <c r="AK310" s="15">
        <f>SUMIFS(上月未发人员明细!I:I,上月未发人员明细!J:J,$AK$2,上月未发人员明细!A:A,D310)</f>
        <v>0</v>
      </c>
      <c r="AL310" s="15">
        <f>SUMIFS('7月运营'!L:L,'7月运营'!$A:$A,D310,'7月运营'!$K:$K,$AL$2)</f>
        <v>0</v>
      </c>
      <c r="AM310" s="18">
        <f>SUMIFS('7月运营'!$F:$F,'7月运营'!$A:$A,D310,'7月运营'!$K:$K,'②7月-汇总'!$AM$2,'7月运营'!$G:$G,"岗位核算")</f>
        <v>10</v>
      </c>
      <c r="AN310" s="18">
        <f>SUMIFS('7月运营'!$F:$F,'7月运营'!$A:$A,D310,'7月运营'!$K:$K,$AN$2,'7月运营'!$G:$G,"岗位核算")</f>
        <v>0</v>
      </c>
      <c r="AO310" s="18" t="str">
        <f t="shared" si="49"/>
        <v/>
      </c>
      <c r="AP310" s="18">
        <f t="shared" si="41"/>
        <v>10</v>
      </c>
      <c r="AQ310" s="18" t="str">
        <f>_xlfn.XLOOKUP(D310,'7月运营'!A:A,'7月运营'!G:G,0)</f>
        <v>岗位核算</v>
      </c>
    </row>
    <row r="311" spans="1:43" x14ac:dyDescent="0.15">
      <c r="A311" s="11" t="str">
        <v>骑士郡</v>
      </c>
      <c r="B311" s="11" t="str">
        <v>主任</v>
      </c>
      <c r="C311" s="11" t="str">
        <v>B</v>
      </c>
      <c r="D311" s="11" t="str">
        <v>康丹</v>
      </c>
      <c r="E311" s="11" t="str">
        <v>在职</v>
      </c>
      <c r="F311" s="11" t="str">
        <v>事业部</v>
      </c>
      <c r="G311" s="11">
        <f>_xlfn.XLOOKUP(D311,'①7月-花名册'!E:E,'①7月-花名册'!U:U,0)</f>
        <v>0</v>
      </c>
      <c r="H311" s="11">
        <f>_xlfn.XLOOKUP(D311,'①7月-花名册'!E:E,'①7月-花名册'!M:M,0)</f>
        <v>16</v>
      </c>
      <c r="I311" s="11">
        <f>_xlfn.XLOOKUP(D311,'①7月-花名册'!E:E,'①7月-花名册'!S:S,0)</f>
        <v>2</v>
      </c>
      <c r="J311" s="14">
        <f t="shared" si="42"/>
        <v>1</v>
      </c>
      <c r="K311" s="23">
        <v>1</v>
      </c>
      <c r="L311" s="23"/>
      <c r="M311" s="23"/>
      <c r="N311" s="23"/>
      <c r="O311" s="23"/>
      <c r="P311" s="15">
        <f t="shared" si="43"/>
        <v>15</v>
      </c>
      <c r="Q311" s="15">
        <f t="shared" si="44"/>
        <v>16</v>
      </c>
      <c r="R311" s="15">
        <f>IF(F311="事业部",LOOKUP(Q311,基础设置!$T$2:$T$6,基础设置!$U$2:$U$6),IF(F311="总部",LOOKUP(Q311,基础设置!$T$8:$T$13,基础设置!$V$8:$V$13),IF(F311="拓展部",LOOKUP(Q311,基础设置!$T$8:$T$13,基础设置!$W$8:$W$13),2000)))</f>
        <v>2</v>
      </c>
      <c r="S311" s="15">
        <f t="shared" si="45"/>
        <v>16</v>
      </c>
      <c r="T311" s="15">
        <f t="shared" si="46"/>
        <v>0</v>
      </c>
      <c r="U311" s="15">
        <f t="shared" si="47"/>
        <v>0</v>
      </c>
      <c r="V311" s="15">
        <f t="shared" si="40"/>
        <v>1</v>
      </c>
      <c r="W311" s="15">
        <f t="shared" si="48"/>
        <v>20</v>
      </c>
      <c r="X311" s="26"/>
      <c r="Y311" s="26"/>
      <c r="Z311" s="26"/>
      <c r="AA311" s="26"/>
      <c r="AB311" s="27"/>
      <c r="AC311" s="27"/>
      <c r="AD311" s="27"/>
      <c r="AE311" s="27"/>
      <c r="AF311" s="27"/>
      <c r="AG311" s="27"/>
      <c r="AH311" s="17">
        <f>_xlfn.XLOOKUP(D311,'①7月-花名册'!E:E,'①7月-花名册'!T:T,0)</f>
        <v>0</v>
      </c>
      <c r="AI311" s="15">
        <f>SUMIFS('7月运营'!$L:$L,'7月运营'!$A:$A,D311,'7月运营'!$K:$K,$A$1)</f>
        <v>0</v>
      </c>
      <c r="AJ311" s="15">
        <f>SUMIFS('7月运营'!H:H,'7月运营'!$A:$A,D311,'7月运营'!$K:$K,$A$1)</f>
        <v>0</v>
      </c>
      <c r="AK311" s="15">
        <f>SUMIFS(上月未发人员明细!I:I,上月未发人员明细!J:J,$AK$2,上月未发人员明细!A:A,D311)</f>
        <v>0</v>
      </c>
      <c r="AL311" s="15">
        <f>SUMIFS('7月运营'!L:L,'7月运营'!$A:$A,D311,'7月运营'!$K:$K,$AL$2)</f>
        <v>0</v>
      </c>
      <c r="AM311" s="18">
        <f>SUMIFS('7月运营'!$F:$F,'7月运营'!$A:$A,D311,'7月运营'!$K:$K,'②7月-汇总'!$AM$2,'7月运营'!$G:$G,"岗位核算")</f>
        <v>0</v>
      </c>
      <c r="AN311" s="18">
        <f>SUMIFS('7月运营'!$F:$F,'7月运营'!$A:$A,D311,'7月运营'!$K:$K,$AN$2,'7月运营'!$G:$G,"岗位核算")</f>
        <v>0</v>
      </c>
      <c r="AO311" s="18" t="str">
        <f t="shared" si="49"/>
        <v/>
      </c>
      <c r="AP311" s="18">
        <f t="shared" si="41"/>
        <v>16</v>
      </c>
      <c r="AQ311" s="18">
        <f>_xlfn.XLOOKUP(D311,'7月运营'!A:A,'7月运营'!G:G,0)</f>
        <v>0</v>
      </c>
    </row>
    <row r="312" spans="1:43" x14ac:dyDescent="0.15">
      <c r="A312" s="11" t="str">
        <v>科技一部</v>
      </c>
      <c r="B312" s="11" t="str">
        <v>科技老师</v>
      </c>
      <c r="C312" s="11" t="str">
        <v>B</v>
      </c>
      <c r="D312" s="11" t="str">
        <v>尹佩佩</v>
      </c>
      <c r="E312" s="11" t="str">
        <v>在职</v>
      </c>
      <c r="F312" s="11" t="str">
        <v>事业部</v>
      </c>
      <c r="G312" s="11">
        <f>_xlfn.XLOOKUP(D312,'①7月-花名册'!E:E,'①7月-花名册'!U:U,0)</f>
        <v>0</v>
      </c>
      <c r="H312" s="11">
        <f>_xlfn.XLOOKUP(D312,'①7月-花名册'!E:E,'①7月-花名册'!M:M,0)</f>
        <v>17</v>
      </c>
      <c r="I312" s="11">
        <f>_xlfn.XLOOKUP(D312,'①7月-花名册'!E:E,'①7月-花名册'!S:S,0)</f>
        <v>2</v>
      </c>
      <c r="J312" s="14">
        <f t="shared" si="42"/>
        <v>1</v>
      </c>
      <c r="K312" s="23">
        <v>1</v>
      </c>
      <c r="L312" s="23"/>
      <c r="M312" s="23"/>
      <c r="N312" s="23"/>
      <c r="O312" s="23"/>
      <c r="P312" s="15">
        <f t="shared" si="43"/>
        <v>16</v>
      </c>
      <c r="Q312" s="15">
        <f t="shared" si="44"/>
        <v>17</v>
      </c>
      <c r="R312" s="15">
        <f>IF(F312="事业部",LOOKUP(Q312,基础设置!$T$2:$T$6,基础设置!$U$2:$U$6),IF(F312="总部",LOOKUP(Q312,基础设置!$T$8:$T$13,基础设置!$V$8:$V$13),IF(F312="拓展部",LOOKUP(Q312,基础设置!$T$8:$T$13,基础设置!$W$8:$W$13),2000)))</f>
        <v>2</v>
      </c>
      <c r="S312" s="15">
        <f t="shared" si="45"/>
        <v>17</v>
      </c>
      <c r="T312" s="15">
        <f t="shared" si="46"/>
        <v>0</v>
      </c>
      <c r="U312" s="15">
        <f t="shared" si="47"/>
        <v>0</v>
      </c>
      <c r="V312" s="15">
        <f t="shared" si="40"/>
        <v>0</v>
      </c>
      <c r="W312" s="15">
        <f t="shared" si="48"/>
        <v>0</v>
      </c>
      <c r="X312" s="26"/>
      <c r="Y312" s="26"/>
      <c r="Z312" s="26"/>
      <c r="AA312" s="26"/>
      <c r="AB312" s="27"/>
      <c r="AC312" s="27"/>
      <c r="AD312" s="27"/>
      <c r="AE312" s="27"/>
      <c r="AF312" s="27"/>
      <c r="AG312" s="27"/>
      <c r="AH312" s="17">
        <f>_xlfn.XLOOKUP(D312,'①7月-花名册'!E:E,'①7月-花名册'!T:T,0)</f>
        <v>1774.1935483871</v>
      </c>
      <c r="AI312" s="15">
        <f>SUMIFS('7月运营'!$L:$L,'7月运营'!$A:$A,D312,'7月运营'!$K:$K,$A$1)</f>
        <v>560</v>
      </c>
      <c r="AJ312" s="15">
        <f>SUMIFS('7月运营'!H:H,'7月运营'!$A:$A,D312,'7月运营'!$K:$K,$A$1)</f>
        <v>0</v>
      </c>
      <c r="AK312" s="15">
        <f>SUMIFS(上月未发人员明细!I:I,上月未发人员明细!J:J,$AK$2,上月未发人员明细!A:A,D312)</f>
        <v>0</v>
      </c>
      <c r="AL312" s="15">
        <f>SUMIFS('7月运营'!L:L,'7月运营'!$A:$A,D312,'7月运营'!$K:$K,$AL$2)</f>
        <v>0</v>
      </c>
      <c r="AM312" s="18">
        <f>SUMIFS('7月运营'!$F:$F,'7月运营'!$A:$A,D312,'7月运营'!$K:$K,'②7月-汇总'!$AM$2,'7月运营'!$G:$G,"岗位核算")</f>
        <v>0</v>
      </c>
      <c r="AN312" s="18">
        <f>SUMIFS('7月运营'!$F:$F,'7月运营'!$A:$A,D312,'7月运营'!$K:$K,$AN$2,'7月运营'!$G:$G,"岗位核算")</f>
        <v>0</v>
      </c>
      <c r="AO312" s="18" t="str">
        <f t="shared" si="49"/>
        <v/>
      </c>
      <c r="AP312" s="18">
        <f t="shared" si="41"/>
        <v>17</v>
      </c>
      <c r="AQ312" s="18" t="str">
        <f>_xlfn.XLOOKUP(D312,'7月运营'!A:A,'7月运营'!G:G,0)</f>
        <v>培训-80</v>
      </c>
    </row>
    <row r="313" spans="1:43" x14ac:dyDescent="0.15">
      <c r="A313" s="11" t="str">
        <v>科技一部</v>
      </c>
      <c r="B313" s="11" t="str">
        <v>科技老师</v>
      </c>
      <c r="C313" s="11" t="str">
        <v>B</v>
      </c>
      <c r="D313" s="11" t="str">
        <v>周柏燚</v>
      </c>
      <c r="E313" s="11" t="str">
        <v>在职</v>
      </c>
      <c r="F313" s="11" t="str">
        <v>事业部</v>
      </c>
      <c r="G313" s="11">
        <f>_xlfn.XLOOKUP(D313,'①7月-花名册'!E:E,'①7月-花名册'!U:U,0)</f>
        <v>0</v>
      </c>
      <c r="H313" s="11">
        <f>_xlfn.XLOOKUP(D313,'①7月-花名册'!E:E,'①7月-花名册'!M:M,0)</f>
        <v>29</v>
      </c>
      <c r="I313" s="11">
        <f>_xlfn.XLOOKUP(D313,'①7月-花名册'!E:E,'①7月-花名册'!S:S,0)</f>
        <v>4</v>
      </c>
      <c r="J313" s="14">
        <f t="shared" si="42"/>
        <v>1</v>
      </c>
      <c r="K313" s="23">
        <v>1</v>
      </c>
      <c r="L313" s="23"/>
      <c r="M313" s="23"/>
      <c r="N313" s="23"/>
      <c r="O313" s="23"/>
      <c r="P313" s="15">
        <f t="shared" si="43"/>
        <v>28</v>
      </c>
      <c r="Q313" s="15">
        <f t="shared" si="44"/>
        <v>29</v>
      </c>
      <c r="R313" s="15">
        <f>IF(F313="事业部",LOOKUP(Q313,基础设置!$T$2:$T$6,基础设置!$U$2:$U$6),IF(F313="总部",LOOKUP(Q313,基础设置!$T$8:$T$13,基础设置!$V$8:$V$13),IF(F313="拓展部",LOOKUP(Q313,基础设置!$T$8:$T$13,基础设置!$W$8:$W$13),2000)))</f>
        <v>4</v>
      </c>
      <c r="S313" s="15">
        <f t="shared" si="45"/>
        <v>29</v>
      </c>
      <c r="T313" s="15">
        <f t="shared" si="46"/>
        <v>0</v>
      </c>
      <c r="U313" s="15">
        <f t="shared" si="47"/>
        <v>0</v>
      </c>
      <c r="V313" s="15">
        <f t="shared" si="40"/>
        <v>3</v>
      </c>
      <c r="W313" s="15">
        <f t="shared" si="48"/>
        <v>60</v>
      </c>
      <c r="X313" s="26"/>
      <c r="Y313" s="26"/>
      <c r="Z313" s="26"/>
      <c r="AA313" s="26"/>
      <c r="AB313" s="27"/>
      <c r="AC313" s="27"/>
      <c r="AD313" s="27"/>
      <c r="AE313" s="27"/>
      <c r="AF313" s="27"/>
      <c r="AG313" s="27"/>
      <c r="AH313" s="17">
        <f>_xlfn.XLOOKUP(D313,'①7月-花名册'!E:E,'①7月-花名册'!T:T,0)</f>
        <v>0</v>
      </c>
      <c r="AI313" s="15">
        <f>SUMIFS('7月运营'!$L:$L,'7月运营'!$A:$A,D313,'7月运营'!$K:$K,$A$1)</f>
        <v>0</v>
      </c>
      <c r="AJ313" s="15">
        <f>SUMIFS('7月运营'!H:H,'7月运营'!$A:$A,D313,'7月运营'!$K:$K,$A$1)</f>
        <v>0</v>
      </c>
      <c r="AK313" s="15">
        <f>SUMIFS(上月未发人员明细!I:I,上月未发人员明细!J:J,$AK$2,上月未发人员明细!A:A,D313)</f>
        <v>0</v>
      </c>
      <c r="AL313" s="15">
        <f>SUMIFS('7月运营'!L:L,'7月运营'!$A:$A,D313,'7月运营'!$K:$K,$AL$2)</f>
        <v>0</v>
      </c>
      <c r="AM313" s="18">
        <f>SUMIFS('7月运营'!$F:$F,'7月运营'!$A:$A,D313,'7月运营'!$K:$K,'②7月-汇总'!$AM$2,'7月运营'!$G:$G,"岗位核算")</f>
        <v>0</v>
      </c>
      <c r="AN313" s="18">
        <f>SUMIFS('7月运营'!$F:$F,'7月运营'!$A:$A,D313,'7月运营'!$K:$K,$AN$2,'7月运营'!$G:$G,"岗位核算")</f>
        <v>0</v>
      </c>
      <c r="AO313" s="18" t="str">
        <f t="shared" si="49"/>
        <v/>
      </c>
      <c r="AP313" s="18">
        <f t="shared" si="41"/>
        <v>29</v>
      </c>
      <c r="AQ313" s="18" t="str">
        <f>_xlfn.XLOOKUP(D313,'7月运营'!A:A,'7月运营'!G:G,0)</f>
        <v>岗位核算</v>
      </c>
    </row>
    <row r="314" spans="1:43" x14ac:dyDescent="0.15">
      <c r="A314" s="11" t="str">
        <v>科技二部</v>
      </c>
      <c r="B314" s="11" t="str">
        <v>科技老师</v>
      </c>
      <c r="C314" s="11" t="str">
        <v>B</v>
      </c>
      <c r="D314" s="11" t="str">
        <v>李文龙</v>
      </c>
      <c r="E314" s="11" t="str">
        <v>在职</v>
      </c>
      <c r="F314" s="11" t="str">
        <v>事业部</v>
      </c>
      <c r="G314" s="11" t="str">
        <f>_xlfn.XLOOKUP(D314,'①7月-花名册'!E:E,'①7月-花名册'!U:U,0)</f>
        <v>不发</v>
      </c>
      <c r="H314" s="11">
        <f>_xlfn.XLOOKUP(D314,'①7月-花名册'!E:E,'①7月-花名册'!M:M,0)</f>
        <v>12</v>
      </c>
      <c r="I314" s="11">
        <f>_xlfn.XLOOKUP(D314,'①7月-花名册'!E:E,'①7月-花名册'!S:S,0)</f>
        <v>1</v>
      </c>
      <c r="J314" s="14">
        <f t="shared" si="42"/>
        <v>1</v>
      </c>
      <c r="K314" s="23">
        <v>1</v>
      </c>
      <c r="L314" s="23"/>
      <c r="M314" s="23"/>
      <c r="N314" s="23"/>
      <c r="O314" s="23"/>
      <c r="P314" s="15">
        <f t="shared" si="43"/>
        <v>11</v>
      </c>
      <c r="Q314" s="15">
        <f t="shared" si="44"/>
        <v>12</v>
      </c>
      <c r="R314" s="15">
        <f>IF(F314="事业部",LOOKUP(Q314,基础设置!$T$2:$T$6,基础设置!$U$2:$U$6),IF(F314="总部",LOOKUP(Q314,基础设置!$T$8:$T$13,基础设置!$V$8:$V$13),IF(F314="拓展部",LOOKUP(Q314,基础设置!$T$8:$T$13,基础设置!$W$8:$W$13),2000)))</f>
        <v>1</v>
      </c>
      <c r="S314" s="15">
        <f t="shared" si="45"/>
        <v>12</v>
      </c>
      <c r="T314" s="15">
        <f t="shared" si="46"/>
        <v>0</v>
      </c>
      <c r="U314" s="15">
        <f t="shared" si="47"/>
        <v>0</v>
      </c>
      <c r="V314" s="15">
        <f t="shared" si="40"/>
        <v>0</v>
      </c>
      <c r="W314" s="15">
        <f t="shared" si="48"/>
        <v>0</v>
      </c>
      <c r="X314" s="26"/>
      <c r="Y314" s="26"/>
      <c r="Z314" s="26"/>
      <c r="AA314" s="26"/>
      <c r="AB314" s="27"/>
      <c r="AC314" s="27"/>
      <c r="AD314" s="27"/>
      <c r="AE314" s="27"/>
      <c r="AF314" s="27"/>
      <c r="AG314" s="27"/>
      <c r="AH314" s="17">
        <f>_xlfn.XLOOKUP(D314,'①7月-花名册'!E:E,'①7月-花名册'!T:T,0)</f>
        <v>1129.03225806452</v>
      </c>
      <c r="AI314" s="15">
        <f>SUMIFS('7月运营'!$L:$L,'7月运营'!$A:$A,D314,'7月运营'!$K:$K,$A$1)</f>
        <v>560</v>
      </c>
      <c r="AJ314" s="15">
        <f>SUMIFS('7月运营'!H:H,'7月运营'!$A:$A,D314,'7月运营'!$K:$K,$A$1)</f>
        <v>0</v>
      </c>
      <c r="AK314" s="15">
        <f>SUMIFS(上月未发人员明细!I:I,上月未发人员明细!J:J,$AK$2,上月未发人员明细!A:A,D314)</f>
        <v>0</v>
      </c>
      <c r="AL314" s="15">
        <f>SUMIFS('7月运营'!L:L,'7月运营'!$A:$A,D314,'7月运营'!$K:$K,$AL$2)</f>
        <v>0</v>
      </c>
      <c r="AM314" s="18">
        <f>SUMIFS('7月运营'!$F:$F,'7月运营'!$A:$A,D314,'7月运营'!$K:$K,'②7月-汇总'!$AM$2,'7月运营'!$G:$G,"岗位核算")</f>
        <v>0</v>
      </c>
      <c r="AN314" s="18">
        <f>SUMIFS('7月运营'!$F:$F,'7月运营'!$A:$A,D314,'7月运营'!$K:$K,$AN$2,'7月运营'!$G:$G,"岗位核算")</f>
        <v>0</v>
      </c>
      <c r="AO314" s="18" t="str">
        <f t="shared" si="49"/>
        <v/>
      </c>
      <c r="AP314" s="18">
        <f t="shared" si="41"/>
        <v>12</v>
      </c>
      <c r="AQ314" s="18" t="str">
        <f>_xlfn.XLOOKUP(D314,'7月运营'!A:A,'7月运营'!G:G,0)</f>
        <v>培训-80</v>
      </c>
    </row>
    <row r="315" spans="1:43" x14ac:dyDescent="0.15">
      <c r="A315" s="11" t="str">
        <v>科技一部</v>
      </c>
      <c r="B315" s="11" t="str">
        <v>科技老师</v>
      </c>
      <c r="C315" s="11" t="str">
        <v>B</v>
      </c>
      <c r="D315" s="11" t="str">
        <v>张文卓</v>
      </c>
      <c r="E315" s="11" t="str">
        <v>在职</v>
      </c>
      <c r="F315" s="11" t="str">
        <v>事业部</v>
      </c>
      <c r="G315" s="11">
        <f>_xlfn.XLOOKUP(D315,'①7月-花名册'!E:E,'①7月-花名册'!U:U,0)</f>
        <v>0</v>
      </c>
      <c r="H315" s="11">
        <f>_xlfn.XLOOKUP(D315,'①7月-花名册'!E:E,'①7月-花名册'!M:M,0)</f>
        <v>17</v>
      </c>
      <c r="I315" s="11">
        <f>_xlfn.XLOOKUP(D315,'①7月-花名册'!E:E,'①7月-花名册'!S:S,0)</f>
        <v>2</v>
      </c>
      <c r="J315" s="14">
        <f t="shared" si="42"/>
        <v>1</v>
      </c>
      <c r="K315" s="23">
        <v>1</v>
      </c>
      <c r="L315" s="23"/>
      <c r="M315" s="23"/>
      <c r="N315" s="23"/>
      <c r="O315" s="23"/>
      <c r="P315" s="15">
        <f t="shared" si="43"/>
        <v>16</v>
      </c>
      <c r="Q315" s="15">
        <f t="shared" si="44"/>
        <v>17</v>
      </c>
      <c r="R315" s="15">
        <f>IF(F315="事业部",LOOKUP(Q315,基础设置!$T$2:$T$6,基础设置!$U$2:$U$6),IF(F315="总部",LOOKUP(Q315,基础设置!$T$8:$T$13,基础设置!$V$8:$V$13),IF(F315="拓展部",LOOKUP(Q315,基础设置!$T$8:$T$13,基础设置!$W$8:$W$13),2000)))</f>
        <v>2</v>
      </c>
      <c r="S315" s="15">
        <f t="shared" si="45"/>
        <v>17</v>
      </c>
      <c r="T315" s="15">
        <f t="shared" si="46"/>
        <v>0</v>
      </c>
      <c r="U315" s="15">
        <f t="shared" si="47"/>
        <v>0</v>
      </c>
      <c r="V315" s="15">
        <f t="shared" si="40"/>
        <v>0</v>
      </c>
      <c r="W315" s="15">
        <f t="shared" si="48"/>
        <v>0</v>
      </c>
      <c r="X315" s="26"/>
      <c r="Y315" s="26"/>
      <c r="Z315" s="26"/>
      <c r="AA315" s="26"/>
      <c r="AB315" s="27"/>
      <c r="AC315" s="27"/>
      <c r="AD315" s="27"/>
      <c r="AE315" s="27"/>
      <c r="AF315" s="27"/>
      <c r="AG315" s="27"/>
      <c r="AH315" s="17">
        <f>_xlfn.XLOOKUP(D315,'①7月-花名册'!E:E,'①7月-花名册'!T:T,0)</f>
        <v>2258.0645161290299</v>
      </c>
      <c r="AI315" s="15">
        <f>SUMIFS('7月运营'!$L:$L,'7月运营'!$A:$A,D315,'7月运营'!$K:$K,$A$1)</f>
        <v>560</v>
      </c>
      <c r="AJ315" s="15">
        <f>SUMIFS('7月运营'!H:H,'7月运营'!$A:$A,D315,'7月运营'!$K:$K,$A$1)</f>
        <v>0</v>
      </c>
      <c r="AK315" s="15">
        <f>SUMIFS(上月未发人员明细!I:I,上月未发人员明细!J:J,$AK$2,上月未发人员明细!A:A,D315)</f>
        <v>0</v>
      </c>
      <c r="AL315" s="15">
        <f>SUMIFS('7月运营'!L:L,'7月运营'!$A:$A,D315,'7月运营'!$K:$K,$AL$2)</f>
        <v>0</v>
      </c>
      <c r="AM315" s="18">
        <f>SUMIFS('7月运营'!$F:$F,'7月运营'!$A:$A,D315,'7月运营'!$K:$K,'②7月-汇总'!$AM$2,'7月运营'!$G:$G,"岗位核算")</f>
        <v>0</v>
      </c>
      <c r="AN315" s="18">
        <f>SUMIFS('7月运营'!$F:$F,'7月运营'!$A:$A,D315,'7月运营'!$K:$K,$AN$2,'7月运营'!$G:$G,"岗位核算")</f>
        <v>0</v>
      </c>
      <c r="AO315" s="18" t="str">
        <f t="shared" si="49"/>
        <v/>
      </c>
      <c r="AP315" s="18">
        <f t="shared" si="41"/>
        <v>17</v>
      </c>
      <c r="AQ315" s="18" t="str">
        <f>_xlfn.XLOOKUP(D315,'7月运营'!A:A,'7月运营'!G:G,0)</f>
        <v>培训-80</v>
      </c>
    </row>
    <row r="316" spans="1:43" x14ac:dyDescent="0.15">
      <c r="A316" s="11" t="str">
        <v>光华</v>
      </c>
      <c r="B316" s="11" t="str">
        <v>健康师</v>
      </c>
      <c r="C316" s="11" t="str">
        <v>A</v>
      </c>
      <c r="D316" s="11" t="str">
        <v>曹煦菡</v>
      </c>
      <c r="E316" s="11" t="str">
        <v>在职</v>
      </c>
      <c r="F316" s="11" t="str">
        <v>事业部</v>
      </c>
      <c r="G316" s="11">
        <f>_xlfn.XLOOKUP(D316,'①7月-花名册'!E:E,'①7月-花名册'!U:U,0)</f>
        <v>0</v>
      </c>
      <c r="H316" s="11">
        <f>_xlfn.XLOOKUP(D316,'①7月-花名册'!E:E,'①7月-花名册'!M:M,0)</f>
        <v>13</v>
      </c>
      <c r="I316" s="11">
        <f>_xlfn.XLOOKUP(D316,'①7月-花名册'!E:E,'①7月-花名册'!S:S,0)</f>
        <v>1</v>
      </c>
      <c r="J316" s="14">
        <f t="shared" si="42"/>
        <v>0</v>
      </c>
      <c r="K316" s="23">
        <v>0</v>
      </c>
      <c r="L316" s="23"/>
      <c r="M316" s="23"/>
      <c r="N316" s="23"/>
      <c r="O316" s="23"/>
      <c r="P316" s="15">
        <f t="shared" si="43"/>
        <v>13</v>
      </c>
      <c r="Q316" s="15">
        <f t="shared" si="44"/>
        <v>13</v>
      </c>
      <c r="R316" s="15">
        <f>IF(F316="事业部",LOOKUP(Q316,基础设置!$T$2:$T$6,基础设置!$U$2:$U$6),IF(F316="总部",LOOKUP(Q316,基础设置!$T$8:$T$13,基础设置!$V$8:$V$13),IF(F316="拓展部",LOOKUP(Q316,基础设置!$T$8:$T$13,基础设置!$W$8:$W$13),2000)))</f>
        <v>1</v>
      </c>
      <c r="S316" s="15">
        <f t="shared" si="45"/>
        <v>13</v>
      </c>
      <c r="T316" s="15">
        <f t="shared" si="46"/>
        <v>0</v>
      </c>
      <c r="U316" s="15">
        <f t="shared" si="47"/>
        <v>0</v>
      </c>
      <c r="V316" s="15">
        <f t="shared" si="40"/>
        <v>1</v>
      </c>
      <c r="W316" s="15">
        <f t="shared" si="48"/>
        <v>20</v>
      </c>
      <c r="X316" s="26"/>
      <c r="Y316" s="26"/>
      <c r="Z316" s="26"/>
      <c r="AA316" s="26"/>
      <c r="AB316" s="27"/>
      <c r="AC316" s="27"/>
      <c r="AD316" s="27">
        <v>130</v>
      </c>
      <c r="AE316" s="27"/>
      <c r="AF316" s="27"/>
      <c r="AG316" s="27"/>
      <c r="AH316" s="17">
        <f>_xlfn.XLOOKUP(D316,'①7月-花名册'!E:E,'①7月-花名册'!T:T,0)</f>
        <v>0</v>
      </c>
      <c r="AI316" s="15">
        <f>SUMIFS('7月运营'!$L:$L,'7月运营'!$A:$A,D316,'7月运营'!$K:$K,$A$1)</f>
        <v>780</v>
      </c>
      <c r="AJ316" s="15">
        <f>SUMIFS('7月运营'!H:H,'7月运营'!$A:$A,D316,'7月运营'!$K:$K,$A$1)</f>
        <v>0</v>
      </c>
      <c r="AK316" s="15">
        <f>SUMIFS(上月未发人员明细!I:I,上月未发人员明细!J:J,$AK$2,上月未发人员明细!A:A,D316)</f>
        <v>0</v>
      </c>
      <c r="AL316" s="15">
        <f>SUMIFS('7月运营'!L:L,'7月运营'!$A:$A,D316,'7月运营'!$K:$K,$AL$2)</f>
        <v>0</v>
      </c>
      <c r="AM316" s="18">
        <f>SUMIFS('7月运营'!$F:$F,'7月运营'!$A:$A,D316,'7月运营'!$K:$K,'②7月-汇总'!$AM$2,'7月运营'!$G:$G,"岗位核算")</f>
        <v>0</v>
      </c>
      <c r="AN316" s="18">
        <f>SUMIFS('7月运营'!$F:$F,'7月运营'!$A:$A,D316,'7月运营'!$K:$K,$AN$2,'7月运营'!$G:$G,"岗位核算")</f>
        <v>0</v>
      </c>
      <c r="AO316" s="18" t="str">
        <f t="shared" si="49"/>
        <v/>
      </c>
      <c r="AP316" s="18">
        <f t="shared" si="41"/>
        <v>13</v>
      </c>
      <c r="AQ316" s="18" t="str">
        <f>_xlfn.XLOOKUP(D316,'7月运营'!A:A,'7月运营'!G:G,0)</f>
        <v>培训-60</v>
      </c>
    </row>
    <row r="317" spans="1:43" x14ac:dyDescent="0.15">
      <c r="A317" s="11" t="str">
        <v>亚洲湾</v>
      </c>
      <c r="B317" s="11" t="str">
        <v>健康师</v>
      </c>
      <c r="C317" s="11" t="str">
        <v>A</v>
      </c>
      <c r="D317" s="11" t="str">
        <v>蹇雨珊</v>
      </c>
      <c r="E317" s="11" t="str">
        <v>在职</v>
      </c>
      <c r="F317" s="11" t="str">
        <v>事业部</v>
      </c>
      <c r="G317" s="11" t="str">
        <f>_xlfn.XLOOKUP(D317,'①7月-花名册'!E:E,'①7月-花名册'!U:U,0)</f>
        <v>不发</v>
      </c>
      <c r="H317" s="11">
        <f>_xlfn.XLOOKUP(D317,'①7月-花名册'!E:E,'①7月-花名册'!M:M,0)</f>
        <v>12</v>
      </c>
      <c r="I317" s="11">
        <f>_xlfn.XLOOKUP(D317,'①7月-花名册'!E:E,'①7月-花名册'!S:S,0)</f>
        <v>1</v>
      </c>
      <c r="J317" s="14">
        <f t="shared" si="42"/>
        <v>0</v>
      </c>
      <c r="K317" s="23"/>
      <c r="L317" s="23"/>
      <c r="M317" s="23"/>
      <c r="N317" s="23"/>
      <c r="O317" s="23"/>
      <c r="P317" s="15">
        <f t="shared" si="43"/>
        <v>12</v>
      </c>
      <c r="Q317" s="15">
        <f t="shared" si="44"/>
        <v>12</v>
      </c>
      <c r="R317" s="15">
        <f>IF(F317="事业部",LOOKUP(Q317,基础设置!$T$2:$T$6,基础设置!$U$2:$U$6),IF(F317="总部",LOOKUP(Q317,基础设置!$T$8:$T$13,基础设置!$V$8:$V$13),IF(F317="拓展部",LOOKUP(Q317,基础设置!$T$8:$T$13,基础设置!$W$8:$W$13),2000)))</f>
        <v>1</v>
      </c>
      <c r="S317" s="15">
        <f t="shared" si="45"/>
        <v>12</v>
      </c>
      <c r="T317" s="15">
        <f t="shared" si="46"/>
        <v>0</v>
      </c>
      <c r="U317" s="15">
        <f t="shared" si="47"/>
        <v>0</v>
      </c>
      <c r="V317" s="15">
        <f t="shared" si="40"/>
        <v>1</v>
      </c>
      <c r="W317" s="15">
        <f t="shared" si="48"/>
        <v>20</v>
      </c>
      <c r="X317" s="26"/>
      <c r="Y317" s="26"/>
      <c r="Z317" s="26"/>
      <c r="AA317" s="26"/>
      <c r="AB317" s="27"/>
      <c r="AC317" s="27"/>
      <c r="AD317" s="27"/>
      <c r="AE317" s="27"/>
      <c r="AF317" s="27"/>
      <c r="AG317" s="27"/>
      <c r="AH317" s="17">
        <f>_xlfn.XLOOKUP(D317,'①7月-花名册'!E:E,'①7月-花名册'!T:T,0)</f>
        <v>0</v>
      </c>
      <c r="AI317" s="15">
        <f>SUMIFS('7月运营'!$L:$L,'7月运营'!$A:$A,D317,'7月运营'!$K:$K,$A$1)</f>
        <v>720</v>
      </c>
      <c r="AJ317" s="15">
        <f>SUMIFS('7月运营'!H:H,'7月运营'!$A:$A,D317,'7月运营'!$K:$K,$A$1)</f>
        <v>0</v>
      </c>
      <c r="AK317" s="15">
        <f>SUMIFS(上月未发人员明细!I:I,上月未发人员明细!J:J,$AK$2,上月未发人员明细!A:A,D317)</f>
        <v>0</v>
      </c>
      <c r="AL317" s="15">
        <f>SUMIFS('7月运营'!L:L,'7月运营'!$A:$A,D317,'7月运营'!$K:$K,$AL$2)</f>
        <v>0</v>
      </c>
      <c r="AM317" s="18">
        <f>SUMIFS('7月运营'!$F:$F,'7月运营'!$A:$A,D317,'7月运营'!$K:$K,'②7月-汇总'!$AM$2,'7月运营'!$G:$G,"岗位核算")</f>
        <v>0</v>
      </c>
      <c r="AN317" s="18">
        <f>SUMIFS('7月运营'!$F:$F,'7月运营'!$A:$A,D317,'7月运营'!$K:$K,$AN$2,'7月运营'!$G:$G,"岗位核算")</f>
        <v>0</v>
      </c>
      <c r="AO317" s="18" t="str">
        <f t="shared" si="49"/>
        <v/>
      </c>
      <c r="AP317" s="18">
        <f t="shared" si="41"/>
        <v>12</v>
      </c>
      <c r="AQ317" s="18" t="str">
        <f>_xlfn.XLOOKUP(D317,'7月运营'!A:A,'7月运营'!G:G,0)</f>
        <v>培训-60</v>
      </c>
    </row>
    <row r="318" spans="1:43" x14ac:dyDescent="0.15">
      <c r="A318" s="11" t="str">
        <v>川师</v>
      </c>
      <c r="B318" s="11" t="str">
        <v>健康师</v>
      </c>
      <c r="C318" s="11" t="str">
        <v>A</v>
      </c>
      <c r="D318" s="11" t="str">
        <v>赵圆缘</v>
      </c>
      <c r="E318" s="11" t="str">
        <v>在职</v>
      </c>
      <c r="F318" s="11" t="str">
        <v>事业部</v>
      </c>
      <c r="G318" s="11" t="str">
        <f>_xlfn.XLOOKUP(D318,'①7月-花名册'!E:E,'①7月-花名册'!U:U,0)</f>
        <v>不发</v>
      </c>
      <c r="H318" s="11">
        <f>_xlfn.XLOOKUP(D318,'①7月-花名册'!E:E,'①7月-花名册'!M:M,0)</f>
        <v>12</v>
      </c>
      <c r="I318" s="11">
        <f>_xlfn.XLOOKUP(D318,'①7月-花名册'!E:E,'①7月-花名册'!S:S,0)</f>
        <v>1</v>
      </c>
      <c r="J318" s="14">
        <f t="shared" si="42"/>
        <v>0</v>
      </c>
      <c r="K318" s="23"/>
      <c r="L318" s="23"/>
      <c r="M318" s="23"/>
      <c r="N318" s="23"/>
      <c r="O318" s="23"/>
      <c r="P318" s="15">
        <f t="shared" si="43"/>
        <v>12</v>
      </c>
      <c r="Q318" s="15">
        <f t="shared" si="44"/>
        <v>12</v>
      </c>
      <c r="R318" s="15">
        <f>IF(F318="事业部",LOOKUP(Q318,基础设置!$T$2:$T$6,基础设置!$U$2:$U$6),IF(F318="总部",LOOKUP(Q318,基础设置!$T$8:$T$13,基础设置!$V$8:$V$13),IF(F318="拓展部",LOOKUP(Q318,基础设置!$T$8:$T$13,基础设置!$W$8:$W$13),2000)))</f>
        <v>1</v>
      </c>
      <c r="S318" s="15">
        <f t="shared" si="45"/>
        <v>12</v>
      </c>
      <c r="T318" s="15">
        <f t="shared" si="46"/>
        <v>0</v>
      </c>
      <c r="U318" s="15">
        <f t="shared" si="47"/>
        <v>0</v>
      </c>
      <c r="V318" s="15">
        <f t="shared" si="40"/>
        <v>1</v>
      </c>
      <c r="W318" s="15">
        <f t="shared" si="48"/>
        <v>20</v>
      </c>
      <c r="X318" s="26"/>
      <c r="Y318" s="26"/>
      <c r="Z318" s="26"/>
      <c r="AA318" s="26"/>
      <c r="AB318" s="27"/>
      <c r="AC318" s="27"/>
      <c r="AD318" s="27"/>
      <c r="AE318" s="27"/>
      <c r="AF318" s="27"/>
      <c r="AG318" s="27"/>
      <c r="AH318" s="17">
        <f>_xlfn.XLOOKUP(D318,'①7月-花名册'!E:E,'①7月-花名册'!T:T,0)</f>
        <v>0</v>
      </c>
      <c r="AI318" s="15">
        <f>SUMIFS('7月运营'!$L:$L,'7月运营'!$A:$A,D318,'7月运营'!$K:$K,$A$1)</f>
        <v>720</v>
      </c>
      <c r="AJ318" s="15">
        <f>SUMIFS('7月运营'!H:H,'7月运营'!$A:$A,D318,'7月运营'!$K:$K,$A$1)</f>
        <v>0</v>
      </c>
      <c r="AK318" s="15">
        <f>SUMIFS(上月未发人员明细!I:I,上月未发人员明细!J:J,$AK$2,上月未发人员明细!A:A,D318)</f>
        <v>0</v>
      </c>
      <c r="AL318" s="15">
        <f>SUMIFS('7月运营'!L:L,'7月运营'!$A:$A,D318,'7月运营'!$K:$K,$AL$2)</f>
        <v>0</v>
      </c>
      <c r="AM318" s="18">
        <f>SUMIFS('7月运营'!$F:$F,'7月运营'!$A:$A,D318,'7月运营'!$K:$K,'②7月-汇总'!$AM$2,'7月运营'!$G:$G,"岗位核算")</f>
        <v>0</v>
      </c>
      <c r="AN318" s="18">
        <f>SUMIFS('7月运营'!$F:$F,'7月运营'!$A:$A,D318,'7月运营'!$K:$K,$AN$2,'7月运营'!$G:$G,"岗位核算")</f>
        <v>0</v>
      </c>
      <c r="AO318" s="18" t="str">
        <f t="shared" si="49"/>
        <v/>
      </c>
      <c r="AP318" s="18">
        <f t="shared" si="41"/>
        <v>12</v>
      </c>
      <c r="AQ318" s="18" t="str">
        <f>_xlfn.XLOOKUP(D318,'7月运营'!A:A,'7月运营'!G:G,0)</f>
        <v>培训-60</v>
      </c>
    </row>
    <row r="319" spans="1:43" x14ac:dyDescent="0.15">
      <c r="A319" s="11" t="str">
        <v>大丰</v>
      </c>
      <c r="B319" s="11" t="str">
        <v>健康师</v>
      </c>
      <c r="C319" s="11" t="str">
        <v>A</v>
      </c>
      <c r="D319" s="11" t="str">
        <v>李从丽</v>
      </c>
      <c r="E319" s="11" t="str">
        <v>在职</v>
      </c>
      <c r="F319" s="11" t="str">
        <v>事业部</v>
      </c>
      <c r="G319" s="11" t="str">
        <f>_xlfn.XLOOKUP(D319,'①7月-花名册'!E:E,'①7月-花名册'!U:U,0)</f>
        <v>不发</v>
      </c>
      <c r="H319" s="11">
        <f>_xlfn.XLOOKUP(D319,'①7月-花名册'!E:E,'①7月-花名册'!M:M,0)</f>
        <v>9</v>
      </c>
      <c r="I319" s="11">
        <f>_xlfn.XLOOKUP(D319,'①7月-花名册'!E:E,'①7月-花名册'!S:S,0)</f>
        <v>1</v>
      </c>
      <c r="J319" s="14">
        <f t="shared" si="42"/>
        <v>0</v>
      </c>
      <c r="K319" s="23"/>
      <c r="L319" s="23"/>
      <c r="M319" s="23"/>
      <c r="N319" s="23"/>
      <c r="O319" s="23"/>
      <c r="P319" s="15">
        <f t="shared" si="43"/>
        <v>9</v>
      </c>
      <c r="Q319" s="15">
        <f t="shared" si="44"/>
        <v>9</v>
      </c>
      <c r="R319" s="15">
        <f>IF(F319="事业部",LOOKUP(Q319,基础设置!$T$2:$T$6,基础设置!$U$2:$U$6),IF(F319="总部",LOOKUP(Q319,基础设置!$T$8:$T$13,基础设置!$V$8:$V$13),IF(F319="拓展部",LOOKUP(Q319,基础设置!$T$8:$T$13,基础设置!$W$8:$W$13),2000)))</f>
        <v>1</v>
      </c>
      <c r="S319" s="15">
        <f t="shared" si="45"/>
        <v>9</v>
      </c>
      <c r="T319" s="15">
        <f t="shared" si="46"/>
        <v>0</v>
      </c>
      <c r="U319" s="15">
        <f t="shared" si="47"/>
        <v>0</v>
      </c>
      <c r="V319" s="15">
        <f t="shared" si="40"/>
        <v>1</v>
      </c>
      <c r="W319" s="15">
        <f t="shared" si="48"/>
        <v>20</v>
      </c>
      <c r="X319" s="26"/>
      <c r="Y319" s="26"/>
      <c r="Z319" s="26"/>
      <c r="AA319" s="26"/>
      <c r="AB319" s="27"/>
      <c r="AC319" s="27"/>
      <c r="AD319" s="27"/>
      <c r="AE319" s="27"/>
      <c r="AF319" s="27"/>
      <c r="AG319" s="27"/>
      <c r="AH319" s="17">
        <f>_xlfn.XLOOKUP(D319,'①7月-花名册'!E:E,'①7月-花名册'!T:T,0)</f>
        <v>0</v>
      </c>
      <c r="AI319" s="15">
        <f>SUMIFS('7月运营'!$L:$L,'7月运营'!$A:$A,D319,'7月运营'!$K:$K,$A$1)</f>
        <v>540</v>
      </c>
      <c r="AJ319" s="15">
        <f>SUMIFS('7月运营'!H:H,'7月运营'!$A:$A,D319,'7月运营'!$K:$K,$A$1)</f>
        <v>0</v>
      </c>
      <c r="AK319" s="15">
        <f>SUMIFS(上月未发人员明细!I:I,上月未发人员明细!J:J,$AK$2,上月未发人员明细!A:A,D319)</f>
        <v>0</v>
      </c>
      <c r="AL319" s="15">
        <f>SUMIFS('7月运营'!L:L,'7月运营'!$A:$A,D319,'7月运营'!$K:$K,$AL$2)</f>
        <v>0</v>
      </c>
      <c r="AM319" s="18">
        <f>SUMIFS('7月运营'!$F:$F,'7月运营'!$A:$A,D319,'7月运营'!$K:$K,'②7月-汇总'!$AM$2,'7月运营'!$G:$G,"岗位核算")</f>
        <v>0</v>
      </c>
      <c r="AN319" s="18">
        <f>SUMIFS('7月运营'!$F:$F,'7月运营'!$A:$A,D319,'7月运营'!$K:$K,$AN$2,'7月运营'!$G:$G,"岗位核算")</f>
        <v>0</v>
      </c>
      <c r="AO319" s="18" t="str">
        <f t="shared" si="49"/>
        <v/>
      </c>
      <c r="AP319" s="18">
        <f t="shared" si="41"/>
        <v>9</v>
      </c>
      <c r="AQ319" s="18" t="str">
        <f>_xlfn.XLOOKUP(D319,'7月运营'!A:A,'7月运营'!G:G,0)</f>
        <v>培训-60</v>
      </c>
    </row>
    <row r="320" spans="1:43" x14ac:dyDescent="0.15">
      <c r="A320" s="11" t="str">
        <v>保利</v>
      </c>
      <c r="B320" s="11" t="str">
        <v>健康师</v>
      </c>
      <c r="C320" s="11" t="str">
        <v>A</v>
      </c>
      <c r="D320" s="11" t="str">
        <v>杨慧琳</v>
      </c>
      <c r="E320" s="11" t="str">
        <v>在职</v>
      </c>
      <c r="F320" s="11" t="str">
        <v>事业部</v>
      </c>
      <c r="G320" s="11" t="str">
        <f>_xlfn.XLOOKUP(D320,'①7月-花名册'!E:E,'①7月-花名册'!U:U,0)</f>
        <v>不发</v>
      </c>
      <c r="H320" s="11">
        <f>_xlfn.XLOOKUP(D320,'①7月-花名册'!E:E,'①7月-花名册'!M:M,0)</f>
        <v>9</v>
      </c>
      <c r="I320" s="11">
        <f>_xlfn.XLOOKUP(D320,'①7月-花名册'!E:E,'①7月-花名册'!S:S,0)</f>
        <v>1</v>
      </c>
      <c r="J320" s="14">
        <f t="shared" si="42"/>
        <v>0</v>
      </c>
      <c r="K320" s="23"/>
      <c r="L320" s="23"/>
      <c r="M320" s="23"/>
      <c r="N320" s="23"/>
      <c r="O320" s="23"/>
      <c r="P320" s="15">
        <f t="shared" si="43"/>
        <v>9</v>
      </c>
      <c r="Q320" s="15">
        <f t="shared" si="44"/>
        <v>9</v>
      </c>
      <c r="R320" s="15">
        <f>IF(F320="事业部",LOOKUP(Q320,基础设置!$T$2:$T$6,基础设置!$U$2:$U$6),IF(F320="总部",LOOKUP(Q320,基础设置!$T$8:$T$13,基础设置!$V$8:$V$13),IF(F320="拓展部",LOOKUP(Q320,基础设置!$T$8:$T$13,基础设置!$W$8:$W$13),2000)))</f>
        <v>1</v>
      </c>
      <c r="S320" s="15">
        <f t="shared" si="45"/>
        <v>9</v>
      </c>
      <c r="T320" s="15">
        <f t="shared" si="46"/>
        <v>0</v>
      </c>
      <c r="U320" s="15">
        <f t="shared" si="47"/>
        <v>0</v>
      </c>
      <c r="V320" s="15">
        <f t="shared" si="40"/>
        <v>1</v>
      </c>
      <c r="W320" s="15">
        <f t="shared" si="48"/>
        <v>20</v>
      </c>
      <c r="X320" s="26"/>
      <c r="Y320" s="26"/>
      <c r="Z320" s="26"/>
      <c r="AA320" s="26"/>
      <c r="AB320" s="27"/>
      <c r="AC320" s="27"/>
      <c r="AD320" s="27"/>
      <c r="AE320" s="27"/>
      <c r="AF320" s="27"/>
      <c r="AG320" s="27"/>
      <c r="AH320" s="17">
        <f>_xlfn.XLOOKUP(D320,'①7月-花名册'!E:E,'①7月-花名册'!T:T,0)</f>
        <v>0</v>
      </c>
      <c r="AI320" s="15">
        <f>SUMIFS('7月运营'!$L:$L,'7月运营'!$A:$A,D320,'7月运营'!$K:$K,$A$1)</f>
        <v>540</v>
      </c>
      <c r="AJ320" s="15">
        <f>SUMIFS('7月运营'!H:H,'7月运营'!$A:$A,D320,'7月运营'!$K:$K,$A$1)</f>
        <v>0</v>
      </c>
      <c r="AK320" s="15">
        <f>SUMIFS(上月未发人员明细!I:I,上月未发人员明细!J:J,$AK$2,上月未发人员明细!A:A,D320)</f>
        <v>0</v>
      </c>
      <c r="AL320" s="15">
        <f>SUMIFS('7月运营'!L:L,'7月运营'!$A:$A,D320,'7月运营'!$K:$K,$AL$2)</f>
        <v>0</v>
      </c>
      <c r="AM320" s="18">
        <f>SUMIFS('7月运营'!$F:$F,'7月运营'!$A:$A,D320,'7月运营'!$K:$K,'②7月-汇总'!$AM$2,'7月运营'!$G:$G,"岗位核算")</f>
        <v>0</v>
      </c>
      <c r="AN320" s="18">
        <f>SUMIFS('7月运营'!$F:$F,'7月运营'!$A:$A,D320,'7月运营'!$K:$K,$AN$2,'7月运营'!$G:$G,"岗位核算")</f>
        <v>0</v>
      </c>
      <c r="AO320" s="18" t="str">
        <f t="shared" si="49"/>
        <v/>
      </c>
      <c r="AP320" s="18">
        <f t="shared" si="41"/>
        <v>9</v>
      </c>
      <c r="AQ320" s="18" t="str">
        <f>_xlfn.XLOOKUP(D320,'7月运营'!A:A,'7月运营'!G:G,0)</f>
        <v>培训-60</v>
      </c>
    </row>
    <row r="321" spans="1:43" x14ac:dyDescent="0.15">
      <c r="A321" s="11" t="str">
        <v>光华</v>
      </c>
      <c r="B321" s="11" t="str">
        <v>健康师</v>
      </c>
      <c r="C321" s="11" t="str">
        <v>A</v>
      </c>
      <c r="D321" s="11" t="str">
        <v>袁琳育</v>
      </c>
      <c r="E321" s="11" t="str">
        <v>在职</v>
      </c>
      <c r="F321" s="11" t="str">
        <v>事业部</v>
      </c>
      <c r="G321" s="11" t="str">
        <f>_xlfn.XLOOKUP(D321,'①7月-花名册'!E:E,'①7月-花名册'!U:U,0)</f>
        <v>不发</v>
      </c>
      <c r="H321" s="11">
        <f>_xlfn.XLOOKUP(D321,'①7月-花名册'!E:E,'①7月-花名册'!M:M,0)</f>
        <v>9</v>
      </c>
      <c r="I321" s="11">
        <f>_xlfn.XLOOKUP(D321,'①7月-花名册'!E:E,'①7月-花名册'!S:S,0)</f>
        <v>1</v>
      </c>
      <c r="J321" s="14">
        <f t="shared" si="42"/>
        <v>0</v>
      </c>
      <c r="K321" s="23"/>
      <c r="L321" s="23"/>
      <c r="M321" s="23"/>
      <c r="N321" s="23"/>
      <c r="O321" s="23"/>
      <c r="P321" s="15">
        <f t="shared" si="43"/>
        <v>9</v>
      </c>
      <c r="Q321" s="15">
        <f t="shared" si="44"/>
        <v>9</v>
      </c>
      <c r="R321" s="15">
        <f>IF(F321="事业部",LOOKUP(Q321,基础设置!$T$2:$T$6,基础设置!$U$2:$U$6),IF(F321="总部",LOOKUP(Q321,基础设置!$T$8:$T$13,基础设置!$V$8:$V$13),IF(F321="拓展部",LOOKUP(Q321,基础设置!$T$8:$T$13,基础设置!$W$8:$W$13),2000)))</f>
        <v>1</v>
      </c>
      <c r="S321" s="15">
        <f t="shared" si="45"/>
        <v>9</v>
      </c>
      <c r="T321" s="15">
        <f t="shared" si="46"/>
        <v>0</v>
      </c>
      <c r="U321" s="15">
        <f t="shared" si="47"/>
        <v>0</v>
      </c>
      <c r="V321" s="15">
        <f t="shared" si="40"/>
        <v>1</v>
      </c>
      <c r="W321" s="15">
        <f t="shared" si="48"/>
        <v>20</v>
      </c>
      <c r="X321" s="26"/>
      <c r="Y321" s="26"/>
      <c r="Z321" s="26"/>
      <c r="AA321" s="26"/>
      <c r="AB321" s="27"/>
      <c r="AC321" s="27"/>
      <c r="AD321" s="27"/>
      <c r="AE321" s="27"/>
      <c r="AF321" s="27"/>
      <c r="AG321" s="27"/>
      <c r="AH321" s="17">
        <f>_xlfn.XLOOKUP(D321,'①7月-花名册'!E:E,'①7月-花名册'!T:T,0)</f>
        <v>0</v>
      </c>
      <c r="AI321" s="15">
        <f>SUMIFS('7月运营'!$L:$L,'7月运营'!$A:$A,D321,'7月运营'!$K:$K,$A$1)</f>
        <v>540</v>
      </c>
      <c r="AJ321" s="15">
        <f>SUMIFS('7月运营'!H:H,'7月运营'!$A:$A,D321,'7月运营'!$K:$K,$A$1)</f>
        <v>0</v>
      </c>
      <c r="AK321" s="15">
        <f>SUMIFS(上月未发人员明细!I:I,上月未发人员明细!J:J,$AK$2,上月未发人员明细!A:A,D321)</f>
        <v>0</v>
      </c>
      <c r="AL321" s="15">
        <f>SUMIFS('7月运营'!L:L,'7月运营'!$A:$A,D321,'7月运营'!$K:$K,$AL$2)</f>
        <v>0</v>
      </c>
      <c r="AM321" s="18">
        <f>SUMIFS('7月运营'!$F:$F,'7月运营'!$A:$A,D321,'7月运营'!$K:$K,'②7月-汇总'!$AM$2,'7月运营'!$G:$G,"岗位核算")</f>
        <v>0</v>
      </c>
      <c r="AN321" s="18">
        <f>SUMIFS('7月运营'!$F:$F,'7月运营'!$A:$A,D321,'7月运营'!$K:$K,$AN$2,'7月运营'!$G:$G,"岗位核算")</f>
        <v>0</v>
      </c>
      <c r="AO321" s="18" t="str">
        <f t="shared" si="49"/>
        <v/>
      </c>
      <c r="AP321" s="18">
        <f t="shared" si="41"/>
        <v>9</v>
      </c>
      <c r="AQ321" s="18" t="str">
        <f>_xlfn.XLOOKUP(D321,'7月运营'!A:A,'7月运营'!G:G,0)</f>
        <v>培训-60</v>
      </c>
    </row>
    <row r="322" spans="1:43" x14ac:dyDescent="0.15">
      <c r="A322" s="11" t="str">
        <v>涌泉</v>
      </c>
      <c r="B322" s="11" t="str">
        <v>健康师</v>
      </c>
      <c r="C322" s="11" t="str">
        <v>A</v>
      </c>
      <c r="D322" s="11" t="str">
        <v>蒲敏</v>
      </c>
      <c r="E322" s="11" t="str">
        <v>在职</v>
      </c>
      <c r="F322" s="11" t="str">
        <v>事业部</v>
      </c>
      <c r="G322" s="11" t="str">
        <f>_xlfn.XLOOKUP(D322,'①7月-花名册'!E:E,'①7月-花名册'!U:U,0)</f>
        <v>不发</v>
      </c>
      <c r="H322" s="11">
        <f>_xlfn.XLOOKUP(D322,'①7月-花名册'!E:E,'①7月-花名册'!M:M,0)</f>
        <v>8</v>
      </c>
      <c r="I322" s="11">
        <f>_xlfn.XLOOKUP(D322,'①7月-花名册'!E:E,'①7月-花名册'!S:S,0)</f>
        <v>1</v>
      </c>
      <c r="J322" s="14">
        <f t="shared" si="42"/>
        <v>0</v>
      </c>
      <c r="K322" s="23"/>
      <c r="L322" s="23"/>
      <c r="M322" s="23"/>
      <c r="N322" s="23"/>
      <c r="O322" s="23"/>
      <c r="P322" s="15">
        <f t="shared" si="43"/>
        <v>8</v>
      </c>
      <c r="Q322" s="15">
        <f t="shared" si="44"/>
        <v>8</v>
      </c>
      <c r="R322" s="15">
        <f>IF(F322="事业部",LOOKUP(Q322,基础设置!$T$2:$T$6,基础设置!$U$2:$U$6),IF(F322="总部",LOOKUP(Q322,基础设置!$T$8:$T$13,基础设置!$V$8:$V$13),IF(F322="拓展部",LOOKUP(Q322,基础设置!$T$8:$T$13,基础设置!$W$8:$W$13),2000)))</f>
        <v>1</v>
      </c>
      <c r="S322" s="15">
        <f t="shared" si="45"/>
        <v>8</v>
      </c>
      <c r="T322" s="15">
        <f t="shared" si="46"/>
        <v>0</v>
      </c>
      <c r="U322" s="15">
        <f t="shared" si="47"/>
        <v>0</v>
      </c>
      <c r="V322" s="15">
        <f t="shared" si="40"/>
        <v>1</v>
      </c>
      <c r="W322" s="15">
        <f t="shared" si="48"/>
        <v>20</v>
      </c>
      <c r="X322" s="26"/>
      <c r="Y322" s="26"/>
      <c r="Z322" s="26"/>
      <c r="AA322" s="26"/>
      <c r="AB322" s="27"/>
      <c r="AC322" s="27"/>
      <c r="AD322" s="27"/>
      <c r="AE322" s="27"/>
      <c r="AF322" s="27"/>
      <c r="AG322" s="27"/>
      <c r="AH322" s="17">
        <f>_xlfn.XLOOKUP(D322,'①7月-花名册'!E:E,'①7月-花名册'!T:T,0)</f>
        <v>0</v>
      </c>
      <c r="AI322" s="15">
        <f>SUMIFS('7月运营'!$L:$L,'7月运营'!$A:$A,D322,'7月运营'!$K:$K,$A$1)</f>
        <v>480</v>
      </c>
      <c r="AJ322" s="15">
        <f>SUMIFS('7月运营'!H:H,'7月运营'!$A:$A,D322,'7月运营'!$K:$K,$A$1)</f>
        <v>0</v>
      </c>
      <c r="AK322" s="15">
        <f>SUMIFS(上月未发人员明细!I:I,上月未发人员明细!J:J,$AK$2,上月未发人员明细!A:A,D322)</f>
        <v>0</v>
      </c>
      <c r="AL322" s="15">
        <f>SUMIFS('7月运营'!L:L,'7月运营'!$A:$A,D322,'7月运营'!$K:$K,$AL$2)</f>
        <v>0</v>
      </c>
      <c r="AM322" s="18">
        <f>SUMIFS('7月运营'!$F:$F,'7月运营'!$A:$A,D322,'7月运营'!$K:$K,'②7月-汇总'!$AM$2,'7月运营'!$G:$G,"岗位核算")</f>
        <v>0</v>
      </c>
      <c r="AN322" s="18">
        <f>SUMIFS('7月运营'!$F:$F,'7月运营'!$A:$A,D322,'7月运营'!$K:$K,$AN$2,'7月运营'!$G:$G,"岗位核算")</f>
        <v>0</v>
      </c>
      <c r="AO322" s="18" t="str">
        <f t="shared" si="49"/>
        <v/>
      </c>
      <c r="AP322" s="18">
        <f t="shared" si="41"/>
        <v>8</v>
      </c>
      <c r="AQ322" s="18" t="str">
        <f>_xlfn.XLOOKUP(D322,'7月运营'!A:A,'7月运营'!G:G,0)</f>
        <v>培训-60</v>
      </c>
    </row>
    <row r="323" spans="1:43" x14ac:dyDescent="0.15">
      <c r="A323" s="11" t="str">
        <v>鹭岛</v>
      </c>
      <c r="B323" s="11" t="str">
        <v>健康师</v>
      </c>
      <c r="C323" s="11" t="str">
        <v>A</v>
      </c>
      <c r="D323" s="11" t="str">
        <v>黄芬</v>
      </c>
      <c r="E323" s="11" t="str">
        <v>在职</v>
      </c>
      <c r="F323" s="11" t="str">
        <v>事业部</v>
      </c>
      <c r="G323" s="11" t="str">
        <f>_xlfn.XLOOKUP(D323,'①7月-花名册'!E:E,'①7月-花名册'!U:U,0)</f>
        <v>不发</v>
      </c>
      <c r="H323" s="11">
        <f>_xlfn.XLOOKUP(D323,'①7月-花名册'!E:E,'①7月-花名册'!M:M,0)</f>
        <v>4</v>
      </c>
      <c r="I323" s="11">
        <f>_xlfn.XLOOKUP(D323,'①7月-花名册'!E:E,'①7月-花名册'!S:S,0)</f>
        <v>0</v>
      </c>
      <c r="J323" s="14">
        <f t="shared" si="42"/>
        <v>0</v>
      </c>
      <c r="K323" s="23"/>
      <c r="L323" s="23"/>
      <c r="M323" s="23"/>
      <c r="N323" s="23"/>
      <c r="O323" s="23"/>
      <c r="P323" s="15">
        <f t="shared" si="43"/>
        <v>4</v>
      </c>
      <c r="Q323" s="15">
        <f t="shared" si="44"/>
        <v>4</v>
      </c>
      <c r="R323" s="15">
        <f>IF(F323="事业部",LOOKUP(Q323,基础设置!$T$2:$T$6,基础设置!$U$2:$U$6),IF(F323="总部",LOOKUP(Q323,基础设置!$T$8:$T$13,基础设置!$V$8:$V$13),IF(F323="拓展部",LOOKUP(Q323,基础设置!$T$8:$T$13,基础设置!$W$8:$W$13),2000)))</f>
        <v>0</v>
      </c>
      <c r="S323" s="15">
        <f t="shared" si="45"/>
        <v>4</v>
      </c>
      <c r="T323" s="15">
        <f t="shared" si="46"/>
        <v>0</v>
      </c>
      <c r="U323" s="15">
        <f t="shared" si="47"/>
        <v>0</v>
      </c>
      <c r="V323" s="15">
        <f t="shared" si="40"/>
        <v>0</v>
      </c>
      <c r="W323" s="15">
        <f t="shared" si="48"/>
        <v>0</v>
      </c>
      <c r="X323" s="26"/>
      <c r="Y323" s="26"/>
      <c r="Z323" s="26"/>
      <c r="AA323" s="26"/>
      <c r="AB323" s="27"/>
      <c r="AC323" s="27"/>
      <c r="AD323" s="27"/>
      <c r="AE323" s="27"/>
      <c r="AF323" s="27"/>
      <c r="AG323" s="27"/>
      <c r="AH323" s="17">
        <f>_xlfn.XLOOKUP(D323,'①7月-花名册'!E:E,'①7月-花名册'!T:T,0)</f>
        <v>0</v>
      </c>
      <c r="AI323" s="15">
        <f>SUMIFS('7月运营'!$L:$L,'7月运营'!$A:$A,D323,'7月运营'!$K:$K,$A$1)</f>
        <v>240</v>
      </c>
      <c r="AJ323" s="15">
        <f>SUMIFS('7月运营'!H:H,'7月运营'!$A:$A,D323,'7月运营'!$K:$K,$A$1)</f>
        <v>0</v>
      </c>
      <c r="AK323" s="15">
        <f>SUMIFS(上月未发人员明细!I:I,上月未发人员明细!J:J,$AK$2,上月未发人员明细!A:A,D323)</f>
        <v>0</v>
      </c>
      <c r="AL323" s="15">
        <f>SUMIFS('7月运营'!L:L,'7月运营'!$A:$A,D323,'7月运营'!$K:$K,$AL$2)</f>
        <v>0</v>
      </c>
      <c r="AM323" s="18">
        <f>SUMIFS('7月运营'!$F:$F,'7月运营'!$A:$A,D323,'7月运营'!$K:$K,'②7月-汇总'!$AM$2,'7月运营'!$G:$G,"岗位核算")</f>
        <v>0</v>
      </c>
      <c r="AN323" s="18">
        <f>SUMIFS('7月运营'!$F:$F,'7月运营'!$A:$A,D323,'7月运营'!$K:$K,$AN$2,'7月运营'!$G:$G,"岗位核算")</f>
        <v>0</v>
      </c>
      <c r="AO323" s="18" t="str">
        <f t="shared" si="49"/>
        <v/>
      </c>
      <c r="AP323" s="18">
        <f t="shared" si="41"/>
        <v>4</v>
      </c>
      <c r="AQ323" s="18" t="str">
        <f>_xlfn.XLOOKUP(D323,'7月运营'!A:A,'7月运营'!G:G,0)</f>
        <v>培训-60</v>
      </c>
    </row>
    <row r="324" spans="1:43" x14ac:dyDescent="0.15">
      <c r="A324" s="11" t="str">
        <v>龙城国际</v>
      </c>
      <c r="B324" s="11" t="str">
        <v>健康师</v>
      </c>
      <c r="C324" s="11" t="str">
        <v>A</v>
      </c>
      <c r="D324" s="11" t="str">
        <v>杨娇</v>
      </c>
      <c r="E324" s="11" t="str">
        <v>在职</v>
      </c>
      <c r="F324" s="11" t="str">
        <v>事业部</v>
      </c>
      <c r="G324" s="11" t="str">
        <f>_xlfn.XLOOKUP(D324,'①7月-花名册'!E:E,'①7月-花名册'!U:U,0)</f>
        <v>不发</v>
      </c>
      <c r="H324" s="11">
        <f>_xlfn.XLOOKUP(D324,'①7月-花名册'!E:E,'①7月-花名册'!M:M,0)</f>
        <v>7</v>
      </c>
      <c r="I324" s="11">
        <f>_xlfn.XLOOKUP(D324,'①7月-花名册'!E:E,'①7月-花名册'!S:S,0)</f>
        <v>1</v>
      </c>
      <c r="J324" s="14">
        <f t="shared" si="42"/>
        <v>0</v>
      </c>
      <c r="K324" s="23"/>
      <c r="L324" s="23"/>
      <c r="M324" s="23"/>
      <c r="N324" s="23"/>
      <c r="O324" s="23"/>
      <c r="P324" s="15">
        <f t="shared" si="43"/>
        <v>7</v>
      </c>
      <c r="Q324" s="15">
        <f t="shared" si="44"/>
        <v>7</v>
      </c>
      <c r="R324" s="15">
        <f>IF(F324="事业部",LOOKUP(Q324,基础设置!$T$2:$T$6,基础设置!$U$2:$U$6),IF(F324="总部",LOOKUP(Q324,基础设置!$T$8:$T$13,基础设置!$V$8:$V$13),IF(F324="拓展部",LOOKUP(Q324,基础设置!$T$8:$T$13,基础设置!$W$8:$W$13),2000)))</f>
        <v>1</v>
      </c>
      <c r="S324" s="15">
        <f t="shared" si="45"/>
        <v>7</v>
      </c>
      <c r="T324" s="15">
        <f t="shared" si="46"/>
        <v>0</v>
      </c>
      <c r="U324" s="15">
        <f t="shared" si="47"/>
        <v>0</v>
      </c>
      <c r="V324" s="15">
        <f t="shared" si="40"/>
        <v>1</v>
      </c>
      <c r="W324" s="15">
        <f t="shared" si="48"/>
        <v>20</v>
      </c>
      <c r="X324" s="26"/>
      <c r="Y324" s="26"/>
      <c r="Z324" s="26"/>
      <c r="AA324" s="26"/>
      <c r="AB324" s="27"/>
      <c r="AC324" s="27"/>
      <c r="AD324" s="27"/>
      <c r="AE324" s="27"/>
      <c r="AF324" s="27"/>
      <c r="AG324" s="27"/>
      <c r="AH324" s="17">
        <f>_xlfn.XLOOKUP(D324,'①7月-花名册'!E:E,'①7月-花名册'!T:T,0)</f>
        <v>0</v>
      </c>
      <c r="AI324" s="15">
        <f>SUMIFS('7月运营'!$L:$L,'7月运营'!$A:$A,D324,'7月运营'!$K:$K,$A$1)</f>
        <v>420</v>
      </c>
      <c r="AJ324" s="15">
        <f>SUMIFS('7月运营'!H:H,'7月运营'!$A:$A,D324,'7月运营'!$K:$K,$A$1)</f>
        <v>0</v>
      </c>
      <c r="AK324" s="15">
        <f>SUMIFS(上月未发人员明细!I:I,上月未发人员明细!J:J,$AK$2,上月未发人员明细!A:A,D324)</f>
        <v>0</v>
      </c>
      <c r="AL324" s="15">
        <f>SUMIFS('7月运营'!L:L,'7月运营'!$A:$A,D324,'7月运营'!$K:$K,$AL$2)</f>
        <v>0</v>
      </c>
      <c r="AM324" s="18">
        <f>SUMIFS('7月运营'!$F:$F,'7月运营'!$A:$A,D324,'7月运营'!$K:$K,'②7月-汇总'!$AM$2,'7月运营'!$G:$G,"岗位核算")</f>
        <v>0</v>
      </c>
      <c r="AN324" s="18">
        <f>SUMIFS('7月运营'!$F:$F,'7月运营'!$A:$A,D324,'7月运营'!$K:$K,$AN$2,'7月运营'!$G:$G,"岗位核算")</f>
        <v>0</v>
      </c>
      <c r="AO324" s="18" t="str">
        <f t="shared" si="49"/>
        <v/>
      </c>
      <c r="AP324" s="18">
        <f t="shared" si="41"/>
        <v>7</v>
      </c>
      <c r="AQ324" s="18" t="str">
        <f>_xlfn.XLOOKUP(D324,'7月运营'!A:A,'7月运营'!G:G,0)</f>
        <v>培训-60</v>
      </c>
    </row>
    <row r="325" spans="1:43" x14ac:dyDescent="0.15">
      <c r="A325" s="11" t="str">
        <v>涌泉</v>
      </c>
      <c r="B325" s="11" t="str">
        <v>健康师</v>
      </c>
      <c r="C325" s="11" t="str">
        <v>A</v>
      </c>
      <c r="D325" s="11" t="str">
        <v>郭芬</v>
      </c>
      <c r="E325" s="11" t="str">
        <v>在职</v>
      </c>
      <c r="F325" s="11" t="str">
        <v>事业部</v>
      </c>
      <c r="G325" s="11" t="str">
        <f>_xlfn.XLOOKUP(D325,'①7月-花名册'!E:E,'①7月-花名册'!U:U,0)</f>
        <v>不发</v>
      </c>
      <c r="H325" s="11">
        <f>_xlfn.XLOOKUP(D325,'①7月-花名册'!E:E,'①7月-花名册'!M:M,0)</f>
        <v>5</v>
      </c>
      <c r="I325" s="11">
        <f>_xlfn.XLOOKUP(D325,'①7月-花名册'!E:E,'①7月-花名册'!S:S,0)</f>
        <v>0</v>
      </c>
      <c r="J325" s="14">
        <f>SUM(K325:O325)</f>
        <v>0</v>
      </c>
      <c r="K325" s="23"/>
      <c r="L325" s="23"/>
      <c r="M325" s="23"/>
      <c r="N325" s="23"/>
      <c r="O325" s="23"/>
      <c r="P325" s="15">
        <f>H325-SUM(K325:O325)</f>
        <v>5</v>
      </c>
      <c r="Q325" s="15">
        <f t="shared" ref="Q325" si="50">P325+K325+O325+N325+M325</f>
        <v>5</v>
      </c>
      <c r="R325" s="15">
        <f>IF(F325="事业部",LOOKUP(Q325,基础设置!$T$2:$T$6,基础设置!$U$2:$U$6),IF(F325="总部",LOOKUP(Q325,基础设置!$T$8:$T$13,基础设置!$V$8:$V$13),IF(F325="拓展部",LOOKUP(Q325,基础设置!$T$8:$T$13,基础设置!$W$8:$W$13),2000)))</f>
        <v>0</v>
      </c>
      <c r="S325" s="15">
        <f t="shared" ref="S325" si="51">K325+M325+N325+O325+P325</f>
        <v>5</v>
      </c>
      <c r="T325" s="15">
        <f t="shared" ref="T325" si="52">IF(K325-R325&lt;0,0,K325-R325)</f>
        <v>0</v>
      </c>
      <c r="U325" s="15">
        <f t="shared" ref="U325" si="53">T325+L325</f>
        <v>0</v>
      </c>
      <c r="V325" s="15">
        <f t="shared" si="40"/>
        <v>0</v>
      </c>
      <c r="W325" s="15">
        <f t="shared" ref="W325:W326" si="54">V325*20</f>
        <v>0</v>
      </c>
      <c r="X325" s="26"/>
      <c r="Y325" s="26"/>
      <c r="Z325" s="26"/>
      <c r="AA325" s="26"/>
      <c r="AB325" s="27"/>
      <c r="AC325" s="27"/>
      <c r="AD325" s="27"/>
      <c r="AE325" s="27"/>
      <c r="AF325" s="27"/>
      <c r="AG325" s="27"/>
      <c r="AH325" s="17">
        <f>_xlfn.XLOOKUP(D325,'①7月-花名册'!E:E,'①7月-花名册'!T:T,0)</f>
        <v>0</v>
      </c>
      <c r="AI325" s="15">
        <f>SUMIFS('7月运营'!$L:$L,'7月运营'!$A:$A,D325,'7月运营'!$K:$K,$A$1)</f>
        <v>300</v>
      </c>
      <c r="AJ325" s="15">
        <f>SUMIFS('7月运营'!H:H,'7月运营'!$A:$A,D325,'7月运营'!$K:$K,$A$1)</f>
        <v>0</v>
      </c>
      <c r="AK325" s="15">
        <f>SUMIFS(上月未发人员明细!I:I,上月未发人员明细!J:J,$AK$2,上月未发人员明细!A:A,D325)</f>
        <v>0</v>
      </c>
      <c r="AL325" s="15">
        <f>SUMIFS('7月运营'!L:L,'7月运营'!$A:$A,D325,'7月运营'!$K:$K,$AL$2)</f>
        <v>0</v>
      </c>
      <c r="AM325" s="18">
        <f>SUMIFS('7月运营'!$F:$F,'7月运营'!$A:$A,D325,'7月运营'!$K:$K,'②7月-汇总'!$AM$2,'7月运营'!$G:$G,"岗位核算")</f>
        <v>0</v>
      </c>
      <c r="AN325" s="18">
        <f>SUMIFS('7月运营'!$F:$F,'7月运营'!$A:$A,D325,'7月运营'!$K:$K,$AN$2,'7月运营'!$G:$G,"岗位核算")</f>
        <v>0</v>
      </c>
      <c r="AO325" s="18" t="str">
        <f t="shared" ref="AO325" si="55">IF(AN325&lt;&gt;0,"有","")</f>
        <v/>
      </c>
      <c r="AP325" s="18">
        <f t="shared" si="41"/>
        <v>5</v>
      </c>
      <c r="AQ325" s="18" t="str">
        <f>_xlfn.XLOOKUP(D325,'7月运营'!A:A,'7月运营'!G:G,0)</f>
        <v>培训-60</v>
      </c>
    </row>
    <row r="326" spans="1:43" x14ac:dyDescent="0.15">
      <c r="A326" s="11" t="str">
        <v>龙城国际</v>
      </c>
      <c r="B326" s="11" t="str">
        <v>健康师</v>
      </c>
      <c r="C326" s="11" t="str">
        <v>A</v>
      </c>
      <c r="D326" s="11" t="str">
        <v>陈丽</v>
      </c>
      <c r="E326" s="11" t="str">
        <v>离职</v>
      </c>
      <c r="F326" s="11" t="str">
        <v>事业部</v>
      </c>
      <c r="G326" s="11">
        <f>_xlfn.XLOOKUP(D326,'①7月-花名册'!E:E,'①7月-花名册'!U:U,0)</f>
        <v>0</v>
      </c>
      <c r="H326" s="11">
        <f>_xlfn.XLOOKUP(D326,'①7月-花名册'!E:E,'①7月-花名册'!M:M,0)</f>
        <v>9</v>
      </c>
      <c r="I326" s="11">
        <f>_xlfn.XLOOKUP(D326,'①7月-花名册'!E:E,'①7月-花名册'!S:S,0)</f>
        <v>0</v>
      </c>
      <c r="J326" s="14">
        <f>SUM(K326:O326)</f>
        <v>0</v>
      </c>
      <c r="K326" s="23"/>
      <c r="L326" s="23"/>
      <c r="M326" s="23"/>
      <c r="N326" s="23"/>
      <c r="O326" s="23"/>
      <c r="P326" s="15">
        <f>H326-SUM(K326:O326)</f>
        <v>9</v>
      </c>
      <c r="Q326" s="15">
        <f t="shared" ref="Q326" si="56">P326+K326+O326+N326+M326</f>
        <v>9</v>
      </c>
      <c r="R326" s="15">
        <f>IF(F326="事业部",LOOKUP(Q326,基础设置!$T$2:$T$6,基础设置!$U$2:$U$6),IF(F326="总部",LOOKUP(Q326,基础设置!$T$8:$T$13,基础设置!$V$8:$V$13),IF(F326="拓展部",LOOKUP(Q326,基础设置!$T$8:$T$13,基础设置!$W$8:$W$13),2000)))</f>
        <v>1</v>
      </c>
      <c r="S326" s="15">
        <f t="shared" ref="S326" si="57">K326+M326+N326+O326+P326</f>
        <v>9</v>
      </c>
      <c r="T326" s="15">
        <f t="shared" ref="T326" si="58">IF(K326-R326&lt;0,0,K326-R326)</f>
        <v>0</v>
      </c>
      <c r="U326" s="15">
        <f t="shared" ref="U326" si="59">T326+L326</f>
        <v>0</v>
      </c>
      <c r="V326" s="15">
        <f t="shared" si="40"/>
        <v>0</v>
      </c>
      <c r="W326" s="15">
        <f t="shared" si="54"/>
        <v>0</v>
      </c>
      <c r="X326" s="26"/>
      <c r="Y326" s="26"/>
      <c r="Z326" s="26"/>
      <c r="AA326" s="26"/>
      <c r="AB326" s="27"/>
      <c r="AC326" s="27"/>
      <c r="AD326" s="27"/>
      <c r="AE326" s="27"/>
      <c r="AF326" s="27"/>
      <c r="AG326" s="27"/>
      <c r="AH326" s="17">
        <f>_xlfn.XLOOKUP(D326,'①7月-花名册'!E:E,'①7月-花名册'!T:T,0)</f>
        <v>0</v>
      </c>
      <c r="AI326" s="15">
        <f>SUMIFS('7月运营'!$L:$L,'7月运营'!$A:$A,D326,'7月运营'!$K:$K,$A$1)</f>
        <v>0</v>
      </c>
      <c r="AJ326" s="15">
        <f>SUMIFS('7月运营'!H:H,'7月运营'!$A:$A,D326,'7月运营'!$K:$K,$A$1)</f>
        <v>0</v>
      </c>
      <c r="AK326" s="15">
        <f>SUMIFS(上月未发人员明细!I:I,上月未发人员明细!J:J,$AK$2,上月未发人员明细!A:A,D326)</f>
        <v>0</v>
      </c>
      <c r="AL326" s="15">
        <f>SUMIFS('7月运营'!L:L,'7月运营'!$A:$A,D326,'7月运营'!$K:$K,$AL$2)</f>
        <v>0</v>
      </c>
      <c r="AM326" s="18">
        <f>SUMIFS('7月运营'!$F:$F,'7月运营'!$A:$A,D326,'7月运营'!$K:$K,'②7月-汇总'!$AM$2,'7月运营'!$G:$G,"岗位核算")</f>
        <v>0</v>
      </c>
      <c r="AN326" s="18">
        <f>SUMIFS('7月运营'!$F:$F,'7月运营'!$A:$A,D326,'7月运营'!$K:$K,$AN$2,'7月运营'!$G:$G,"岗位核算")</f>
        <v>0</v>
      </c>
      <c r="AO326" s="18" t="str">
        <f t="shared" ref="AO326" si="60">IF(AN326&lt;&gt;0,"有","")</f>
        <v/>
      </c>
      <c r="AP326" s="18">
        <f t="shared" ref="AP326" si="61">IF(AM326=0,S326,AM326)</f>
        <v>9</v>
      </c>
      <c r="AQ326" s="18" t="str">
        <f>_xlfn.XLOOKUP(D326,'7月运营'!A:A,'7月运营'!G:G,0)</f>
        <v>不算工资</v>
      </c>
    </row>
    <row r="327" spans="1:43" x14ac:dyDescent="0.15">
      <c r="K327" s="23"/>
      <c r="L327" s="23"/>
      <c r="M327" s="23"/>
      <c r="N327" s="23"/>
      <c r="O327" s="23"/>
      <c r="X327" s="26"/>
      <c r="Y327" s="26"/>
      <c r="Z327" s="26"/>
      <c r="AA327" s="26"/>
      <c r="AB327" s="27"/>
      <c r="AC327" s="27"/>
      <c r="AD327" s="27"/>
      <c r="AE327" s="27"/>
      <c r="AF327" s="27"/>
      <c r="AG327" s="27"/>
    </row>
    <row r="328" spans="1:43" x14ac:dyDescent="0.15">
      <c r="K328" s="23"/>
      <c r="L328" s="23"/>
      <c r="M328" s="23"/>
      <c r="N328" s="23"/>
      <c r="O328" s="23"/>
      <c r="X328" s="26"/>
      <c r="Y328" s="26"/>
      <c r="Z328" s="26"/>
      <c r="AA328" s="26"/>
      <c r="AB328" s="27"/>
      <c r="AC328" s="27"/>
      <c r="AD328" s="27"/>
      <c r="AE328" s="27"/>
      <c r="AF328" s="27"/>
      <c r="AG328" s="27"/>
    </row>
  </sheetData>
  <sheetProtection formatCells="0" formatColumns="0" formatRows="0" insertColumns="0" insertRows="0" insertHyperlinks="0" deleteColumns="0" deleteRows="0" sort="0" autoFilter="0" pivotTables="0"/>
  <autoFilter ref="A3:AQ326" xr:uid="{00000000-0001-0000-0400-000000000000}"/>
  <phoneticPr fontId="4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N20"/>
  <sheetViews>
    <sheetView tabSelected="1" workbookViewId="0">
      <selection activeCell="N13" sqref="N13"/>
    </sheetView>
  </sheetViews>
  <sheetFormatPr defaultColWidth="9" defaultRowHeight="21.75" customHeight="1" x14ac:dyDescent="0.15"/>
  <cols>
    <col min="1" max="6" width="9" style="5"/>
    <col min="7" max="7" width="10.5" style="5" customWidth="1"/>
    <col min="8" max="8" width="8.625" style="5" customWidth="1"/>
    <col min="9" max="13" width="11.5" style="6" customWidth="1"/>
    <col min="14" max="16" width="9" style="5"/>
    <col min="17" max="17" width="11" style="5" customWidth="1"/>
    <col min="18" max="16384" width="9" style="5"/>
  </cols>
  <sheetData>
    <row r="1" spans="1:14" ht="21.75" customHeight="1" x14ac:dyDescent="0.15">
      <c r="A1" s="7" t="s">
        <v>85</v>
      </c>
      <c r="B1" s="8" t="s">
        <v>454</v>
      </c>
      <c r="C1" s="8" t="s">
        <v>455</v>
      </c>
      <c r="D1" s="7" t="s">
        <v>10</v>
      </c>
      <c r="E1" s="7" t="s">
        <v>456</v>
      </c>
      <c r="F1" s="9" t="s">
        <v>457</v>
      </c>
      <c r="G1" s="7" t="s">
        <v>12</v>
      </c>
      <c r="H1" s="7" t="s">
        <v>458</v>
      </c>
      <c r="I1" s="10" t="s">
        <v>511</v>
      </c>
      <c r="J1" s="10" t="s">
        <v>461</v>
      </c>
      <c r="K1" s="10" t="s">
        <v>478</v>
      </c>
      <c r="L1" s="10" t="s">
        <v>512</v>
      </c>
      <c r="M1" s="10"/>
    </row>
    <row r="2" spans="1:14" ht="21.75" customHeight="1" x14ac:dyDescent="0.15">
      <c r="A2" s="7" t="s">
        <v>324</v>
      </c>
      <c r="B2" s="8">
        <v>45837</v>
      </c>
      <c r="C2" s="8">
        <v>45838</v>
      </c>
      <c r="D2" s="7" t="s">
        <v>29</v>
      </c>
      <c r="E2" s="7" t="s">
        <v>80</v>
      </c>
      <c r="F2" s="9">
        <f t="shared" ref="F2:F3" si="0">C2-B2+1</f>
        <v>2</v>
      </c>
      <c r="G2" s="7" t="s">
        <v>56</v>
      </c>
      <c r="H2" s="7"/>
      <c r="I2" s="10">
        <f>670-480</f>
        <v>190</v>
      </c>
      <c r="J2" s="10" t="s">
        <v>476</v>
      </c>
      <c r="K2" s="10" t="s">
        <v>465</v>
      </c>
      <c r="L2" s="10">
        <v>480</v>
      </c>
      <c r="M2" s="10" t="s">
        <v>513</v>
      </c>
    </row>
    <row r="3" spans="1:14" ht="21.75" customHeight="1" x14ac:dyDescent="0.15">
      <c r="A3" s="7" t="s">
        <v>105</v>
      </c>
      <c r="B3" s="8">
        <v>45829</v>
      </c>
      <c r="C3" s="8">
        <v>45832</v>
      </c>
      <c r="D3" s="7" t="s">
        <v>25</v>
      </c>
      <c r="E3" s="7" t="s">
        <v>22</v>
      </c>
      <c r="F3" s="9">
        <f t="shared" si="0"/>
        <v>4</v>
      </c>
      <c r="G3" s="7" t="s">
        <v>27</v>
      </c>
      <c r="H3" s="7"/>
      <c r="I3" s="10">
        <v>778</v>
      </c>
      <c r="J3" s="10" t="s">
        <v>476</v>
      </c>
      <c r="K3" s="10" t="s">
        <v>465</v>
      </c>
      <c r="L3" s="10"/>
      <c r="M3" s="10"/>
    </row>
    <row r="4" spans="1:14" ht="21.75" customHeight="1" x14ac:dyDescent="0.15">
      <c r="A4" s="7" t="s">
        <v>427</v>
      </c>
      <c r="B4" s="8">
        <v>45828</v>
      </c>
      <c r="C4" s="8">
        <v>45836</v>
      </c>
      <c r="D4" s="7" t="s">
        <v>25</v>
      </c>
      <c r="E4" s="7" t="s">
        <v>78</v>
      </c>
      <c r="F4" s="9">
        <v>9</v>
      </c>
      <c r="G4" s="7" t="s">
        <v>27</v>
      </c>
      <c r="H4" s="7"/>
      <c r="I4" s="10">
        <v>540</v>
      </c>
      <c r="J4" s="10" t="s">
        <v>476</v>
      </c>
      <c r="K4" s="10" t="s">
        <v>465</v>
      </c>
      <c r="L4" s="10"/>
      <c r="M4" s="10"/>
    </row>
    <row r="5" spans="1:14" ht="21.75" customHeight="1" x14ac:dyDescent="0.15">
      <c r="A5" s="7" t="s">
        <v>310</v>
      </c>
      <c r="B5" s="8">
        <v>45830</v>
      </c>
      <c r="C5" s="8">
        <v>45838</v>
      </c>
      <c r="D5" s="7" t="s">
        <v>25</v>
      </c>
      <c r="E5" s="7" t="s">
        <v>78</v>
      </c>
      <c r="F5" s="9">
        <v>9</v>
      </c>
      <c r="G5" s="7" t="s">
        <v>27</v>
      </c>
      <c r="H5" s="7"/>
      <c r="I5" s="10">
        <f>540-130</f>
        <v>410</v>
      </c>
      <c r="J5" s="10" t="s">
        <v>476</v>
      </c>
      <c r="K5" s="10" t="s">
        <v>465</v>
      </c>
      <c r="L5" s="10">
        <v>130</v>
      </c>
      <c r="M5" s="10" t="s">
        <v>498</v>
      </c>
    </row>
    <row r="6" spans="1:14" ht="21.75" customHeight="1" x14ac:dyDescent="0.15">
      <c r="I6" s="6">
        <f>SUM(I2:I5)</f>
        <v>1918</v>
      </c>
    </row>
    <row r="7" spans="1:14" ht="21.75" customHeight="1" x14ac:dyDescent="0.15">
      <c r="A7" s="5" t="s">
        <v>465</v>
      </c>
      <c r="B7" s="6" t="s">
        <v>259</v>
      </c>
    </row>
    <row r="8" spans="1:14" ht="21.75" customHeight="1" x14ac:dyDescent="0.15">
      <c r="A8" s="5" t="str" cm="1">
        <f t="array" ref="A8:A18">_xlfn._xlws.FILTER('①7月-花名册'!E:E,'①7月-花名册'!U:U=B7)</f>
        <v>石海力</v>
      </c>
      <c r="B8" s="6">
        <f>_xlfn.XLOOKUP(A8,[1]工资核对的全字段!$C:$C,[1]工资核对的全字段!$CT:$CT,0)</f>
        <v>3519.76145</v>
      </c>
      <c r="I8" s="5"/>
      <c r="N8" s="6"/>
    </row>
    <row r="9" spans="1:14" ht="21.75" customHeight="1" x14ac:dyDescent="0.15">
      <c r="A9" s="5" t="str">
        <v>李文龙</v>
      </c>
      <c r="B9" s="6">
        <f>_xlfn.XLOOKUP(A9,[1]工资核对的全字段!$C:$C,[1]工资核对的全字段!$CT:$CT,0)</f>
        <v>1689.03225806452</v>
      </c>
      <c r="I9" s="5"/>
      <c r="N9" s="6"/>
    </row>
    <row r="10" spans="1:14" ht="21.75" customHeight="1" x14ac:dyDescent="0.15">
      <c r="A10" s="5" t="str">
        <v>蹇雨珊</v>
      </c>
      <c r="B10" s="6">
        <f>_xlfn.XLOOKUP(A10,[1]工资核对的全字段!$C:$C,[1]工资核对的全字段!$CT:$CT,0)</f>
        <v>1436.7741935483871</v>
      </c>
      <c r="I10" s="5"/>
      <c r="N10" s="6"/>
    </row>
    <row r="11" spans="1:14" ht="21.75" customHeight="1" x14ac:dyDescent="0.15">
      <c r="A11" s="5" t="str">
        <v>赵圆缘</v>
      </c>
      <c r="B11" s="6">
        <f>_xlfn.XLOOKUP(A11,[1]工资核对的全字段!$C:$C,[1]工资核对的全字段!$CT:$CT,0)</f>
        <v>1436.7741935483871</v>
      </c>
      <c r="I11" s="5"/>
      <c r="N11" s="6"/>
    </row>
    <row r="12" spans="1:14" ht="21.75" customHeight="1" x14ac:dyDescent="0.15">
      <c r="A12" s="5" t="str">
        <v>李从丽</v>
      </c>
      <c r="B12" s="6">
        <f>_xlfn.XLOOKUP(A12,[1]工资核对的全字段!$C:$C,[1]工资核对的全字段!$CT:$CT,0)</f>
        <v>1082.5806451612902</v>
      </c>
      <c r="I12" s="5"/>
      <c r="N12" s="6"/>
    </row>
    <row r="13" spans="1:14" ht="21.75" customHeight="1" x14ac:dyDescent="0.15">
      <c r="A13" s="5" t="str">
        <v>杨慧琳</v>
      </c>
      <c r="B13" s="6">
        <f>_xlfn.XLOOKUP(A13,[1]工资核对的全字段!$C:$C,[1]工资核对的全字段!$CT:$CT,0)</f>
        <v>1140.6500000000001</v>
      </c>
      <c r="I13" s="5"/>
      <c r="N13" s="6"/>
    </row>
    <row r="14" spans="1:14" ht="21.75" customHeight="1" x14ac:dyDescent="0.15">
      <c r="A14" s="5" t="str">
        <v>袁琳育</v>
      </c>
      <c r="B14" s="6">
        <f>_xlfn.XLOOKUP(A14,[1]工资核对的全字段!$C:$C,[1]工资核对的全字段!$CT:$CT,0)</f>
        <v>1082.5806451612902</v>
      </c>
      <c r="I14" s="5"/>
      <c r="N14" s="6"/>
    </row>
    <row r="15" spans="1:14" ht="21.75" customHeight="1" x14ac:dyDescent="0.15">
      <c r="A15" s="5" t="str">
        <v>蒲敏</v>
      </c>
      <c r="B15" s="6">
        <f>_xlfn.XLOOKUP(A15,[1]工资核对的全字段!$C:$C,[1]工资核对的全字段!$CT:$CT,0)</f>
        <v>964.51612903225805</v>
      </c>
      <c r="I15" s="5"/>
      <c r="N15" s="6"/>
    </row>
    <row r="16" spans="1:14" ht="21.75" customHeight="1" x14ac:dyDescent="0.15">
      <c r="A16" s="5" t="str">
        <v>黄芬</v>
      </c>
      <c r="B16" s="6">
        <f>_xlfn.XLOOKUP(A16,[1]工资核对的全字段!$C:$C,[1]工资核对的全字段!$CT:$CT,0)</f>
        <v>472.25806451612902</v>
      </c>
      <c r="I16" s="5"/>
      <c r="N16" s="6"/>
    </row>
    <row r="17" spans="1:14" ht="21.75" customHeight="1" x14ac:dyDescent="0.15">
      <c r="A17" s="5" t="str">
        <v>杨娇</v>
      </c>
      <c r="B17" s="6">
        <f>_xlfn.XLOOKUP(A17,[1]工资核对的全字段!$C:$C,[1]工资核对的全字段!$CT:$CT,0)</f>
        <v>891.62</v>
      </c>
      <c r="I17" s="5"/>
      <c r="N17" s="6"/>
    </row>
    <row r="18" spans="1:14" ht="21.75" customHeight="1" x14ac:dyDescent="0.15">
      <c r="A18" s="5" t="str">
        <v>郭芬</v>
      </c>
      <c r="B18" s="6">
        <f>_xlfn.XLOOKUP(A18,[1]工资核对的全字段!$C:$C,[1]工资核对的全字段!$CT:$CT,0)</f>
        <v>590.32258064516122</v>
      </c>
      <c r="I18" s="5"/>
      <c r="N18" s="6"/>
    </row>
    <row r="19" spans="1:14" ht="21.75" customHeight="1" x14ac:dyDescent="0.15">
      <c r="B19" s="6"/>
      <c r="I19" s="5"/>
      <c r="N19" s="6"/>
    </row>
    <row r="20" spans="1:14" ht="21.75" customHeight="1" x14ac:dyDescent="0.15">
      <c r="B20" s="6"/>
    </row>
  </sheetData>
  <phoneticPr fontId="4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 xr:uid="{00000000-0002-0000-0500-000000000000}">
          <x14:formula1>
            <xm:f>'①7月-花名册'!$E:$E</xm:f>
          </x14:formula1>
          <xm:sqref>A2:A3</xm:sqref>
        </x14:dataValidation>
        <x14:dataValidation type="list" allowBlank="1" showInputMessage="1" showErrorMessage="1" xr:uid="{00000000-0002-0000-0500-000001000000}">
          <x14:formula1>
            <xm:f>基础设置!$I:$I</xm:f>
          </x14:formula1>
          <xm:sqref>D2:D3</xm:sqref>
        </x14:dataValidation>
        <x14:dataValidation type="list" allowBlank="1" showInputMessage="1" showErrorMessage="1" xr:uid="{00000000-0002-0000-0500-000002000000}">
          <x14:formula1>
            <xm:f>基础设置!$E:$E</xm:f>
          </x14:formula1>
          <xm:sqref>E2:E3</xm:sqref>
        </x14:dataValidation>
        <x14:dataValidation type="list" allowBlank="1" showInputMessage="1" showErrorMessage="1" xr:uid="{00000000-0002-0000-0500-000003000000}">
          <x14:formula1>
            <xm:f>基础设置!$K:$K</xm:f>
          </x14:formula1>
          <xm:sqref>G2:G3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08"/>
  <sheetViews>
    <sheetView workbookViewId="0">
      <selection activeCell="I33" sqref="I33"/>
    </sheetView>
  </sheetViews>
  <sheetFormatPr defaultColWidth="9" defaultRowHeight="14.25" x14ac:dyDescent="0.15"/>
  <sheetData>
    <row r="1" spans="1:3" x14ac:dyDescent="0.15">
      <c r="A1" s="1" t="s">
        <v>180</v>
      </c>
      <c r="B1" s="2" t="s">
        <v>95</v>
      </c>
      <c r="C1">
        <v>4</v>
      </c>
    </row>
    <row r="2" spans="1:3" x14ac:dyDescent="0.15">
      <c r="A2" s="1" t="s">
        <v>104</v>
      </c>
      <c r="B2" s="2" t="s">
        <v>98</v>
      </c>
      <c r="C2">
        <v>5</v>
      </c>
    </row>
    <row r="3" spans="1:3" x14ac:dyDescent="0.15">
      <c r="A3" s="1" t="s">
        <v>144</v>
      </c>
      <c r="B3" s="2" t="s">
        <v>99</v>
      </c>
      <c r="C3">
        <v>6</v>
      </c>
    </row>
    <row r="4" spans="1:3" x14ac:dyDescent="0.15">
      <c r="A4" s="1" t="s">
        <v>193</v>
      </c>
      <c r="B4" s="3" t="s">
        <v>100</v>
      </c>
      <c r="C4">
        <v>7</v>
      </c>
    </row>
    <row r="5" spans="1:3" x14ac:dyDescent="0.15">
      <c r="A5" s="1" t="s">
        <v>186</v>
      </c>
      <c r="B5" s="2" t="s">
        <v>102</v>
      </c>
      <c r="C5">
        <v>8</v>
      </c>
    </row>
    <row r="6" spans="1:3" x14ac:dyDescent="0.15">
      <c r="A6" s="1" t="s">
        <v>113</v>
      </c>
      <c r="B6" s="4" t="s">
        <v>104</v>
      </c>
      <c r="C6">
        <v>9</v>
      </c>
    </row>
    <row r="7" spans="1:3" x14ac:dyDescent="0.15">
      <c r="A7" s="1" t="s">
        <v>195</v>
      </c>
      <c r="B7" s="2" t="s">
        <v>105</v>
      </c>
      <c r="C7">
        <v>10</v>
      </c>
    </row>
    <row r="8" spans="1:3" x14ac:dyDescent="0.15">
      <c r="A8" s="1" t="s">
        <v>169</v>
      </c>
      <c r="B8" s="2" t="s">
        <v>106</v>
      </c>
      <c r="C8">
        <v>11</v>
      </c>
    </row>
    <row r="9" spans="1:3" x14ac:dyDescent="0.15">
      <c r="A9" s="1" t="s">
        <v>170</v>
      </c>
      <c r="B9" s="2" t="s">
        <v>107</v>
      </c>
      <c r="C9">
        <v>12</v>
      </c>
    </row>
    <row r="10" spans="1:3" x14ac:dyDescent="0.15">
      <c r="A10" s="1" t="s">
        <v>179</v>
      </c>
      <c r="B10" s="2" t="s">
        <v>108</v>
      </c>
      <c r="C10">
        <v>13</v>
      </c>
    </row>
    <row r="11" spans="1:3" x14ac:dyDescent="0.15">
      <c r="A11" s="1" t="s">
        <v>322</v>
      </c>
      <c r="B11" s="2" t="s">
        <v>109</v>
      </c>
      <c r="C11">
        <v>14</v>
      </c>
    </row>
    <row r="12" spans="1:3" x14ac:dyDescent="0.15">
      <c r="A12" s="1" t="s">
        <v>323</v>
      </c>
      <c r="B12" s="2" t="s">
        <v>110</v>
      </c>
      <c r="C12">
        <v>15</v>
      </c>
    </row>
    <row r="13" spans="1:3" x14ac:dyDescent="0.15">
      <c r="A13" s="1" t="s">
        <v>293</v>
      </c>
      <c r="B13" s="2" t="s">
        <v>111</v>
      </c>
      <c r="C13">
        <v>16</v>
      </c>
    </row>
    <row r="14" spans="1:3" x14ac:dyDescent="0.15">
      <c r="A14" s="1" t="s">
        <v>252</v>
      </c>
      <c r="B14" s="3" t="s">
        <v>112</v>
      </c>
      <c r="C14">
        <v>17</v>
      </c>
    </row>
    <row r="15" spans="1:3" x14ac:dyDescent="0.15">
      <c r="A15" s="1" t="s">
        <v>291</v>
      </c>
      <c r="B15" s="4" t="s">
        <v>113</v>
      </c>
      <c r="C15">
        <v>18</v>
      </c>
    </row>
    <row r="16" spans="1:3" x14ac:dyDescent="0.15">
      <c r="A16" s="1" t="s">
        <v>281</v>
      </c>
      <c r="B16" s="2" t="s">
        <v>114</v>
      </c>
      <c r="C16">
        <v>19</v>
      </c>
    </row>
    <row r="17" spans="1:3" x14ac:dyDescent="0.15">
      <c r="A17" s="1" t="s">
        <v>280</v>
      </c>
      <c r="B17" s="2" t="s">
        <v>115</v>
      </c>
      <c r="C17">
        <v>20</v>
      </c>
    </row>
    <row r="18" spans="1:3" x14ac:dyDescent="0.15">
      <c r="A18" s="1" t="s">
        <v>194</v>
      </c>
      <c r="B18" s="2" t="s">
        <v>117</v>
      </c>
      <c r="C18">
        <v>21</v>
      </c>
    </row>
    <row r="19" spans="1:3" x14ac:dyDescent="0.15">
      <c r="A19" s="1" t="s">
        <v>282</v>
      </c>
      <c r="B19" s="3" t="s">
        <v>118</v>
      </c>
      <c r="C19">
        <v>22</v>
      </c>
    </row>
    <row r="20" spans="1:3" x14ac:dyDescent="0.15">
      <c r="A20" s="1" t="s">
        <v>283</v>
      </c>
      <c r="B20" s="3" t="s">
        <v>119</v>
      </c>
      <c r="C20">
        <v>23</v>
      </c>
    </row>
    <row r="21" spans="1:3" x14ac:dyDescent="0.15">
      <c r="A21" s="1" t="s">
        <v>286</v>
      </c>
      <c r="B21" s="2" t="s">
        <v>120</v>
      </c>
      <c r="C21">
        <v>24</v>
      </c>
    </row>
    <row r="22" spans="1:3" x14ac:dyDescent="0.15">
      <c r="A22" s="1" t="s">
        <v>312</v>
      </c>
      <c r="B22" s="2" t="s">
        <v>121</v>
      </c>
      <c r="C22">
        <v>25</v>
      </c>
    </row>
    <row r="23" spans="1:3" x14ac:dyDescent="0.15">
      <c r="A23" s="1" t="s">
        <v>317</v>
      </c>
      <c r="B23" s="2" t="s">
        <v>122</v>
      </c>
      <c r="C23">
        <v>26</v>
      </c>
    </row>
    <row r="24" spans="1:3" x14ac:dyDescent="0.15">
      <c r="A24" s="1" t="s">
        <v>243</v>
      </c>
      <c r="B24" s="2" t="s">
        <v>123</v>
      </c>
      <c r="C24">
        <v>27</v>
      </c>
    </row>
    <row r="25" spans="1:3" x14ac:dyDescent="0.15">
      <c r="A25" s="1" t="s">
        <v>330</v>
      </c>
      <c r="B25" s="2" t="s">
        <v>124</v>
      </c>
      <c r="C25">
        <v>28</v>
      </c>
    </row>
    <row r="26" spans="1:3" x14ac:dyDescent="0.15">
      <c r="A26" s="1" t="s">
        <v>217</v>
      </c>
      <c r="B26" s="2" t="s">
        <v>125</v>
      </c>
      <c r="C26">
        <v>29</v>
      </c>
    </row>
    <row r="27" spans="1:3" x14ac:dyDescent="0.15">
      <c r="A27" s="1" t="s">
        <v>215</v>
      </c>
      <c r="B27" s="2" t="s">
        <v>127</v>
      </c>
      <c r="C27">
        <v>30</v>
      </c>
    </row>
    <row r="28" spans="1:3" x14ac:dyDescent="0.15">
      <c r="A28" s="1" t="s">
        <v>214</v>
      </c>
      <c r="B28" s="3" t="s">
        <v>128</v>
      </c>
      <c r="C28">
        <v>31</v>
      </c>
    </row>
    <row r="29" spans="1:3" x14ac:dyDescent="0.15">
      <c r="A29" s="1" t="s">
        <v>336</v>
      </c>
      <c r="B29" s="3" t="s">
        <v>129</v>
      </c>
      <c r="C29">
        <v>32</v>
      </c>
    </row>
    <row r="30" spans="1:3" x14ac:dyDescent="0.15">
      <c r="A30" s="1" t="s">
        <v>338</v>
      </c>
      <c r="B30" s="3" t="s">
        <v>130</v>
      </c>
      <c r="C30">
        <v>33</v>
      </c>
    </row>
    <row r="31" spans="1:3" x14ac:dyDescent="0.15">
      <c r="A31" s="2"/>
      <c r="B31" s="2" t="s">
        <v>131</v>
      </c>
      <c r="C31">
        <v>34</v>
      </c>
    </row>
    <row r="32" spans="1:3" x14ac:dyDescent="0.15">
      <c r="A32" s="2"/>
      <c r="B32" s="2" t="s">
        <v>132</v>
      </c>
      <c r="C32">
        <v>35</v>
      </c>
    </row>
    <row r="33" spans="1:3" x14ac:dyDescent="0.15">
      <c r="A33" s="2"/>
      <c r="B33" s="2" t="s">
        <v>133</v>
      </c>
      <c r="C33">
        <v>36</v>
      </c>
    </row>
    <row r="34" spans="1:3" x14ac:dyDescent="0.15">
      <c r="A34" s="2"/>
      <c r="B34" s="2" t="s">
        <v>134</v>
      </c>
      <c r="C34">
        <v>37</v>
      </c>
    </row>
    <row r="35" spans="1:3" x14ac:dyDescent="0.15">
      <c r="A35" s="2"/>
      <c r="B35" s="2" t="s">
        <v>136</v>
      </c>
      <c r="C35">
        <v>38</v>
      </c>
    </row>
    <row r="36" spans="1:3" x14ac:dyDescent="0.15">
      <c r="A36" s="2"/>
      <c r="B36" s="2" t="s">
        <v>137</v>
      </c>
      <c r="C36">
        <v>39</v>
      </c>
    </row>
    <row r="37" spans="1:3" x14ac:dyDescent="0.15">
      <c r="A37" s="2"/>
      <c r="B37" s="2" t="s">
        <v>138</v>
      </c>
      <c r="C37">
        <v>40</v>
      </c>
    </row>
    <row r="38" spans="1:3" x14ac:dyDescent="0.15">
      <c r="A38" s="2"/>
      <c r="B38" s="3" t="s">
        <v>139</v>
      </c>
      <c r="C38">
        <v>41</v>
      </c>
    </row>
    <row r="39" spans="1:3" x14ac:dyDescent="0.15">
      <c r="A39" s="2"/>
      <c r="B39" s="2" t="s">
        <v>141</v>
      </c>
      <c r="C39">
        <v>42</v>
      </c>
    </row>
    <row r="40" spans="1:3" x14ac:dyDescent="0.15">
      <c r="A40" s="2"/>
      <c r="B40" s="2" t="s">
        <v>142</v>
      </c>
      <c r="C40">
        <v>43</v>
      </c>
    </row>
    <row r="41" spans="1:3" x14ac:dyDescent="0.15">
      <c r="A41" s="2"/>
      <c r="B41" s="2" t="s">
        <v>143</v>
      </c>
      <c r="C41">
        <v>44</v>
      </c>
    </row>
    <row r="42" spans="1:3" x14ac:dyDescent="0.15">
      <c r="A42" s="2"/>
      <c r="B42" s="4" t="s">
        <v>144</v>
      </c>
      <c r="C42">
        <v>45</v>
      </c>
    </row>
    <row r="43" spans="1:3" x14ac:dyDescent="0.15">
      <c r="A43" s="2"/>
      <c r="B43" s="3" t="s">
        <v>145</v>
      </c>
      <c r="C43">
        <v>46</v>
      </c>
    </row>
    <row r="44" spans="1:3" x14ac:dyDescent="0.15">
      <c r="A44" s="2"/>
      <c r="B44" s="2" t="s">
        <v>146</v>
      </c>
      <c r="C44">
        <v>47</v>
      </c>
    </row>
    <row r="45" spans="1:3" x14ac:dyDescent="0.15">
      <c r="B45" s="2" t="s">
        <v>147</v>
      </c>
      <c r="C45">
        <v>48</v>
      </c>
    </row>
    <row r="46" spans="1:3" x14ac:dyDescent="0.15">
      <c r="B46" s="2" t="s">
        <v>148</v>
      </c>
      <c r="C46">
        <v>49</v>
      </c>
    </row>
    <row r="47" spans="1:3" x14ac:dyDescent="0.15">
      <c r="B47" s="2" t="s">
        <v>149</v>
      </c>
      <c r="C47">
        <v>50</v>
      </c>
    </row>
    <row r="48" spans="1:3" x14ac:dyDescent="0.15">
      <c r="B48" s="3" t="s">
        <v>150</v>
      </c>
      <c r="C48">
        <v>51</v>
      </c>
    </row>
    <row r="49" spans="2:3" x14ac:dyDescent="0.15">
      <c r="B49" s="2" t="s">
        <v>151</v>
      </c>
      <c r="C49">
        <v>52</v>
      </c>
    </row>
    <row r="50" spans="2:3" x14ac:dyDescent="0.15">
      <c r="B50" s="2" t="s">
        <v>152</v>
      </c>
      <c r="C50">
        <v>53</v>
      </c>
    </row>
    <row r="51" spans="2:3" x14ac:dyDescent="0.15">
      <c r="B51" s="3" t="s">
        <v>154</v>
      </c>
      <c r="C51">
        <v>54</v>
      </c>
    </row>
    <row r="52" spans="2:3" x14ac:dyDescent="0.15">
      <c r="B52" s="2" t="s">
        <v>155</v>
      </c>
      <c r="C52">
        <v>55</v>
      </c>
    </row>
    <row r="53" spans="2:3" x14ac:dyDescent="0.15">
      <c r="B53" s="2" t="s">
        <v>157</v>
      </c>
      <c r="C53">
        <v>56</v>
      </c>
    </row>
    <row r="54" spans="2:3" x14ac:dyDescent="0.15">
      <c r="B54" s="2" t="s">
        <v>158</v>
      </c>
      <c r="C54">
        <v>57</v>
      </c>
    </row>
    <row r="55" spans="2:3" x14ac:dyDescent="0.15">
      <c r="B55" s="3" t="s">
        <v>159</v>
      </c>
      <c r="C55">
        <v>58</v>
      </c>
    </row>
    <row r="56" spans="2:3" x14ac:dyDescent="0.15">
      <c r="B56" s="3" t="s">
        <v>160</v>
      </c>
      <c r="C56">
        <v>59</v>
      </c>
    </row>
    <row r="57" spans="2:3" x14ac:dyDescent="0.15">
      <c r="B57" s="2" t="s">
        <v>161</v>
      </c>
      <c r="C57">
        <v>60</v>
      </c>
    </row>
    <row r="58" spans="2:3" x14ac:dyDescent="0.15">
      <c r="B58" s="2" t="s">
        <v>162</v>
      </c>
      <c r="C58">
        <v>61</v>
      </c>
    </row>
    <row r="59" spans="2:3" x14ac:dyDescent="0.15">
      <c r="B59" s="2" t="s">
        <v>163</v>
      </c>
      <c r="C59">
        <v>62</v>
      </c>
    </row>
    <row r="60" spans="2:3" x14ac:dyDescent="0.15">
      <c r="B60" s="2" t="s">
        <v>164</v>
      </c>
      <c r="C60">
        <v>63</v>
      </c>
    </row>
    <row r="61" spans="2:3" x14ac:dyDescent="0.15">
      <c r="B61" s="2" t="s">
        <v>165</v>
      </c>
      <c r="C61">
        <v>64</v>
      </c>
    </row>
    <row r="62" spans="2:3" x14ac:dyDescent="0.15">
      <c r="B62" s="2" t="s">
        <v>166</v>
      </c>
      <c r="C62">
        <v>65</v>
      </c>
    </row>
    <row r="63" spans="2:3" x14ac:dyDescent="0.15">
      <c r="B63" s="2" t="s">
        <v>167</v>
      </c>
      <c r="C63">
        <v>66</v>
      </c>
    </row>
    <row r="64" spans="2:3" x14ac:dyDescent="0.15">
      <c r="B64" s="2" t="s">
        <v>168</v>
      </c>
      <c r="C64">
        <v>67</v>
      </c>
    </row>
    <row r="65" spans="2:3" x14ac:dyDescent="0.15">
      <c r="B65" s="4" t="s">
        <v>169</v>
      </c>
      <c r="C65">
        <v>68</v>
      </c>
    </row>
    <row r="66" spans="2:3" x14ac:dyDescent="0.15">
      <c r="B66" s="4" t="s">
        <v>170</v>
      </c>
      <c r="C66">
        <v>69</v>
      </c>
    </row>
    <row r="67" spans="2:3" x14ac:dyDescent="0.15">
      <c r="B67" s="2" t="s">
        <v>171</v>
      </c>
      <c r="C67">
        <v>70</v>
      </c>
    </row>
    <row r="68" spans="2:3" x14ac:dyDescent="0.15">
      <c r="B68" s="2" t="s">
        <v>172</v>
      </c>
      <c r="C68">
        <v>71</v>
      </c>
    </row>
    <row r="69" spans="2:3" x14ac:dyDescent="0.15">
      <c r="B69" s="2" t="s">
        <v>173</v>
      </c>
      <c r="C69">
        <v>72</v>
      </c>
    </row>
    <row r="70" spans="2:3" x14ac:dyDescent="0.15">
      <c r="B70" s="2" t="s">
        <v>174</v>
      </c>
      <c r="C70">
        <v>73</v>
      </c>
    </row>
    <row r="71" spans="2:3" x14ac:dyDescent="0.15">
      <c r="B71" s="2" t="s">
        <v>175</v>
      </c>
      <c r="C71">
        <v>74</v>
      </c>
    </row>
    <row r="72" spans="2:3" x14ac:dyDescent="0.15">
      <c r="B72" s="3" t="s">
        <v>176</v>
      </c>
      <c r="C72">
        <v>75</v>
      </c>
    </row>
    <row r="73" spans="2:3" x14ac:dyDescent="0.15">
      <c r="B73" s="2" t="s">
        <v>177</v>
      </c>
      <c r="C73">
        <v>76</v>
      </c>
    </row>
    <row r="74" spans="2:3" x14ac:dyDescent="0.15">
      <c r="B74" s="2" t="s">
        <v>178</v>
      </c>
      <c r="C74">
        <v>77</v>
      </c>
    </row>
    <row r="75" spans="2:3" x14ac:dyDescent="0.15">
      <c r="B75" s="4" t="s">
        <v>179</v>
      </c>
      <c r="C75">
        <v>78</v>
      </c>
    </row>
    <row r="76" spans="2:3" x14ac:dyDescent="0.15">
      <c r="B76" s="4" t="s">
        <v>180</v>
      </c>
      <c r="C76">
        <v>79</v>
      </c>
    </row>
    <row r="77" spans="2:3" x14ac:dyDescent="0.15">
      <c r="B77" s="3" t="s">
        <v>181</v>
      </c>
      <c r="C77">
        <v>80</v>
      </c>
    </row>
    <row r="78" spans="2:3" x14ac:dyDescent="0.15">
      <c r="B78" s="2" t="s">
        <v>182</v>
      </c>
      <c r="C78">
        <v>81</v>
      </c>
    </row>
    <row r="79" spans="2:3" x14ac:dyDescent="0.15">
      <c r="B79" s="2" t="s">
        <v>183</v>
      </c>
      <c r="C79">
        <v>82</v>
      </c>
    </row>
    <row r="80" spans="2:3" x14ac:dyDescent="0.15">
      <c r="B80" s="2" t="s">
        <v>184</v>
      </c>
      <c r="C80">
        <v>83</v>
      </c>
    </row>
    <row r="81" spans="2:3" x14ac:dyDescent="0.15">
      <c r="B81" s="3" t="s">
        <v>185</v>
      </c>
      <c r="C81">
        <v>84</v>
      </c>
    </row>
    <row r="82" spans="2:3" x14ac:dyDescent="0.15">
      <c r="B82" s="4" t="s">
        <v>186</v>
      </c>
      <c r="C82">
        <v>85</v>
      </c>
    </row>
    <row r="83" spans="2:3" x14ac:dyDescent="0.15">
      <c r="B83" s="2" t="s">
        <v>187</v>
      </c>
      <c r="C83">
        <v>86</v>
      </c>
    </row>
    <row r="84" spans="2:3" x14ac:dyDescent="0.15">
      <c r="B84" s="2" t="s">
        <v>189</v>
      </c>
      <c r="C84">
        <v>87</v>
      </c>
    </row>
    <row r="85" spans="2:3" x14ac:dyDescent="0.15">
      <c r="B85" s="2" t="s">
        <v>190</v>
      </c>
      <c r="C85">
        <v>88</v>
      </c>
    </row>
    <row r="86" spans="2:3" x14ac:dyDescent="0.15">
      <c r="B86" s="2" t="s">
        <v>191</v>
      </c>
      <c r="C86">
        <v>89</v>
      </c>
    </row>
    <row r="87" spans="2:3" x14ac:dyDescent="0.15">
      <c r="B87" s="2" t="s">
        <v>192</v>
      </c>
      <c r="C87">
        <v>90</v>
      </c>
    </row>
    <row r="88" spans="2:3" x14ac:dyDescent="0.15">
      <c r="B88" s="4" t="s">
        <v>193</v>
      </c>
      <c r="C88">
        <v>91</v>
      </c>
    </row>
    <row r="89" spans="2:3" x14ac:dyDescent="0.15">
      <c r="B89" s="4" t="s">
        <v>194</v>
      </c>
      <c r="C89">
        <v>92</v>
      </c>
    </row>
    <row r="90" spans="2:3" x14ac:dyDescent="0.15">
      <c r="B90" s="4" t="s">
        <v>195</v>
      </c>
      <c r="C90">
        <v>93</v>
      </c>
    </row>
    <row r="91" spans="2:3" x14ac:dyDescent="0.15">
      <c r="B91" s="2" t="s">
        <v>196</v>
      </c>
      <c r="C91">
        <v>94</v>
      </c>
    </row>
    <row r="92" spans="2:3" x14ac:dyDescent="0.15">
      <c r="B92" s="2" t="s">
        <v>197</v>
      </c>
      <c r="C92">
        <v>95</v>
      </c>
    </row>
    <row r="93" spans="2:3" x14ac:dyDescent="0.15">
      <c r="B93" s="2" t="s">
        <v>198</v>
      </c>
      <c r="C93">
        <v>96</v>
      </c>
    </row>
    <row r="94" spans="2:3" x14ac:dyDescent="0.15">
      <c r="B94" s="2" t="s">
        <v>199</v>
      </c>
      <c r="C94">
        <v>97</v>
      </c>
    </row>
    <row r="95" spans="2:3" x14ac:dyDescent="0.15">
      <c r="B95" s="2" t="s">
        <v>200</v>
      </c>
      <c r="C95">
        <v>98</v>
      </c>
    </row>
    <row r="96" spans="2:3" x14ac:dyDescent="0.15">
      <c r="B96" s="2" t="s">
        <v>201</v>
      </c>
      <c r="C96">
        <v>99</v>
      </c>
    </row>
    <row r="97" spans="2:3" x14ac:dyDescent="0.15">
      <c r="B97" s="2" t="s">
        <v>202</v>
      </c>
      <c r="C97">
        <v>100</v>
      </c>
    </row>
    <row r="98" spans="2:3" x14ac:dyDescent="0.15">
      <c r="B98" s="2" t="s">
        <v>203</v>
      </c>
      <c r="C98">
        <v>101</v>
      </c>
    </row>
    <row r="99" spans="2:3" x14ac:dyDescent="0.15">
      <c r="B99" s="2" t="s">
        <v>204</v>
      </c>
      <c r="C99">
        <v>102</v>
      </c>
    </row>
    <row r="100" spans="2:3" x14ac:dyDescent="0.15">
      <c r="B100" s="2" t="s">
        <v>205</v>
      </c>
      <c r="C100">
        <v>103</v>
      </c>
    </row>
    <row r="101" spans="2:3" x14ac:dyDescent="0.15">
      <c r="B101" s="2" t="s">
        <v>206</v>
      </c>
      <c r="C101">
        <v>104</v>
      </c>
    </row>
    <row r="102" spans="2:3" x14ac:dyDescent="0.15">
      <c r="B102" s="3" t="s">
        <v>207</v>
      </c>
      <c r="C102">
        <v>105</v>
      </c>
    </row>
    <row r="103" spans="2:3" x14ac:dyDescent="0.15">
      <c r="B103" s="2" t="s">
        <v>208</v>
      </c>
      <c r="C103">
        <v>106</v>
      </c>
    </row>
    <row r="104" spans="2:3" x14ac:dyDescent="0.15">
      <c r="B104" s="2" t="s">
        <v>209</v>
      </c>
      <c r="C104">
        <v>107</v>
      </c>
    </row>
    <row r="105" spans="2:3" x14ac:dyDescent="0.15">
      <c r="B105" s="2" t="s">
        <v>210</v>
      </c>
      <c r="C105">
        <v>108</v>
      </c>
    </row>
    <row r="106" spans="2:3" x14ac:dyDescent="0.15">
      <c r="B106" s="3" t="s">
        <v>211</v>
      </c>
      <c r="C106">
        <v>109</v>
      </c>
    </row>
    <row r="107" spans="2:3" x14ac:dyDescent="0.15">
      <c r="B107" s="2" t="s">
        <v>212</v>
      </c>
      <c r="C107">
        <v>110</v>
      </c>
    </row>
    <row r="108" spans="2:3" x14ac:dyDescent="0.15">
      <c r="B108" s="2" t="s">
        <v>213</v>
      </c>
      <c r="C108">
        <v>111</v>
      </c>
    </row>
    <row r="109" spans="2:3" x14ac:dyDescent="0.15">
      <c r="B109" s="4" t="s">
        <v>214</v>
      </c>
      <c r="C109">
        <v>112</v>
      </c>
    </row>
    <row r="110" spans="2:3" x14ac:dyDescent="0.15">
      <c r="B110" s="4" t="s">
        <v>215</v>
      </c>
      <c r="C110">
        <v>113</v>
      </c>
    </row>
    <row r="111" spans="2:3" x14ac:dyDescent="0.15">
      <c r="B111" s="3" t="s">
        <v>216</v>
      </c>
      <c r="C111">
        <v>114</v>
      </c>
    </row>
    <row r="112" spans="2:3" x14ac:dyDescent="0.15">
      <c r="B112" s="4" t="s">
        <v>217</v>
      </c>
      <c r="C112">
        <v>115</v>
      </c>
    </row>
    <row r="113" spans="2:3" x14ac:dyDescent="0.15">
      <c r="B113" s="2" t="s">
        <v>218</v>
      </c>
      <c r="C113">
        <v>116</v>
      </c>
    </row>
    <row r="114" spans="2:3" x14ac:dyDescent="0.15">
      <c r="B114" s="2" t="s">
        <v>219</v>
      </c>
      <c r="C114">
        <v>117</v>
      </c>
    </row>
    <row r="115" spans="2:3" x14ac:dyDescent="0.15">
      <c r="B115" s="2" t="s">
        <v>220</v>
      </c>
      <c r="C115">
        <v>118</v>
      </c>
    </row>
    <row r="116" spans="2:3" x14ac:dyDescent="0.15">
      <c r="B116" s="2" t="s">
        <v>222</v>
      </c>
      <c r="C116">
        <v>119</v>
      </c>
    </row>
    <row r="117" spans="2:3" x14ac:dyDescent="0.15">
      <c r="B117" s="2" t="s">
        <v>223</v>
      </c>
      <c r="C117">
        <v>120</v>
      </c>
    </row>
    <row r="118" spans="2:3" x14ac:dyDescent="0.15">
      <c r="B118" s="2" t="s">
        <v>224</v>
      </c>
      <c r="C118">
        <v>121</v>
      </c>
    </row>
    <row r="119" spans="2:3" x14ac:dyDescent="0.15">
      <c r="B119" s="3" t="s">
        <v>225</v>
      </c>
      <c r="C119">
        <v>122</v>
      </c>
    </row>
    <row r="120" spans="2:3" x14ac:dyDescent="0.15">
      <c r="B120" s="2" t="s">
        <v>226</v>
      </c>
      <c r="C120">
        <v>123</v>
      </c>
    </row>
    <row r="121" spans="2:3" x14ac:dyDescent="0.15">
      <c r="B121" s="2" t="s">
        <v>227</v>
      </c>
      <c r="C121">
        <v>124</v>
      </c>
    </row>
    <row r="122" spans="2:3" x14ac:dyDescent="0.15">
      <c r="B122" s="2" t="s">
        <v>228</v>
      </c>
      <c r="C122">
        <v>125</v>
      </c>
    </row>
    <row r="123" spans="2:3" x14ac:dyDescent="0.15">
      <c r="B123" s="2" t="s">
        <v>229</v>
      </c>
      <c r="C123">
        <v>126</v>
      </c>
    </row>
    <row r="124" spans="2:3" x14ac:dyDescent="0.15">
      <c r="B124" s="3" t="s">
        <v>230</v>
      </c>
      <c r="C124">
        <v>127</v>
      </c>
    </row>
    <row r="125" spans="2:3" x14ac:dyDescent="0.15">
      <c r="B125" s="2" t="s">
        <v>231</v>
      </c>
      <c r="C125">
        <v>128</v>
      </c>
    </row>
    <row r="126" spans="2:3" x14ac:dyDescent="0.15">
      <c r="B126" s="2" t="s">
        <v>232</v>
      </c>
      <c r="C126">
        <v>129</v>
      </c>
    </row>
    <row r="127" spans="2:3" x14ac:dyDescent="0.15">
      <c r="B127" s="3" t="s">
        <v>234</v>
      </c>
      <c r="C127">
        <v>130</v>
      </c>
    </row>
    <row r="128" spans="2:3" x14ac:dyDescent="0.15">
      <c r="B128" s="2" t="s">
        <v>236</v>
      </c>
      <c r="C128">
        <v>131</v>
      </c>
    </row>
    <row r="129" spans="2:3" x14ac:dyDescent="0.15">
      <c r="B129" s="2" t="s">
        <v>237</v>
      </c>
      <c r="C129">
        <v>132</v>
      </c>
    </row>
    <row r="130" spans="2:3" x14ac:dyDescent="0.15">
      <c r="B130" s="2" t="s">
        <v>238</v>
      </c>
      <c r="C130">
        <v>133</v>
      </c>
    </row>
    <row r="131" spans="2:3" x14ac:dyDescent="0.15">
      <c r="B131" s="2" t="s">
        <v>239</v>
      </c>
      <c r="C131">
        <v>134</v>
      </c>
    </row>
    <row r="132" spans="2:3" x14ac:dyDescent="0.15">
      <c r="B132" s="2" t="s">
        <v>240</v>
      </c>
      <c r="C132">
        <v>135</v>
      </c>
    </row>
    <row r="133" spans="2:3" x14ac:dyDescent="0.15">
      <c r="B133" s="2" t="s">
        <v>241</v>
      </c>
      <c r="C133">
        <v>136</v>
      </c>
    </row>
    <row r="134" spans="2:3" x14ac:dyDescent="0.15">
      <c r="B134" s="2" t="s">
        <v>242</v>
      </c>
      <c r="C134">
        <v>137</v>
      </c>
    </row>
    <row r="135" spans="2:3" x14ac:dyDescent="0.15">
      <c r="B135" s="4" t="s">
        <v>243</v>
      </c>
      <c r="C135">
        <v>138</v>
      </c>
    </row>
    <row r="136" spans="2:3" x14ac:dyDescent="0.15">
      <c r="B136" s="3" t="s">
        <v>244</v>
      </c>
      <c r="C136">
        <v>139</v>
      </c>
    </row>
    <row r="137" spans="2:3" x14ac:dyDescent="0.15">
      <c r="B137" s="2" t="s">
        <v>245</v>
      </c>
      <c r="C137">
        <v>140</v>
      </c>
    </row>
    <row r="138" spans="2:3" x14ac:dyDescent="0.15">
      <c r="B138" s="2" t="s">
        <v>246</v>
      </c>
      <c r="C138">
        <v>141</v>
      </c>
    </row>
    <row r="139" spans="2:3" x14ac:dyDescent="0.15">
      <c r="B139" s="2" t="s">
        <v>247</v>
      </c>
      <c r="C139">
        <v>142</v>
      </c>
    </row>
    <row r="140" spans="2:3" x14ac:dyDescent="0.15">
      <c r="B140" s="2" t="s">
        <v>248</v>
      </c>
      <c r="C140">
        <v>143</v>
      </c>
    </row>
    <row r="141" spans="2:3" x14ac:dyDescent="0.15">
      <c r="B141" s="3" t="s">
        <v>249</v>
      </c>
      <c r="C141">
        <v>144</v>
      </c>
    </row>
    <row r="142" spans="2:3" x14ac:dyDescent="0.15">
      <c r="B142" s="2" t="s">
        <v>251</v>
      </c>
      <c r="C142">
        <v>145</v>
      </c>
    </row>
    <row r="143" spans="2:3" x14ac:dyDescent="0.15">
      <c r="B143" s="4" t="s">
        <v>252</v>
      </c>
      <c r="C143">
        <v>146</v>
      </c>
    </row>
    <row r="144" spans="2:3" x14ac:dyDescent="0.15">
      <c r="B144" s="2" t="s">
        <v>253</v>
      </c>
      <c r="C144">
        <v>147</v>
      </c>
    </row>
    <row r="145" spans="2:3" x14ac:dyDescent="0.15">
      <c r="B145" s="2" t="s">
        <v>254</v>
      </c>
      <c r="C145">
        <v>148</v>
      </c>
    </row>
    <row r="146" spans="2:3" x14ac:dyDescent="0.15">
      <c r="B146" s="2" t="s">
        <v>255</v>
      </c>
      <c r="C146">
        <v>149</v>
      </c>
    </row>
    <row r="147" spans="2:3" x14ac:dyDescent="0.15">
      <c r="B147" s="2" t="s">
        <v>256</v>
      </c>
      <c r="C147">
        <v>150</v>
      </c>
    </row>
    <row r="148" spans="2:3" x14ac:dyDescent="0.15">
      <c r="B148" s="2" t="s">
        <v>257</v>
      </c>
      <c r="C148">
        <v>151</v>
      </c>
    </row>
    <row r="149" spans="2:3" x14ac:dyDescent="0.15">
      <c r="B149" s="2" t="s">
        <v>258</v>
      </c>
      <c r="C149">
        <v>152</v>
      </c>
    </row>
    <row r="150" spans="2:3" x14ac:dyDescent="0.15">
      <c r="B150" s="3" t="s">
        <v>260</v>
      </c>
      <c r="C150">
        <v>153</v>
      </c>
    </row>
    <row r="151" spans="2:3" x14ac:dyDescent="0.15">
      <c r="B151" s="2" t="s">
        <v>261</v>
      </c>
      <c r="C151">
        <v>154</v>
      </c>
    </row>
    <row r="152" spans="2:3" x14ac:dyDescent="0.15">
      <c r="B152" s="2" t="s">
        <v>262</v>
      </c>
      <c r="C152">
        <v>155</v>
      </c>
    </row>
    <row r="153" spans="2:3" x14ac:dyDescent="0.15">
      <c r="B153" s="2" t="s">
        <v>263</v>
      </c>
      <c r="C153">
        <v>156</v>
      </c>
    </row>
    <row r="154" spans="2:3" x14ac:dyDescent="0.15">
      <c r="B154" s="2" t="s">
        <v>264</v>
      </c>
      <c r="C154">
        <v>157</v>
      </c>
    </row>
    <row r="155" spans="2:3" x14ac:dyDescent="0.15">
      <c r="B155" s="2" t="s">
        <v>265</v>
      </c>
      <c r="C155">
        <v>158</v>
      </c>
    </row>
    <row r="156" spans="2:3" x14ac:dyDescent="0.15">
      <c r="B156" s="2" t="s">
        <v>266</v>
      </c>
      <c r="C156">
        <v>159</v>
      </c>
    </row>
    <row r="157" spans="2:3" x14ac:dyDescent="0.15">
      <c r="B157" s="2" t="s">
        <v>267</v>
      </c>
      <c r="C157">
        <v>160</v>
      </c>
    </row>
    <row r="158" spans="2:3" x14ac:dyDescent="0.15">
      <c r="B158" s="2" t="s">
        <v>268</v>
      </c>
      <c r="C158">
        <v>161</v>
      </c>
    </row>
    <row r="159" spans="2:3" x14ac:dyDescent="0.15">
      <c r="B159" s="2" t="s">
        <v>269</v>
      </c>
      <c r="C159">
        <v>162</v>
      </c>
    </row>
    <row r="160" spans="2:3" x14ac:dyDescent="0.15">
      <c r="B160" s="2" t="s">
        <v>270</v>
      </c>
      <c r="C160">
        <v>163</v>
      </c>
    </row>
    <row r="161" spans="2:3" x14ac:dyDescent="0.15">
      <c r="B161" s="2" t="s">
        <v>271</v>
      </c>
      <c r="C161">
        <v>164</v>
      </c>
    </row>
    <row r="162" spans="2:3" x14ac:dyDescent="0.15">
      <c r="B162" s="2" t="s">
        <v>272</v>
      </c>
      <c r="C162">
        <v>165</v>
      </c>
    </row>
    <row r="163" spans="2:3" x14ac:dyDescent="0.15">
      <c r="B163" s="2" t="s">
        <v>273</v>
      </c>
      <c r="C163">
        <v>166</v>
      </c>
    </row>
    <row r="164" spans="2:3" x14ac:dyDescent="0.15">
      <c r="B164" s="2" t="s">
        <v>274</v>
      </c>
      <c r="C164">
        <v>167</v>
      </c>
    </row>
    <row r="165" spans="2:3" x14ac:dyDescent="0.15">
      <c r="B165" s="2" t="s">
        <v>275</v>
      </c>
      <c r="C165">
        <v>168</v>
      </c>
    </row>
    <row r="166" spans="2:3" x14ac:dyDescent="0.15">
      <c r="B166" s="2" t="s">
        <v>276</v>
      </c>
      <c r="C166">
        <v>169</v>
      </c>
    </row>
    <row r="167" spans="2:3" x14ac:dyDescent="0.15">
      <c r="B167" s="2" t="s">
        <v>277</v>
      </c>
      <c r="C167">
        <v>170</v>
      </c>
    </row>
    <row r="168" spans="2:3" x14ac:dyDescent="0.15">
      <c r="B168" s="2" t="s">
        <v>278</v>
      </c>
      <c r="C168">
        <v>171</v>
      </c>
    </row>
    <row r="169" spans="2:3" x14ac:dyDescent="0.15">
      <c r="B169" s="3" t="s">
        <v>279</v>
      </c>
      <c r="C169">
        <v>172</v>
      </c>
    </row>
    <row r="170" spans="2:3" x14ac:dyDescent="0.15">
      <c r="B170" s="4" t="s">
        <v>280</v>
      </c>
      <c r="C170">
        <v>173</v>
      </c>
    </row>
    <row r="171" spans="2:3" x14ac:dyDescent="0.15">
      <c r="B171" s="4" t="s">
        <v>281</v>
      </c>
      <c r="C171">
        <v>174</v>
      </c>
    </row>
    <row r="172" spans="2:3" x14ac:dyDescent="0.15">
      <c r="B172" s="4" t="s">
        <v>282</v>
      </c>
      <c r="C172">
        <v>175</v>
      </c>
    </row>
    <row r="173" spans="2:3" x14ac:dyDescent="0.15">
      <c r="B173" s="4" t="s">
        <v>283</v>
      </c>
      <c r="C173">
        <v>176</v>
      </c>
    </row>
    <row r="174" spans="2:3" x14ac:dyDescent="0.15">
      <c r="B174" s="3" t="s">
        <v>284</v>
      </c>
      <c r="C174">
        <v>177</v>
      </c>
    </row>
    <row r="175" spans="2:3" x14ac:dyDescent="0.15">
      <c r="B175" s="3" t="s">
        <v>285</v>
      </c>
      <c r="C175">
        <v>178</v>
      </c>
    </row>
    <row r="176" spans="2:3" x14ac:dyDescent="0.15">
      <c r="B176" s="4" t="s">
        <v>286</v>
      </c>
      <c r="C176">
        <v>179</v>
      </c>
    </row>
    <row r="177" spans="2:3" x14ac:dyDescent="0.15">
      <c r="B177" s="2" t="s">
        <v>287</v>
      </c>
      <c r="C177">
        <v>180</v>
      </c>
    </row>
    <row r="178" spans="2:3" x14ac:dyDescent="0.15">
      <c r="B178" s="2" t="s">
        <v>289</v>
      </c>
      <c r="C178">
        <v>181</v>
      </c>
    </row>
    <row r="179" spans="2:3" x14ac:dyDescent="0.15">
      <c r="B179" s="2" t="s">
        <v>290</v>
      </c>
      <c r="C179">
        <v>182</v>
      </c>
    </row>
    <row r="180" spans="2:3" x14ac:dyDescent="0.15">
      <c r="B180" s="4" t="s">
        <v>291</v>
      </c>
      <c r="C180">
        <v>183</v>
      </c>
    </row>
    <row r="181" spans="2:3" x14ac:dyDescent="0.15">
      <c r="B181" s="2" t="s">
        <v>292</v>
      </c>
      <c r="C181">
        <v>184</v>
      </c>
    </row>
    <row r="182" spans="2:3" x14ac:dyDescent="0.15">
      <c r="B182" s="4" t="s">
        <v>293</v>
      </c>
      <c r="C182">
        <v>185</v>
      </c>
    </row>
    <row r="183" spans="2:3" x14ac:dyDescent="0.15">
      <c r="B183" s="2" t="s">
        <v>294</v>
      </c>
      <c r="C183">
        <v>186</v>
      </c>
    </row>
    <row r="184" spans="2:3" x14ac:dyDescent="0.15">
      <c r="B184" s="2" t="s">
        <v>295</v>
      </c>
      <c r="C184">
        <v>187</v>
      </c>
    </row>
    <row r="185" spans="2:3" x14ac:dyDescent="0.15">
      <c r="B185" s="2" t="s">
        <v>296</v>
      </c>
      <c r="C185">
        <v>188</v>
      </c>
    </row>
    <row r="186" spans="2:3" x14ac:dyDescent="0.15">
      <c r="B186" s="2" t="s">
        <v>297</v>
      </c>
      <c r="C186">
        <v>189</v>
      </c>
    </row>
    <row r="187" spans="2:3" x14ac:dyDescent="0.15">
      <c r="B187" s="3" t="s">
        <v>298</v>
      </c>
      <c r="C187">
        <v>190</v>
      </c>
    </row>
    <row r="188" spans="2:3" x14ac:dyDescent="0.15">
      <c r="B188" s="2" t="s">
        <v>299</v>
      </c>
      <c r="C188">
        <v>191</v>
      </c>
    </row>
    <row r="189" spans="2:3" x14ac:dyDescent="0.15">
      <c r="B189" s="2" t="s">
        <v>300</v>
      </c>
      <c r="C189">
        <v>192</v>
      </c>
    </row>
    <row r="190" spans="2:3" x14ac:dyDescent="0.15">
      <c r="B190" s="2" t="s">
        <v>301</v>
      </c>
      <c r="C190">
        <v>193</v>
      </c>
    </row>
    <row r="191" spans="2:3" x14ac:dyDescent="0.15">
      <c r="B191" s="3" t="s">
        <v>302</v>
      </c>
      <c r="C191">
        <v>194</v>
      </c>
    </row>
    <row r="192" spans="2:3" x14ac:dyDescent="0.15">
      <c r="B192" s="2" t="s">
        <v>303</v>
      </c>
      <c r="C192">
        <v>195</v>
      </c>
    </row>
    <row r="193" spans="2:3" x14ac:dyDescent="0.15">
      <c r="B193" s="3" t="s">
        <v>304</v>
      </c>
      <c r="C193">
        <v>196</v>
      </c>
    </row>
    <row r="194" spans="2:3" x14ac:dyDescent="0.15">
      <c r="B194" s="2" t="s">
        <v>305</v>
      </c>
      <c r="C194">
        <v>197</v>
      </c>
    </row>
    <row r="195" spans="2:3" x14ac:dyDescent="0.15">
      <c r="B195" s="2" t="s">
        <v>306</v>
      </c>
      <c r="C195">
        <v>198</v>
      </c>
    </row>
    <row r="196" spans="2:3" x14ac:dyDescent="0.15">
      <c r="B196" s="2" t="s">
        <v>307</v>
      </c>
      <c r="C196">
        <v>199</v>
      </c>
    </row>
    <row r="197" spans="2:3" x14ac:dyDescent="0.15">
      <c r="B197" s="2" t="s">
        <v>308</v>
      </c>
      <c r="C197">
        <v>200</v>
      </c>
    </row>
    <row r="198" spans="2:3" x14ac:dyDescent="0.15">
      <c r="B198" s="2" t="s">
        <v>310</v>
      </c>
      <c r="C198">
        <v>201</v>
      </c>
    </row>
    <row r="199" spans="2:3" x14ac:dyDescent="0.15">
      <c r="B199" s="3" t="s">
        <v>311</v>
      </c>
      <c r="C199">
        <v>202</v>
      </c>
    </row>
    <row r="200" spans="2:3" x14ac:dyDescent="0.15">
      <c r="B200" s="4" t="s">
        <v>312</v>
      </c>
      <c r="C200">
        <v>203</v>
      </c>
    </row>
    <row r="201" spans="2:3" x14ac:dyDescent="0.15">
      <c r="B201" s="2" t="s">
        <v>313</v>
      </c>
      <c r="C201">
        <v>204</v>
      </c>
    </row>
    <row r="202" spans="2:3" x14ac:dyDescent="0.15">
      <c r="B202" s="3" t="s">
        <v>314</v>
      </c>
      <c r="C202">
        <v>205</v>
      </c>
    </row>
    <row r="203" spans="2:3" x14ac:dyDescent="0.15">
      <c r="B203" s="3" t="s">
        <v>315</v>
      </c>
      <c r="C203">
        <v>206</v>
      </c>
    </row>
    <row r="204" spans="2:3" x14ac:dyDescent="0.15">
      <c r="B204" s="2" t="s">
        <v>316</v>
      </c>
      <c r="C204">
        <v>207</v>
      </c>
    </row>
    <row r="205" spans="2:3" x14ac:dyDescent="0.15">
      <c r="B205" s="4" t="s">
        <v>317</v>
      </c>
      <c r="C205">
        <v>208</v>
      </c>
    </row>
    <row r="206" spans="2:3" x14ac:dyDescent="0.15">
      <c r="B206" s="2" t="s">
        <v>318</v>
      </c>
      <c r="C206">
        <v>209</v>
      </c>
    </row>
    <row r="207" spans="2:3" x14ac:dyDescent="0.15">
      <c r="B207" s="2" t="s">
        <v>319</v>
      </c>
      <c r="C207">
        <v>210</v>
      </c>
    </row>
    <row r="208" spans="2:3" x14ac:dyDescent="0.15">
      <c r="B208" s="3" t="s">
        <v>320</v>
      </c>
      <c r="C208">
        <v>211</v>
      </c>
    </row>
    <row r="209" spans="2:3" x14ac:dyDescent="0.15">
      <c r="B209" s="2" t="s">
        <v>321</v>
      </c>
      <c r="C209">
        <v>212</v>
      </c>
    </row>
    <row r="210" spans="2:3" x14ac:dyDescent="0.15">
      <c r="B210" s="4" t="s">
        <v>322</v>
      </c>
      <c r="C210">
        <v>213</v>
      </c>
    </row>
    <row r="211" spans="2:3" x14ac:dyDescent="0.15">
      <c r="B211" s="4" t="s">
        <v>323</v>
      </c>
      <c r="C211">
        <v>214</v>
      </c>
    </row>
    <row r="212" spans="2:3" x14ac:dyDescent="0.15">
      <c r="B212" s="3" t="s">
        <v>324</v>
      </c>
      <c r="C212">
        <v>215</v>
      </c>
    </row>
    <row r="213" spans="2:3" x14ac:dyDescent="0.15">
      <c r="B213" s="2" t="s">
        <v>326</v>
      </c>
      <c r="C213">
        <v>216</v>
      </c>
    </row>
    <row r="214" spans="2:3" x14ac:dyDescent="0.15">
      <c r="B214" s="2" t="s">
        <v>327</v>
      </c>
      <c r="C214">
        <v>217</v>
      </c>
    </row>
    <row r="215" spans="2:3" x14ac:dyDescent="0.15">
      <c r="B215" s="3" t="s">
        <v>328</v>
      </c>
      <c r="C215">
        <v>218</v>
      </c>
    </row>
    <row r="216" spans="2:3" x14ac:dyDescent="0.15">
      <c r="B216" s="3" t="s">
        <v>329</v>
      </c>
      <c r="C216">
        <v>219</v>
      </c>
    </row>
    <row r="217" spans="2:3" x14ac:dyDescent="0.15">
      <c r="B217" s="4" t="s">
        <v>330</v>
      </c>
      <c r="C217">
        <v>220</v>
      </c>
    </row>
    <row r="218" spans="2:3" x14ac:dyDescent="0.15">
      <c r="B218" s="2" t="s">
        <v>331</v>
      </c>
      <c r="C218">
        <v>221</v>
      </c>
    </row>
    <row r="219" spans="2:3" x14ac:dyDescent="0.15">
      <c r="B219" s="2" t="s">
        <v>332</v>
      </c>
      <c r="C219">
        <v>222</v>
      </c>
    </row>
    <row r="220" spans="2:3" x14ac:dyDescent="0.15">
      <c r="B220" s="2" t="s">
        <v>333</v>
      </c>
      <c r="C220">
        <v>223</v>
      </c>
    </row>
    <row r="221" spans="2:3" x14ac:dyDescent="0.15">
      <c r="B221" s="2" t="s">
        <v>334</v>
      </c>
      <c r="C221">
        <v>224</v>
      </c>
    </row>
    <row r="222" spans="2:3" x14ac:dyDescent="0.15">
      <c r="B222" s="2" t="s">
        <v>335</v>
      </c>
      <c r="C222">
        <v>225</v>
      </c>
    </row>
    <row r="223" spans="2:3" x14ac:dyDescent="0.15">
      <c r="B223" s="4" t="s">
        <v>336</v>
      </c>
      <c r="C223">
        <v>226</v>
      </c>
    </row>
    <row r="224" spans="2:3" x14ac:dyDescent="0.15">
      <c r="B224" s="2" t="s">
        <v>337</v>
      </c>
      <c r="C224">
        <v>227</v>
      </c>
    </row>
    <row r="225" spans="2:3" x14ac:dyDescent="0.15">
      <c r="B225" s="4" t="s">
        <v>338</v>
      </c>
      <c r="C225">
        <v>228</v>
      </c>
    </row>
    <row r="226" spans="2:3" x14ac:dyDescent="0.15">
      <c r="B226" s="2" t="s">
        <v>339</v>
      </c>
      <c r="C226">
        <v>229</v>
      </c>
    </row>
    <row r="227" spans="2:3" x14ac:dyDescent="0.15">
      <c r="B227" s="2" t="s">
        <v>340</v>
      </c>
      <c r="C227">
        <v>230</v>
      </c>
    </row>
    <row r="228" spans="2:3" x14ac:dyDescent="0.15">
      <c r="B228" s="2" t="s">
        <v>341</v>
      </c>
      <c r="C228">
        <v>231</v>
      </c>
    </row>
    <row r="229" spans="2:3" x14ac:dyDescent="0.15">
      <c r="B229" s="2" t="s">
        <v>343</v>
      </c>
      <c r="C229">
        <v>232</v>
      </c>
    </row>
    <row r="230" spans="2:3" x14ac:dyDescent="0.15">
      <c r="B230" s="2" t="s">
        <v>345</v>
      </c>
      <c r="C230">
        <v>233</v>
      </c>
    </row>
    <row r="231" spans="2:3" x14ac:dyDescent="0.15">
      <c r="B231" s="2" t="s">
        <v>346</v>
      </c>
      <c r="C231">
        <v>234</v>
      </c>
    </row>
    <row r="232" spans="2:3" x14ac:dyDescent="0.15">
      <c r="B232" s="2" t="s">
        <v>347</v>
      </c>
      <c r="C232">
        <v>235</v>
      </c>
    </row>
    <row r="233" spans="2:3" x14ac:dyDescent="0.15">
      <c r="B233" s="2" t="s">
        <v>349</v>
      </c>
      <c r="C233">
        <v>236</v>
      </c>
    </row>
    <row r="234" spans="2:3" x14ac:dyDescent="0.15">
      <c r="B234" s="2" t="s">
        <v>350</v>
      </c>
      <c r="C234">
        <v>237</v>
      </c>
    </row>
    <row r="235" spans="2:3" x14ac:dyDescent="0.15">
      <c r="B235" s="2" t="s">
        <v>351</v>
      </c>
      <c r="C235">
        <v>238</v>
      </c>
    </row>
    <row r="236" spans="2:3" x14ac:dyDescent="0.15">
      <c r="B236" s="2" t="s">
        <v>352</v>
      </c>
      <c r="C236">
        <v>239</v>
      </c>
    </row>
    <row r="237" spans="2:3" x14ac:dyDescent="0.15">
      <c r="B237" s="2" t="s">
        <v>354</v>
      </c>
      <c r="C237">
        <v>240</v>
      </c>
    </row>
    <row r="238" spans="2:3" x14ac:dyDescent="0.15">
      <c r="B238" s="2" t="s">
        <v>356</v>
      </c>
      <c r="C238">
        <v>241</v>
      </c>
    </row>
    <row r="239" spans="2:3" x14ac:dyDescent="0.15">
      <c r="B239" s="2" t="s">
        <v>357</v>
      </c>
      <c r="C239">
        <v>242</v>
      </c>
    </row>
    <row r="240" spans="2:3" x14ac:dyDescent="0.15">
      <c r="B240" s="2" t="s">
        <v>359</v>
      </c>
      <c r="C240">
        <v>243</v>
      </c>
    </row>
    <row r="241" spans="2:3" x14ac:dyDescent="0.15">
      <c r="B241" s="2" t="s">
        <v>361</v>
      </c>
      <c r="C241">
        <v>244</v>
      </c>
    </row>
    <row r="242" spans="2:3" x14ac:dyDescent="0.15">
      <c r="B242" s="2" t="s">
        <v>365</v>
      </c>
      <c r="C242">
        <v>245</v>
      </c>
    </row>
    <row r="243" spans="2:3" x14ac:dyDescent="0.15">
      <c r="B243" s="2" t="s">
        <v>367</v>
      </c>
      <c r="C243">
        <v>246</v>
      </c>
    </row>
    <row r="244" spans="2:3" x14ac:dyDescent="0.15">
      <c r="B244" s="2" t="s">
        <v>368</v>
      </c>
      <c r="C244">
        <v>247</v>
      </c>
    </row>
    <row r="245" spans="2:3" x14ac:dyDescent="0.15">
      <c r="B245" s="2" t="s">
        <v>370</v>
      </c>
      <c r="C245">
        <v>248</v>
      </c>
    </row>
    <row r="246" spans="2:3" x14ac:dyDescent="0.15">
      <c r="B246" s="3" t="s">
        <v>371</v>
      </c>
      <c r="C246">
        <v>249</v>
      </c>
    </row>
    <row r="247" spans="2:3" x14ac:dyDescent="0.15">
      <c r="B247" s="2" t="s">
        <v>373</v>
      </c>
      <c r="C247">
        <v>250</v>
      </c>
    </row>
    <row r="248" spans="2:3" x14ac:dyDescent="0.15">
      <c r="B248" s="2" t="s">
        <v>374</v>
      </c>
      <c r="C248">
        <v>251</v>
      </c>
    </row>
    <row r="249" spans="2:3" x14ac:dyDescent="0.15">
      <c r="B249" s="2" t="s">
        <v>376</v>
      </c>
      <c r="C249">
        <v>252</v>
      </c>
    </row>
    <row r="250" spans="2:3" x14ac:dyDescent="0.15">
      <c r="B250" s="3" t="s">
        <v>377</v>
      </c>
      <c r="C250">
        <v>253</v>
      </c>
    </row>
    <row r="251" spans="2:3" x14ac:dyDescent="0.15">
      <c r="B251" s="2" t="s">
        <v>378</v>
      </c>
      <c r="C251">
        <v>254</v>
      </c>
    </row>
    <row r="252" spans="2:3" x14ac:dyDescent="0.15">
      <c r="B252" s="2" t="s">
        <v>379</v>
      </c>
      <c r="C252">
        <v>255</v>
      </c>
    </row>
    <row r="253" spans="2:3" x14ac:dyDescent="0.15">
      <c r="B253" s="2" t="s">
        <v>380</v>
      </c>
      <c r="C253">
        <v>256</v>
      </c>
    </row>
    <row r="254" spans="2:3" x14ac:dyDescent="0.15">
      <c r="B254" s="2" t="s">
        <v>382</v>
      </c>
      <c r="C254">
        <v>257</v>
      </c>
    </row>
    <row r="255" spans="2:3" x14ac:dyDescent="0.15">
      <c r="B255" s="2" t="s">
        <v>384</v>
      </c>
      <c r="C255">
        <v>258</v>
      </c>
    </row>
    <row r="256" spans="2:3" x14ac:dyDescent="0.15">
      <c r="B256" s="2" t="s">
        <v>385</v>
      </c>
      <c r="C256">
        <v>259</v>
      </c>
    </row>
    <row r="257" spans="2:3" x14ac:dyDescent="0.15">
      <c r="B257" s="2" t="s">
        <v>387</v>
      </c>
      <c r="C257">
        <v>260</v>
      </c>
    </row>
    <row r="258" spans="2:3" x14ac:dyDescent="0.15">
      <c r="B258" s="2" t="s">
        <v>388</v>
      </c>
      <c r="C258">
        <v>261</v>
      </c>
    </row>
    <row r="259" spans="2:3" x14ac:dyDescent="0.15">
      <c r="B259" s="2" t="s">
        <v>389</v>
      </c>
      <c r="C259">
        <v>262</v>
      </c>
    </row>
    <row r="260" spans="2:3" x14ac:dyDescent="0.15">
      <c r="B260" s="2" t="s">
        <v>390</v>
      </c>
      <c r="C260">
        <v>263</v>
      </c>
    </row>
    <row r="261" spans="2:3" x14ac:dyDescent="0.15">
      <c r="B261" s="2" t="s">
        <v>391</v>
      </c>
      <c r="C261">
        <v>264</v>
      </c>
    </row>
    <row r="262" spans="2:3" x14ac:dyDescent="0.15">
      <c r="B262" s="2" t="s">
        <v>392</v>
      </c>
      <c r="C262">
        <v>265</v>
      </c>
    </row>
    <row r="263" spans="2:3" x14ac:dyDescent="0.15">
      <c r="B263" s="2" t="s">
        <v>393</v>
      </c>
      <c r="C263">
        <v>266</v>
      </c>
    </row>
    <row r="264" spans="2:3" x14ac:dyDescent="0.15">
      <c r="B264" s="2" t="s">
        <v>394</v>
      </c>
      <c r="C264">
        <v>267</v>
      </c>
    </row>
    <row r="265" spans="2:3" x14ac:dyDescent="0.15">
      <c r="B265" s="2" t="s">
        <v>395</v>
      </c>
      <c r="C265">
        <v>268</v>
      </c>
    </row>
    <row r="266" spans="2:3" x14ac:dyDescent="0.15">
      <c r="B266" s="2" t="s">
        <v>397</v>
      </c>
      <c r="C266">
        <v>269</v>
      </c>
    </row>
    <row r="267" spans="2:3" x14ac:dyDescent="0.15">
      <c r="B267" s="2" t="s">
        <v>398</v>
      </c>
      <c r="C267">
        <v>270</v>
      </c>
    </row>
    <row r="268" spans="2:3" x14ac:dyDescent="0.15">
      <c r="B268" s="3" t="s">
        <v>399</v>
      </c>
      <c r="C268">
        <v>271</v>
      </c>
    </row>
    <row r="269" spans="2:3" x14ac:dyDescent="0.15">
      <c r="B269" s="3" t="s">
        <v>399</v>
      </c>
      <c r="C269">
        <v>272</v>
      </c>
    </row>
    <row r="270" spans="2:3" x14ac:dyDescent="0.15">
      <c r="B270" s="2" t="s">
        <v>400</v>
      </c>
      <c r="C270">
        <v>273</v>
      </c>
    </row>
    <row r="271" spans="2:3" x14ac:dyDescent="0.15">
      <c r="B271" s="2" t="s">
        <v>401</v>
      </c>
      <c r="C271">
        <v>274</v>
      </c>
    </row>
    <row r="272" spans="2:3" x14ac:dyDescent="0.15">
      <c r="B272" s="2" t="s">
        <v>402</v>
      </c>
      <c r="C272">
        <v>275</v>
      </c>
    </row>
    <row r="273" spans="2:3" x14ac:dyDescent="0.15">
      <c r="B273" s="2" t="s">
        <v>403</v>
      </c>
      <c r="C273">
        <v>276</v>
      </c>
    </row>
    <row r="274" spans="2:3" x14ac:dyDescent="0.15">
      <c r="B274" s="2" t="s">
        <v>404</v>
      </c>
      <c r="C274">
        <v>277</v>
      </c>
    </row>
    <row r="275" spans="2:3" x14ac:dyDescent="0.15">
      <c r="B275" s="2" t="s">
        <v>405</v>
      </c>
      <c r="C275">
        <v>278</v>
      </c>
    </row>
    <row r="276" spans="2:3" x14ac:dyDescent="0.15">
      <c r="B276" s="2" t="s">
        <v>406</v>
      </c>
      <c r="C276">
        <v>279</v>
      </c>
    </row>
    <row r="277" spans="2:3" x14ac:dyDescent="0.15">
      <c r="B277" s="2" t="s">
        <v>407</v>
      </c>
      <c r="C277">
        <v>280</v>
      </c>
    </row>
    <row r="278" spans="2:3" x14ac:dyDescent="0.15">
      <c r="B278" s="2" t="s">
        <v>408</v>
      </c>
      <c r="C278">
        <v>281</v>
      </c>
    </row>
    <row r="279" spans="2:3" x14ac:dyDescent="0.15">
      <c r="B279" s="2" t="s">
        <v>409</v>
      </c>
      <c r="C279">
        <v>282</v>
      </c>
    </row>
    <row r="280" spans="2:3" x14ac:dyDescent="0.15">
      <c r="B280" s="2" t="s">
        <v>410</v>
      </c>
      <c r="C280">
        <v>283</v>
      </c>
    </row>
    <row r="281" spans="2:3" x14ac:dyDescent="0.15">
      <c r="B281" s="2" t="s">
        <v>411</v>
      </c>
      <c r="C281">
        <v>284</v>
      </c>
    </row>
    <row r="282" spans="2:3" x14ac:dyDescent="0.15">
      <c r="B282" s="2" t="s">
        <v>412</v>
      </c>
      <c r="C282">
        <v>285</v>
      </c>
    </row>
    <row r="283" spans="2:3" x14ac:dyDescent="0.15">
      <c r="B283" s="2" t="s">
        <v>413</v>
      </c>
      <c r="C283">
        <v>286</v>
      </c>
    </row>
    <row r="284" spans="2:3" x14ac:dyDescent="0.15">
      <c r="B284" s="2" t="s">
        <v>414</v>
      </c>
      <c r="C284">
        <v>287</v>
      </c>
    </row>
    <row r="285" spans="2:3" x14ac:dyDescent="0.15">
      <c r="B285" s="2" t="s">
        <v>415</v>
      </c>
      <c r="C285">
        <v>288</v>
      </c>
    </row>
    <row r="286" spans="2:3" x14ac:dyDescent="0.15">
      <c r="B286" s="2" t="s">
        <v>416</v>
      </c>
      <c r="C286">
        <v>289</v>
      </c>
    </row>
    <row r="287" spans="2:3" x14ac:dyDescent="0.15">
      <c r="B287" s="2" t="s">
        <v>417</v>
      </c>
      <c r="C287">
        <v>290</v>
      </c>
    </row>
    <row r="288" spans="2:3" x14ac:dyDescent="0.15">
      <c r="B288" s="2" t="s">
        <v>418</v>
      </c>
      <c r="C288">
        <v>291</v>
      </c>
    </row>
    <row r="289" spans="2:3" x14ac:dyDescent="0.15">
      <c r="B289" s="2" t="s">
        <v>419</v>
      </c>
      <c r="C289">
        <v>292</v>
      </c>
    </row>
    <row r="290" spans="2:3" x14ac:dyDescent="0.15">
      <c r="B290" s="2" t="s">
        <v>420</v>
      </c>
      <c r="C290">
        <v>293</v>
      </c>
    </row>
    <row r="291" spans="2:3" x14ac:dyDescent="0.15">
      <c r="B291" s="2" t="s">
        <v>421</v>
      </c>
      <c r="C291">
        <v>294</v>
      </c>
    </row>
    <row r="292" spans="2:3" x14ac:dyDescent="0.15">
      <c r="B292" s="2" t="s">
        <v>422</v>
      </c>
      <c r="C292">
        <v>295</v>
      </c>
    </row>
    <row r="293" spans="2:3" x14ac:dyDescent="0.15">
      <c r="B293" s="2" t="s">
        <v>423</v>
      </c>
      <c r="C293">
        <v>296</v>
      </c>
    </row>
    <row r="294" spans="2:3" x14ac:dyDescent="0.15">
      <c r="B294" s="2" t="s">
        <v>424</v>
      </c>
      <c r="C294">
        <v>297</v>
      </c>
    </row>
    <row r="295" spans="2:3" x14ac:dyDescent="0.15">
      <c r="B295" s="2" t="s">
        <v>425</v>
      </c>
      <c r="C295">
        <v>298</v>
      </c>
    </row>
    <row r="296" spans="2:3" x14ac:dyDescent="0.15">
      <c r="B296" s="2" t="s">
        <v>426</v>
      </c>
      <c r="C296">
        <v>299</v>
      </c>
    </row>
    <row r="297" spans="2:3" x14ac:dyDescent="0.15">
      <c r="B297" s="2" t="s">
        <v>427</v>
      </c>
      <c r="C297">
        <v>300</v>
      </c>
    </row>
    <row r="298" spans="2:3" x14ac:dyDescent="0.15">
      <c r="B298" s="2" t="s">
        <v>428</v>
      </c>
      <c r="C298">
        <v>301</v>
      </c>
    </row>
    <row r="299" spans="2:3" x14ac:dyDescent="0.15">
      <c r="B299" s="2" t="s">
        <v>429</v>
      </c>
      <c r="C299">
        <v>302</v>
      </c>
    </row>
    <row r="300" spans="2:3" x14ac:dyDescent="0.15">
      <c r="B300" s="2" t="s">
        <v>430</v>
      </c>
      <c r="C300">
        <v>303</v>
      </c>
    </row>
    <row r="301" spans="2:3" x14ac:dyDescent="0.15">
      <c r="B301" s="2" t="s">
        <v>431</v>
      </c>
      <c r="C301">
        <v>304</v>
      </c>
    </row>
    <row r="302" spans="2:3" x14ac:dyDescent="0.15">
      <c r="B302" s="2" t="s">
        <v>432</v>
      </c>
      <c r="C302">
        <v>305</v>
      </c>
    </row>
    <row r="303" spans="2:3" x14ac:dyDescent="0.15">
      <c r="B303" s="2" t="s">
        <v>433</v>
      </c>
      <c r="C303">
        <v>306</v>
      </c>
    </row>
    <row r="304" spans="2:3" x14ac:dyDescent="0.15">
      <c r="B304" s="2" t="s">
        <v>434</v>
      </c>
      <c r="C304">
        <v>307</v>
      </c>
    </row>
    <row r="305" spans="2:3" x14ac:dyDescent="0.15">
      <c r="B305" s="2" t="s">
        <v>435</v>
      </c>
      <c r="C305">
        <v>308</v>
      </c>
    </row>
    <row r="306" spans="2:3" x14ac:dyDescent="0.15">
      <c r="B306" s="2" t="s">
        <v>436</v>
      </c>
      <c r="C306">
        <v>309</v>
      </c>
    </row>
    <row r="307" spans="2:3" x14ac:dyDescent="0.15">
      <c r="B307" s="2" t="s">
        <v>437</v>
      </c>
      <c r="C307">
        <v>310</v>
      </c>
    </row>
    <row r="308" spans="2:3" x14ac:dyDescent="0.15">
      <c r="B308" s="2" t="s">
        <v>438</v>
      </c>
      <c r="C308">
        <v>311</v>
      </c>
    </row>
  </sheetData>
  <autoFilter ref="B1:B308" xr:uid="{00000000-0009-0000-0000-000006000000}"/>
  <phoneticPr fontId="4" type="noConversion"/>
  <conditionalFormatting sqref="A1:B1048576">
    <cfRule type="duplicateValues" dxfId="0" priority="1"/>
  </conditionalFormatting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64"/>
  <pixelatorList sheetStid="71"/>
  <pixelatorList sheetStid="65"/>
  <pixelatorList sheetStid="68"/>
  <pixelatorList sheetStid="70"/>
  <pixelatorList sheetStid="69"/>
  <pixelatorList sheetStid="72"/>
</pixelators>
</file>

<file path=customXml/item2.xml><?xml version="1.0" encoding="utf-8"?>
<woProps xmlns="https://web.wps.cn/et/2018/main" xmlns:s="http://schemas.openxmlformats.org/spreadsheetml/2006/main">
  <woSheetsProps>
    <woSheetProps sheetStid="64" interlineOnOff="0" interlineColor="0" isDbSheet="0" isDashBoardSheet="0" isDbDashBoardSheet="0" isFlexPaperSheet="0">
      <cellprotection/>
      <appEtDbRelations/>
    </woSheetProps>
    <woSheetProps sheetStid="71" interlineOnOff="0" interlineColor="0" isDbSheet="0" isDashBoardSheet="0" isDbDashBoardSheet="0" isFlexPaperSheet="0">
      <cellprotection/>
      <appEtDbRelations/>
    </woSheetProps>
    <woSheetProps sheetStid="65" interlineOnOff="0" interlineColor="0" isDbSheet="0" isDashBoardSheet="0" isDbDashBoardSheet="0" isFlexPaperSheet="0">
      <cellprotection/>
      <appEtDbRelations/>
    </woSheetProps>
    <woSheetProps sheetStid="68" interlineOnOff="0" interlineColor="0" isDbSheet="0" isDashBoardSheet="0" isDbDashBoardSheet="0" isFlexPaperSheet="0">
      <cellprotection/>
      <appEtDbRelations/>
    </woSheetProps>
    <woSheetProps sheetStid="70" interlineOnOff="0" interlineColor="0" isDbSheet="0" isDashBoardSheet="0" isDbDashBoardSheet="0" isFlexPaperSheet="0">
      <cellprotection/>
      <appEtDbRelations/>
    </woSheetProps>
    <woSheetProps sheetStid="69" interlineOnOff="0" interlineColor="0" isDbSheet="0" isDashBoardSheet="0" isDbDashBoardSheet="0" isFlexPaperSheet="0">
      <cellprotection/>
      <appEtDbRelations/>
    </woSheetProps>
  </woSheetsProps>
  <woBookProps>
    <bookSettings fileId="432918461942" isFilterShared="1" coreConquerUserId="" isAutoUpdatePaused="0" filterType="conn" isMergeTasksAutoUpdate="0" isInserPicAsAttachment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核算规则</vt:lpstr>
      <vt:lpstr>基础设置</vt:lpstr>
      <vt:lpstr>①7月-花名册</vt:lpstr>
      <vt:lpstr>7月运营</vt:lpstr>
      <vt:lpstr>②7月-汇总</vt:lpstr>
      <vt:lpstr>上月未发人员明细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k16921</cp:lastModifiedBy>
  <dcterms:created xsi:type="dcterms:W3CDTF">2022-04-30T17:20:00Z</dcterms:created>
  <dcterms:modified xsi:type="dcterms:W3CDTF">2025-08-14T04:04:38Z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6C63922AEBEB493CAF88AB0282540EA3_13</vt:lpwstr>
  </property>
  <property fmtid="{D5CDD505-2E9C-101B-9397-08002B2CF9AE}" pid="4" name="KSOReadingLayout">
    <vt:bool>true</vt:bool>
  </property>
</Properties>
</file>