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资核算 -7月 - 副本\"/>
    </mc:Choice>
  </mc:AlternateContent>
  <xr:revisionPtr revIDLastSave="0" documentId="13_ncr:1_{38001625-C6D1-4E3A-8B2E-F49BBE2256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期初设置" sheetId="1" r:id="rId1"/>
    <sheet name="个人业绩-B-a-②呈现-业绩明细表" sheetId="11" r:id="rId2"/>
    <sheet name="Sheet1" sheetId="10" r:id="rId3"/>
    <sheet name="⑥战队统计表-B-a-②呈现-业绩明细表④" sheetId="2" r:id="rId4"/>
    <sheet name="①门店信息-A-a-①-增加" sheetId="3" r:id="rId5"/>
    <sheet name="②提成标准-B-a-①-增加" sheetId="4" r:id="rId6"/>
    <sheet name="⑦扣除明细-B-a-12-奖励统计表③" sheetId="5" r:id="rId7"/>
    <sheet name="④考勤-B-a-26考勤汇总表" sheetId="6" r:id="rId8"/>
    <sheet name="⑤项目数-B-a-③消耗明细表" sheetId="7" r:id="rId9"/>
    <sheet name="③新店考核-B-a-②呈现-业绩明细表-③" sheetId="8" r:id="rId10"/>
    <sheet name="异常" sheetId="9" r:id="rId11"/>
  </sheets>
  <definedNames>
    <definedName name="_xlnm._FilterDatabase" localSheetId="7" hidden="1">'④考勤-B-a-26考勤汇总表'!$A$3:$AK$315</definedName>
    <definedName name="_xlnm._FilterDatabase" localSheetId="8" hidden="1">'⑤项目数-B-a-③消耗明细表'!$A$1:$F$213</definedName>
    <definedName name="_xlnm._FilterDatabase" localSheetId="6" hidden="1">'⑦扣除明细-B-a-12-奖励统计表③'!$A$1:$XCU$135</definedName>
    <definedName name="_xlnm._FilterDatabase" localSheetId="2" hidden="1">Sheet1!$A$4:$T$180</definedName>
    <definedName name="_xlnm._FilterDatabase" localSheetId="1" hidden="1">'个人业绩-B-a-②呈现-业绩明细表'!$A$5:$T$284</definedName>
    <definedName name="_xlnm._FilterDatabase" localSheetId="0" hidden="1">期初设置!$A$5:$AM$284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3" i="1" l="1"/>
  <c r="AI22" i="1"/>
  <c r="AI31" i="1"/>
  <c r="AI39" i="1"/>
  <c r="AI48" i="1"/>
  <c r="AI56" i="1"/>
  <c r="AI65" i="1"/>
  <c r="AI73" i="1"/>
  <c r="AI81" i="1"/>
  <c r="AI90" i="1"/>
  <c r="AI98" i="1"/>
  <c r="AI107" i="1"/>
  <c r="AI115" i="1"/>
  <c r="AI124" i="1"/>
  <c r="AI132" i="1"/>
  <c r="AI141" i="1"/>
  <c r="AI148" i="1"/>
  <c r="AI157" i="1"/>
  <c r="AI166" i="1"/>
  <c r="AI175" i="1"/>
  <c r="AI184" i="1"/>
  <c r="AI196" i="1"/>
  <c r="AI204" i="1"/>
  <c r="AI212" i="1"/>
  <c r="AI220" i="1"/>
  <c r="AI228" i="1"/>
  <c r="AI236" i="1"/>
  <c r="AI245" i="1"/>
  <c r="AI254" i="1"/>
  <c r="C24" i="4"/>
  <c r="C25" i="4"/>
  <c r="C26" i="4"/>
  <c r="C23" i="4"/>
  <c r="B24" i="4"/>
  <c r="B25" i="4"/>
  <c r="B26" i="4"/>
  <c r="B27" i="4"/>
  <c r="B23" i="4"/>
  <c r="AH13" i="1"/>
  <c r="AH22" i="1"/>
  <c r="AH31" i="1"/>
  <c r="AH39" i="1"/>
  <c r="AH48" i="1"/>
  <c r="AH56" i="1"/>
  <c r="AH65" i="1"/>
  <c r="AH73" i="1"/>
  <c r="AH81" i="1"/>
  <c r="AH90" i="1"/>
  <c r="AH98" i="1"/>
  <c r="AH107" i="1"/>
  <c r="AH115" i="1"/>
  <c r="AH124" i="1"/>
  <c r="AH132" i="1"/>
  <c r="AH141" i="1"/>
  <c r="AH148" i="1"/>
  <c r="AH157" i="1"/>
  <c r="AH166" i="1"/>
  <c r="AH175" i="1"/>
  <c r="AH184" i="1"/>
  <c r="AH196" i="1"/>
  <c r="AH204" i="1"/>
  <c r="AH212" i="1"/>
  <c r="AH220" i="1"/>
  <c r="AH228" i="1"/>
  <c r="AH236" i="1"/>
  <c r="AH245" i="1"/>
  <c r="AH254" i="1"/>
  <c r="T3" i="1" l="1"/>
  <c r="L2" i="5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K1" i="5" a="1"/>
  <c r="K1" i="5" s="1"/>
  <c r="H1" i="11"/>
  <c r="I1" i="11" s="1"/>
  <c r="Z7" i="1"/>
  <c r="Z8" i="1"/>
  <c r="Z9" i="1"/>
  <c r="Z10" i="1"/>
  <c r="Z11" i="1"/>
  <c r="Z12" i="1"/>
  <c r="Z14" i="1"/>
  <c r="Z15" i="1"/>
  <c r="Z16" i="1"/>
  <c r="Z17" i="1"/>
  <c r="Z18" i="1"/>
  <c r="Z19" i="1"/>
  <c r="Z20" i="1"/>
  <c r="Z21" i="1"/>
  <c r="Z23" i="1"/>
  <c r="Z24" i="1"/>
  <c r="Z25" i="1"/>
  <c r="Z26" i="1"/>
  <c r="Z27" i="1"/>
  <c r="Z28" i="1"/>
  <c r="Z29" i="1"/>
  <c r="Z30" i="1"/>
  <c r="Z32" i="1"/>
  <c r="Z33" i="1"/>
  <c r="Z34" i="1"/>
  <c r="Z35" i="1"/>
  <c r="Z36" i="1"/>
  <c r="Z37" i="1"/>
  <c r="Z38" i="1"/>
  <c r="Z40" i="1"/>
  <c r="Z41" i="1"/>
  <c r="Z42" i="1"/>
  <c r="Z43" i="1"/>
  <c r="Z44" i="1"/>
  <c r="Z45" i="1"/>
  <c r="Z46" i="1"/>
  <c r="Z47" i="1"/>
  <c r="Z49" i="1"/>
  <c r="Z50" i="1"/>
  <c r="Z51" i="1"/>
  <c r="Z52" i="1"/>
  <c r="Z53" i="1"/>
  <c r="Z54" i="1"/>
  <c r="Z55" i="1"/>
  <c r="Z57" i="1"/>
  <c r="Z58" i="1"/>
  <c r="Z59" i="1"/>
  <c r="Z60" i="1"/>
  <c r="Z61" i="1"/>
  <c r="Z62" i="1"/>
  <c r="Z63" i="1"/>
  <c r="Z64" i="1"/>
  <c r="Z66" i="1"/>
  <c r="Z67" i="1"/>
  <c r="Z68" i="1"/>
  <c r="Z69" i="1"/>
  <c r="Z70" i="1"/>
  <c r="Z71" i="1"/>
  <c r="Z72" i="1"/>
  <c r="Z74" i="1"/>
  <c r="Z75" i="1"/>
  <c r="Z76" i="1"/>
  <c r="Z77" i="1"/>
  <c r="Z78" i="1"/>
  <c r="Z79" i="1"/>
  <c r="Z80" i="1"/>
  <c r="Z82" i="1"/>
  <c r="Z83" i="1"/>
  <c r="Z84" i="1"/>
  <c r="Z85" i="1"/>
  <c r="Z86" i="1"/>
  <c r="Z87" i="1"/>
  <c r="Z88" i="1"/>
  <c r="Z89" i="1"/>
  <c r="Z91" i="1"/>
  <c r="Z92" i="1"/>
  <c r="Z93" i="1"/>
  <c r="Z94" i="1"/>
  <c r="Z95" i="1"/>
  <c r="Z96" i="1"/>
  <c r="Z97" i="1"/>
  <c r="Z99" i="1"/>
  <c r="Z100" i="1"/>
  <c r="Z101" i="1"/>
  <c r="Z102" i="1"/>
  <c r="Z103" i="1"/>
  <c r="Z104" i="1"/>
  <c r="Z105" i="1"/>
  <c r="Z106" i="1"/>
  <c r="Z108" i="1"/>
  <c r="Z109" i="1"/>
  <c r="Z110" i="1"/>
  <c r="Z111" i="1"/>
  <c r="Z112" i="1"/>
  <c r="Z113" i="1"/>
  <c r="Z114" i="1"/>
  <c r="Z116" i="1"/>
  <c r="Z117" i="1"/>
  <c r="Z118" i="1"/>
  <c r="Z119" i="1"/>
  <c r="Z120" i="1"/>
  <c r="Z121" i="1"/>
  <c r="Z122" i="1"/>
  <c r="Z123" i="1"/>
  <c r="Z125" i="1"/>
  <c r="Z126" i="1"/>
  <c r="Z127" i="1"/>
  <c r="Z128" i="1"/>
  <c r="Z129" i="1"/>
  <c r="Z130" i="1"/>
  <c r="Z131" i="1"/>
  <c r="Z133" i="1"/>
  <c r="Z134" i="1"/>
  <c r="Z135" i="1"/>
  <c r="Z136" i="1"/>
  <c r="Z137" i="1"/>
  <c r="Z138" i="1"/>
  <c r="Z139" i="1"/>
  <c r="Z140" i="1"/>
  <c r="Z142" i="1"/>
  <c r="Z143" i="1"/>
  <c r="Z144" i="1"/>
  <c r="Z145" i="1"/>
  <c r="Z146" i="1"/>
  <c r="Z147" i="1"/>
  <c r="Z149" i="1"/>
  <c r="Z150" i="1"/>
  <c r="Z151" i="1"/>
  <c r="Z152" i="1"/>
  <c r="Z153" i="1"/>
  <c r="Z154" i="1"/>
  <c r="Z155" i="1"/>
  <c r="Z156" i="1"/>
  <c r="Z158" i="1"/>
  <c r="Z159" i="1"/>
  <c r="Z160" i="1"/>
  <c r="Z161" i="1"/>
  <c r="Z162" i="1"/>
  <c r="Z163" i="1"/>
  <c r="Z164" i="1"/>
  <c r="Z165" i="1"/>
  <c r="Z167" i="1"/>
  <c r="Z168" i="1"/>
  <c r="Z169" i="1"/>
  <c r="Z170" i="1"/>
  <c r="Z171" i="1"/>
  <c r="Z172" i="1"/>
  <c r="Z173" i="1"/>
  <c r="Z174" i="1"/>
  <c r="Z176" i="1"/>
  <c r="Z177" i="1"/>
  <c r="Z178" i="1"/>
  <c r="Z179" i="1"/>
  <c r="Z180" i="1"/>
  <c r="Z181" i="1"/>
  <c r="Z182" i="1"/>
  <c r="Z183" i="1"/>
  <c r="Z185" i="1"/>
  <c r="Z186" i="1"/>
  <c r="Z187" i="1"/>
  <c r="Z188" i="1"/>
  <c r="Z189" i="1"/>
  <c r="Z190" i="1"/>
  <c r="Z191" i="1"/>
  <c r="Z192" i="1"/>
  <c r="Z193" i="1"/>
  <c r="Z194" i="1"/>
  <c r="Z195" i="1"/>
  <c r="Z197" i="1"/>
  <c r="Z198" i="1"/>
  <c r="Z199" i="1"/>
  <c r="Z200" i="1"/>
  <c r="Z201" i="1"/>
  <c r="Z202" i="1"/>
  <c r="Z203" i="1"/>
  <c r="Z205" i="1"/>
  <c r="Z206" i="1"/>
  <c r="Z207" i="1"/>
  <c r="Z208" i="1"/>
  <c r="Z209" i="1"/>
  <c r="Z210" i="1"/>
  <c r="Z211" i="1"/>
  <c r="Z213" i="1"/>
  <c r="Z214" i="1"/>
  <c r="Z215" i="1"/>
  <c r="Z216" i="1"/>
  <c r="Z217" i="1"/>
  <c r="Z218" i="1"/>
  <c r="Z219" i="1"/>
  <c r="Z221" i="1"/>
  <c r="Z222" i="1"/>
  <c r="Z223" i="1"/>
  <c r="Z224" i="1"/>
  <c r="Z225" i="1"/>
  <c r="Z226" i="1"/>
  <c r="Z227" i="1"/>
  <c r="Z229" i="1"/>
  <c r="Z230" i="1"/>
  <c r="Z231" i="1"/>
  <c r="Z232" i="1"/>
  <c r="Z233" i="1"/>
  <c r="Z234" i="1"/>
  <c r="Z235" i="1"/>
  <c r="Z237" i="1"/>
  <c r="Z238" i="1"/>
  <c r="Z239" i="1"/>
  <c r="Z240" i="1"/>
  <c r="Z241" i="1"/>
  <c r="Z242" i="1"/>
  <c r="Z243" i="1"/>
  <c r="Z244" i="1"/>
  <c r="Z246" i="1"/>
  <c r="Z247" i="1"/>
  <c r="Z248" i="1"/>
  <c r="Z249" i="1"/>
  <c r="Z250" i="1"/>
  <c r="Z251" i="1"/>
  <c r="Z252" i="1"/>
  <c r="Z253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6" i="1"/>
  <c r="AM281" i="1"/>
  <c r="AM282" i="1"/>
  <c r="AM283" i="1"/>
  <c r="AM284" i="1"/>
  <c r="AL281" i="1"/>
  <c r="AL282" i="1"/>
  <c r="AL283" i="1"/>
  <c r="AL284" i="1"/>
  <c r="AL280" i="1"/>
  <c r="Q284" i="1"/>
  <c r="R284" i="1" s="1"/>
  <c r="S284" i="1"/>
  <c r="W284" i="1"/>
  <c r="X284" i="1"/>
  <c r="Y284" i="1"/>
  <c r="H284" i="1"/>
  <c r="I284" i="1"/>
  <c r="J284" i="1"/>
  <c r="L284" i="1" s="1"/>
  <c r="M284" i="1"/>
  <c r="N284" i="1" s="1"/>
  <c r="O284" i="1"/>
  <c r="P284" i="1" s="1"/>
  <c r="G284" i="1"/>
  <c r="AA284" i="1" s="1"/>
  <c r="F284" i="1"/>
  <c r="K284" i="1" l="1"/>
  <c r="AB284" i="1"/>
  <c r="AK284" i="1" l="1"/>
  <c r="Y49" i="1" l="1"/>
  <c r="Y50" i="1"/>
  <c r="Y51" i="1"/>
  <c r="Y52" i="1"/>
  <c r="Y53" i="1"/>
  <c r="Y54" i="1"/>
  <c r="Y55" i="1"/>
  <c r="Y57" i="1"/>
  <c r="Y58" i="1"/>
  <c r="Y59" i="1"/>
  <c r="Y60" i="1"/>
  <c r="Y61" i="1"/>
  <c r="Y62" i="1"/>
  <c r="Y63" i="1"/>
  <c r="Y64" i="1"/>
  <c r="Y66" i="1"/>
  <c r="Y67" i="1"/>
  <c r="Y68" i="1"/>
  <c r="Y69" i="1"/>
  <c r="Y70" i="1"/>
  <c r="Y71" i="1"/>
  <c r="Y72" i="1"/>
  <c r="Y74" i="1"/>
  <c r="Y75" i="1"/>
  <c r="Y76" i="1"/>
  <c r="Y77" i="1"/>
  <c r="Y78" i="1"/>
  <c r="Y79" i="1"/>
  <c r="Y80" i="1"/>
  <c r="Y82" i="1"/>
  <c r="Y83" i="1"/>
  <c r="Y84" i="1"/>
  <c r="Y85" i="1"/>
  <c r="Y86" i="1"/>
  <c r="Y87" i="1"/>
  <c r="Y88" i="1"/>
  <c r="Y89" i="1"/>
  <c r="Y91" i="1"/>
  <c r="Y92" i="1"/>
  <c r="Y93" i="1"/>
  <c r="Y94" i="1"/>
  <c r="Y95" i="1"/>
  <c r="Y96" i="1"/>
  <c r="Y97" i="1"/>
  <c r="Y99" i="1"/>
  <c r="Y100" i="1"/>
  <c r="Y101" i="1"/>
  <c r="Y102" i="1"/>
  <c r="Y103" i="1"/>
  <c r="Y104" i="1"/>
  <c r="Y105" i="1"/>
  <c r="Y106" i="1"/>
  <c r="Y108" i="1"/>
  <c r="Y109" i="1"/>
  <c r="Y110" i="1"/>
  <c r="Y111" i="1"/>
  <c r="Y112" i="1"/>
  <c r="Y113" i="1"/>
  <c r="Y114" i="1"/>
  <c r="Y116" i="1"/>
  <c r="Y117" i="1"/>
  <c r="Y118" i="1"/>
  <c r="Y119" i="1"/>
  <c r="Y120" i="1"/>
  <c r="Y121" i="1"/>
  <c r="Y122" i="1"/>
  <c r="Y123" i="1"/>
  <c r="Y125" i="1"/>
  <c r="Y126" i="1"/>
  <c r="Y127" i="1"/>
  <c r="Y128" i="1"/>
  <c r="Y129" i="1"/>
  <c r="Y130" i="1"/>
  <c r="Y131" i="1"/>
  <c r="Y133" i="1"/>
  <c r="Y134" i="1"/>
  <c r="Y135" i="1"/>
  <c r="Y136" i="1"/>
  <c r="Y137" i="1"/>
  <c r="Y138" i="1"/>
  <c r="Y139" i="1"/>
  <c r="Y140" i="1"/>
  <c r="Y142" i="1"/>
  <c r="Y143" i="1"/>
  <c r="Y144" i="1"/>
  <c r="Y145" i="1"/>
  <c r="Y146" i="1"/>
  <c r="Y147" i="1"/>
  <c r="Y149" i="1"/>
  <c r="Y150" i="1"/>
  <c r="Y151" i="1"/>
  <c r="Y152" i="1"/>
  <c r="Y153" i="1"/>
  <c r="Y154" i="1"/>
  <c r="Y155" i="1"/>
  <c r="Y156" i="1"/>
  <c r="Y158" i="1"/>
  <c r="Y159" i="1"/>
  <c r="Y160" i="1"/>
  <c r="Y161" i="1"/>
  <c r="Y162" i="1"/>
  <c r="Y163" i="1"/>
  <c r="Y164" i="1"/>
  <c r="Y165" i="1"/>
  <c r="Y167" i="1"/>
  <c r="Y168" i="1"/>
  <c r="Y169" i="1"/>
  <c r="Y170" i="1"/>
  <c r="Y171" i="1"/>
  <c r="Y172" i="1"/>
  <c r="Y173" i="1"/>
  <c r="Y174" i="1"/>
  <c r="Y176" i="1"/>
  <c r="Y177" i="1"/>
  <c r="Y178" i="1"/>
  <c r="Y179" i="1"/>
  <c r="Y180" i="1"/>
  <c r="Y181" i="1"/>
  <c r="Y182" i="1"/>
  <c r="Y183" i="1"/>
  <c r="Y185" i="1"/>
  <c r="Y186" i="1"/>
  <c r="Y187" i="1"/>
  <c r="Y188" i="1"/>
  <c r="Y189" i="1"/>
  <c r="Y190" i="1"/>
  <c r="Y191" i="1"/>
  <c r="Y192" i="1"/>
  <c r="Y193" i="1"/>
  <c r="Y194" i="1"/>
  <c r="Y195" i="1"/>
  <c r="Y197" i="1"/>
  <c r="Y198" i="1"/>
  <c r="Y199" i="1"/>
  <c r="Y200" i="1"/>
  <c r="Y201" i="1"/>
  <c r="Y202" i="1"/>
  <c r="Y203" i="1"/>
  <c r="Y205" i="1"/>
  <c r="Y206" i="1"/>
  <c r="Y207" i="1"/>
  <c r="Y208" i="1"/>
  <c r="Y209" i="1"/>
  <c r="Y210" i="1"/>
  <c r="Y211" i="1"/>
  <c r="Y213" i="1"/>
  <c r="Y214" i="1"/>
  <c r="Y215" i="1"/>
  <c r="Y216" i="1"/>
  <c r="Y217" i="1"/>
  <c r="Y218" i="1"/>
  <c r="Y219" i="1"/>
  <c r="Y221" i="1"/>
  <c r="Y222" i="1"/>
  <c r="Y223" i="1"/>
  <c r="Y224" i="1"/>
  <c r="Y225" i="1"/>
  <c r="Y226" i="1"/>
  <c r="Y227" i="1"/>
  <c r="Y229" i="1"/>
  <c r="Y230" i="1"/>
  <c r="Y231" i="1"/>
  <c r="Y232" i="1"/>
  <c r="Y233" i="1"/>
  <c r="Y234" i="1"/>
  <c r="Y235" i="1"/>
  <c r="Y237" i="1"/>
  <c r="Y238" i="1"/>
  <c r="Y239" i="1"/>
  <c r="Y240" i="1"/>
  <c r="Y241" i="1"/>
  <c r="Y242" i="1"/>
  <c r="Y243" i="1"/>
  <c r="Y244" i="1"/>
  <c r="Y246" i="1"/>
  <c r="Y247" i="1"/>
  <c r="Y248" i="1"/>
  <c r="Y249" i="1"/>
  <c r="Y250" i="1"/>
  <c r="Y251" i="1"/>
  <c r="Y252" i="1"/>
  <c r="Y253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X49" i="1"/>
  <c r="X50" i="1"/>
  <c r="X51" i="1"/>
  <c r="X52" i="1"/>
  <c r="X53" i="1"/>
  <c r="X54" i="1"/>
  <c r="X55" i="1"/>
  <c r="X57" i="1"/>
  <c r="X58" i="1"/>
  <c r="X59" i="1"/>
  <c r="X60" i="1"/>
  <c r="X61" i="1"/>
  <c r="X62" i="1"/>
  <c r="X63" i="1"/>
  <c r="X64" i="1"/>
  <c r="X66" i="1"/>
  <c r="X67" i="1"/>
  <c r="X68" i="1"/>
  <c r="X69" i="1"/>
  <c r="X70" i="1"/>
  <c r="X71" i="1"/>
  <c r="X72" i="1"/>
  <c r="X74" i="1"/>
  <c r="X75" i="1"/>
  <c r="X76" i="1"/>
  <c r="X77" i="1"/>
  <c r="X78" i="1"/>
  <c r="X79" i="1"/>
  <c r="X80" i="1"/>
  <c r="X82" i="1"/>
  <c r="X83" i="1"/>
  <c r="X84" i="1"/>
  <c r="X85" i="1"/>
  <c r="X86" i="1"/>
  <c r="X87" i="1"/>
  <c r="X88" i="1"/>
  <c r="X89" i="1"/>
  <c r="X91" i="1"/>
  <c r="X92" i="1"/>
  <c r="X93" i="1"/>
  <c r="X94" i="1"/>
  <c r="X95" i="1"/>
  <c r="X96" i="1"/>
  <c r="X97" i="1"/>
  <c r="X99" i="1"/>
  <c r="X100" i="1"/>
  <c r="X101" i="1"/>
  <c r="X102" i="1"/>
  <c r="X103" i="1"/>
  <c r="X104" i="1"/>
  <c r="X105" i="1"/>
  <c r="X106" i="1"/>
  <c r="X108" i="1"/>
  <c r="X109" i="1"/>
  <c r="X110" i="1"/>
  <c r="X111" i="1"/>
  <c r="X112" i="1"/>
  <c r="X113" i="1"/>
  <c r="X114" i="1"/>
  <c r="X116" i="1"/>
  <c r="X117" i="1"/>
  <c r="X118" i="1"/>
  <c r="X119" i="1"/>
  <c r="X120" i="1"/>
  <c r="X121" i="1"/>
  <c r="X122" i="1"/>
  <c r="X123" i="1"/>
  <c r="X125" i="1"/>
  <c r="X126" i="1"/>
  <c r="X127" i="1"/>
  <c r="X128" i="1"/>
  <c r="X129" i="1"/>
  <c r="X130" i="1"/>
  <c r="X131" i="1"/>
  <c r="X133" i="1"/>
  <c r="X134" i="1"/>
  <c r="X135" i="1"/>
  <c r="X136" i="1"/>
  <c r="X137" i="1"/>
  <c r="X138" i="1"/>
  <c r="X139" i="1"/>
  <c r="X140" i="1"/>
  <c r="X142" i="1"/>
  <c r="X143" i="1"/>
  <c r="X144" i="1"/>
  <c r="X145" i="1"/>
  <c r="X146" i="1"/>
  <c r="X147" i="1"/>
  <c r="X149" i="1"/>
  <c r="X150" i="1"/>
  <c r="X151" i="1"/>
  <c r="X152" i="1"/>
  <c r="X153" i="1"/>
  <c r="X154" i="1"/>
  <c r="X155" i="1"/>
  <c r="X156" i="1"/>
  <c r="X158" i="1"/>
  <c r="X159" i="1"/>
  <c r="X160" i="1"/>
  <c r="X161" i="1"/>
  <c r="X162" i="1"/>
  <c r="X163" i="1"/>
  <c r="X164" i="1"/>
  <c r="X165" i="1"/>
  <c r="X167" i="1"/>
  <c r="X168" i="1"/>
  <c r="X169" i="1"/>
  <c r="X170" i="1"/>
  <c r="X171" i="1"/>
  <c r="X172" i="1"/>
  <c r="X173" i="1"/>
  <c r="X174" i="1"/>
  <c r="X176" i="1"/>
  <c r="X177" i="1"/>
  <c r="X178" i="1"/>
  <c r="X179" i="1"/>
  <c r="X180" i="1"/>
  <c r="X181" i="1"/>
  <c r="X182" i="1"/>
  <c r="X183" i="1"/>
  <c r="X185" i="1"/>
  <c r="X186" i="1"/>
  <c r="X187" i="1"/>
  <c r="X188" i="1"/>
  <c r="X189" i="1"/>
  <c r="X190" i="1"/>
  <c r="X191" i="1"/>
  <c r="X192" i="1"/>
  <c r="X193" i="1"/>
  <c r="X194" i="1"/>
  <c r="X195" i="1"/>
  <c r="X197" i="1"/>
  <c r="X198" i="1"/>
  <c r="X199" i="1"/>
  <c r="X200" i="1"/>
  <c r="X201" i="1"/>
  <c r="X202" i="1"/>
  <c r="X203" i="1"/>
  <c r="X205" i="1"/>
  <c r="X206" i="1"/>
  <c r="X207" i="1"/>
  <c r="X208" i="1"/>
  <c r="X209" i="1"/>
  <c r="X210" i="1"/>
  <c r="X211" i="1"/>
  <c r="X213" i="1"/>
  <c r="X214" i="1"/>
  <c r="X215" i="1"/>
  <c r="X216" i="1"/>
  <c r="X217" i="1"/>
  <c r="X218" i="1"/>
  <c r="X219" i="1"/>
  <c r="X221" i="1"/>
  <c r="X222" i="1"/>
  <c r="X223" i="1"/>
  <c r="X224" i="1"/>
  <c r="X225" i="1"/>
  <c r="X226" i="1"/>
  <c r="X227" i="1"/>
  <c r="X229" i="1"/>
  <c r="X230" i="1"/>
  <c r="X231" i="1"/>
  <c r="X232" i="1"/>
  <c r="X233" i="1"/>
  <c r="X234" i="1"/>
  <c r="X235" i="1"/>
  <c r="X237" i="1"/>
  <c r="X238" i="1"/>
  <c r="X239" i="1"/>
  <c r="X240" i="1"/>
  <c r="X241" i="1"/>
  <c r="X242" i="1"/>
  <c r="X243" i="1"/>
  <c r="X244" i="1"/>
  <c r="X246" i="1"/>
  <c r="X247" i="1"/>
  <c r="X248" i="1"/>
  <c r="X249" i="1"/>
  <c r="X250" i="1"/>
  <c r="X251" i="1"/>
  <c r="X252" i="1"/>
  <c r="X253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W49" i="1"/>
  <c r="W50" i="1"/>
  <c r="W51" i="1"/>
  <c r="W52" i="1"/>
  <c r="W53" i="1"/>
  <c r="W54" i="1"/>
  <c r="W55" i="1"/>
  <c r="W57" i="1"/>
  <c r="W58" i="1"/>
  <c r="W59" i="1"/>
  <c r="W60" i="1"/>
  <c r="W61" i="1"/>
  <c r="W62" i="1"/>
  <c r="W63" i="1"/>
  <c r="W64" i="1"/>
  <c r="W66" i="1"/>
  <c r="W67" i="1"/>
  <c r="W68" i="1"/>
  <c r="W69" i="1"/>
  <c r="W70" i="1"/>
  <c r="W71" i="1"/>
  <c r="W72" i="1"/>
  <c r="W74" i="1"/>
  <c r="W75" i="1"/>
  <c r="W76" i="1"/>
  <c r="W77" i="1"/>
  <c r="W78" i="1"/>
  <c r="W79" i="1"/>
  <c r="W80" i="1"/>
  <c r="W82" i="1"/>
  <c r="W83" i="1"/>
  <c r="W84" i="1"/>
  <c r="W85" i="1"/>
  <c r="W86" i="1"/>
  <c r="W87" i="1"/>
  <c r="W88" i="1"/>
  <c r="W89" i="1"/>
  <c r="W91" i="1"/>
  <c r="W92" i="1"/>
  <c r="W93" i="1"/>
  <c r="W94" i="1"/>
  <c r="W95" i="1"/>
  <c r="W96" i="1"/>
  <c r="W97" i="1"/>
  <c r="W99" i="1"/>
  <c r="W100" i="1"/>
  <c r="W101" i="1"/>
  <c r="W102" i="1"/>
  <c r="W103" i="1"/>
  <c r="W104" i="1"/>
  <c r="W105" i="1"/>
  <c r="W106" i="1"/>
  <c r="W108" i="1"/>
  <c r="W109" i="1"/>
  <c r="W110" i="1"/>
  <c r="W111" i="1"/>
  <c r="W112" i="1"/>
  <c r="W113" i="1"/>
  <c r="W114" i="1"/>
  <c r="W116" i="1"/>
  <c r="W117" i="1"/>
  <c r="W118" i="1"/>
  <c r="W119" i="1"/>
  <c r="W120" i="1"/>
  <c r="W121" i="1"/>
  <c r="W122" i="1"/>
  <c r="W123" i="1"/>
  <c r="W125" i="1"/>
  <c r="W126" i="1"/>
  <c r="W127" i="1"/>
  <c r="W128" i="1"/>
  <c r="W129" i="1"/>
  <c r="W130" i="1"/>
  <c r="W131" i="1"/>
  <c r="W133" i="1"/>
  <c r="W134" i="1"/>
  <c r="W135" i="1"/>
  <c r="W136" i="1"/>
  <c r="W137" i="1"/>
  <c r="W138" i="1"/>
  <c r="W139" i="1"/>
  <c r="W140" i="1"/>
  <c r="W142" i="1"/>
  <c r="W143" i="1"/>
  <c r="W144" i="1"/>
  <c r="W145" i="1"/>
  <c r="W146" i="1"/>
  <c r="W147" i="1"/>
  <c r="W149" i="1"/>
  <c r="W150" i="1"/>
  <c r="W151" i="1"/>
  <c r="W152" i="1"/>
  <c r="W153" i="1"/>
  <c r="W154" i="1"/>
  <c r="W155" i="1"/>
  <c r="W156" i="1"/>
  <c r="W158" i="1"/>
  <c r="W159" i="1"/>
  <c r="W160" i="1"/>
  <c r="W161" i="1"/>
  <c r="W162" i="1"/>
  <c r="W163" i="1"/>
  <c r="W164" i="1"/>
  <c r="W165" i="1"/>
  <c r="W167" i="1"/>
  <c r="W168" i="1"/>
  <c r="W169" i="1"/>
  <c r="W170" i="1"/>
  <c r="W171" i="1"/>
  <c r="W172" i="1"/>
  <c r="W173" i="1"/>
  <c r="W174" i="1"/>
  <c r="W176" i="1"/>
  <c r="W177" i="1"/>
  <c r="W178" i="1"/>
  <c r="W179" i="1"/>
  <c r="W180" i="1"/>
  <c r="W181" i="1"/>
  <c r="W182" i="1"/>
  <c r="W183" i="1"/>
  <c r="W185" i="1"/>
  <c r="W186" i="1"/>
  <c r="W187" i="1"/>
  <c r="W188" i="1"/>
  <c r="W189" i="1"/>
  <c r="W190" i="1"/>
  <c r="W191" i="1"/>
  <c r="W192" i="1"/>
  <c r="W193" i="1"/>
  <c r="W194" i="1"/>
  <c r="W195" i="1"/>
  <c r="W197" i="1"/>
  <c r="W198" i="1"/>
  <c r="W199" i="1"/>
  <c r="W200" i="1"/>
  <c r="W201" i="1"/>
  <c r="W202" i="1"/>
  <c r="W203" i="1"/>
  <c r="W205" i="1"/>
  <c r="W206" i="1"/>
  <c r="W207" i="1"/>
  <c r="W208" i="1"/>
  <c r="W209" i="1"/>
  <c r="W210" i="1"/>
  <c r="W211" i="1"/>
  <c r="W213" i="1"/>
  <c r="W214" i="1"/>
  <c r="W215" i="1"/>
  <c r="W216" i="1"/>
  <c r="W217" i="1"/>
  <c r="W218" i="1"/>
  <c r="W219" i="1"/>
  <c r="W221" i="1"/>
  <c r="W222" i="1"/>
  <c r="W223" i="1"/>
  <c r="W224" i="1"/>
  <c r="W225" i="1"/>
  <c r="W226" i="1"/>
  <c r="W227" i="1"/>
  <c r="W229" i="1"/>
  <c r="W230" i="1"/>
  <c r="W231" i="1"/>
  <c r="W232" i="1"/>
  <c r="W233" i="1"/>
  <c r="W234" i="1"/>
  <c r="W235" i="1"/>
  <c r="W237" i="1"/>
  <c r="W238" i="1"/>
  <c r="W239" i="1"/>
  <c r="W240" i="1"/>
  <c r="W241" i="1"/>
  <c r="W242" i="1"/>
  <c r="W243" i="1"/>
  <c r="W244" i="1"/>
  <c r="W246" i="1"/>
  <c r="W247" i="1"/>
  <c r="W248" i="1"/>
  <c r="W249" i="1"/>
  <c r="W250" i="1"/>
  <c r="W251" i="1"/>
  <c r="W252" i="1"/>
  <c r="W253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A5" i="10" l="1" a="1"/>
  <c r="Q36" i="7"/>
  <c r="R36" i="7" s="1"/>
  <c r="N32" i="10" l="1"/>
  <c r="N60" i="10"/>
  <c r="N88" i="10"/>
  <c r="N116" i="10"/>
  <c r="N144" i="10"/>
  <c r="N172" i="10"/>
  <c r="M25" i="10"/>
  <c r="M53" i="10"/>
  <c r="M81" i="10"/>
  <c r="M109" i="10"/>
  <c r="M137" i="10"/>
  <c r="M165" i="10"/>
  <c r="L15" i="10"/>
  <c r="L43" i="10"/>
  <c r="L71" i="10"/>
  <c r="L99" i="10"/>
  <c r="L127" i="10"/>
  <c r="L155" i="10"/>
  <c r="K13" i="10"/>
  <c r="K41" i="10"/>
  <c r="K69" i="10"/>
  <c r="K97" i="10"/>
  <c r="K125" i="10"/>
  <c r="M32" i="5" s="1"/>
  <c r="N32" i="5" s="1"/>
  <c r="K153" i="10"/>
  <c r="M23" i="5" s="1"/>
  <c r="N23" i="5" s="1"/>
  <c r="K5" i="10"/>
  <c r="M41" i="5"/>
  <c r="N41" i="5" s="1"/>
  <c r="M10" i="10"/>
  <c r="L112" i="10"/>
  <c r="K166" i="10"/>
  <c r="M11" i="10"/>
  <c r="L113" i="10"/>
  <c r="K55" i="10"/>
  <c r="N75" i="10"/>
  <c r="L114" i="10"/>
  <c r="K140" i="10"/>
  <c r="M13" i="10"/>
  <c r="L59" i="10"/>
  <c r="K29" i="10"/>
  <c r="N49" i="10"/>
  <c r="L88" i="10"/>
  <c r="K170" i="10"/>
  <c r="M71" i="10"/>
  <c r="L89" i="10"/>
  <c r="K59" i="10"/>
  <c r="N135" i="10"/>
  <c r="L146" i="10"/>
  <c r="N80" i="10"/>
  <c r="L119" i="10"/>
  <c r="K145" i="10"/>
  <c r="M74" i="10"/>
  <c r="L176" i="10"/>
  <c r="K90" i="10"/>
  <c r="M35" i="5" s="1"/>
  <c r="N35" i="5" s="1"/>
  <c r="N82" i="10"/>
  <c r="L9" i="10"/>
  <c r="K35" i="10"/>
  <c r="M6" i="5" s="1"/>
  <c r="N6" i="5" s="1"/>
  <c r="M20" i="10"/>
  <c r="M105" i="10"/>
  <c r="M50" i="10"/>
  <c r="M163" i="10"/>
  <c r="M108" i="10"/>
  <c r="K96" i="10"/>
  <c r="N33" i="10"/>
  <c r="N61" i="10"/>
  <c r="N89" i="10"/>
  <c r="N117" i="10"/>
  <c r="N145" i="10"/>
  <c r="N173" i="10"/>
  <c r="M26" i="10"/>
  <c r="M54" i="10"/>
  <c r="M82" i="10"/>
  <c r="M110" i="10"/>
  <c r="M138" i="10"/>
  <c r="M166" i="10"/>
  <c r="L16" i="10"/>
  <c r="L44" i="10"/>
  <c r="L72" i="10"/>
  <c r="L100" i="10"/>
  <c r="L128" i="10"/>
  <c r="L156" i="10"/>
  <c r="M33" i="5"/>
  <c r="N33" i="5" s="1"/>
  <c r="K14" i="10"/>
  <c r="K42" i="10"/>
  <c r="K70" i="10"/>
  <c r="K98" i="10"/>
  <c r="K126" i="10"/>
  <c r="K154" i="10"/>
  <c r="K135" i="10"/>
  <c r="M38" i="10"/>
  <c r="L28" i="10"/>
  <c r="K110" i="10"/>
  <c r="N18" i="10"/>
  <c r="L29" i="10"/>
  <c r="N19" i="10"/>
  <c r="L86" i="10"/>
  <c r="K84" i="10"/>
  <c r="N160" i="10"/>
  <c r="L171" i="10"/>
  <c r="K169" i="10"/>
  <c r="M42" i="10"/>
  <c r="L32" i="10"/>
  <c r="M48" i="5"/>
  <c r="N48" i="5" s="1"/>
  <c r="M127" i="10"/>
  <c r="M100" i="10"/>
  <c r="K32" i="10"/>
  <c r="N108" i="10"/>
  <c r="L35" i="10"/>
  <c r="N53" i="10"/>
  <c r="L64" i="10"/>
  <c r="K118" i="10"/>
  <c r="M38" i="5" s="1"/>
  <c r="N38" i="5" s="1"/>
  <c r="N138" i="10"/>
  <c r="M160" i="10"/>
  <c r="M77" i="10"/>
  <c r="N29" i="10"/>
  <c r="L12" i="10"/>
  <c r="K94" i="10"/>
  <c r="M79" i="10"/>
  <c r="L153" i="10"/>
  <c r="K95" i="10"/>
  <c r="N59" i="10"/>
  <c r="L98" i="10"/>
  <c r="K124" i="10"/>
  <c r="N6" i="10"/>
  <c r="N34" i="10"/>
  <c r="N62" i="10"/>
  <c r="N90" i="10"/>
  <c r="N118" i="10"/>
  <c r="N146" i="10"/>
  <c r="N174" i="10"/>
  <c r="M27" i="10"/>
  <c r="M55" i="10"/>
  <c r="M83" i="10"/>
  <c r="M111" i="10"/>
  <c r="M139" i="10"/>
  <c r="M167" i="10"/>
  <c r="L17" i="10"/>
  <c r="L45" i="10"/>
  <c r="L73" i="10"/>
  <c r="L101" i="10"/>
  <c r="L129" i="10"/>
  <c r="L157" i="10"/>
  <c r="M34" i="5"/>
  <c r="N34" i="5" s="1"/>
  <c r="K15" i="10"/>
  <c r="K43" i="10"/>
  <c r="K71" i="10"/>
  <c r="K99" i="10"/>
  <c r="K127" i="10"/>
  <c r="K155" i="10"/>
  <c r="M122" i="10"/>
  <c r="M67" i="10"/>
  <c r="M45" i="5"/>
  <c r="N45" i="5" s="1"/>
  <c r="M96" i="10"/>
  <c r="M41" i="10"/>
  <c r="N5" i="10"/>
  <c r="M98" i="10"/>
  <c r="N162" i="10"/>
  <c r="L33" i="10"/>
  <c r="K31" i="10"/>
  <c r="M15" i="5" s="1"/>
  <c r="N15" i="5" s="1"/>
  <c r="N79" i="10"/>
  <c r="M129" i="10"/>
  <c r="M102" i="10"/>
  <c r="L36" i="10"/>
  <c r="K6" i="10"/>
  <c r="N26" i="10"/>
  <c r="L177" i="10"/>
  <c r="M48" i="10"/>
  <c r="L38" i="10"/>
  <c r="K8" i="10"/>
  <c r="N56" i="10"/>
  <c r="L11" i="10"/>
  <c r="K93" i="10"/>
  <c r="M78" i="10"/>
  <c r="K150" i="10"/>
  <c r="N86" i="10"/>
  <c r="L97" i="10"/>
  <c r="K151" i="10"/>
  <c r="M52" i="10"/>
  <c r="N7" i="10"/>
  <c r="N35" i="10"/>
  <c r="N63" i="10"/>
  <c r="N91" i="10"/>
  <c r="N119" i="10"/>
  <c r="N147" i="10"/>
  <c r="N175" i="10"/>
  <c r="M28" i="10"/>
  <c r="M56" i="10"/>
  <c r="M84" i="10"/>
  <c r="M112" i="10"/>
  <c r="M140" i="10"/>
  <c r="M168" i="10"/>
  <c r="L18" i="10"/>
  <c r="L46" i="10"/>
  <c r="L74" i="10"/>
  <c r="L102" i="10"/>
  <c r="L130" i="10"/>
  <c r="L158" i="10"/>
  <c r="K16" i="10"/>
  <c r="K44" i="10"/>
  <c r="K72" i="10"/>
  <c r="K100" i="10"/>
  <c r="K128" i="10"/>
  <c r="M17" i="5" s="1"/>
  <c r="N17" i="5" s="1"/>
  <c r="K156" i="10"/>
  <c r="K51" i="10"/>
  <c r="M94" i="10"/>
  <c r="L84" i="10"/>
  <c r="K26" i="10"/>
  <c r="N46" i="10"/>
  <c r="M179" i="10"/>
  <c r="K167" i="10"/>
  <c r="N47" i="10"/>
  <c r="L30" i="10"/>
  <c r="K168" i="10"/>
  <c r="N104" i="10"/>
  <c r="L143" i="10"/>
  <c r="K141" i="10"/>
  <c r="M18" i="5" s="1"/>
  <c r="N18" i="5" s="1"/>
  <c r="N77" i="10"/>
  <c r="N134" i="10"/>
  <c r="L145" i="10"/>
  <c r="K143" i="10"/>
  <c r="N163" i="10"/>
  <c r="L90" i="10"/>
  <c r="K88" i="10"/>
  <c r="M45" i="10"/>
  <c r="L91" i="10"/>
  <c r="N25" i="10"/>
  <c r="L8" i="10"/>
  <c r="K34" i="10"/>
  <c r="M75" i="10"/>
  <c r="L37" i="10"/>
  <c r="K7" i="10"/>
  <c r="K175" i="10"/>
  <c r="N55" i="10"/>
  <c r="L39" i="10"/>
  <c r="M134" i="10"/>
  <c r="K10" i="10"/>
  <c r="N58" i="10"/>
  <c r="L41" i="10"/>
  <c r="K179" i="10"/>
  <c r="M80" i="10"/>
  <c r="L70" i="10"/>
  <c r="K12" i="10"/>
  <c r="N8" i="10"/>
  <c r="N36" i="10"/>
  <c r="N64" i="10"/>
  <c r="N92" i="10"/>
  <c r="N120" i="10"/>
  <c r="N148" i="10"/>
  <c r="N176" i="10"/>
  <c r="M29" i="10"/>
  <c r="M57" i="10"/>
  <c r="M85" i="10"/>
  <c r="M113" i="10"/>
  <c r="M141" i="10"/>
  <c r="M169" i="10"/>
  <c r="L19" i="10"/>
  <c r="L47" i="10"/>
  <c r="L75" i="10"/>
  <c r="L103" i="10"/>
  <c r="L131" i="10"/>
  <c r="L159" i="10"/>
  <c r="M9" i="5"/>
  <c r="N9" i="5" s="1"/>
  <c r="M36" i="5"/>
  <c r="N36" i="5" s="1"/>
  <c r="K17" i="10"/>
  <c r="K45" i="10"/>
  <c r="K73" i="10"/>
  <c r="M37" i="5" s="1"/>
  <c r="N37" i="5" s="1"/>
  <c r="K101" i="10"/>
  <c r="K129" i="10"/>
  <c r="M28" i="5" s="1"/>
  <c r="N28" i="5" s="1"/>
  <c r="K157" i="10"/>
  <c r="K107" i="10"/>
  <c r="K137" i="10"/>
  <c r="N157" i="10"/>
  <c r="M178" i="10"/>
  <c r="L168" i="10"/>
  <c r="K54" i="10"/>
  <c r="N74" i="10"/>
  <c r="M151" i="10"/>
  <c r="M124" i="10"/>
  <c r="M69" i="10"/>
  <c r="M154" i="10"/>
  <c r="M99" i="10"/>
  <c r="K115" i="10"/>
  <c r="N51" i="10"/>
  <c r="L174" i="10"/>
  <c r="N136" i="10"/>
  <c r="L175" i="10"/>
  <c r="K173" i="10"/>
  <c r="N165" i="10"/>
  <c r="L92" i="10"/>
  <c r="K62" i="10"/>
  <c r="M5" i="5" s="1"/>
  <c r="N5" i="5" s="1"/>
  <c r="N166" i="10"/>
  <c r="N27" i="10"/>
  <c r="L122" i="10"/>
  <c r="K176" i="10"/>
  <c r="M49" i="10"/>
  <c r="L179" i="10"/>
  <c r="K65" i="10"/>
  <c r="N85" i="10"/>
  <c r="L180" i="10"/>
  <c r="N114" i="10"/>
  <c r="K11" i="10"/>
  <c r="M24" i="10"/>
  <c r="K68" i="10"/>
  <c r="N9" i="10"/>
  <c r="N37" i="10"/>
  <c r="N65" i="10"/>
  <c r="N93" i="10"/>
  <c r="N121" i="10"/>
  <c r="N149" i="10"/>
  <c r="N177" i="10"/>
  <c r="M30" i="10"/>
  <c r="M58" i="10"/>
  <c r="M86" i="10"/>
  <c r="M114" i="10"/>
  <c r="M142" i="10"/>
  <c r="M170" i="10"/>
  <c r="L20" i="10"/>
  <c r="L48" i="10"/>
  <c r="L76" i="10"/>
  <c r="L104" i="10"/>
  <c r="L132" i="10"/>
  <c r="L160" i="10"/>
  <c r="K18" i="10"/>
  <c r="K46" i="10"/>
  <c r="K74" i="10"/>
  <c r="K102" i="10"/>
  <c r="K130" i="10"/>
  <c r="M27" i="5" s="1"/>
  <c r="N27" i="5" s="1"/>
  <c r="K158" i="10"/>
  <c r="M3" i="5" s="1"/>
  <c r="N3" i="5" s="1"/>
  <c r="K163" i="10"/>
  <c r="K81" i="10"/>
  <c r="K165" i="10"/>
  <c r="N73" i="10"/>
  <c r="M150" i="10"/>
  <c r="M123" i="10"/>
  <c r="M68" i="10"/>
  <c r="K112" i="10"/>
  <c r="N132" i="10"/>
  <c r="L115" i="10"/>
  <c r="K85" i="10"/>
  <c r="N133" i="10"/>
  <c r="L116" i="10"/>
  <c r="K114" i="10"/>
  <c r="M25" i="5" s="1"/>
  <c r="N25" i="5" s="1"/>
  <c r="N106" i="10"/>
  <c r="M22" i="5"/>
  <c r="N22" i="5" s="1"/>
  <c r="M128" i="10"/>
  <c r="M73" i="10"/>
  <c r="K61" i="10"/>
  <c r="N109" i="10"/>
  <c r="M159" i="10"/>
  <c r="M104" i="10"/>
  <c r="K120" i="10"/>
  <c r="N168" i="10"/>
  <c r="L151" i="10"/>
  <c r="K149" i="10"/>
  <c r="N113" i="10"/>
  <c r="L40" i="10"/>
  <c r="K66" i="10"/>
  <c r="M107" i="10"/>
  <c r="L13" i="10"/>
  <c r="K39" i="10"/>
  <c r="N31" i="10"/>
  <c r="L154" i="10"/>
  <c r="N10" i="10"/>
  <c r="N38" i="10"/>
  <c r="N66" i="10"/>
  <c r="N94" i="10"/>
  <c r="N122" i="10"/>
  <c r="N150" i="10"/>
  <c r="N178" i="10"/>
  <c r="M31" i="10"/>
  <c r="M59" i="10"/>
  <c r="M87" i="10"/>
  <c r="M115" i="10"/>
  <c r="M143" i="10"/>
  <c r="M171" i="10"/>
  <c r="L21" i="10"/>
  <c r="L49" i="10"/>
  <c r="L77" i="10"/>
  <c r="L105" i="10"/>
  <c r="L133" i="10"/>
  <c r="L161" i="10"/>
  <c r="K19" i="10"/>
  <c r="K47" i="10"/>
  <c r="K75" i="10"/>
  <c r="K103" i="10"/>
  <c r="M52" i="5" s="1"/>
  <c r="N52" i="5" s="1"/>
  <c r="K131" i="10"/>
  <c r="M50" i="5" s="1"/>
  <c r="N50" i="5" s="1"/>
  <c r="K159" i="10"/>
  <c r="K23" i="10"/>
  <c r="N45" i="10"/>
  <c r="L140" i="10"/>
  <c r="N130" i="10"/>
  <c r="L57" i="10"/>
  <c r="K27" i="10"/>
  <c r="N103" i="10"/>
  <c r="L142" i="10"/>
  <c r="K56" i="10"/>
  <c r="N76" i="10"/>
  <c r="L31" i="10"/>
  <c r="K57" i="10"/>
  <c r="N105" i="10"/>
  <c r="L144" i="10"/>
  <c r="N50" i="10"/>
  <c r="L6" i="10"/>
  <c r="M101" i="10"/>
  <c r="K89" i="10"/>
  <c r="N137" i="10"/>
  <c r="N54" i="10"/>
  <c r="L93" i="10"/>
  <c r="K147" i="10"/>
  <c r="M76" i="10"/>
  <c r="L10" i="10"/>
  <c r="K64" i="10"/>
  <c r="N28" i="10"/>
  <c r="M161" i="10"/>
  <c r="K37" i="10"/>
  <c r="M106" i="10"/>
  <c r="L68" i="10"/>
  <c r="K38" i="10"/>
  <c r="N30" i="10"/>
  <c r="M164" i="10"/>
  <c r="N11" i="10"/>
  <c r="N39" i="10"/>
  <c r="N67" i="10"/>
  <c r="N95" i="10"/>
  <c r="N123" i="10"/>
  <c r="N151" i="10"/>
  <c r="N179" i="10"/>
  <c r="M32" i="10"/>
  <c r="M60" i="10"/>
  <c r="M88" i="10"/>
  <c r="M116" i="10"/>
  <c r="M144" i="10"/>
  <c r="M172" i="10"/>
  <c r="L22" i="10"/>
  <c r="L50" i="10"/>
  <c r="L78" i="10"/>
  <c r="L106" i="10"/>
  <c r="L134" i="10"/>
  <c r="L162" i="10"/>
  <c r="K20" i="10"/>
  <c r="K48" i="10"/>
  <c r="K76" i="10"/>
  <c r="M8" i="5" s="1"/>
  <c r="N8" i="5" s="1"/>
  <c r="K104" i="10"/>
  <c r="K132" i="10"/>
  <c r="M24" i="5" s="1"/>
  <c r="N24" i="5" s="1"/>
  <c r="K160" i="10"/>
  <c r="K25" i="10"/>
  <c r="K109" i="10"/>
  <c r="N101" i="10"/>
  <c r="L56" i="10"/>
  <c r="K138" i="10"/>
  <c r="N158" i="10"/>
  <c r="L141" i="10"/>
  <c r="K111" i="10"/>
  <c r="N131" i="10"/>
  <c r="L58" i="10"/>
  <c r="M46" i="5"/>
  <c r="N46" i="5" s="1"/>
  <c r="M125" i="10"/>
  <c r="M126" i="10"/>
  <c r="K142" i="10"/>
  <c r="N22" i="10"/>
  <c r="L61" i="10"/>
  <c r="K171" i="10"/>
  <c r="M44" i="10"/>
  <c r="L34" i="10"/>
  <c r="K172" i="10"/>
  <c r="N24" i="10"/>
  <c r="L147" i="10"/>
  <c r="M18" i="10"/>
  <c r="L120" i="10"/>
  <c r="K146" i="10"/>
  <c r="N110" i="10"/>
  <c r="M53" i="5"/>
  <c r="N53" i="5" s="1"/>
  <c r="M132" i="10"/>
  <c r="M133" i="10"/>
  <c r="N141" i="10"/>
  <c r="L96" i="10"/>
  <c r="K178" i="10"/>
  <c r="M51" i="10"/>
  <c r="N115" i="10"/>
  <c r="L42" i="10"/>
  <c r="K40" i="10"/>
  <c r="N12" i="10"/>
  <c r="N40" i="10"/>
  <c r="N68" i="10"/>
  <c r="N96" i="10"/>
  <c r="N124" i="10"/>
  <c r="N152" i="10"/>
  <c r="N180" i="10"/>
  <c r="M33" i="10"/>
  <c r="M61" i="10"/>
  <c r="M89" i="10"/>
  <c r="M117" i="10"/>
  <c r="M145" i="10"/>
  <c r="M173" i="10"/>
  <c r="L23" i="10"/>
  <c r="L51" i="10"/>
  <c r="L79" i="10"/>
  <c r="L107" i="10"/>
  <c r="L135" i="10"/>
  <c r="L163" i="10"/>
  <c r="M39" i="5"/>
  <c r="N39" i="5" s="1"/>
  <c r="K21" i="10"/>
  <c r="K49" i="10"/>
  <c r="M11" i="5" s="1"/>
  <c r="N11" i="5" s="1"/>
  <c r="K77" i="10"/>
  <c r="M2" i="5" s="1"/>
  <c r="N2" i="5" s="1"/>
  <c r="K105" i="10"/>
  <c r="K133" i="10"/>
  <c r="K161" i="10"/>
  <c r="K79" i="10"/>
  <c r="K53" i="10"/>
  <c r="N17" i="10"/>
  <c r="N102" i="10"/>
  <c r="L85" i="10"/>
  <c r="K83" i="10"/>
  <c r="N159" i="10"/>
  <c r="M152" i="10"/>
  <c r="L170" i="10"/>
  <c r="K28" i="10"/>
  <c r="N20" i="10"/>
  <c r="L87" i="10"/>
  <c r="K113" i="10"/>
  <c r="M14" i="10"/>
  <c r="M5" i="10"/>
  <c r="L172" i="10"/>
  <c r="K58" i="10"/>
  <c r="N78" i="10"/>
  <c r="L173" i="10"/>
  <c r="N107" i="10"/>
  <c r="L118" i="10"/>
  <c r="K116" i="10"/>
  <c r="N164" i="10"/>
  <c r="L63" i="10"/>
  <c r="K33" i="10"/>
  <c r="N81" i="10"/>
  <c r="L148" i="10"/>
  <c r="K174" i="10"/>
  <c r="M47" i="10"/>
  <c r="L121" i="10"/>
  <c r="K91" i="10"/>
  <c r="M20" i="5" s="1"/>
  <c r="N20" i="5" s="1"/>
  <c r="N111" i="10"/>
  <c r="L150" i="10"/>
  <c r="K148" i="10"/>
  <c r="N140" i="10"/>
  <c r="M162" i="10"/>
  <c r="M135" i="10"/>
  <c r="L69" i="10"/>
  <c r="K67" i="10"/>
  <c r="N87" i="10"/>
  <c r="L126" i="10"/>
  <c r="K180" i="10"/>
  <c r="N13" i="10"/>
  <c r="N41" i="10"/>
  <c r="N69" i="10"/>
  <c r="N97" i="10"/>
  <c r="N125" i="10"/>
  <c r="N153" i="10"/>
  <c r="M6" i="10"/>
  <c r="M34" i="10"/>
  <c r="M62" i="10"/>
  <c r="M90" i="10"/>
  <c r="M118" i="10"/>
  <c r="M146" i="10"/>
  <c r="M174" i="10"/>
  <c r="L24" i="10"/>
  <c r="L52" i="10"/>
  <c r="L80" i="10"/>
  <c r="L108" i="10"/>
  <c r="L136" i="10"/>
  <c r="L164" i="10"/>
  <c r="M13" i="5"/>
  <c r="N13" i="5" s="1"/>
  <c r="M40" i="5"/>
  <c r="N40" i="5" s="1"/>
  <c r="K22" i="10"/>
  <c r="K50" i="10"/>
  <c r="M14" i="5" s="1"/>
  <c r="N14" i="5" s="1"/>
  <c r="K78" i="10"/>
  <c r="K106" i="10"/>
  <c r="M4" i="5" s="1"/>
  <c r="N4" i="5" s="1"/>
  <c r="K134" i="10"/>
  <c r="M29" i="5" s="1"/>
  <c r="N29" i="5" s="1"/>
  <c r="K162" i="10"/>
  <c r="N161" i="10"/>
  <c r="K30" i="10"/>
  <c r="M10" i="5" s="1"/>
  <c r="N10" i="5" s="1"/>
  <c r="M43" i="10"/>
  <c r="L117" i="10"/>
  <c r="K87" i="10"/>
  <c r="M21" i="5" s="1"/>
  <c r="N21" i="5" s="1"/>
  <c r="M16" i="10"/>
  <c r="M157" i="10"/>
  <c r="K117" i="10"/>
  <c r="M7" i="5" s="1"/>
  <c r="N7" i="5" s="1"/>
  <c r="M46" i="10"/>
  <c r="M131" i="10"/>
  <c r="N167" i="10"/>
  <c r="L94" i="10"/>
  <c r="K92" i="10"/>
  <c r="M21" i="10"/>
  <c r="L123" i="10"/>
  <c r="K177" i="10"/>
  <c r="N57" i="10"/>
  <c r="N170" i="10"/>
  <c r="L125" i="10"/>
  <c r="K123" i="10"/>
  <c r="N171" i="10"/>
  <c r="M31" i="5"/>
  <c r="N31" i="5" s="1"/>
  <c r="N14" i="10"/>
  <c r="N42" i="10"/>
  <c r="N70" i="10"/>
  <c r="N98" i="10"/>
  <c r="N126" i="10"/>
  <c r="N154" i="10"/>
  <c r="M7" i="10"/>
  <c r="M35" i="10"/>
  <c r="M63" i="10"/>
  <c r="M91" i="10"/>
  <c r="M119" i="10"/>
  <c r="M147" i="10"/>
  <c r="M175" i="10"/>
  <c r="L25" i="10"/>
  <c r="L53" i="10"/>
  <c r="L81" i="10"/>
  <c r="L109" i="10"/>
  <c r="L137" i="10"/>
  <c r="L165" i="10"/>
  <c r="N129" i="10"/>
  <c r="K82" i="10"/>
  <c r="M39" i="10"/>
  <c r="L169" i="10"/>
  <c r="K139" i="10"/>
  <c r="M12" i="10"/>
  <c r="M180" i="10"/>
  <c r="M19" i="5"/>
  <c r="N19" i="5" s="1"/>
  <c r="M97" i="10"/>
  <c r="M70" i="10"/>
  <c r="M155" i="10"/>
  <c r="M72" i="10"/>
  <c r="L62" i="10"/>
  <c r="K144" i="10"/>
  <c r="M12" i="5" s="1"/>
  <c r="N12" i="5" s="1"/>
  <c r="N52" i="10"/>
  <c r="M130" i="10"/>
  <c r="M19" i="10"/>
  <c r="L65" i="10"/>
  <c r="K63" i="10"/>
  <c r="N139" i="10"/>
  <c r="L66" i="10"/>
  <c r="K36" i="10"/>
  <c r="N112" i="10"/>
  <c r="L67" i="10"/>
  <c r="K9" i="10"/>
  <c r="M22" i="10"/>
  <c r="L152" i="10"/>
  <c r="M23" i="10"/>
  <c r="M30" i="5"/>
  <c r="N30" i="5" s="1"/>
  <c r="M136" i="10"/>
  <c r="N15" i="10"/>
  <c r="N43" i="10"/>
  <c r="N71" i="10"/>
  <c r="N99" i="10"/>
  <c r="N127" i="10"/>
  <c r="N155" i="10"/>
  <c r="M8" i="10"/>
  <c r="M36" i="10"/>
  <c r="M64" i="10"/>
  <c r="M92" i="10"/>
  <c r="M120" i="10"/>
  <c r="M148" i="10"/>
  <c r="M176" i="10"/>
  <c r="L26" i="10"/>
  <c r="L54" i="10"/>
  <c r="L82" i="10"/>
  <c r="L110" i="10"/>
  <c r="L138" i="10"/>
  <c r="L166" i="10"/>
  <c r="M42" i="5"/>
  <c r="N42" i="5" s="1"/>
  <c r="K24" i="10"/>
  <c r="K52" i="10"/>
  <c r="M47" i="5" s="1"/>
  <c r="N47" i="5" s="1"/>
  <c r="K80" i="10"/>
  <c r="K108" i="10"/>
  <c r="K136" i="10"/>
  <c r="M49" i="5" s="1"/>
  <c r="N49" i="5" s="1"/>
  <c r="K164" i="10"/>
  <c r="N16" i="10"/>
  <c r="N44" i="10"/>
  <c r="N72" i="10"/>
  <c r="N100" i="10"/>
  <c r="N128" i="10"/>
  <c r="N156" i="10"/>
  <c r="M9" i="10"/>
  <c r="M37" i="10"/>
  <c r="M65" i="10"/>
  <c r="M93" i="10"/>
  <c r="M121" i="10"/>
  <c r="M149" i="10"/>
  <c r="M177" i="10"/>
  <c r="L27" i="10"/>
  <c r="L55" i="10"/>
  <c r="L83" i="10"/>
  <c r="L111" i="10"/>
  <c r="L139" i="10"/>
  <c r="L167" i="10"/>
  <c r="M16" i="5"/>
  <c r="N16" i="5" s="1"/>
  <c r="M66" i="10"/>
  <c r="M44" i="5"/>
  <c r="N44" i="5" s="1"/>
  <c r="M95" i="10"/>
  <c r="M40" i="10"/>
  <c r="N48" i="10"/>
  <c r="M153" i="10"/>
  <c r="N21" i="10"/>
  <c r="L60" i="10"/>
  <c r="K86" i="10"/>
  <c r="M26" i="5" s="1"/>
  <c r="N26" i="5" s="1"/>
  <c r="M15" i="10"/>
  <c r="L5" i="10"/>
  <c r="N23" i="10"/>
  <c r="M156" i="10"/>
  <c r="K60" i="10"/>
  <c r="M17" i="10"/>
  <c r="L7" i="10"/>
  <c r="M51" i="5"/>
  <c r="N51" i="5" s="1"/>
  <c r="M158" i="10"/>
  <c r="M103" i="10"/>
  <c r="L149" i="10"/>
  <c r="K119" i="10"/>
  <c r="N83" i="10"/>
  <c r="L178" i="10"/>
  <c r="N84" i="10"/>
  <c r="L95" i="10"/>
  <c r="K121" i="10"/>
  <c r="N169" i="10"/>
  <c r="L124" i="10"/>
  <c r="K122" i="10"/>
  <c r="N142" i="10"/>
  <c r="N143" i="10"/>
  <c r="L14" i="10"/>
  <c r="K152" i="10"/>
  <c r="I15" i="10"/>
  <c r="I29" i="10"/>
  <c r="I43" i="10"/>
  <c r="I57" i="10"/>
  <c r="I71" i="10"/>
  <c r="I85" i="10"/>
  <c r="I99" i="10"/>
  <c r="I113" i="10"/>
  <c r="I127" i="10"/>
  <c r="I141" i="10"/>
  <c r="I155" i="10"/>
  <c r="I169" i="10"/>
  <c r="H7" i="10"/>
  <c r="H35" i="10"/>
  <c r="H63" i="10"/>
  <c r="H91" i="10"/>
  <c r="H119" i="10"/>
  <c r="H147" i="10"/>
  <c r="H175" i="10"/>
  <c r="H15" i="10"/>
  <c r="I105" i="10"/>
  <c r="H47" i="10"/>
  <c r="J63" i="10"/>
  <c r="H20" i="10"/>
  <c r="I64" i="10"/>
  <c r="I176" i="10"/>
  <c r="J176" i="10"/>
  <c r="I37" i="10"/>
  <c r="I135" i="10"/>
  <c r="H79" i="10"/>
  <c r="J9" i="10"/>
  <c r="J177" i="10"/>
  <c r="I10" i="10"/>
  <c r="I94" i="10"/>
  <c r="H137" i="10"/>
  <c r="J10" i="10"/>
  <c r="J80" i="10"/>
  <c r="H166" i="10"/>
  <c r="J15" i="10"/>
  <c r="J29" i="10"/>
  <c r="J43" i="10"/>
  <c r="J57" i="10"/>
  <c r="J71" i="10"/>
  <c r="J85" i="10"/>
  <c r="J99" i="10"/>
  <c r="J113" i="10"/>
  <c r="J127" i="10"/>
  <c r="J141" i="10"/>
  <c r="J155" i="10"/>
  <c r="J169" i="10"/>
  <c r="H8" i="10"/>
  <c r="H36" i="10"/>
  <c r="H64" i="10"/>
  <c r="H92" i="10"/>
  <c r="H120" i="10"/>
  <c r="H148" i="10"/>
  <c r="H176" i="10"/>
  <c r="J16" i="10"/>
  <c r="J44" i="10"/>
  <c r="J72" i="10"/>
  <c r="J100" i="10"/>
  <c r="J128" i="10"/>
  <c r="J156" i="10"/>
  <c r="H10" i="10"/>
  <c r="H66" i="10"/>
  <c r="H122" i="10"/>
  <c r="H178" i="10"/>
  <c r="H13" i="10"/>
  <c r="J60" i="10"/>
  <c r="J102" i="10"/>
  <c r="J158" i="10"/>
  <c r="H70" i="10"/>
  <c r="I75" i="10"/>
  <c r="I145" i="10"/>
  <c r="H71" i="10"/>
  <c r="I7" i="10"/>
  <c r="I91" i="10"/>
  <c r="H19" i="10"/>
  <c r="H131" i="10"/>
  <c r="J119" i="10"/>
  <c r="H132" i="10"/>
  <c r="I8" i="10"/>
  <c r="I50" i="10"/>
  <c r="I148" i="10"/>
  <c r="H133" i="10"/>
  <c r="J162" i="10"/>
  <c r="I107" i="10"/>
  <c r="H23" i="10"/>
  <c r="J23" i="10"/>
  <c r="J79" i="10"/>
  <c r="H80" i="10"/>
  <c r="I136" i="10"/>
  <c r="J164" i="10"/>
  <c r="I11" i="10"/>
  <c r="I123" i="10"/>
  <c r="I16" i="10"/>
  <c r="I30" i="10"/>
  <c r="I44" i="10"/>
  <c r="I58" i="10"/>
  <c r="I72" i="10"/>
  <c r="I86" i="10"/>
  <c r="I100" i="10"/>
  <c r="I114" i="10"/>
  <c r="I128" i="10"/>
  <c r="I142" i="10"/>
  <c r="I156" i="10"/>
  <c r="I170" i="10"/>
  <c r="H9" i="10"/>
  <c r="H37" i="10"/>
  <c r="H65" i="10"/>
  <c r="H93" i="10"/>
  <c r="H121" i="10"/>
  <c r="H149" i="10"/>
  <c r="H177" i="10"/>
  <c r="J30" i="10"/>
  <c r="J58" i="10"/>
  <c r="J86" i="10"/>
  <c r="J114" i="10"/>
  <c r="J142" i="10"/>
  <c r="J170" i="10"/>
  <c r="H38" i="10"/>
  <c r="H94" i="10"/>
  <c r="H150" i="10"/>
  <c r="H69" i="10"/>
  <c r="J18" i="10"/>
  <c r="J88" i="10"/>
  <c r="J144" i="10"/>
  <c r="H42" i="10"/>
  <c r="H154" i="10"/>
  <c r="I19" i="10"/>
  <c r="I103" i="10"/>
  <c r="I173" i="10"/>
  <c r="H127" i="10"/>
  <c r="I133" i="10"/>
  <c r="H103" i="10"/>
  <c r="J91" i="10"/>
  <c r="H48" i="10"/>
  <c r="I36" i="10"/>
  <c r="I134" i="10"/>
  <c r="H77" i="10"/>
  <c r="J134" i="10"/>
  <c r="H134" i="10"/>
  <c r="I51" i="10"/>
  <c r="I163" i="10"/>
  <c r="H52" i="10"/>
  <c r="I38" i="10"/>
  <c r="I80" i="10"/>
  <c r="I178" i="10"/>
  <c r="H165" i="10"/>
  <c r="H110" i="10"/>
  <c r="I67" i="10"/>
  <c r="I95" i="10"/>
  <c r="J22" i="10"/>
  <c r="J149" i="10"/>
  <c r="I52" i="10"/>
  <c r="I164" i="10"/>
  <c r="H54" i="10"/>
  <c r="I53" i="10"/>
  <c r="I17" i="10"/>
  <c r="I31" i="10"/>
  <c r="I45" i="10"/>
  <c r="I59" i="10"/>
  <c r="I73" i="10"/>
  <c r="I87" i="10"/>
  <c r="I101" i="10"/>
  <c r="I115" i="10"/>
  <c r="I129" i="10"/>
  <c r="I143" i="10"/>
  <c r="I157" i="10"/>
  <c r="I171" i="10"/>
  <c r="H11" i="10"/>
  <c r="H39" i="10"/>
  <c r="H67" i="10"/>
  <c r="H95" i="10"/>
  <c r="H123" i="10"/>
  <c r="H151" i="10"/>
  <c r="H179" i="10"/>
  <c r="I18" i="10"/>
  <c r="I46" i="10"/>
  <c r="I74" i="10"/>
  <c r="I102" i="10"/>
  <c r="I130" i="10"/>
  <c r="I158" i="10"/>
  <c r="H41" i="10"/>
  <c r="H125" i="10"/>
  <c r="J46" i="10"/>
  <c r="J116" i="10"/>
  <c r="J172" i="10"/>
  <c r="H98" i="10"/>
  <c r="I33" i="10"/>
  <c r="I89" i="10"/>
  <c r="I131" i="10"/>
  <c r="H43" i="10"/>
  <c r="H155" i="10"/>
  <c r="I147" i="10"/>
  <c r="J21" i="10"/>
  <c r="J77" i="10"/>
  <c r="J147" i="10"/>
  <c r="H76" i="10"/>
  <c r="I120" i="10"/>
  <c r="H161" i="10"/>
  <c r="J78" i="10"/>
  <c r="H22" i="10"/>
  <c r="H162" i="10"/>
  <c r="I79" i="10"/>
  <c r="H107" i="10"/>
  <c r="J51" i="10"/>
  <c r="J163" i="10"/>
  <c r="H25" i="10"/>
  <c r="J52" i="10"/>
  <c r="J94" i="10"/>
  <c r="H82" i="10"/>
  <c r="J17" i="10"/>
  <c r="J31" i="10"/>
  <c r="J45" i="10"/>
  <c r="J59" i="10"/>
  <c r="J73" i="10"/>
  <c r="J87" i="10"/>
  <c r="J101" i="10"/>
  <c r="J115" i="10"/>
  <c r="J129" i="10"/>
  <c r="J143" i="10"/>
  <c r="J157" i="10"/>
  <c r="J171" i="10"/>
  <c r="H12" i="10"/>
  <c r="H40" i="10"/>
  <c r="H68" i="10"/>
  <c r="H96" i="10"/>
  <c r="H124" i="10"/>
  <c r="H152" i="10"/>
  <c r="H180" i="10"/>
  <c r="I32" i="10"/>
  <c r="I60" i="10"/>
  <c r="I88" i="10"/>
  <c r="I116" i="10"/>
  <c r="I144" i="10"/>
  <c r="I172" i="10"/>
  <c r="H97" i="10"/>
  <c r="H153" i="10"/>
  <c r="J32" i="10"/>
  <c r="J74" i="10"/>
  <c r="J130" i="10"/>
  <c r="H14" i="10"/>
  <c r="H126" i="10"/>
  <c r="I47" i="10"/>
  <c r="I61" i="10"/>
  <c r="I117" i="10"/>
  <c r="I159" i="10"/>
  <c r="H99" i="10"/>
  <c r="I119" i="10"/>
  <c r="J49" i="10"/>
  <c r="J161" i="10"/>
  <c r="H160" i="10"/>
  <c r="I106" i="10"/>
  <c r="H105" i="10"/>
  <c r="J8" i="10"/>
  <c r="J64" i="10"/>
  <c r="J148" i="10"/>
  <c r="H78" i="10"/>
  <c r="I93" i="10"/>
  <c r="H135" i="10"/>
  <c r="J65" i="10"/>
  <c r="J121" i="10"/>
  <c r="H108" i="10"/>
  <c r="H81" i="10"/>
  <c r="J66" i="10"/>
  <c r="J108" i="10"/>
  <c r="H138" i="10"/>
  <c r="J36" i="10"/>
  <c r="H51" i="10"/>
  <c r="J135" i="10"/>
  <c r="I150" i="10"/>
  <c r="J24" i="10"/>
  <c r="J136" i="10"/>
  <c r="J50" i="10"/>
  <c r="I177" i="10"/>
  <c r="H24" i="10"/>
  <c r="I24" i="10"/>
  <c r="I108" i="10"/>
  <c r="H26" i="10"/>
  <c r="I25" i="10"/>
  <c r="I109" i="10"/>
  <c r="J120" i="10"/>
  <c r="H163" i="10"/>
  <c r="H136" i="10"/>
  <c r="I66" i="10"/>
  <c r="H109" i="10"/>
  <c r="J178" i="10"/>
  <c r="I39" i="10"/>
  <c r="I137" i="10"/>
  <c r="J19" i="10"/>
  <c r="J33" i="10"/>
  <c r="J47" i="10"/>
  <c r="J61" i="10"/>
  <c r="J75" i="10"/>
  <c r="J89" i="10"/>
  <c r="J103" i="10"/>
  <c r="J117" i="10"/>
  <c r="J131" i="10"/>
  <c r="J145" i="10"/>
  <c r="J159" i="10"/>
  <c r="J173" i="10"/>
  <c r="H16" i="10"/>
  <c r="H44" i="10"/>
  <c r="H72" i="10"/>
  <c r="H100" i="10"/>
  <c r="H128" i="10"/>
  <c r="H156" i="10"/>
  <c r="I6" i="10"/>
  <c r="I20" i="10"/>
  <c r="I34" i="10"/>
  <c r="I48" i="10"/>
  <c r="I62" i="10"/>
  <c r="I76" i="10"/>
  <c r="I90" i="10"/>
  <c r="I104" i="10"/>
  <c r="I118" i="10"/>
  <c r="I132" i="10"/>
  <c r="I146" i="10"/>
  <c r="I160" i="10"/>
  <c r="H17" i="10"/>
  <c r="H45" i="10"/>
  <c r="H73" i="10"/>
  <c r="H101" i="10"/>
  <c r="H129" i="10"/>
  <c r="H157" i="10"/>
  <c r="J34" i="10"/>
  <c r="J62" i="10"/>
  <c r="J90" i="10"/>
  <c r="J118" i="10"/>
  <c r="J132" i="10"/>
  <c r="J160" i="10"/>
  <c r="H18" i="10"/>
  <c r="H74" i="10"/>
  <c r="H130" i="10"/>
  <c r="I35" i="10"/>
  <c r="I63" i="10"/>
  <c r="I175" i="10"/>
  <c r="H159" i="10"/>
  <c r="J133" i="10"/>
  <c r="I22" i="10"/>
  <c r="I78" i="10"/>
  <c r="I162" i="10"/>
  <c r="H21" i="10"/>
  <c r="J92" i="10"/>
  <c r="H106" i="10"/>
  <c r="I9" i="10"/>
  <c r="I23" i="10"/>
  <c r="I65" i="10"/>
  <c r="I149" i="10"/>
  <c r="J93" i="10"/>
  <c r="I122" i="10"/>
  <c r="J150" i="10"/>
  <c r="I174" i="10"/>
  <c r="J6" i="10"/>
  <c r="J20" i="10"/>
  <c r="J48" i="10"/>
  <c r="J76" i="10"/>
  <c r="J104" i="10"/>
  <c r="J146" i="10"/>
  <c r="J174" i="10"/>
  <c r="H46" i="10"/>
  <c r="H102" i="10"/>
  <c r="H158" i="10"/>
  <c r="I21" i="10"/>
  <c r="I49" i="10"/>
  <c r="I77" i="10"/>
  <c r="I161" i="10"/>
  <c r="H75" i="10"/>
  <c r="J7" i="10"/>
  <c r="J35" i="10"/>
  <c r="J105" i="10"/>
  <c r="J175" i="10"/>
  <c r="H104" i="10"/>
  <c r="I92" i="10"/>
  <c r="H49" i="10"/>
  <c r="J106" i="10"/>
  <c r="H50" i="10"/>
  <c r="I121" i="10"/>
  <c r="J37" i="10"/>
  <c r="J107" i="10"/>
  <c r="H164" i="10"/>
  <c r="H53" i="10"/>
  <c r="J38" i="10"/>
  <c r="J122" i="10"/>
  <c r="J28" i="10"/>
  <c r="I84" i="10"/>
  <c r="I140" i="10"/>
  <c r="H29" i="10"/>
  <c r="H117" i="10"/>
  <c r="H116" i="10"/>
  <c r="J39" i="10"/>
  <c r="J84" i="10"/>
  <c r="J140" i="10"/>
  <c r="H30" i="10"/>
  <c r="H118" i="10"/>
  <c r="I96" i="10"/>
  <c r="H140" i="10"/>
  <c r="J53" i="10"/>
  <c r="H57" i="10"/>
  <c r="H58" i="10"/>
  <c r="J54" i="10"/>
  <c r="I165" i="10"/>
  <c r="H168" i="10"/>
  <c r="J167" i="10"/>
  <c r="H172" i="10"/>
  <c r="J168" i="10"/>
  <c r="J179" i="10"/>
  <c r="J180" i="10"/>
  <c r="I5" i="10"/>
  <c r="I27" i="10"/>
  <c r="H114" i="10"/>
  <c r="H27" i="10"/>
  <c r="I28" i="10"/>
  <c r="I40" i="10"/>
  <c r="J95" i="10"/>
  <c r="I151" i="10"/>
  <c r="H31" i="10"/>
  <c r="H139" i="10"/>
  <c r="J40" i="10"/>
  <c r="J151" i="10"/>
  <c r="H32" i="10"/>
  <c r="H143" i="10"/>
  <c r="I98" i="10"/>
  <c r="H56" i="10"/>
  <c r="H145" i="10"/>
  <c r="J109" i="10"/>
  <c r="H146" i="10"/>
  <c r="H167" i="10"/>
  <c r="J110" i="10"/>
  <c r="H60" i="10"/>
  <c r="H170" i="10"/>
  <c r="I112" i="10"/>
  <c r="J11" i="10"/>
  <c r="I68" i="10"/>
  <c r="H173" i="10"/>
  <c r="I124" i="10"/>
  <c r="H86" i="10"/>
  <c r="I13" i="10"/>
  <c r="I125" i="10"/>
  <c r="H88" i="10"/>
  <c r="I14" i="10"/>
  <c r="I126" i="10"/>
  <c r="H90" i="10"/>
  <c r="I81" i="10"/>
  <c r="J81" i="10"/>
  <c r="J26" i="10"/>
  <c r="H5" i="10"/>
  <c r="J82" i="10"/>
  <c r="J27" i="10"/>
  <c r="J139" i="10"/>
  <c r="I41" i="10"/>
  <c r="J96" i="10"/>
  <c r="I152" i="10"/>
  <c r="H33" i="10"/>
  <c r="H141" i="10"/>
  <c r="I153" i="10"/>
  <c r="H144" i="10"/>
  <c r="J98" i="10"/>
  <c r="I110" i="10"/>
  <c r="H59" i="10"/>
  <c r="H83" i="10"/>
  <c r="J112" i="10"/>
  <c r="I12" i="10"/>
  <c r="J68" i="10"/>
  <c r="H174" i="10"/>
  <c r="I179" i="10"/>
  <c r="I180" i="10"/>
  <c r="J126" i="10"/>
  <c r="I138" i="10"/>
  <c r="H115" i="10"/>
  <c r="J41" i="10"/>
  <c r="I97" i="10"/>
  <c r="J152" i="10"/>
  <c r="H34" i="10"/>
  <c r="H142" i="10"/>
  <c r="I42" i="10"/>
  <c r="J97" i="10"/>
  <c r="H55" i="10"/>
  <c r="J42" i="10"/>
  <c r="J153" i="10"/>
  <c r="I154" i="10"/>
  <c r="I54" i="10"/>
  <c r="J154" i="10"/>
  <c r="I55" i="10"/>
  <c r="J165" i="10"/>
  <c r="J56" i="10"/>
  <c r="H171" i="10"/>
  <c r="J67" i="10"/>
  <c r="H84" i="10"/>
  <c r="J123" i="10"/>
  <c r="J12" i="10"/>
  <c r="J124" i="10"/>
  <c r="H87" i="10"/>
  <c r="J69" i="10"/>
  <c r="I70" i="10"/>
  <c r="J70" i="10"/>
  <c r="J25" i="10"/>
  <c r="J137" i="10"/>
  <c r="H112" i="10"/>
  <c r="I83" i="10"/>
  <c r="H28" i="10"/>
  <c r="J55" i="10"/>
  <c r="I111" i="10"/>
  <c r="I166" i="10"/>
  <c r="H61" i="10"/>
  <c r="H169" i="10"/>
  <c r="I56" i="10"/>
  <c r="J111" i="10"/>
  <c r="J166" i="10"/>
  <c r="H62" i="10"/>
  <c r="I167" i="10"/>
  <c r="I168" i="10"/>
  <c r="H85" i="10"/>
  <c r="I69" i="10"/>
  <c r="J13" i="10"/>
  <c r="J125" i="10"/>
  <c r="H89" i="10"/>
  <c r="J14" i="10"/>
  <c r="J5" i="10"/>
  <c r="H111" i="10"/>
  <c r="I26" i="10"/>
  <c r="I82" i="10"/>
  <c r="H113" i="10"/>
  <c r="J138" i="10"/>
  <c r="H6" i="10"/>
  <c r="I139" i="10"/>
  <c r="J83" i="10"/>
  <c r="A5" i="10"/>
  <c r="G22" i="10"/>
  <c r="G50" i="10"/>
  <c r="G78" i="10"/>
  <c r="G106" i="10"/>
  <c r="G134" i="10"/>
  <c r="G162" i="10"/>
  <c r="G157" i="10"/>
  <c r="G130" i="10"/>
  <c r="G75" i="10"/>
  <c r="G20" i="10"/>
  <c r="G23" i="10"/>
  <c r="G51" i="10"/>
  <c r="G79" i="10"/>
  <c r="G107" i="10"/>
  <c r="G135" i="10"/>
  <c r="G163" i="10"/>
  <c r="G24" i="10"/>
  <c r="G52" i="10"/>
  <c r="G80" i="10"/>
  <c r="G108" i="10"/>
  <c r="G136" i="10"/>
  <c r="G164" i="10"/>
  <c r="G84" i="10"/>
  <c r="G140" i="10"/>
  <c r="G172" i="10"/>
  <c r="G145" i="10"/>
  <c r="G119" i="10"/>
  <c r="G36" i="10"/>
  <c r="G177" i="10"/>
  <c r="G38" i="10"/>
  <c r="G123" i="10"/>
  <c r="G68" i="10"/>
  <c r="G97" i="10"/>
  <c r="G98" i="10"/>
  <c r="G71" i="10"/>
  <c r="G128" i="10"/>
  <c r="G45" i="10"/>
  <c r="G160" i="10"/>
  <c r="G25" i="10"/>
  <c r="G53" i="10"/>
  <c r="G81" i="10"/>
  <c r="G109" i="10"/>
  <c r="G137" i="10"/>
  <c r="G165" i="10"/>
  <c r="G56" i="10"/>
  <c r="G60" i="10"/>
  <c r="G61" i="10"/>
  <c r="G147" i="10"/>
  <c r="G92" i="10"/>
  <c r="G93" i="10"/>
  <c r="G94" i="10"/>
  <c r="G151" i="10"/>
  <c r="G124" i="10"/>
  <c r="G153" i="10"/>
  <c r="G42" i="10"/>
  <c r="G155" i="10"/>
  <c r="G131" i="10"/>
  <c r="G49" i="10"/>
  <c r="G26" i="10"/>
  <c r="G54" i="10"/>
  <c r="G82" i="10"/>
  <c r="G110" i="10"/>
  <c r="G138" i="10"/>
  <c r="G166" i="10"/>
  <c r="G28" i="10"/>
  <c r="G168" i="10"/>
  <c r="G32" i="10"/>
  <c r="G117" i="10"/>
  <c r="G91" i="10"/>
  <c r="G64" i="10"/>
  <c r="G149" i="10"/>
  <c r="G178" i="10"/>
  <c r="G67" i="10"/>
  <c r="G152" i="10"/>
  <c r="G125" i="10"/>
  <c r="G76" i="10"/>
  <c r="G27" i="10"/>
  <c r="G55" i="10"/>
  <c r="G83" i="10"/>
  <c r="G111" i="10"/>
  <c r="G139" i="10"/>
  <c r="G167" i="10"/>
  <c r="G112" i="10"/>
  <c r="G88" i="10"/>
  <c r="G89" i="10"/>
  <c r="G63" i="10"/>
  <c r="G120" i="10"/>
  <c r="G121" i="10"/>
  <c r="G11" i="10"/>
  <c r="G180" i="10"/>
  <c r="G69" i="10"/>
  <c r="G15" i="10"/>
  <c r="G156" i="10"/>
  <c r="G101" i="10"/>
  <c r="G18" i="10"/>
  <c r="G29" i="10"/>
  <c r="G57" i="10"/>
  <c r="G85" i="10"/>
  <c r="G113" i="10"/>
  <c r="G141" i="10"/>
  <c r="G169" i="10"/>
  <c r="G31" i="10"/>
  <c r="G115" i="10"/>
  <c r="G171" i="10"/>
  <c r="G144" i="10"/>
  <c r="G173" i="10"/>
  <c r="G35" i="10"/>
  <c r="G148" i="10"/>
  <c r="G65" i="10"/>
  <c r="G122" i="10"/>
  <c r="G179" i="10"/>
  <c r="G40" i="10"/>
  <c r="G5" i="10"/>
  <c r="G154" i="10"/>
  <c r="G127" i="10"/>
  <c r="G72" i="10"/>
  <c r="G129" i="10"/>
  <c r="G46" i="10"/>
  <c r="G158" i="10"/>
  <c r="G103" i="10"/>
  <c r="G30" i="10"/>
  <c r="G58" i="10"/>
  <c r="G86" i="10"/>
  <c r="G114" i="10"/>
  <c r="G142" i="10"/>
  <c r="G170" i="10"/>
  <c r="G59" i="10"/>
  <c r="G87" i="10"/>
  <c r="G143" i="10"/>
  <c r="G116" i="10"/>
  <c r="G33" i="10"/>
  <c r="G7" i="10"/>
  <c r="G176" i="10"/>
  <c r="G37" i="10"/>
  <c r="G150" i="10"/>
  <c r="G95" i="10"/>
  <c r="G96" i="10"/>
  <c r="G41" i="10"/>
  <c r="G126" i="10"/>
  <c r="G99" i="10"/>
  <c r="G100" i="10"/>
  <c r="G17" i="10"/>
  <c r="G74" i="10"/>
  <c r="G19" i="10"/>
  <c r="G132" i="10"/>
  <c r="G77" i="10"/>
  <c r="G161" i="10"/>
  <c r="G10" i="10"/>
  <c r="G70" i="10"/>
  <c r="G16" i="10"/>
  <c r="G73" i="10"/>
  <c r="G102" i="10"/>
  <c r="G47" i="10"/>
  <c r="G48" i="10"/>
  <c r="G105" i="10"/>
  <c r="G6" i="10"/>
  <c r="G34" i="10"/>
  <c r="G62" i="10"/>
  <c r="G90" i="10"/>
  <c r="G118" i="10"/>
  <c r="G146" i="10"/>
  <c r="G174" i="10"/>
  <c r="G175" i="10"/>
  <c r="G8" i="10"/>
  <c r="G9" i="10"/>
  <c r="G66" i="10"/>
  <c r="G39" i="10"/>
  <c r="G12" i="10"/>
  <c r="G13" i="10"/>
  <c r="G14" i="10"/>
  <c r="G43" i="10"/>
  <c r="G44" i="10"/>
  <c r="G159" i="10"/>
  <c r="G104" i="10"/>
  <c r="G21" i="10"/>
  <c r="G133" i="10"/>
  <c r="F38" i="10"/>
  <c r="F37" i="10"/>
  <c r="F36" i="10"/>
  <c r="F34" i="10"/>
  <c r="F35" i="10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6" i="1"/>
  <c r="N3" i="7"/>
  <c r="O3" i="7"/>
  <c r="P3" i="7"/>
  <c r="M3" i="7"/>
  <c r="T1" i="1"/>
  <c r="Q281" i="1"/>
  <c r="R281" i="1" s="1"/>
  <c r="Q282" i="1"/>
  <c r="R282" i="1" s="1"/>
  <c r="Q283" i="1"/>
  <c r="R283" i="1" s="1"/>
  <c r="Q7" i="1"/>
  <c r="R7" i="1" s="1"/>
  <c r="Q8" i="1"/>
  <c r="R8" i="1" s="1"/>
  <c r="Q9" i="1"/>
  <c r="R9" i="1" s="1"/>
  <c r="Q10" i="1"/>
  <c r="R10" i="1" s="1"/>
  <c r="Q11" i="1"/>
  <c r="R11" i="1" s="1"/>
  <c r="Q12" i="1"/>
  <c r="R12" i="1" s="1"/>
  <c r="Q14" i="1"/>
  <c r="R14" i="1" s="1"/>
  <c r="Q15" i="1"/>
  <c r="R15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3" i="1"/>
  <c r="R23" i="1" s="1"/>
  <c r="Q24" i="1"/>
  <c r="R24" i="1" s="1"/>
  <c r="Q25" i="1"/>
  <c r="R25" i="1" s="1"/>
  <c r="Q26" i="1"/>
  <c r="R26" i="1" s="1"/>
  <c r="Q27" i="1"/>
  <c r="R27" i="1" s="1"/>
  <c r="Q28" i="1"/>
  <c r="R28" i="1" s="1"/>
  <c r="Q29" i="1"/>
  <c r="R29" i="1" s="1"/>
  <c r="Q30" i="1"/>
  <c r="R30" i="1" s="1"/>
  <c r="Q32" i="1"/>
  <c r="R32" i="1" s="1"/>
  <c r="Q33" i="1"/>
  <c r="R33" i="1" s="1"/>
  <c r="Q34" i="1"/>
  <c r="R34" i="1" s="1"/>
  <c r="Q35" i="1"/>
  <c r="R35" i="1" s="1"/>
  <c r="Q36" i="1"/>
  <c r="R36" i="1" s="1"/>
  <c r="Q37" i="1"/>
  <c r="R37" i="1" s="1"/>
  <c r="Q38" i="1"/>
  <c r="R38" i="1" s="1"/>
  <c r="Q40" i="1"/>
  <c r="R40" i="1" s="1"/>
  <c r="Q41" i="1"/>
  <c r="R41" i="1" s="1"/>
  <c r="Q42" i="1"/>
  <c r="R42" i="1" s="1"/>
  <c r="Q43" i="1"/>
  <c r="R43" i="1" s="1"/>
  <c r="Q44" i="1"/>
  <c r="R44" i="1" s="1"/>
  <c r="Q45" i="1"/>
  <c r="R45" i="1" s="1"/>
  <c r="Q46" i="1"/>
  <c r="R46" i="1" s="1"/>
  <c r="Q47" i="1"/>
  <c r="R47" i="1" s="1"/>
  <c r="Q49" i="1"/>
  <c r="R49" i="1" s="1"/>
  <c r="Q50" i="1"/>
  <c r="R50" i="1" s="1"/>
  <c r="Q51" i="1"/>
  <c r="R51" i="1" s="1"/>
  <c r="Q52" i="1"/>
  <c r="R52" i="1" s="1"/>
  <c r="Q53" i="1"/>
  <c r="R53" i="1" s="1"/>
  <c r="Q54" i="1"/>
  <c r="R54" i="1" s="1"/>
  <c r="Q55" i="1"/>
  <c r="R55" i="1" s="1"/>
  <c r="Q57" i="1"/>
  <c r="R57" i="1" s="1"/>
  <c r="Q58" i="1"/>
  <c r="R58" i="1" s="1"/>
  <c r="Q59" i="1"/>
  <c r="R59" i="1" s="1"/>
  <c r="Q60" i="1"/>
  <c r="R60" i="1" s="1"/>
  <c r="Q61" i="1"/>
  <c r="R61" i="1" s="1"/>
  <c r="Q62" i="1"/>
  <c r="R62" i="1" s="1"/>
  <c r="Q63" i="1"/>
  <c r="R63" i="1" s="1"/>
  <c r="Q64" i="1"/>
  <c r="R64" i="1" s="1"/>
  <c r="Q66" i="1"/>
  <c r="R66" i="1" s="1"/>
  <c r="Q67" i="1"/>
  <c r="R67" i="1" s="1"/>
  <c r="Q68" i="1"/>
  <c r="R68" i="1" s="1"/>
  <c r="Q69" i="1"/>
  <c r="R69" i="1" s="1"/>
  <c r="Q70" i="1"/>
  <c r="R70" i="1" s="1"/>
  <c r="Q71" i="1"/>
  <c r="R71" i="1" s="1"/>
  <c r="Q72" i="1"/>
  <c r="R72" i="1" s="1"/>
  <c r="Q74" i="1"/>
  <c r="R74" i="1" s="1"/>
  <c r="Q75" i="1"/>
  <c r="R75" i="1" s="1"/>
  <c r="Q76" i="1"/>
  <c r="R76" i="1" s="1"/>
  <c r="Q77" i="1"/>
  <c r="R77" i="1" s="1"/>
  <c r="Q78" i="1"/>
  <c r="R78" i="1" s="1"/>
  <c r="Q79" i="1"/>
  <c r="R79" i="1" s="1"/>
  <c r="Q80" i="1"/>
  <c r="R80" i="1" s="1"/>
  <c r="Q82" i="1"/>
  <c r="R82" i="1" s="1"/>
  <c r="Q83" i="1"/>
  <c r="R83" i="1" s="1"/>
  <c r="Q84" i="1"/>
  <c r="R84" i="1" s="1"/>
  <c r="Q85" i="1"/>
  <c r="R85" i="1" s="1"/>
  <c r="Q86" i="1"/>
  <c r="R86" i="1" s="1"/>
  <c r="Q87" i="1"/>
  <c r="R87" i="1" s="1"/>
  <c r="Q88" i="1"/>
  <c r="R88" i="1" s="1"/>
  <c r="Q89" i="1"/>
  <c r="R89" i="1" s="1"/>
  <c r="Q91" i="1"/>
  <c r="R91" i="1" s="1"/>
  <c r="Q92" i="1"/>
  <c r="R92" i="1" s="1"/>
  <c r="Q93" i="1"/>
  <c r="R93" i="1" s="1"/>
  <c r="Q94" i="1"/>
  <c r="R94" i="1" s="1"/>
  <c r="Q95" i="1"/>
  <c r="R95" i="1" s="1"/>
  <c r="Q96" i="1"/>
  <c r="R96" i="1" s="1"/>
  <c r="Q97" i="1"/>
  <c r="R97" i="1" s="1"/>
  <c r="Q99" i="1"/>
  <c r="R99" i="1" s="1"/>
  <c r="Q100" i="1"/>
  <c r="R100" i="1" s="1"/>
  <c r="Q101" i="1"/>
  <c r="R101" i="1" s="1"/>
  <c r="Q102" i="1"/>
  <c r="R102" i="1" s="1"/>
  <c r="Q103" i="1"/>
  <c r="R103" i="1" s="1"/>
  <c r="Q104" i="1"/>
  <c r="R104" i="1" s="1"/>
  <c r="Q105" i="1"/>
  <c r="R105" i="1" s="1"/>
  <c r="Q106" i="1"/>
  <c r="R106" i="1" s="1"/>
  <c r="Q108" i="1"/>
  <c r="R108" i="1" s="1"/>
  <c r="Q109" i="1"/>
  <c r="R109" i="1" s="1"/>
  <c r="Q110" i="1"/>
  <c r="R110" i="1" s="1"/>
  <c r="Q111" i="1"/>
  <c r="R111" i="1" s="1"/>
  <c r="Q112" i="1"/>
  <c r="R112" i="1" s="1"/>
  <c r="Q113" i="1"/>
  <c r="R113" i="1" s="1"/>
  <c r="Q114" i="1"/>
  <c r="R114" i="1" s="1"/>
  <c r="Q116" i="1"/>
  <c r="R116" i="1" s="1"/>
  <c r="Q117" i="1"/>
  <c r="R117" i="1" s="1"/>
  <c r="Q118" i="1"/>
  <c r="R118" i="1" s="1"/>
  <c r="Q119" i="1"/>
  <c r="R119" i="1" s="1"/>
  <c r="Q120" i="1"/>
  <c r="R120" i="1" s="1"/>
  <c r="Q121" i="1"/>
  <c r="R121" i="1" s="1"/>
  <c r="Q122" i="1"/>
  <c r="R122" i="1" s="1"/>
  <c r="Q123" i="1"/>
  <c r="R123" i="1" s="1"/>
  <c r="Q125" i="1"/>
  <c r="R125" i="1" s="1"/>
  <c r="Q126" i="1"/>
  <c r="R126" i="1" s="1"/>
  <c r="Q127" i="1"/>
  <c r="R127" i="1" s="1"/>
  <c r="Q128" i="1"/>
  <c r="R128" i="1" s="1"/>
  <c r="Q129" i="1"/>
  <c r="R129" i="1" s="1"/>
  <c r="Q130" i="1"/>
  <c r="R130" i="1" s="1"/>
  <c r="Q131" i="1"/>
  <c r="R131" i="1" s="1"/>
  <c r="Q133" i="1"/>
  <c r="R133" i="1" s="1"/>
  <c r="Q134" i="1"/>
  <c r="R134" i="1" s="1"/>
  <c r="Q135" i="1"/>
  <c r="R135" i="1" s="1"/>
  <c r="Q136" i="1"/>
  <c r="R136" i="1" s="1"/>
  <c r="Q137" i="1"/>
  <c r="R137" i="1" s="1"/>
  <c r="Q138" i="1"/>
  <c r="R138" i="1" s="1"/>
  <c r="Q139" i="1"/>
  <c r="R139" i="1" s="1"/>
  <c r="Q140" i="1"/>
  <c r="R140" i="1" s="1"/>
  <c r="Q142" i="1"/>
  <c r="R142" i="1" s="1"/>
  <c r="Q143" i="1"/>
  <c r="R143" i="1" s="1"/>
  <c r="Q144" i="1"/>
  <c r="R144" i="1" s="1"/>
  <c r="Q145" i="1"/>
  <c r="R145" i="1" s="1"/>
  <c r="Q146" i="1"/>
  <c r="R146" i="1" s="1"/>
  <c r="Q147" i="1"/>
  <c r="R147" i="1" s="1"/>
  <c r="Q149" i="1"/>
  <c r="R149" i="1" s="1"/>
  <c r="Q150" i="1"/>
  <c r="R150" i="1" s="1"/>
  <c r="Q151" i="1"/>
  <c r="R151" i="1" s="1"/>
  <c r="Q152" i="1"/>
  <c r="R152" i="1" s="1"/>
  <c r="Q153" i="1"/>
  <c r="R153" i="1" s="1"/>
  <c r="Q154" i="1"/>
  <c r="R154" i="1" s="1"/>
  <c r="Q155" i="1"/>
  <c r="R155" i="1" s="1"/>
  <c r="Q156" i="1"/>
  <c r="R156" i="1" s="1"/>
  <c r="Q158" i="1"/>
  <c r="R158" i="1" s="1"/>
  <c r="Q159" i="1"/>
  <c r="R159" i="1" s="1"/>
  <c r="Q160" i="1"/>
  <c r="R160" i="1" s="1"/>
  <c r="Q161" i="1"/>
  <c r="R161" i="1" s="1"/>
  <c r="Q162" i="1"/>
  <c r="R162" i="1" s="1"/>
  <c r="Q163" i="1"/>
  <c r="R163" i="1" s="1"/>
  <c r="Q164" i="1"/>
  <c r="R164" i="1" s="1"/>
  <c r="Q165" i="1"/>
  <c r="R165" i="1" s="1"/>
  <c r="Q167" i="1"/>
  <c r="R167" i="1" s="1"/>
  <c r="Q168" i="1"/>
  <c r="R168" i="1" s="1"/>
  <c r="Q169" i="1"/>
  <c r="R169" i="1" s="1"/>
  <c r="Q170" i="1"/>
  <c r="R170" i="1" s="1"/>
  <c r="Q171" i="1"/>
  <c r="R171" i="1" s="1"/>
  <c r="Q172" i="1"/>
  <c r="R172" i="1" s="1"/>
  <c r="Q173" i="1"/>
  <c r="R173" i="1" s="1"/>
  <c r="Q174" i="1"/>
  <c r="R174" i="1" s="1"/>
  <c r="Q176" i="1"/>
  <c r="R176" i="1" s="1"/>
  <c r="Q177" i="1"/>
  <c r="R177" i="1" s="1"/>
  <c r="Q178" i="1"/>
  <c r="R178" i="1" s="1"/>
  <c r="Q179" i="1"/>
  <c r="R179" i="1" s="1"/>
  <c r="Q180" i="1"/>
  <c r="R180" i="1" s="1"/>
  <c r="Q181" i="1"/>
  <c r="R181" i="1" s="1"/>
  <c r="Q182" i="1"/>
  <c r="R182" i="1" s="1"/>
  <c r="Q183" i="1"/>
  <c r="R183" i="1" s="1"/>
  <c r="Q185" i="1"/>
  <c r="R185" i="1" s="1"/>
  <c r="Q186" i="1"/>
  <c r="R186" i="1" s="1"/>
  <c r="Q187" i="1"/>
  <c r="R187" i="1" s="1"/>
  <c r="Q188" i="1"/>
  <c r="R188" i="1" s="1"/>
  <c r="Q189" i="1"/>
  <c r="R189" i="1" s="1"/>
  <c r="Q190" i="1"/>
  <c r="R190" i="1" s="1"/>
  <c r="Q191" i="1"/>
  <c r="R191" i="1" s="1"/>
  <c r="Q192" i="1"/>
  <c r="R192" i="1" s="1"/>
  <c r="Q193" i="1"/>
  <c r="R193" i="1" s="1"/>
  <c r="Q194" i="1"/>
  <c r="R194" i="1" s="1"/>
  <c r="Q195" i="1"/>
  <c r="R195" i="1" s="1"/>
  <c r="Q197" i="1"/>
  <c r="R197" i="1" s="1"/>
  <c r="Q198" i="1"/>
  <c r="R198" i="1" s="1"/>
  <c r="Q199" i="1"/>
  <c r="R199" i="1" s="1"/>
  <c r="Q200" i="1"/>
  <c r="R200" i="1" s="1"/>
  <c r="Q201" i="1"/>
  <c r="R201" i="1" s="1"/>
  <c r="Q202" i="1"/>
  <c r="R202" i="1" s="1"/>
  <c r="Q203" i="1"/>
  <c r="R203" i="1" s="1"/>
  <c r="Q205" i="1"/>
  <c r="R205" i="1" s="1"/>
  <c r="Q206" i="1"/>
  <c r="R206" i="1" s="1"/>
  <c r="Q207" i="1"/>
  <c r="R207" i="1" s="1"/>
  <c r="Q208" i="1"/>
  <c r="R208" i="1" s="1"/>
  <c r="Q209" i="1"/>
  <c r="R209" i="1" s="1"/>
  <c r="Q210" i="1"/>
  <c r="R210" i="1" s="1"/>
  <c r="Q211" i="1"/>
  <c r="R211" i="1" s="1"/>
  <c r="Q213" i="1"/>
  <c r="R213" i="1" s="1"/>
  <c r="Q214" i="1"/>
  <c r="R214" i="1" s="1"/>
  <c r="Q215" i="1"/>
  <c r="R215" i="1" s="1"/>
  <c r="Q216" i="1"/>
  <c r="R216" i="1" s="1"/>
  <c r="Q217" i="1"/>
  <c r="R217" i="1" s="1"/>
  <c r="Q218" i="1"/>
  <c r="R218" i="1" s="1"/>
  <c r="Q219" i="1"/>
  <c r="R219" i="1" s="1"/>
  <c r="Q221" i="1"/>
  <c r="R221" i="1" s="1"/>
  <c r="Q222" i="1"/>
  <c r="R222" i="1" s="1"/>
  <c r="Q223" i="1"/>
  <c r="R223" i="1" s="1"/>
  <c r="Q224" i="1"/>
  <c r="R224" i="1" s="1"/>
  <c r="Q225" i="1"/>
  <c r="R225" i="1" s="1"/>
  <c r="Q226" i="1"/>
  <c r="R226" i="1" s="1"/>
  <c r="Q227" i="1"/>
  <c r="R227" i="1" s="1"/>
  <c r="Q229" i="1"/>
  <c r="R229" i="1" s="1"/>
  <c r="Q230" i="1"/>
  <c r="R230" i="1" s="1"/>
  <c r="Q231" i="1"/>
  <c r="R231" i="1" s="1"/>
  <c r="Q232" i="1"/>
  <c r="R232" i="1" s="1"/>
  <c r="Q233" i="1"/>
  <c r="R233" i="1" s="1"/>
  <c r="Q234" i="1"/>
  <c r="R234" i="1" s="1"/>
  <c r="Q235" i="1"/>
  <c r="R235" i="1" s="1"/>
  <c r="Q237" i="1"/>
  <c r="R237" i="1" s="1"/>
  <c r="Q238" i="1"/>
  <c r="R238" i="1" s="1"/>
  <c r="Q239" i="1"/>
  <c r="R239" i="1" s="1"/>
  <c r="Q240" i="1"/>
  <c r="R240" i="1" s="1"/>
  <c r="Q241" i="1"/>
  <c r="R241" i="1" s="1"/>
  <c r="Q242" i="1"/>
  <c r="R242" i="1" s="1"/>
  <c r="Q243" i="1"/>
  <c r="R243" i="1" s="1"/>
  <c r="Q244" i="1"/>
  <c r="R244" i="1" s="1"/>
  <c r="Q246" i="1"/>
  <c r="R246" i="1" s="1"/>
  <c r="Q247" i="1"/>
  <c r="R247" i="1" s="1"/>
  <c r="Q248" i="1"/>
  <c r="R248" i="1" s="1"/>
  <c r="Q249" i="1"/>
  <c r="R249" i="1" s="1"/>
  <c r="Q250" i="1"/>
  <c r="R250" i="1" s="1"/>
  <c r="Q251" i="1"/>
  <c r="R251" i="1" s="1"/>
  <c r="Q252" i="1"/>
  <c r="R252" i="1" s="1"/>
  <c r="Q253" i="1"/>
  <c r="R253" i="1" s="1"/>
  <c r="Q255" i="1"/>
  <c r="R255" i="1" s="1"/>
  <c r="Q256" i="1"/>
  <c r="R256" i="1" s="1"/>
  <c r="Q257" i="1"/>
  <c r="R257" i="1" s="1"/>
  <c r="Q258" i="1"/>
  <c r="R258" i="1" s="1"/>
  <c r="Q259" i="1"/>
  <c r="R259" i="1" s="1"/>
  <c r="Q260" i="1"/>
  <c r="R260" i="1" s="1"/>
  <c r="Q261" i="1"/>
  <c r="R261" i="1" s="1"/>
  <c r="Q262" i="1"/>
  <c r="R262" i="1" s="1"/>
  <c r="Q263" i="1"/>
  <c r="R263" i="1" s="1"/>
  <c r="Q264" i="1"/>
  <c r="R264" i="1" s="1"/>
  <c r="Q265" i="1"/>
  <c r="R265" i="1" s="1"/>
  <c r="Q266" i="1"/>
  <c r="R266" i="1" s="1"/>
  <c r="Q267" i="1"/>
  <c r="R267" i="1" s="1"/>
  <c r="Q268" i="1"/>
  <c r="R268" i="1" s="1"/>
  <c r="Q269" i="1"/>
  <c r="R269" i="1" s="1"/>
  <c r="Q270" i="1"/>
  <c r="R270" i="1" s="1"/>
  <c r="Q271" i="1"/>
  <c r="R271" i="1" s="1"/>
  <c r="Q272" i="1"/>
  <c r="R272" i="1" s="1"/>
  <c r="Q273" i="1"/>
  <c r="R273" i="1" s="1"/>
  <c r="Q274" i="1"/>
  <c r="R274" i="1" s="1"/>
  <c r="Q275" i="1"/>
  <c r="R275" i="1" s="1"/>
  <c r="Q276" i="1"/>
  <c r="R276" i="1" s="1"/>
  <c r="Q277" i="1"/>
  <c r="R277" i="1" s="1"/>
  <c r="Q278" i="1"/>
  <c r="R278" i="1" s="1"/>
  <c r="Q279" i="1"/>
  <c r="R279" i="1" s="1"/>
  <c r="Q280" i="1"/>
  <c r="R280" i="1" s="1"/>
  <c r="Q6" i="1"/>
  <c r="R6" i="1" s="1"/>
  <c r="AF2" i="1" l="1"/>
  <c r="K2" i="10"/>
  <c r="N2" i="10"/>
  <c r="M43" i="5"/>
  <c r="N43" i="5" s="1"/>
  <c r="M2" i="10"/>
  <c r="L2" i="10"/>
  <c r="K1" i="10"/>
  <c r="J2" i="10"/>
  <c r="H2" i="10"/>
  <c r="J1" i="11" s="1"/>
  <c r="K1" i="11" s="1"/>
  <c r="I2" i="10"/>
  <c r="S3" i="1"/>
  <c r="G281" i="1" l="1"/>
  <c r="AA281" i="1" s="1"/>
  <c r="H281" i="1"/>
  <c r="I281" i="1"/>
  <c r="J281" i="1"/>
  <c r="L281" i="1" s="1"/>
  <c r="M281" i="1"/>
  <c r="N281" i="1" s="1"/>
  <c r="O281" i="1"/>
  <c r="P281" i="1" s="1"/>
  <c r="G282" i="1"/>
  <c r="AA282" i="1" s="1"/>
  <c r="H282" i="1"/>
  <c r="I282" i="1"/>
  <c r="J282" i="1"/>
  <c r="L282" i="1" s="1"/>
  <c r="M282" i="1"/>
  <c r="N282" i="1" s="1"/>
  <c r="O282" i="1"/>
  <c r="P282" i="1" s="1"/>
  <c r="G283" i="1"/>
  <c r="AA283" i="1" s="1"/>
  <c r="H283" i="1"/>
  <c r="I283" i="1"/>
  <c r="J283" i="1"/>
  <c r="L283" i="1" s="1"/>
  <c r="M283" i="1"/>
  <c r="N283" i="1" s="1"/>
  <c r="O283" i="1"/>
  <c r="P283" i="1" s="1"/>
  <c r="G7" i="1"/>
  <c r="AA7" i="1" s="1"/>
  <c r="H7" i="1"/>
  <c r="I7" i="1"/>
  <c r="J7" i="1"/>
  <c r="L7" i="1" s="1"/>
  <c r="M7" i="1"/>
  <c r="N7" i="1" s="1"/>
  <c r="O7" i="1"/>
  <c r="P7" i="1" s="1"/>
  <c r="G8" i="1"/>
  <c r="AA8" i="1" s="1"/>
  <c r="H8" i="1"/>
  <c r="I8" i="1"/>
  <c r="J8" i="1"/>
  <c r="L8" i="1" s="1"/>
  <c r="M8" i="1"/>
  <c r="N8" i="1" s="1"/>
  <c r="O8" i="1"/>
  <c r="P8" i="1" s="1"/>
  <c r="G9" i="1"/>
  <c r="H9" i="1"/>
  <c r="I9" i="1"/>
  <c r="J9" i="1"/>
  <c r="L9" i="1" s="1"/>
  <c r="M9" i="1"/>
  <c r="N9" i="1" s="1"/>
  <c r="O9" i="1"/>
  <c r="P9" i="1" s="1"/>
  <c r="G10" i="1"/>
  <c r="AA10" i="1" s="1"/>
  <c r="H10" i="1"/>
  <c r="I10" i="1"/>
  <c r="J10" i="1"/>
  <c r="L10" i="1" s="1"/>
  <c r="M10" i="1"/>
  <c r="N10" i="1" s="1"/>
  <c r="O10" i="1"/>
  <c r="P10" i="1" s="1"/>
  <c r="G11" i="1"/>
  <c r="AA11" i="1" s="1"/>
  <c r="H11" i="1"/>
  <c r="I11" i="1"/>
  <c r="J11" i="1"/>
  <c r="L11" i="1" s="1"/>
  <c r="M11" i="1"/>
  <c r="N11" i="1" s="1"/>
  <c r="O11" i="1"/>
  <c r="P11" i="1" s="1"/>
  <c r="G12" i="1"/>
  <c r="AA12" i="1" s="1"/>
  <c r="H12" i="1"/>
  <c r="I12" i="1"/>
  <c r="J12" i="1"/>
  <c r="L12" i="1" s="1"/>
  <c r="M12" i="1"/>
  <c r="N12" i="1" s="1"/>
  <c r="O12" i="1"/>
  <c r="P12" i="1" s="1"/>
  <c r="G13" i="1"/>
  <c r="H13" i="1"/>
  <c r="G14" i="1"/>
  <c r="H14" i="1"/>
  <c r="I14" i="1"/>
  <c r="J14" i="1"/>
  <c r="L14" i="1" s="1"/>
  <c r="M14" i="1"/>
  <c r="N14" i="1" s="1"/>
  <c r="O14" i="1"/>
  <c r="P14" i="1" s="1"/>
  <c r="G15" i="1"/>
  <c r="AA15" i="1" s="1"/>
  <c r="H15" i="1"/>
  <c r="I15" i="1"/>
  <c r="J15" i="1"/>
  <c r="L15" i="1" s="1"/>
  <c r="M15" i="1"/>
  <c r="N15" i="1" s="1"/>
  <c r="O15" i="1"/>
  <c r="P15" i="1" s="1"/>
  <c r="G16" i="1"/>
  <c r="H16" i="1"/>
  <c r="I16" i="1"/>
  <c r="J16" i="1"/>
  <c r="L16" i="1" s="1"/>
  <c r="M16" i="1"/>
  <c r="N16" i="1" s="1"/>
  <c r="O16" i="1"/>
  <c r="P16" i="1" s="1"/>
  <c r="G17" i="1"/>
  <c r="H17" i="1"/>
  <c r="I17" i="1"/>
  <c r="J17" i="1"/>
  <c r="L17" i="1" s="1"/>
  <c r="M17" i="1"/>
  <c r="N17" i="1" s="1"/>
  <c r="O17" i="1"/>
  <c r="P17" i="1" s="1"/>
  <c r="G18" i="1"/>
  <c r="H18" i="1"/>
  <c r="I18" i="1"/>
  <c r="J18" i="1"/>
  <c r="L18" i="1" s="1"/>
  <c r="M18" i="1"/>
  <c r="N18" i="1" s="1"/>
  <c r="O18" i="1"/>
  <c r="P18" i="1" s="1"/>
  <c r="G19" i="1"/>
  <c r="AA19" i="1" s="1"/>
  <c r="H19" i="1"/>
  <c r="I19" i="1"/>
  <c r="J19" i="1"/>
  <c r="L19" i="1" s="1"/>
  <c r="M19" i="1"/>
  <c r="N19" i="1" s="1"/>
  <c r="O19" i="1"/>
  <c r="P19" i="1" s="1"/>
  <c r="G20" i="1"/>
  <c r="AA20" i="1" s="1"/>
  <c r="H20" i="1"/>
  <c r="I20" i="1"/>
  <c r="J20" i="1"/>
  <c r="L20" i="1" s="1"/>
  <c r="M20" i="1"/>
  <c r="N20" i="1" s="1"/>
  <c r="O20" i="1"/>
  <c r="P20" i="1" s="1"/>
  <c r="G21" i="1"/>
  <c r="AA21" i="1" s="1"/>
  <c r="H21" i="1"/>
  <c r="I21" i="1"/>
  <c r="J21" i="1"/>
  <c r="L21" i="1" s="1"/>
  <c r="M21" i="1"/>
  <c r="N21" i="1" s="1"/>
  <c r="O21" i="1"/>
  <c r="P21" i="1" s="1"/>
  <c r="G22" i="1"/>
  <c r="AA22" i="1" s="1"/>
  <c r="H22" i="1"/>
  <c r="K22" i="1" s="1"/>
  <c r="G23" i="1"/>
  <c r="AA23" i="1" s="1"/>
  <c r="H23" i="1"/>
  <c r="I23" i="1"/>
  <c r="J23" i="1"/>
  <c r="L23" i="1" s="1"/>
  <c r="M23" i="1"/>
  <c r="N23" i="1" s="1"/>
  <c r="O23" i="1"/>
  <c r="P23" i="1" s="1"/>
  <c r="G24" i="1"/>
  <c r="AA24" i="1" s="1"/>
  <c r="H24" i="1"/>
  <c r="I24" i="1"/>
  <c r="J24" i="1"/>
  <c r="L24" i="1" s="1"/>
  <c r="M24" i="1"/>
  <c r="N24" i="1" s="1"/>
  <c r="O24" i="1"/>
  <c r="P24" i="1" s="1"/>
  <c r="G25" i="1"/>
  <c r="AA25" i="1" s="1"/>
  <c r="H25" i="1"/>
  <c r="I25" i="1"/>
  <c r="J25" i="1"/>
  <c r="L25" i="1" s="1"/>
  <c r="M25" i="1"/>
  <c r="N25" i="1" s="1"/>
  <c r="O25" i="1"/>
  <c r="P25" i="1" s="1"/>
  <c r="G26" i="1"/>
  <c r="H26" i="1"/>
  <c r="I26" i="1"/>
  <c r="J26" i="1"/>
  <c r="L26" i="1" s="1"/>
  <c r="M26" i="1"/>
  <c r="N26" i="1" s="1"/>
  <c r="O26" i="1"/>
  <c r="P26" i="1" s="1"/>
  <c r="G27" i="1"/>
  <c r="H27" i="1"/>
  <c r="I27" i="1"/>
  <c r="J27" i="1"/>
  <c r="L27" i="1" s="1"/>
  <c r="M27" i="1"/>
  <c r="N27" i="1" s="1"/>
  <c r="O27" i="1"/>
  <c r="P27" i="1" s="1"/>
  <c r="G28" i="1"/>
  <c r="H28" i="1"/>
  <c r="I28" i="1"/>
  <c r="J28" i="1"/>
  <c r="L28" i="1" s="1"/>
  <c r="M28" i="1"/>
  <c r="N28" i="1" s="1"/>
  <c r="O28" i="1"/>
  <c r="P28" i="1" s="1"/>
  <c r="G29" i="1"/>
  <c r="AA29" i="1" s="1"/>
  <c r="H29" i="1"/>
  <c r="I29" i="1"/>
  <c r="J29" i="1"/>
  <c r="L29" i="1" s="1"/>
  <c r="M29" i="1"/>
  <c r="N29" i="1" s="1"/>
  <c r="O29" i="1"/>
  <c r="P29" i="1" s="1"/>
  <c r="G30" i="1"/>
  <c r="AA30" i="1" s="1"/>
  <c r="H30" i="1"/>
  <c r="I30" i="1"/>
  <c r="J30" i="1"/>
  <c r="L30" i="1" s="1"/>
  <c r="M30" i="1"/>
  <c r="N30" i="1" s="1"/>
  <c r="O30" i="1"/>
  <c r="P30" i="1" s="1"/>
  <c r="G31" i="1"/>
  <c r="AA31" i="1" s="1"/>
  <c r="H31" i="1"/>
  <c r="K31" i="1" s="1"/>
  <c r="G32" i="1"/>
  <c r="AA32" i="1" s="1"/>
  <c r="H32" i="1"/>
  <c r="I32" i="1"/>
  <c r="J32" i="1"/>
  <c r="L32" i="1" s="1"/>
  <c r="M32" i="1"/>
  <c r="N32" i="1" s="1"/>
  <c r="O32" i="1"/>
  <c r="P32" i="1" s="1"/>
  <c r="G33" i="1"/>
  <c r="H33" i="1"/>
  <c r="I33" i="1"/>
  <c r="J33" i="1"/>
  <c r="L33" i="1" s="1"/>
  <c r="M33" i="1"/>
  <c r="N33" i="1" s="1"/>
  <c r="O33" i="1"/>
  <c r="P33" i="1" s="1"/>
  <c r="G34" i="1"/>
  <c r="AA34" i="1" s="1"/>
  <c r="H34" i="1"/>
  <c r="I34" i="1"/>
  <c r="J34" i="1"/>
  <c r="L34" i="1" s="1"/>
  <c r="M34" i="1"/>
  <c r="N34" i="1" s="1"/>
  <c r="O34" i="1"/>
  <c r="P34" i="1" s="1"/>
  <c r="G35" i="1"/>
  <c r="AA35" i="1" s="1"/>
  <c r="H35" i="1"/>
  <c r="I35" i="1"/>
  <c r="J35" i="1"/>
  <c r="L35" i="1" s="1"/>
  <c r="M35" i="1"/>
  <c r="N35" i="1" s="1"/>
  <c r="O35" i="1"/>
  <c r="P35" i="1" s="1"/>
  <c r="G36" i="1"/>
  <c r="H36" i="1"/>
  <c r="I36" i="1"/>
  <c r="J36" i="1"/>
  <c r="L36" i="1" s="1"/>
  <c r="M36" i="1"/>
  <c r="N36" i="1" s="1"/>
  <c r="O36" i="1"/>
  <c r="P36" i="1" s="1"/>
  <c r="G37" i="1"/>
  <c r="H37" i="1"/>
  <c r="I37" i="1"/>
  <c r="J37" i="1"/>
  <c r="L37" i="1" s="1"/>
  <c r="M37" i="1"/>
  <c r="N37" i="1" s="1"/>
  <c r="O37" i="1"/>
  <c r="P37" i="1" s="1"/>
  <c r="G38" i="1"/>
  <c r="H38" i="1"/>
  <c r="I38" i="1"/>
  <c r="J38" i="1"/>
  <c r="L38" i="1" s="1"/>
  <c r="M38" i="1"/>
  <c r="N38" i="1" s="1"/>
  <c r="O38" i="1"/>
  <c r="P38" i="1" s="1"/>
  <c r="G39" i="1"/>
  <c r="AA39" i="1" s="1"/>
  <c r="H39" i="1"/>
  <c r="K39" i="1" s="1"/>
  <c r="G40" i="1"/>
  <c r="AA40" i="1" s="1"/>
  <c r="H40" i="1"/>
  <c r="I40" i="1"/>
  <c r="J40" i="1"/>
  <c r="L40" i="1" s="1"/>
  <c r="M40" i="1"/>
  <c r="N40" i="1" s="1"/>
  <c r="O40" i="1"/>
  <c r="P40" i="1" s="1"/>
  <c r="G41" i="1"/>
  <c r="AA41" i="1" s="1"/>
  <c r="H41" i="1"/>
  <c r="I41" i="1"/>
  <c r="J41" i="1"/>
  <c r="L41" i="1" s="1"/>
  <c r="M41" i="1"/>
  <c r="N41" i="1" s="1"/>
  <c r="O41" i="1"/>
  <c r="P41" i="1" s="1"/>
  <c r="G42" i="1"/>
  <c r="AA42" i="1" s="1"/>
  <c r="H42" i="1"/>
  <c r="I42" i="1"/>
  <c r="J42" i="1"/>
  <c r="L42" i="1" s="1"/>
  <c r="M42" i="1"/>
  <c r="N42" i="1" s="1"/>
  <c r="O42" i="1"/>
  <c r="P42" i="1" s="1"/>
  <c r="G43" i="1"/>
  <c r="AA43" i="1" s="1"/>
  <c r="H43" i="1"/>
  <c r="I43" i="1"/>
  <c r="J43" i="1"/>
  <c r="M43" i="1"/>
  <c r="N43" i="1" s="1"/>
  <c r="O43" i="1"/>
  <c r="G44" i="1"/>
  <c r="H44" i="1"/>
  <c r="I44" i="1"/>
  <c r="J44" i="1"/>
  <c r="L44" i="1" s="1"/>
  <c r="M44" i="1"/>
  <c r="N44" i="1" s="1"/>
  <c r="O44" i="1"/>
  <c r="P44" i="1" s="1"/>
  <c r="G45" i="1"/>
  <c r="AA45" i="1" s="1"/>
  <c r="H45" i="1"/>
  <c r="I45" i="1"/>
  <c r="J45" i="1"/>
  <c r="L45" i="1" s="1"/>
  <c r="M45" i="1"/>
  <c r="N45" i="1" s="1"/>
  <c r="O45" i="1"/>
  <c r="P45" i="1" s="1"/>
  <c r="G46" i="1"/>
  <c r="H46" i="1"/>
  <c r="I46" i="1"/>
  <c r="J46" i="1"/>
  <c r="L46" i="1" s="1"/>
  <c r="M46" i="1"/>
  <c r="N46" i="1" s="1"/>
  <c r="O46" i="1"/>
  <c r="P46" i="1" s="1"/>
  <c r="G47" i="1"/>
  <c r="AA47" i="1" s="1"/>
  <c r="H47" i="1"/>
  <c r="I47" i="1"/>
  <c r="J47" i="1"/>
  <c r="M47" i="1"/>
  <c r="N47" i="1" s="1"/>
  <c r="O47" i="1"/>
  <c r="G48" i="1"/>
  <c r="H48" i="1"/>
  <c r="K48" i="1" s="1"/>
  <c r="G49" i="1"/>
  <c r="H49" i="1"/>
  <c r="I49" i="1"/>
  <c r="J49" i="1"/>
  <c r="L49" i="1" s="1"/>
  <c r="M49" i="1"/>
  <c r="N49" i="1" s="1"/>
  <c r="O49" i="1"/>
  <c r="P49" i="1" s="1"/>
  <c r="G50" i="1"/>
  <c r="AA50" i="1" s="1"/>
  <c r="H50" i="1"/>
  <c r="I50" i="1"/>
  <c r="J50" i="1"/>
  <c r="L50" i="1" s="1"/>
  <c r="M50" i="1"/>
  <c r="N50" i="1" s="1"/>
  <c r="O50" i="1"/>
  <c r="P50" i="1" s="1"/>
  <c r="G51" i="1"/>
  <c r="H51" i="1"/>
  <c r="I51" i="1"/>
  <c r="J51" i="1"/>
  <c r="L51" i="1" s="1"/>
  <c r="M51" i="1"/>
  <c r="N51" i="1" s="1"/>
  <c r="O51" i="1"/>
  <c r="P51" i="1" s="1"/>
  <c r="G52" i="1"/>
  <c r="AA52" i="1" s="1"/>
  <c r="AB52" i="1" s="1"/>
  <c r="AK52" i="1" s="1"/>
  <c r="H52" i="1"/>
  <c r="I52" i="1"/>
  <c r="J52" i="1"/>
  <c r="L52" i="1" s="1"/>
  <c r="M52" i="1"/>
  <c r="N52" i="1" s="1"/>
  <c r="O52" i="1"/>
  <c r="P52" i="1" s="1"/>
  <c r="G53" i="1"/>
  <c r="AA53" i="1" s="1"/>
  <c r="AB53" i="1" s="1"/>
  <c r="AK53" i="1" s="1"/>
  <c r="H53" i="1"/>
  <c r="I53" i="1"/>
  <c r="J53" i="1"/>
  <c r="L53" i="1" s="1"/>
  <c r="M53" i="1"/>
  <c r="N53" i="1" s="1"/>
  <c r="O53" i="1"/>
  <c r="P53" i="1" s="1"/>
  <c r="G54" i="1"/>
  <c r="H54" i="1"/>
  <c r="I54" i="1"/>
  <c r="J54" i="1"/>
  <c r="L54" i="1" s="1"/>
  <c r="M54" i="1"/>
  <c r="N54" i="1" s="1"/>
  <c r="O54" i="1"/>
  <c r="P54" i="1" s="1"/>
  <c r="G55" i="1"/>
  <c r="H55" i="1"/>
  <c r="I55" i="1"/>
  <c r="J55" i="1"/>
  <c r="L55" i="1" s="1"/>
  <c r="K55" i="1"/>
  <c r="M55" i="1"/>
  <c r="N55" i="1" s="1"/>
  <c r="O55" i="1"/>
  <c r="P55" i="1" s="1"/>
  <c r="G56" i="1"/>
  <c r="AA56" i="1" s="1"/>
  <c r="AB56" i="1" s="1"/>
  <c r="AK56" i="1" s="1"/>
  <c r="H56" i="1"/>
  <c r="K56" i="1" s="1"/>
  <c r="G57" i="1"/>
  <c r="H57" i="1"/>
  <c r="I57" i="1"/>
  <c r="J57" i="1"/>
  <c r="L57" i="1" s="1"/>
  <c r="M57" i="1"/>
  <c r="N57" i="1" s="1"/>
  <c r="O57" i="1"/>
  <c r="P57" i="1" s="1"/>
  <c r="G58" i="1"/>
  <c r="AA58" i="1" s="1"/>
  <c r="H58" i="1"/>
  <c r="I58" i="1"/>
  <c r="J58" i="1"/>
  <c r="L58" i="1" s="1"/>
  <c r="M58" i="1"/>
  <c r="N58" i="1" s="1"/>
  <c r="O58" i="1"/>
  <c r="P58" i="1" s="1"/>
  <c r="G59" i="1"/>
  <c r="H59" i="1"/>
  <c r="I59" i="1"/>
  <c r="J59" i="1"/>
  <c r="L59" i="1" s="1"/>
  <c r="M59" i="1"/>
  <c r="N59" i="1" s="1"/>
  <c r="O59" i="1"/>
  <c r="P59" i="1" s="1"/>
  <c r="G60" i="1"/>
  <c r="H60" i="1"/>
  <c r="I60" i="1"/>
  <c r="J60" i="1"/>
  <c r="L60" i="1" s="1"/>
  <c r="M60" i="1"/>
  <c r="N60" i="1" s="1"/>
  <c r="O60" i="1"/>
  <c r="P60" i="1" s="1"/>
  <c r="G61" i="1"/>
  <c r="AA61" i="1" s="1"/>
  <c r="H61" i="1"/>
  <c r="I61" i="1"/>
  <c r="J61" i="1"/>
  <c r="L61" i="1" s="1"/>
  <c r="M61" i="1"/>
  <c r="N61" i="1" s="1"/>
  <c r="O61" i="1"/>
  <c r="P61" i="1" s="1"/>
  <c r="G62" i="1"/>
  <c r="AA62" i="1" s="1"/>
  <c r="H62" i="1"/>
  <c r="I62" i="1"/>
  <c r="J62" i="1"/>
  <c r="L62" i="1" s="1"/>
  <c r="M62" i="1"/>
  <c r="N62" i="1" s="1"/>
  <c r="O62" i="1"/>
  <c r="P62" i="1" s="1"/>
  <c r="G63" i="1"/>
  <c r="H63" i="1"/>
  <c r="I63" i="1"/>
  <c r="J63" i="1"/>
  <c r="L63" i="1" s="1"/>
  <c r="M63" i="1"/>
  <c r="N63" i="1" s="1"/>
  <c r="O63" i="1"/>
  <c r="P63" i="1" s="1"/>
  <c r="G64" i="1"/>
  <c r="AA64" i="1" s="1"/>
  <c r="AB64" i="1" s="1"/>
  <c r="AK64" i="1" s="1"/>
  <c r="H64" i="1"/>
  <c r="I64" i="1"/>
  <c r="J64" i="1"/>
  <c r="L64" i="1" s="1"/>
  <c r="M64" i="1"/>
  <c r="N64" i="1" s="1"/>
  <c r="O64" i="1"/>
  <c r="P64" i="1" s="1"/>
  <c r="G65" i="1"/>
  <c r="AA65" i="1" s="1"/>
  <c r="H65" i="1"/>
  <c r="K65" i="1" s="1"/>
  <c r="G66" i="1"/>
  <c r="AA66" i="1" s="1"/>
  <c r="H66" i="1"/>
  <c r="I66" i="1"/>
  <c r="J66" i="1"/>
  <c r="L66" i="1" s="1"/>
  <c r="M66" i="1"/>
  <c r="N66" i="1" s="1"/>
  <c r="O66" i="1"/>
  <c r="P66" i="1" s="1"/>
  <c r="G67" i="1"/>
  <c r="H67" i="1"/>
  <c r="I67" i="1"/>
  <c r="J67" i="1"/>
  <c r="L67" i="1" s="1"/>
  <c r="M67" i="1"/>
  <c r="N67" i="1" s="1"/>
  <c r="O67" i="1"/>
  <c r="P67" i="1" s="1"/>
  <c r="G68" i="1"/>
  <c r="AA68" i="1" s="1"/>
  <c r="H68" i="1"/>
  <c r="I68" i="1"/>
  <c r="J68" i="1"/>
  <c r="L68" i="1" s="1"/>
  <c r="M68" i="1"/>
  <c r="N68" i="1" s="1"/>
  <c r="O68" i="1"/>
  <c r="P68" i="1" s="1"/>
  <c r="G69" i="1"/>
  <c r="AA69" i="1" s="1"/>
  <c r="H69" i="1"/>
  <c r="I69" i="1"/>
  <c r="J69" i="1"/>
  <c r="L69" i="1" s="1"/>
  <c r="M69" i="1"/>
  <c r="N69" i="1" s="1"/>
  <c r="O69" i="1"/>
  <c r="P69" i="1" s="1"/>
  <c r="G70" i="1"/>
  <c r="AA70" i="1" s="1"/>
  <c r="H70" i="1"/>
  <c r="I70" i="1"/>
  <c r="J70" i="1"/>
  <c r="L70" i="1" s="1"/>
  <c r="M70" i="1"/>
  <c r="N70" i="1" s="1"/>
  <c r="O70" i="1"/>
  <c r="P70" i="1" s="1"/>
  <c r="G71" i="1"/>
  <c r="H71" i="1"/>
  <c r="I71" i="1"/>
  <c r="J71" i="1"/>
  <c r="L71" i="1" s="1"/>
  <c r="M71" i="1"/>
  <c r="N71" i="1" s="1"/>
  <c r="O71" i="1"/>
  <c r="P71" i="1" s="1"/>
  <c r="G72" i="1"/>
  <c r="AA72" i="1" s="1"/>
  <c r="AB72" i="1" s="1"/>
  <c r="H72" i="1"/>
  <c r="I72" i="1"/>
  <c r="J72" i="1"/>
  <c r="L72" i="1" s="1"/>
  <c r="M72" i="1"/>
  <c r="N72" i="1" s="1"/>
  <c r="O72" i="1"/>
  <c r="P72" i="1" s="1"/>
  <c r="G73" i="1"/>
  <c r="AA73" i="1" s="1"/>
  <c r="H73" i="1"/>
  <c r="K73" i="1" s="1"/>
  <c r="G74" i="1"/>
  <c r="AA74" i="1" s="1"/>
  <c r="H74" i="1"/>
  <c r="I74" i="1"/>
  <c r="J74" i="1"/>
  <c r="L74" i="1" s="1"/>
  <c r="M74" i="1"/>
  <c r="N74" i="1" s="1"/>
  <c r="O74" i="1"/>
  <c r="P74" i="1" s="1"/>
  <c r="G75" i="1"/>
  <c r="AA75" i="1" s="1"/>
  <c r="H75" i="1"/>
  <c r="I75" i="1"/>
  <c r="J75" i="1"/>
  <c r="L75" i="1" s="1"/>
  <c r="M75" i="1"/>
  <c r="N75" i="1" s="1"/>
  <c r="O75" i="1"/>
  <c r="P75" i="1" s="1"/>
  <c r="G76" i="1"/>
  <c r="AA76" i="1" s="1"/>
  <c r="H76" i="1"/>
  <c r="I76" i="1"/>
  <c r="J76" i="1"/>
  <c r="L76" i="1" s="1"/>
  <c r="M76" i="1"/>
  <c r="N76" i="1" s="1"/>
  <c r="O76" i="1"/>
  <c r="P76" i="1" s="1"/>
  <c r="G77" i="1"/>
  <c r="AA77" i="1" s="1"/>
  <c r="H77" i="1"/>
  <c r="I77" i="1"/>
  <c r="J77" i="1"/>
  <c r="L77" i="1" s="1"/>
  <c r="M77" i="1"/>
  <c r="N77" i="1" s="1"/>
  <c r="O77" i="1"/>
  <c r="P77" i="1" s="1"/>
  <c r="G78" i="1"/>
  <c r="AA78" i="1" s="1"/>
  <c r="H78" i="1"/>
  <c r="I78" i="1"/>
  <c r="J78" i="1"/>
  <c r="L78" i="1" s="1"/>
  <c r="M78" i="1"/>
  <c r="N78" i="1" s="1"/>
  <c r="O78" i="1"/>
  <c r="P78" i="1" s="1"/>
  <c r="G79" i="1"/>
  <c r="AA79" i="1" s="1"/>
  <c r="H79" i="1"/>
  <c r="I79" i="1"/>
  <c r="J79" i="1"/>
  <c r="L79" i="1" s="1"/>
  <c r="M79" i="1"/>
  <c r="N79" i="1" s="1"/>
  <c r="O79" i="1"/>
  <c r="P79" i="1" s="1"/>
  <c r="G80" i="1"/>
  <c r="AA80" i="1" s="1"/>
  <c r="AB80" i="1" s="1"/>
  <c r="H80" i="1"/>
  <c r="I80" i="1"/>
  <c r="J80" i="1"/>
  <c r="L80" i="1" s="1"/>
  <c r="M80" i="1"/>
  <c r="N80" i="1" s="1"/>
  <c r="O80" i="1"/>
  <c r="P80" i="1" s="1"/>
  <c r="G81" i="1"/>
  <c r="AA81" i="1" s="1"/>
  <c r="H81" i="1"/>
  <c r="K81" i="1" s="1"/>
  <c r="G82" i="1"/>
  <c r="H82" i="1"/>
  <c r="I82" i="1"/>
  <c r="J82" i="1"/>
  <c r="L82" i="1" s="1"/>
  <c r="M82" i="1"/>
  <c r="N82" i="1" s="1"/>
  <c r="O82" i="1"/>
  <c r="P82" i="1" s="1"/>
  <c r="G83" i="1"/>
  <c r="AA83" i="1" s="1"/>
  <c r="H83" i="1"/>
  <c r="I83" i="1"/>
  <c r="J83" i="1"/>
  <c r="L83" i="1" s="1"/>
  <c r="M83" i="1"/>
  <c r="N83" i="1" s="1"/>
  <c r="O83" i="1"/>
  <c r="P83" i="1" s="1"/>
  <c r="G84" i="1"/>
  <c r="AA84" i="1" s="1"/>
  <c r="H84" i="1"/>
  <c r="I84" i="1"/>
  <c r="J84" i="1"/>
  <c r="L84" i="1" s="1"/>
  <c r="M84" i="1"/>
  <c r="N84" i="1" s="1"/>
  <c r="O84" i="1"/>
  <c r="P84" i="1" s="1"/>
  <c r="G85" i="1"/>
  <c r="H85" i="1"/>
  <c r="I85" i="1"/>
  <c r="J85" i="1"/>
  <c r="L85" i="1" s="1"/>
  <c r="M85" i="1"/>
  <c r="N85" i="1" s="1"/>
  <c r="O85" i="1"/>
  <c r="P85" i="1" s="1"/>
  <c r="G86" i="1"/>
  <c r="H86" i="1"/>
  <c r="I86" i="1"/>
  <c r="J86" i="1"/>
  <c r="L86" i="1" s="1"/>
  <c r="M86" i="1"/>
  <c r="N86" i="1" s="1"/>
  <c r="O86" i="1"/>
  <c r="P86" i="1" s="1"/>
  <c r="G87" i="1"/>
  <c r="H87" i="1"/>
  <c r="I87" i="1"/>
  <c r="J87" i="1"/>
  <c r="L87" i="1" s="1"/>
  <c r="M87" i="1"/>
  <c r="N87" i="1" s="1"/>
  <c r="O87" i="1"/>
  <c r="P87" i="1" s="1"/>
  <c r="G88" i="1"/>
  <c r="AA88" i="1" s="1"/>
  <c r="H88" i="1"/>
  <c r="I88" i="1"/>
  <c r="J88" i="1"/>
  <c r="L88" i="1" s="1"/>
  <c r="M88" i="1"/>
  <c r="N88" i="1" s="1"/>
  <c r="O88" i="1"/>
  <c r="P88" i="1" s="1"/>
  <c r="G89" i="1"/>
  <c r="AA89" i="1" s="1"/>
  <c r="H89" i="1"/>
  <c r="I89" i="1"/>
  <c r="J89" i="1"/>
  <c r="L89" i="1" s="1"/>
  <c r="M89" i="1"/>
  <c r="N89" i="1" s="1"/>
  <c r="O89" i="1"/>
  <c r="P89" i="1" s="1"/>
  <c r="G90" i="1"/>
  <c r="AA90" i="1" s="1"/>
  <c r="H90" i="1"/>
  <c r="K90" i="1" s="1"/>
  <c r="G91" i="1"/>
  <c r="H91" i="1"/>
  <c r="I91" i="1"/>
  <c r="J91" i="1"/>
  <c r="L91" i="1" s="1"/>
  <c r="M91" i="1"/>
  <c r="N91" i="1" s="1"/>
  <c r="O91" i="1"/>
  <c r="P91" i="1" s="1"/>
  <c r="G92" i="1"/>
  <c r="AA92" i="1" s="1"/>
  <c r="H92" i="1"/>
  <c r="I92" i="1"/>
  <c r="J92" i="1"/>
  <c r="L92" i="1" s="1"/>
  <c r="M92" i="1"/>
  <c r="N92" i="1" s="1"/>
  <c r="O92" i="1"/>
  <c r="P92" i="1" s="1"/>
  <c r="G93" i="1"/>
  <c r="AA93" i="1" s="1"/>
  <c r="H93" i="1"/>
  <c r="I93" i="1"/>
  <c r="J93" i="1"/>
  <c r="L93" i="1" s="1"/>
  <c r="M93" i="1"/>
  <c r="N93" i="1" s="1"/>
  <c r="O93" i="1"/>
  <c r="P93" i="1" s="1"/>
  <c r="G94" i="1"/>
  <c r="AA94" i="1" s="1"/>
  <c r="H94" i="1"/>
  <c r="I94" i="1"/>
  <c r="J94" i="1"/>
  <c r="L94" i="1" s="1"/>
  <c r="M94" i="1"/>
  <c r="N94" i="1" s="1"/>
  <c r="O94" i="1"/>
  <c r="P94" i="1" s="1"/>
  <c r="G95" i="1"/>
  <c r="H95" i="1"/>
  <c r="I95" i="1"/>
  <c r="J95" i="1"/>
  <c r="L95" i="1" s="1"/>
  <c r="M95" i="1"/>
  <c r="N95" i="1" s="1"/>
  <c r="O95" i="1"/>
  <c r="P95" i="1" s="1"/>
  <c r="G96" i="1"/>
  <c r="AA96" i="1" s="1"/>
  <c r="H96" i="1"/>
  <c r="I96" i="1"/>
  <c r="J96" i="1"/>
  <c r="L96" i="1" s="1"/>
  <c r="M96" i="1"/>
  <c r="N96" i="1" s="1"/>
  <c r="O96" i="1"/>
  <c r="P96" i="1" s="1"/>
  <c r="G97" i="1"/>
  <c r="AA97" i="1" s="1"/>
  <c r="H97" i="1"/>
  <c r="I97" i="1"/>
  <c r="J97" i="1"/>
  <c r="L97" i="1" s="1"/>
  <c r="M97" i="1"/>
  <c r="N97" i="1" s="1"/>
  <c r="O97" i="1"/>
  <c r="P97" i="1" s="1"/>
  <c r="G98" i="1"/>
  <c r="AA98" i="1" s="1"/>
  <c r="H98" i="1"/>
  <c r="K98" i="1" s="1"/>
  <c r="G99" i="1"/>
  <c r="AA99" i="1" s="1"/>
  <c r="H99" i="1"/>
  <c r="I99" i="1"/>
  <c r="J99" i="1"/>
  <c r="L99" i="1" s="1"/>
  <c r="M99" i="1"/>
  <c r="N99" i="1" s="1"/>
  <c r="O99" i="1"/>
  <c r="P99" i="1" s="1"/>
  <c r="G100" i="1"/>
  <c r="H100" i="1"/>
  <c r="I100" i="1"/>
  <c r="J100" i="1"/>
  <c r="L100" i="1" s="1"/>
  <c r="M100" i="1"/>
  <c r="N100" i="1" s="1"/>
  <c r="O100" i="1"/>
  <c r="P100" i="1" s="1"/>
  <c r="G101" i="1"/>
  <c r="AA101" i="1" s="1"/>
  <c r="H101" i="1"/>
  <c r="I101" i="1"/>
  <c r="J101" i="1"/>
  <c r="L101" i="1" s="1"/>
  <c r="M101" i="1"/>
  <c r="N101" i="1" s="1"/>
  <c r="O101" i="1"/>
  <c r="P101" i="1" s="1"/>
  <c r="G102" i="1"/>
  <c r="AA102" i="1" s="1"/>
  <c r="H102" i="1"/>
  <c r="I102" i="1"/>
  <c r="J102" i="1"/>
  <c r="L102" i="1" s="1"/>
  <c r="M102" i="1"/>
  <c r="N102" i="1" s="1"/>
  <c r="O102" i="1"/>
  <c r="P102" i="1" s="1"/>
  <c r="G103" i="1"/>
  <c r="AA103" i="1" s="1"/>
  <c r="H103" i="1"/>
  <c r="I103" i="1"/>
  <c r="J103" i="1"/>
  <c r="L103" i="1" s="1"/>
  <c r="M103" i="1"/>
  <c r="N103" i="1" s="1"/>
  <c r="O103" i="1"/>
  <c r="P103" i="1" s="1"/>
  <c r="G104" i="1"/>
  <c r="AA104" i="1" s="1"/>
  <c r="H104" i="1"/>
  <c r="I104" i="1"/>
  <c r="J104" i="1"/>
  <c r="L104" i="1" s="1"/>
  <c r="M104" i="1"/>
  <c r="N104" i="1" s="1"/>
  <c r="O104" i="1"/>
  <c r="P104" i="1" s="1"/>
  <c r="G105" i="1"/>
  <c r="AA105" i="1" s="1"/>
  <c r="H105" i="1"/>
  <c r="I105" i="1"/>
  <c r="J105" i="1"/>
  <c r="L105" i="1" s="1"/>
  <c r="M105" i="1"/>
  <c r="N105" i="1" s="1"/>
  <c r="O105" i="1"/>
  <c r="P105" i="1" s="1"/>
  <c r="G106" i="1"/>
  <c r="AA106" i="1" s="1"/>
  <c r="H106" i="1"/>
  <c r="I106" i="1"/>
  <c r="J106" i="1"/>
  <c r="L106" i="1" s="1"/>
  <c r="M106" i="1"/>
  <c r="N106" i="1" s="1"/>
  <c r="O106" i="1"/>
  <c r="P106" i="1" s="1"/>
  <c r="G107" i="1"/>
  <c r="H107" i="1"/>
  <c r="K107" i="1" s="1"/>
  <c r="G108" i="1"/>
  <c r="AA108" i="1" s="1"/>
  <c r="H108" i="1"/>
  <c r="I108" i="1"/>
  <c r="J108" i="1"/>
  <c r="L108" i="1" s="1"/>
  <c r="M108" i="1"/>
  <c r="N108" i="1" s="1"/>
  <c r="O108" i="1"/>
  <c r="P108" i="1" s="1"/>
  <c r="G109" i="1"/>
  <c r="H109" i="1"/>
  <c r="I109" i="1"/>
  <c r="J109" i="1"/>
  <c r="L109" i="1" s="1"/>
  <c r="M109" i="1"/>
  <c r="N109" i="1" s="1"/>
  <c r="O109" i="1"/>
  <c r="P109" i="1" s="1"/>
  <c r="G110" i="1"/>
  <c r="AA110" i="1" s="1"/>
  <c r="H110" i="1"/>
  <c r="I110" i="1"/>
  <c r="J110" i="1"/>
  <c r="L110" i="1" s="1"/>
  <c r="M110" i="1"/>
  <c r="N110" i="1" s="1"/>
  <c r="O110" i="1"/>
  <c r="P110" i="1" s="1"/>
  <c r="G111" i="1"/>
  <c r="AA111" i="1" s="1"/>
  <c r="H111" i="1"/>
  <c r="I111" i="1"/>
  <c r="J111" i="1"/>
  <c r="L111" i="1" s="1"/>
  <c r="M111" i="1"/>
  <c r="N111" i="1" s="1"/>
  <c r="O111" i="1"/>
  <c r="P111" i="1" s="1"/>
  <c r="G112" i="1"/>
  <c r="AA112" i="1" s="1"/>
  <c r="H112" i="1"/>
  <c r="I112" i="1"/>
  <c r="J112" i="1"/>
  <c r="L112" i="1" s="1"/>
  <c r="M112" i="1"/>
  <c r="N112" i="1" s="1"/>
  <c r="O112" i="1"/>
  <c r="P112" i="1" s="1"/>
  <c r="G113" i="1"/>
  <c r="AA113" i="1" s="1"/>
  <c r="H113" i="1"/>
  <c r="I113" i="1"/>
  <c r="J113" i="1"/>
  <c r="L113" i="1" s="1"/>
  <c r="M113" i="1"/>
  <c r="N113" i="1" s="1"/>
  <c r="O113" i="1"/>
  <c r="P113" i="1" s="1"/>
  <c r="G114" i="1"/>
  <c r="AA114" i="1" s="1"/>
  <c r="H114" i="1"/>
  <c r="I114" i="1"/>
  <c r="J114" i="1"/>
  <c r="L114" i="1" s="1"/>
  <c r="M114" i="1"/>
  <c r="N114" i="1" s="1"/>
  <c r="O114" i="1"/>
  <c r="P114" i="1" s="1"/>
  <c r="G115" i="1"/>
  <c r="AA115" i="1" s="1"/>
  <c r="H115" i="1"/>
  <c r="K115" i="1" s="1"/>
  <c r="G116" i="1"/>
  <c r="AA116" i="1" s="1"/>
  <c r="H116" i="1"/>
  <c r="I116" i="1"/>
  <c r="J116" i="1"/>
  <c r="L116" i="1" s="1"/>
  <c r="M116" i="1"/>
  <c r="N116" i="1" s="1"/>
  <c r="O116" i="1"/>
  <c r="P116" i="1" s="1"/>
  <c r="G117" i="1"/>
  <c r="AA117" i="1" s="1"/>
  <c r="H117" i="1"/>
  <c r="I117" i="1"/>
  <c r="J117" i="1"/>
  <c r="L117" i="1" s="1"/>
  <c r="M117" i="1"/>
  <c r="N117" i="1" s="1"/>
  <c r="O117" i="1"/>
  <c r="P117" i="1" s="1"/>
  <c r="G118" i="1"/>
  <c r="AA118" i="1" s="1"/>
  <c r="H118" i="1"/>
  <c r="I118" i="1"/>
  <c r="J118" i="1"/>
  <c r="L118" i="1" s="1"/>
  <c r="M118" i="1"/>
  <c r="N118" i="1" s="1"/>
  <c r="O118" i="1"/>
  <c r="P118" i="1" s="1"/>
  <c r="G119" i="1"/>
  <c r="AA119" i="1" s="1"/>
  <c r="H119" i="1"/>
  <c r="I119" i="1"/>
  <c r="J119" i="1"/>
  <c r="L119" i="1" s="1"/>
  <c r="M119" i="1"/>
  <c r="N119" i="1" s="1"/>
  <c r="O119" i="1"/>
  <c r="P119" i="1" s="1"/>
  <c r="G120" i="1"/>
  <c r="AA120" i="1" s="1"/>
  <c r="H120" i="1"/>
  <c r="I120" i="1"/>
  <c r="J120" i="1"/>
  <c r="L120" i="1" s="1"/>
  <c r="M120" i="1"/>
  <c r="N120" i="1" s="1"/>
  <c r="O120" i="1"/>
  <c r="P120" i="1" s="1"/>
  <c r="G121" i="1"/>
  <c r="AA121" i="1" s="1"/>
  <c r="H121" i="1"/>
  <c r="I121" i="1"/>
  <c r="J121" i="1"/>
  <c r="L121" i="1" s="1"/>
  <c r="M121" i="1"/>
  <c r="N121" i="1" s="1"/>
  <c r="O121" i="1"/>
  <c r="P121" i="1" s="1"/>
  <c r="G122" i="1"/>
  <c r="AA122" i="1" s="1"/>
  <c r="AB122" i="1" s="1"/>
  <c r="AK122" i="1" s="1"/>
  <c r="H122" i="1"/>
  <c r="I122" i="1"/>
  <c r="J122" i="1"/>
  <c r="L122" i="1" s="1"/>
  <c r="M122" i="1"/>
  <c r="N122" i="1" s="1"/>
  <c r="O122" i="1"/>
  <c r="P122" i="1" s="1"/>
  <c r="G123" i="1"/>
  <c r="AA123" i="1" s="1"/>
  <c r="H123" i="1"/>
  <c r="I123" i="1"/>
  <c r="J123" i="1"/>
  <c r="L123" i="1" s="1"/>
  <c r="M123" i="1"/>
  <c r="N123" i="1" s="1"/>
  <c r="O123" i="1"/>
  <c r="P123" i="1" s="1"/>
  <c r="G124" i="1"/>
  <c r="AA124" i="1" s="1"/>
  <c r="H124" i="1"/>
  <c r="K124" i="1" s="1"/>
  <c r="G125" i="1"/>
  <c r="AA125" i="1" s="1"/>
  <c r="H125" i="1"/>
  <c r="I125" i="1"/>
  <c r="J125" i="1"/>
  <c r="L125" i="1" s="1"/>
  <c r="M125" i="1"/>
  <c r="N125" i="1" s="1"/>
  <c r="O125" i="1"/>
  <c r="P125" i="1" s="1"/>
  <c r="G126" i="1"/>
  <c r="AA126" i="1" s="1"/>
  <c r="H126" i="1"/>
  <c r="I126" i="1"/>
  <c r="J126" i="1"/>
  <c r="L126" i="1" s="1"/>
  <c r="M126" i="1"/>
  <c r="N126" i="1" s="1"/>
  <c r="O126" i="1"/>
  <c r="P126" i="1" s="1"/>
  <c r="G127" i="1"/>
  <c r="AA127" i="1" s="1"/>
  <c r="H127" i="1"/>
  <c r="I127" i="1"/>
  <c r="J127" i="1"/>
  <c r="L127" i="1" s="1"/>
  <c r="M127" i="1"/>
  <c r="N127" i="1" s="1"/>
  <c r="O127" i="1"/>
  <c r="P127" i="1" s="1"/>
  <c r="G128" i="1"/>
  <c r="AA128" i="1" s="1"/>
  <c r="H128" i="1"/>
  <c r="I128" i="1"/>
  <c r="J128" i="1"/>
  <c r="L128" i="1" s="1"/>
  <c r="M128" i="1"/>
  <c r="N128" i="1" s="1"/>
  <c r="O128" i="1"/>
  <c r="P128" i="1" s="1"/>
  <c r="G129" i="1"/>
  <c r="AA129" i="1" s="1"/>
  <c r="H129" i="1"/>
  <c r="I129" i="1"/>
  <c r="J129" i="1"/>
  <c r="L129" i="1" s="1"/>
  <c r="M129" i="1"/>
  <c r="N129" i="1" s="1"/>
  <c r="O129" i="1"/>
  <c r="P129" i="1" s="1"/>
  <c r="G130" i="1"/>
  <c r="AA130" i="1" s="1"/>
  <c r="H130" i="1"/>
  <c r="I130" i="1"/>
  <c r="J130" i="1"/>
  <c r="L130" i="1" s="1"/>
  <c r="M130" i="1"/>
  <c r="N130" i="1" s="1"/>
  <c r="O130" i="1"/>
  <c r="P130" i="1" s="1"/>
  <c r="G131" i="1"/>
  <c r="AA131" i="1" s="1"/>
  <c r="H131" i="1"/>
  <c r="I131" i="1"/>
  <c r="J131" i="1"/>
  <c r="L131" i="1" s="1"/>
  <c r="M131" i="1"/>
  <c r="N131" i="1" s="1"/>
  <c r="O131" i="1"/>
  <c r="P131" i="1" s="1"/>
  <c r="G132" i="1"/>
  <c r="AA132" i="1" s="1"/>
  <c r="H132" i="1"/>
  <c r="K132" i="1" s="1"/>
  <c r="G133" i="1"/>
  <c r="AA133" i="1" s="1"/>
  <c r="AB133" i="1" s="1"/>
  <c r="AK133" i="1" s="1"/>
  <c r="H133" i="1"/>
  <c r="I133" i="1"/>
  <c r="J133" i="1"/>
  <c r="L133" i="1" s="1"/>
  <c r="M133" i="1"/>
  <c r="N133" i="1" s="1"/>
  <c r="O133" i="1"/>
  <c r="P133" i="1" s="1"/>
  <c r="G134" i="1"/>
  <c r="AA134" i="1" s="1"/>
  <c r="AB134" i="1" s="1"/>
  <c r="AK134" i="1" s="1"/>
  <c r="H134" i="1"/>
  <c r="I134" i="1"/>
  <c r="J134" i="1"/>
  <c r="L134" i="1" s="1"/>
  <c r="M134" i="1"/>
  <c r="N134" i="1" s="1"/>
  <c r="O134" i="1"/>
  <c r="P134" i="1" s="1"/>
  <c r="G135" i="1"/>
  <c r="AA135" i="1" s="1"/>
  <c r="AB135" i="1" s="1"/>
  <c r="AK135" i="1" s="1"/>
  <c r="H135" i="1"/>
  <c r="I135" i="1"/>
  <c r="J135" i="1"/>
  <c r="L135" i="1" s="1"/>
  <c r="M135" i="1"/>
  <c r="N135" i="1" s="1"/>
  <c r="O135" i="1"/>
  <c r="P135" i="1" s="1"/>
  <c r="G136" i="1"/>
  <c r="AA136" i="1" s="1"/>
  <c r="AB136" i="1" s="1"/>
  <c r="AK136" i="1" s="1"/>
  <c r="H136" i="1"/>
  <c r="I136" i="1"/>
  <c r="J136" i="1"/>
  <c r="L136" i="1" s="1"/>
  <c r="M136" i="1"/>
  <c r="N136" i="1" s="1"/>
  <c r="O136" i="1"/>
  <c r="P136" i="1" s="1"/>
  <c r="G137" i="1"/>
  <c r="AA137" i="1" s="1"/>
  <c r="AB137" i="1" s="1"/>
  <c r="H137" i="1"/>
  <c r="I137" i="1"/>
  <c r="J137" i="1"/>
  <c r="L137" i="1" s="1"/>
  <c r="M137" i="1"/>
  <c r="N137" i="1" s="1"/>
  <c r="O137" i="1"/>
  <c r="P137" i="1" s="1"/>
  <c r="G138" i="1"/>
  <c r="AA138" i="1" s="1"/>
  <c r="AB138" i="1" s="1"/>
  <c r="AK138" i="1" s="1"/>
  <c r="H138" i="1"/>
  <c r="I138" i="1"/>
  <c r="J138" i="1"/>
  <c r="L138" i="1" s="1"/>
  <c r="M138" i="1"/>
  <c r="N138" i="1" s="1"/>
  <c r="O138" i="1"/>
  <c r="P138" i="1" s="1"/>
  <c r="G139" i="1"/>
  <c r="AA139" i="1" s="1"/>
  <c r="AB139" i="1" s="1"/>
  <c r="AK139" i="1" s="1"/>
  <c r="H139" i="1"/>
  <c r="I139" i="1"/>
  <c r="J139" i="1"/>
  <c r="L139" i="1" s="1"/>
  <c r="M139" i="1"/>
  <c r="N139" i="1" s="1"/>
  <c r="O139" i="1"/>
  <c r="P139" i="1" s="1"/>
  <c r="G140" i="1"/>
  <c r="AA140" i="1" s="1"/>
  <c r="AB140" i="1" s="1"/>
  <c r="AK140" i="1" s="1"/>
  <c r="H140" i="1"/>
  <c r="I140" i="1"/>
  <c r="J140" i="1"/>
  <c r="L140" i="1" s="1"/>
  <c r="M140" i="1"/>
  <c r="N140" i="1" s="1"/>
  <c r="O140" i="1"/>
  <c r="P140" i="1" s="1"/>
  <c r="G141" i="1"/>
  <c r="AA141" i="1" s="1"/>
  <c r="H141" i="1"/>
  <c r="K141" i="1" s="1"/>
  <c r="G142" i="1"/>
  <c r="AA142" i="1" s="1"/>
  <c r="H142" i="1"/>
  <c r="I142" i="1"/>
  <c r="J142" i="1"/>
  <c r="L142" i="1" s="1"/>
  <c r="M142" i="1"/>
  <c r="N142" i="1" s="1"/>
  <c r="O142" i="1"/>
  <c r="P142" i="1" s="1"/>
  <c r="G143" i="1"/>
  <c r="AA143" i="1" s="1"/>
  <c r="H143" i="1"/>
  <c r="I143" i="1"/>
  <c r="J143" i="1"/>
  <c r="L143" i="1" s="1"/>
  <c r="M143" i="1"/>
  <c r="N143" i="1" s="1"/>
  <c r="O143" i="1"/>
  <c r="P143" i="1" s="1"/>
  <c r="G144" i="1"/>
  <c r="AA144" i="1" s="1"/>
  <c r="H144" i="1"/>
  <c r="I144" i="1"/>
  <c r="J144" i="1"/>
  <c r="L144" i="1" s="1"/>
  <c r="M144" i="1"/>
  <c r="N144" i="1" s="1"/>
  <c r="O144" i="1"/>
  <c r="P144" i="1" s="1"/>
  <c r="G145" i="1"/>
  <c r="AA145" i="1" s="1"/>
  <c r="H145" i="1"/>
  <c r="I145" i="1"/>
  <c r="J145" i="1"/>
  <c r="L145" i="1" s="1"/>
  <c r="M145" i="1"/>
  <c r="N145" i="1" s="1"/>
  <c r="O145" i="1"/>
  <c r="P145" i="1" s="1"/>
  <c r="G146" i="1"/>
  <c r="AA146" i="1" s="1"/>
  <c r="H146" i="1"/>
  <c r="I146" i="1"/>
  <c r="J146" i="1"/>
  <c r="L146" i="1" s="1"/>
  <c r="M146" i="1"/>
  <c r="N146" i="1" s="1"/>
  <c r="O146" i="1"/>
  <c r="P146" i="1" s="1"/>
  <c r="G147" i="1"/>
  <c r="AA147" i="1" s="1"/>
  <c r="H147" i="1"/>
  <c r="I147" i="1"/>
  <c r="J147" i="1"/>
  <c r="L147" i="1" s="1"/>
  <c r="M147" i="1"/>
  <c r="N147" i="1" s="1"/>
  <c r="O147" i="1"/>
  <c r="P147" i="1" s="1"/>
  <c r="G148" i="1"/>
  <c r="AA148" i="1" s="1"/>
  <c r="H148" i="1"/>
  <c r="K148" i="1" s="1"/>
  <c r="G149" i="1"/>
  <c r="AA149" i="1" s="1"/>
  <c r="H149" i="1"/>
  <c r="I149" i="1"/>
  <c r="J149" i="1"/>
  <c r="L149" i="1" s="1"/>
  <c r="M149" i="1"/>
  <c r="N149" i="1" s="1"/>
  <c r="O149" i="1"/>
  <c r="P149" i="1" s="1"/>
  <c r="G150" i="1"/>
  <c r="AA150" i="1" s="1"/>
  <c r="H150" i="1"/>
  <c r="I150" i="1"/>
  <c r="J150" i="1"/>
  <c r="L150" i="1" s="1"/>
  <c r="M150" i="1"/>
  <c r="N150" i="1" s="1"/>
  <c r="O150" i="1"/>
  <c r="P150" i="1" s="1"/>
  <c r="G151" i="1"/>
  <c r="AA151" i="1" s="1"/>
  <c r="H151" i="1"/>
  <c r="I151" i="1"/>
  <c r="J151" i="1"/>
  <c r="L151" i="1" s="1"/>
  <c r="M151" i="1"/>
  <c r="N151" i="1" s="1"/>
  <c r="O151" i="1"/>
  <c r="P151" i="1" s="1"/>
  <c r="G152" i="1"/>
  <c r="AA152" i="1" s="1"/>
  <c r="H152" i="1"/>
  <c r="I152" i="1"/>
  <c r="J152" i="1"/>
  <c r="L152" i="1" s="1"/>
  <c r="M152" i="1"/>
  <c r="N152" i="1" s="1"/>
  <c r="O152" i="1"/>
  <c r="P152" i="1" s="1"/>
  <c r="G153" i="1"/>
  <c r="AA153" i="1" s="1"/>
  <c r="H153" i="1"/>
  <c r="I153" i="1"/>
  <c r="J153" i="1"/>
  <c r="L153" i="1" s="1"/>
  <c r="M153" i="1"/>
  <c r="N153" i="1" s="1"/>
  <c r="O153" i="1"/>
  <c r="P153" i="1" s="1"/>
  <c r="G154" i="1"/>
  <c r="AA154" i="1" s="1"/>
  <c r="H154" i="1"/>
  <c r="I154" i="1"/>
  <c r="J154" i="1"/>
  <c r="L154" i="1" s="1"/>
  <c r="M154" i="1"/>
  <c r="N154" i="1" s="1"/>
  <c r="O154" i="1"/>
  <c r="P154" i="1" s="1"/>
  <c r="G155" i="1"/>
  <c r="AA155" i="1" s="1"/>
  <c r="H155" i="1"/>
  <c r="I155" i="1"/>
  <c r="J155" i="1"/>
  <c r="L155" i="1" s="1"/>
  <c r="M155" i="1"/>
  <c r="N155" i="1" s="1"/>
  <c r="O155" i="1"/>
  <c r="P155" i="1" s="1"/>
  <c r="G156" i="1"/>
  <c r="AA156" i="1" s="1"/>
  <c r="H156" i="1"/>
  <c r="I156" i="1"/>
  <c r="J156" i="1"/>
  <c r="L156" i="1" s="1"/>
  <c r="M156" i="1"/>
  <c r="N156" i="1" s="1"/>
  <c r="O156" i="1"/>
  <c r="P156" i="1" s="1"/>
  <c r="G157" i="1"/>
  <c r="AA157" i="1" s="1"/>
  <c r="H157" i="1"/>
  <c r="K157" i="1" s="1"/>
  <c r="G158" i="1"/>
  <c r="AA158" i="1" s="1"/>
  <c r="H158" i="1"/>
  <c r="I158" i="1"/>
  <c r="J158" i="1"/>
  <c r="L158" i="1" s="1"/>
  <c r="M158" i="1"/>
  <c r="N158" i="1" s="1"/>
  <c r="O158" i="1"/>
  <c r="P158" i="1" s="1"/>
  <c r="G159" i="1"/>
  <c r="AA159" i="1" s="1"/>
  <c r="H159" i="1"/>
  <c r="I159" i="1"/>
  <c r="J159" i="1"/>
  <c r="L159" i="1" s="1"/>
  <c r="M159" i="1"/>
  <c r="N159" i="1" s="1"/>
  <c r="O159" i="1"/>
  <c r="P159" i="1" s="1"/>
  <c r="G160" i="1"/>
  <c r="AA160" i="1" s="1"/>
  <c r="H160" i="1"/>
  <c r="I160" i="1"/>
  <c r="J160" i="1"/>
  <c r="L160" i="1" s="1"/>
  <c r="M160" i="1"/>
  <c r="N160" i="1" s="1"/>
  <c r="O160" i="1"/>
  <c r="P160" i="1" s="1"/>
  <c r="G161" i="1"/>
  <c r="AA161" i="1" s="1"/>
  <c r="H161" i="1"/>
  <c r="I161" i="1"/>
  <c r="J161" i="1"/>
  <c r="L161" i="1" s="1"/>
  <c r="M161" i="1"/>
  <c r="N161" i="1" s="1"/>
  <c r="O161" i="1"/>
  <c r="P161" i="1" s="1"/>
  <c r="G162" i="1"/>
  <c r="AA162" i="1" s="1"/>
  <c r="H162" i="1"/>
  <c r="I162" i="1"/>
  <c r="J162" i="1"/>
  <c r="L162" i="1" s="1"/>
  <c r="M162" i="1"/>
  <c r="N162" i="1" s="1"/>
  <c r="O162" i="1"/>
  <c r="P162" i="1" s="1"/>
  <c r="G163" i="1"/>
  <c r="AA163" i="1" s="1"/>
  <c r="H163" i="1"/>
  <c r="I163" i="1"/>
  <c r="J163" i="1"/>
  <c r="L163" i="1" s="1"/>
  <c r="M163" i="1"/>
  <c r="N163" i="1" s="1"/>
  <c r="O163" i="1"/>
  <c r="P163" i="1" s="1"/>
  <c r="G164" i="1"/>
  <c r="AA164" i="1" s="1"/>
  <c r="H164" i="1"/>
  <c r="I164" i="1"/>
  <c r="J164" i="1"/>
  <c r="L164" i="1" s="1"/>
  <c r="M164" i="1"/>
  <c r="N164" i="1" s="1"/>
  <c r="O164" i="1"/>
  <c r="P164" i="1" s="1"/>
  <c r="G165" i="1"/>
  <c r="AA165" i="1" s="1"/>
  <c r="AB165" i="1" s="1"/>
  <c r="H165" i="1"/>
  <c r="I165" i="1"/>
  <c r="J165" i="1"/>
  <c r="L165" i="1" s="1"/>
  <c r="M165" i="1"/>
  <c r="N165" i="1" s="1"/>
  <c r="O165" i="1"/>
  <c r="P165" i="1" s="1"/>
  <c r="G166" i="1"/>
  <c r="AA166" i="1" s="1"/>
  <c r="H166" i="1"/>
  <c r="K166" i="1" s="1"/>
  <c r="G167" i="1"/>
  <c r="AA167" i="1" s="1"/>
  <c r="H167" i="1"/>
  <c r="I167" i="1"/>
  <c r="J167" i="1"/>
  <c r="L167" i="1" s="1"/>
  <c r="M167" i="1"/>
  <c r="N167" i="1" s="1"/>
  <c r="O167" i="1"/>
  <c r="P167" i="1" s="1"/>
  <c r="G168" i="1"/>
  <c r="AA168" i="1" s="1"/>
  <c r="H168" i="1"/>
  <c r="I168" i="1"/>
  <c r="J168" i="1"/>
  <c r="L168" i="1" s="1"/>
  <c r="M168" i="1"/>
  <c r="N168" i="1" s="1"/>
  <c r="O168" i="1"/>
  <c r="P168" i="1" s="1"/>
  <c r="G169" i="1"/>
  <c r="H169" i="1"/>
  <c r="I169" i="1"/>
  <c r="J169" i="1"/>
  <c r="L169" i="1" s="1"/>
  <c r="M169" i="1"/>
  <c r="N169" i="1" s="1"/>
  <c r="O169" i="1"/>
  <c r="P169" i="1" s="1"/>
  <c r="G170" i="1"/>
  <c r="H170" i="1"/>
  <c r="I170" i="1"/>
  <c r="J170" i="1"/>
  <c r="L170" i="1" s="1"/>
  <c r="M170" i="1"/>
  <c r="N170" i="1" s="1"/>
  <c r="O170" i="1"/>
  <c r="P170" i="1" s="1"/>
  <c r="G171" i="1"/>
  <c r="AA171" i="1" s="1"/>
  <c r="H171" i="1"/>
  <c r="I171" i="1"/>
  <c r="J171" i="1"/>
  <c r="L171" i="1" s="1"/>
  <c r="M171" i="1"/>
  <c r="N171" i="1" s="1"/>
  <c r="O171" i="1"/>
  <c r="P171" i="1" s="1"/>
  <c r="G172" i="1"/>
  <c r="AA172" i="1" s="1"/>
  <c r="H172" i="1"/>
  <c r="I172" i="1"/>
  <c r="J172" i="1"/>
  <c r="L172" i="1" s="1"/>
  <c r="M172" i="1"/>
  <c r="N172" i="1" s="1"/>
  <c r="O172" i="1"/>
  <c r="P172" i="1" s="1"/>
  <c r="G173" i="1"/>
  <c r="AA173" i="1" s="1"/>
  <c r="H173" i="1"/>
  <c r="I173" i="1"/>
  <c r="J173" i="1"/>
  <c r="L173" i="1" s="1"/>
  <c r="M173" i="1"/>
  <c r="N173" i="1" s="1"/>
  <c r="O173" i="1"/>
  <c r="P173" i="1" s="1"/>
  <c r="G174" i="1"/>
  <c r="AA174" i="1" s="1"/>
  <c r="H174" i="1"/>
  <c r="I174" i="1"/>
  <c r="J174" i="1"/>
  <c r="L174" i="1" s="1"/>
  <c r="M174" i="1"/>
  <c r="N174" i="1" s="1"/>
  <c r="O174" i="1"/>
  <c r="P174" i="1" s="1"/>
  <c r="G175" i="1"/>
  <c r="AA175" i="1" s="1"/>
  <c r="H175" i="1"/>
  <c r="K175" i="1" s="1"/>
  <c r="G176" i="1"/>
  <c r="AA176" i="1" s="1"/>
  <c r="H176" i="1"/>
  <c r="I176" i="1"/>
  <c r="J176" i="1"/>
  <c r="L176" i="1" s="1"/>
  <c r="M176" i="1"/>
  <c r="N176" i="1" s="1"/>
  <c r="O176" i="1"/>
  <c r="P176" i="1" s="1"/>
  <c r="G177" i="1"/>
  <c r="AA177" i="1" s="1"/>
  <c r="H177" i="1"/>
  <c r="I177" i="1"/>
  <c r="J177" i="1"/>
  <c r="L177" i="1" s="1"/>
  <c r="M177" i="1"/>
  <c r="N177" i="1" s="1"/>
  <c r="O177" i="1"/>
  <c r="P177" i="1" s="1"/>
  <c r="G178" i="1"/>
  <c r="AA178" i="1" s="1"/>
  <c r="H178" i="1"/>
  <c r="I178" i="1"/>
  <c r="J178" i="1"/>
  <c r="L178" i="1" s="1"/>
  <c r="M178" i="1"/>
  <c r="N178" i="1" s="1"/>
  <c r="O178" i="1"/>
  <c r="P178" i="1" s="1"/>
  <c r="G179" i="1"/>
  <c r="AA179" i="1" s="1"/>
  <c r="AB179" i="1" s="1"/>
  <c r="AK179" i="1" s="1"/>
  <c r="H179" i="1"/>
  <c r="I179" i="1"/>
  <c r="J179" i="1"/>
  <c r="L179" i="1" s="1"/>
  <c r="M179" i="1"/>
  <c r="N179" i="1" s="1"/>
  <c r="O179" i="1"/>
  <c r="P179" i="1" s="1"/>
  <c r="G180" i="1"/>
  <c r="AA180" i="1" s="1"/>
  <c r="H180" i="1"/>
  <c r="I180" i="1"/>
  <c r="J180" i="1"/>
  <c r="L180" i="1" s="1"/>
  <c r="M180" i="1"/>
  <c r="N180" i="1" s="1"/>
  <c r="O180" i="1"/>
  <c r="P180" i="1" s="1"/>
  <c r="G181" i="1"/>
  <c r="AA181" i="1" s="1"/>
  <c r="H181" i="1"/>
  <c r="I181" i="1"/>
  <c r="J181" i="1"/>
  <c r="L181" i="1" s="1"/>
  <c r="M181" i="1"/>
  <c r="N181" i="1" s="1"/>
  <c r="O181" i="1"/>
  <c r="P181" i="1" s="1"/>
  <c r="G182" i="1"/>
  <c r="H182" i="1"/>
  <c r="I182" i="1"/>
  <c r="J182" i="1"/>
  <c r="L182" i="1" s="1"/>
  <c r="M182" i="1"/>
  <c r="N182" i="1" s="1"/>
  <c r="O182" i="1"/>
  <c r="P182" i="1" s="1"/>
  <c r="G183" i="1"/>
  <c r="AA183" i="1" s="1"/>
  <c r="H183" i="1"/>
  <c r="I183" i="1"/>
  <c r="J183" i="1"/>
  <c r="L183" i="1" s="1"/>
  <c r="M183" i="1"/>
  <c r="N183" i="1" s="1"/>
  <c r="O183" i="1"/>
  <c r="P183" i="1" s="1"/>
  <c r="G184" i="1"/>
  <c r="AA184" i="1" s="1"/>
  <c r="H184" i="1"/>
  <c r="K184" i="1" s="1"/>
  <c r="G185" i="1"/>
  <c r="AA185" i="1" s="1"/>
  <c r="H185" i="1"/>
  <c r="I185" i="1"/>
  <c r="J185" i="1"/>
  <c r="L185" i="1" s="1"/>
  <c r="M185" i="1"/>
  <c r="N185" i="1" s="1"/>
  <c r="O185" i="1"/>
  <c r="P185" i="1" s="1"/>
  <c r="G186" i="1"/>
  <c r="AA186" i="1" s="1"/>
  <c r="H186" i="1"/>
  <c r="I186" i="1"/>
  <c r="J186" i="1"/>
  <c r="L186" i="1" s="1"/>
  <c r="M186" i="1"/>
  <c r="N186" i="1" s="1"/>
  <c r="O186" i="1"/>
  <c r="P186" i="1" s="1"/>
  <c r="G187" i="1"/>
  <c r="AA187" i="1" s="1"/>
  <c r="H187" i="1"/>
  <c r="I187" i="1"/>
  <c r="J187" i="1"/>
  <c r="L187" i="1" s="1"/>
  <c r="M187" i="1"/>
  <c r="N187" i="1" s="1"/>
  <c r="O187" i="1"/>
  <c r="P187" i="1" s="1"/>
  <c r="G188" i="1"/>
  <c r="AA188" i="1" s="1"/>
  <c r="AB188" i="1" s="1"/>
  <c r="AK188" i="1" s="1"/>
  <c r="H188" i="1"/>
  <c r="I188" i="1"/>
  <c r="J188" i="1"/>
  <c r="L188" i="1" s="1"/>
  <c r="M188" i="1"/>
  <c r="N188" i="1" s="1"/>
  <c r="O188" i="1"/>
  <c r="P188" i="1" s="1"/>
  <c r="G189" i="1"/>
  <c r="AA189" i="1" s="1"/>
  <c r="H189" i="1"/>
  <c r="I189" i="1"/>
  <c r="J189" i="1"/>
  <c r="L189" i="1" s="1"/>
  <c r="M189" i="1"/>
  <c r="N189" i="1" s="1"/>
  <c r="O189" i="1"/>
  <c r="P189" i="1" s="1"/>
  <c r="G190" i="1"/>
  <c r="AA190" i="1" s="1"/>
  <c r="H190" i="1"/>
  <c r="I190" i="1"/>
  <c r="J190" i="1"/>
  <c r="L190" i="1" s="1"/>
  <c r="M190" i="1"/>
  <c r="N190" i="1" s="1"/>
  <c r="O190" i="1"/>
  <c r="P190" i="1" s="1"/>
  <c r="G191" i="1"/>
  <c r="AA191" i="1" s="1"/>
  <c r="H191" i="1"/>
  <c r="I191" i="1"/>
  <c r="J191" i="1"/>
  <c r="L191" i="1" s="1"/>
  <c r="M191" i="1"/>
  <c r="N191" i="1" s="1"/>
  <c r="O191" i="1"/>
  <c r="P191" i="1" s="1"/>
  <c r="G192" i="1"/>
  <c r="AA192" i="1" s="1"/>
  <c r="H192" i="1"/>
  <c r="I192" i="1"/>
  <c r="J192" i="1"/>
  <c r="L192" i="1" s="1"/>
  <c r="M192" i="1"/>
  <c r="N192" i="1" s="1"/>
  <c r="O192" i="1"/>
  <c r="P192" i="1" s="1"/>
  <c r="G193" i="1"/>
  <c r="AA193" i="1" s="1"/>
  <c r="H193" i="1"/>
  <c r="I193" i="1"/>
  <c r="J193" i="1"/>
  <c r="L193" i="1" s="1"/>
  <c r="M193" i="1"/>
  <c r="N193" i="1" s="1"/>
  <c r="O193" i="1"/>
  <c r="P193" i="1" s="1"/>
  <c r="G194" i="1"/>
  <c r="AA194" i="1" s="1"/>
  <c r="H194" i="1"/>
  <c r="I194" i="1"/>
  <c r="J194" i="1"/>
  <c r="L194" i="1" s="1"/>
  <c r="M194" i="1"/>
  <c r="N194" i="1" s="1"/>
  <c r="O194" i="1"/>
  <c r="P194" i="1" s="1"/>
  <c r="G195" i="1"/>
  <c r="AA195" i="1" s="1"/>
  <c r="H195" i="1"/>
  <c r="I195" i="1"/>
  <c r="J195" i="1"/>
  <c r="L195" i="1" s="1"/>
  <c r="M195" i="1"/>
  <c r="N195" i="1" s="1"/>
  <c r="O195" i="1"/>
  <c r="P195" i="1" s="1"/>
  <c r="G196" i="1"/>
  <c r="AA196" i="1" s="1"/>
  <c r="H196" i="1"/>
  <c r="K196" i="1" s="1"/>
  <c r="G197" i="1"/>
  <c r="AA197" i="1" s="1"/>
  <c r="H197" i="1"/>
  <c r="I197" i="1"/>
  <c r="J197" i="1"/>
  <c r="L197" i="1" s="1"/>
  <c r="M197" i="1"/>
  <c r="N197" i="1" s="1"/>
  <c r="O197" i="1"/>
  <c r="P197" i="1" s="1"/>
  <c r="G198" i="1"/>
  <c r="H198" i="1"/>
  <c r="I198" i="1"/>
  <c r="J198" i="1"/>
  <c r="L198" i="1" s="1"/>
  <c r="M198" i="1"/>
  <c r="N198" i="1" s="1"/>
  <c r="O198" i="1"/>
  <c r="P198" i="1" s="1"/>
  <c r="G199" i="1"/>
  <c r="AA199" i="1" s="1"/>
  <c r="H199" i="1"/>
  <c r="I199" i="1"/>
  <c r="J199" i="1"/>
  <c r="L199" i="1" s="1"/>
  <c r="M199" i="1"/>
  <c r="N199" i="1" s="1"/>
  <c r="O199" i="1"/>
  <c r="P199" i="1" s="1"/>
  <c r="G200" i="1"/>
  <c r="AA200" i="1" s="1"/>
  <c r="H200" i="1"/>
  <c r="I200" i="1"/>
  <c r="J200" i="1"/>
  <c r="L200" i="1" s="1"/>
  <c r="M200" i="1"/>
  <c r="N200" i="1" s="1"/>
  <c r="O200" i="1"/>
  <c r="P200" i="1" s="1"/>
  <c r="G201" i="1"/>
  <c r="AA201" i="1" s="1"/>
  <c r="H201" i="1"/>
  <c r="I201" i="1"/>
  <c r="J201" i="1"/>
  <c r="L201" i="1" s="1"/>
  <c r="M201" i="1"/>
  <c r="N201" i="1" s="1"/>
  <c r="O201" i="1"/>
  <c r="P201" i="1" s="1"/>
  <c r="G202" i="1"/>
  <c r="AA202" i="1" s="1"/>
  <c r="H202" i="1"/>
  <c r="I202" i="1"/>
  <c r="J202" i="1"/>
  <c r="L202" i="1" s="1"/>
  <c r="M202" i="1"/>
  <c r="N202" i="1" s="1"/>
  <c r="O202" i="1"/>
  <c r="P202" i="1" s="1"/>
  <c r="G203" i="1"/>
  <c r="AA203" i="1" s="1"/>
  <c r="H203" i="1"/>
  <c r="I203" i="1"/>
  <c r="J203" i="1"/>
  <c r="L203" i="1" s="1"/>
  <c r="M203" i="1"/>
  <c r="N203" i="1" s="1"/>
  <c r="O203" i="1"/>
  <c r="P203" i="1" s="1"/>
  <c r="G204" i="1"/>
  <c r="H204" i="1"/>
  <c r="K204" i="1" s="1"/>
  <c r="G205" i="1"/>
  <c r="AA205" i="1" s="1"/>
  <c r="H205" i="1"/>
  <c r="I205" i="1"/>
  <c r="J205" i="1"/>
  <c r="L205" i="1" s="1"/>
  <c r="M205" i="1"/>
  <c r="N205" i="1" s="1"/>
  <c r="O205" i="1"/>
  <c r="P205" i="1" s="1"/>
  <c r="G206" i="1"/>
  <c r="AA206" i="1" s="1"/>
  <c r="H206" i="1"/>
  <c r="I206" i="1"/>
  <c r="J206" i="1"/>
  <c r="L206" i="1" s="1"/>
  <c r="M206" i="1"/>
  <c r="N206" i="1" s="1"/>
  <c r="O206" i="1"/>
  <c r="P206" i="1" s="1"/>
  <c r="G207" i="1"/>
  <c r="AA207" i="1" s="1"/>
  <c r="H207" i="1"/>
  <c r="I207" i="1"/>
  <c r="J207" i="1"/>
  <c r="L207" i="1" s="1"/>
  <c r="M207" i="1"/>
  <c r="N207" i="1" s="1"/>
  <c r="O207" i="1"/>
  <c r="P207" i="1" s="1"/>
  <c r="G208" i="1"/>
  <c r="AA208" i="1" s="1"/>
  <c r="H208" i="1"/>
  <c r="I208" i="1"/>
  <c r="J208" i="1"/>
  <c r="L208" i="1" s="1"/>
  <c r="M208" i="1"/>
  <c r="N208" i="1" s="1"/>
  <c r="O208" i="1"/>
  <c r="P208" i="1" s="1"/>
  <c r="G209" i="1"/>
  <c r="AA209" i="1" s="1"/>
  <c r="H209" i="1"/>
  <c r="I209" i="1"/>
  <c r="J209" i="1"/>
  <c r="L209" i="1" s="1"/>
  <c r="M209" i="1"/>
  <c r="N209" i="1" s="1"/>
  <c r="O209" i="1"/>
  <c r="P209" i="1" s="1"/>
  <c r="G210" i="1"/>
  <c r="AA210" i="1" s="1"/>
  <c r="H210" i="1"/>
  <c r="I210" i="1"/>
  <c r="J210" i="1"/>
  <c r="L210" i="1" s="1"/>
  <c r="M210" i="1"/>
  <c r="N210" i="1" s="1"/>
  <c r="O210" i="1"/>
  <c r="P210" i="1" s="1"/>
  <c r="G211" i="1"/>
  <c r="AA211" i="1" s="1"/>
  <c r="H211" i="1"/>
  <c r="I211" i="1"/>
  <c r="J211" i="1"/>
  <c r="L211" i="1" s="1"/>
  <c r="M211" i="1"/>
  <c r="N211" i="1" s="1"/>
  <c r="O211" i="1"/>
  <c r="P211" i="1" s="1"/>
  <c r="G212" i="1"/>
  <c r="AA212" i="1" s="1"/>
  <c r="H212" i="1"/>
  <c r="K212" i="1" s="1"/>
  <c r="G213" i="1"/>
  <c r="AA213" i="1" s="1"/>
  <c r="H213" i="1"/>
  <c r="I213" i="1"/>
  <c r="J213" i="1"/>
  <c r="L213" i="1" s="1"/>
  <c r="M213" i="1"/>
  <c r="N213" i="1" s="1"/>
  <c r="O213" i="1"/>
  <c r="P213" i="1" s="1"/>
  <c r="G214" i="1"/>
  <c r="AA214" i="1" s="1"/>
  <c r="H214" i="1"/>
  <c r="I214" i="1"/>
  <c r="J214" i="1"/>
  <c r="L214" i="1" s="1"/>
  <c r="M214" i="1"/>
  <c r="N214" i="1" s="1"/>
  <c r="O214" i="1"/>
  <c r="P214" i="1" s="1"/>
  <c r="G215" i="1"/>
  <c r="AA215" i="1" s="1"/>
  <c r="H215" i="1"/>
  <c r="I215" i="1"/>
  <c r="J215" i="1"/>
  <c r="L215" i="1" s="1"/>
  <c r="M215" i="1"/>
  <c r="N215" i="1" s="1"/>
  <c r="O215" i="1"/>
  <c r="P215" i="1" s="1"/>
  <c r="G216" i="1"/>
  <c r="AA216" i="1" s="1"/>
  <c r="H216" i="1"/>
  <c r="I216" i="1"/>
  <c r="J216" i="1"/>
  <c r="L216" i="1" s="1"/>
  <c r="M216" i="1"/>
  <c r="N216" i="1" s="1"/>
  <c r="O216" i="1"/>
  <c r="P216" i="1" s="1"/>
  <c r="G217" i="1"/>
  <c r="AA217" i="1" s="1"/>
  <c r="H217" i="1"/>
  <c r="I217" i="1"/>
  <c r="J217" i="1"/>
  <c r="L217" i="1" s="1"/>
  <c r="M217" i="1"/>
  <c r="N217" i="1" s="1"/>
  <c r="O217" i="1"/>
  <c r="P217" i="1" s="1"/>
  <c r="G218" i="1"/>
  <c r="AA218" i="1" s="1"/>
  <c r="H218" i="1"/>
  <c r="I218" i="1"/>
  <c r="J218" i="1"/>
  <c r="L218" i="1" s="1"/>
  <c r="M218" i="1"/>
  <c r="N218" i="1" s="1"/>
  <c r="O218" i="1"/>
  <c r="P218" i="1" s="1"/>
  <c r="G219" i="1"/>
  <c r="AA219" i="1" s="1"/>
  <c r="H219" i="1"/>
  <c r="I219" i="1"/>
  <c r="J219" i="1"/>
  <c r="L219" i="1" s="1"/>
  <c r="M219" i="1"/>
  <c r="N219" i="1" s="1"/>
  <c r="O219" i="1"/>
  <c r="P219" i="1" s="1"/>
  <c r="G220" i="1"/>
  <c r="AA220" i="1" s="1"/>
  <c r="H220" i="1"/>
  <c r="K220" i="1" s="1"/>
  <c r="G221" i="1"/>
  <c r="AA221" i="1" s="1"/>
  <c r="H221" i="1"/>
  <c r="I221" i="1"/>
  <c r="J221" i="1"/>
  <c r="L221" i="1" s="1"/>
  <c r="M221" i="1"/>
  <c r="N221" i="1" s="1"/>
  <c r="O221" i="1"/>
  <c r="P221" i="1" s="1"/>
  <c r="G222" i="1"/>
  <c r="AA222" i="1" s="1"/>
  <c r="H222" i="1"/>
  <c r="I222" i="1"/>
  <c r="J222" i="1"/>
  <c r="L222" i="1" s="1"/>
  <c r="M222" i="1"/>
  <c r="N222" i="1" s="1"/>
  <c r="O222" i="1"/>
  <c r="P222" i="1" s="1"/>
  <c r="G223" i="1"/>
  <c r="AA223" i="1" s="1"/>
  <c r="H223" i="1"/>
  <c r="I223" i="1"/>
  <c r="J223" i="1"/>
  <c r="L223" i="1" s="1"/>
  <c r="M223" i="1"/>
  <c r="N223" i="1" s="1"/>
  <c r="O223" i="1"/>
  <c r="P223" i="1" s="1"/>
  <c r="G224" i="1"/>
  <c r="AA224" i="1" s="1"/>
  <c r="H224" i="1"/>
  <c r="I224" i="1"/>
  <c r="J224" i="1"/>
  <c r="L224" i="1" s="1"/>
  <c r="M224" i="1"/>
  <c r="N224" i="1" s="1"/>
  <c r="O224" i="1"/>
  <c r="P224" i="1" s="1"/>
  <c r="G225" i="1"/>
  <c r="AA225" i="1" s="1"/>
  <c r="H225" i="1"/>
  <c r="I225" i="1"/>
  <c r="J225" i="1"/>
  <c r="L225" i="1" s="1"/>
  <c r="M225" i="1"/>
  <c r="N225" i="1" s="1"/>
  <c r="O225" i="1"/>
  <c r="P225" i="1" s="1"/>
  <c r="G226" i="1"/>
  <c r="AA226" i="1" s="1"/>
  <c r="H226" i="1"/>
  <c r="I226" i="1"/>
  <c r="J226" i="1"/>
  <c r="L226" i="1" s="1"/>
  <c r="M226" i="1"/>
  <c r="N226" i="1" s="1"/>
  <c r="O226" i="1"/>
  <c r="P226" i="1" s="1"/>
  <c r="G227" i="1"/>
  <c r="AA227" i="1" s="1"/>
  <c r="AB227" i="1" s="1"/>
  <c r="AK227" i="1" s="1"/>
  <c r="H227" i="1"/>
  <c r="I227" i="1"/>
  <c r="J227" i="1"/>
  <c r="L227" i="1" s="1"/>
  <c r="M227" i="1"/>
  <c r="N227" i="1" s="1"/>
  <c r="O227" i="1"/>
  <c r="P227" i="1" s="1"/>
  <c r="G228" i="1"/>
  <c r="AA228" i="1" s="1"/>
  <c r="H228" i="1"/>
  <c r="K228" i="1" s="1"/>
  <c r="G229" i="1"/>
  <c r="AA229" i="1" s="1"/>
  <c r="H229" i="1"/>
  <c r="I229" i="1"/>
  <c r="J229" i="1"/>
  <c r="L229" i="1" s="1"/>
  <c r="M229" i="1"/>
  <c r="N229" i="1" s="1"/>
  <c r="O229" i="1"/>
  <c r="P229" i="1" s="1"/>
  <c r="G230" i="1"/>
  <c r="AA230" i="1" s="1"/>
  <c r="H230" i="1"/>
  <c r="I230" i="1"/>
  <c r="J230" i="1"/>
  <c r="L230" i="1" s="1"/>
  <c r="M230" i="1"/>
  <c r="N230" i="1" s="1"/>
  <c r="O230" i="1"/>
  <c r="P230" i="1" s="1"/>
  <c r="G231" i="1"/>
  <c r="H231" i="1"/>
  <c r="I231" i="1"/>
  <c r="J231" i="1"/>
  <c r="L231" i="1" s="1"/>
  <c r="M231" i="1"/>
  <c r="N231" i="1" s="1"/>
  <c r="O231" i="1"/>
  <c r="P231" i="1" s="1"/>
  <c r="G232" i="1"/>
  <c r="H232" i="1"/>
  <c r="I232" i="1"/>
  <c r="J232" i="1"/>
  <c r="L232" i="1" s="1"/>
  <c r="M232" i="1"/>
  <c r="N232" i="1" s="1"/>
  <c r="O232" i="1"/>
  <c r="P232" i="1" s="1"/>
  <c r="G233" i="1"/>
  <c r="AA233" i="1" s="1"/>
  <c r="H233" i="1"/>
  <c r="I233" i="1"/>
  <c r="J233" i="1"/>
  <c r="L233" i="1" s="1"/>
  <c r="M233" i="1"/>
  <c r="N233" i="1" s="1"/>
  <c r="O233" i="1"/>
  <c r="P233" i="1" s="1"/>
  <c r="G234" i="1"/>
  <c r="AA234" i="1" s="1"/>
  <c r="H234" i="1"/>
  <c r="I234" i="1"/>
  <c r="J234" i="1"/>
  <c r="L234" i="1" s="1"/>
  <c r="M234" i="1"/>
  <c r="N234" i="1" s="1"/>
  <c r="O234" i="1"/>
  <c r="P234" i="1" s="1"/>
  <c r="G235" i="1"/>
  <c r="AA235" i="1" s="1"/>
  <c r="H235" i="1"/>
  <c r="I235" i="1"/>
  <c r="J235" i="1"/>
  <c r="L235" i="1" s="1"/>
  <c r="M235" i="1"/>
  <c r="N235" i="1" s="1"/>
  <c r="O235" i="1"/>
  <c r="P235" i="1" s="1"/>
  <c r="G236" i="1"/>
  <c r="AA236" i="1" s="1"/>
  <c r="H236" i="1"/>
  <c r="K236" i="1" s="1"/>
  <c r="G237" i="1"/>
  <c r="AA237" i="1" s="1"/>
  <c r="H237" i="1"/>
  <c r="I237" i="1"/>
  <c r="J237" i="1"/>
  <c r="L237" i="1" s="1"/>
  <c r="M237" i="1"/>
  <c r="N237" i="1" s="1"/>
  <c r="O237" i="1"/>
  <c r="P237" i="1" s="1"/>
  <c r="G238" i="1"/>
  <c r="AA238" i="1" s="1"/>
  <c r="H238" i="1"/>
  <c r="I238" i="1"/>
  <c r="J238" i="1"/>
  <c r="L238" i="1" s="1"/>
  <c r="M238" i="1"/>
  <c r="N238" i="1" s="1"/>
  <c r="O238" i="1"/>
  <c r="P238" i="1" s="1"/>
  <c r="G239" i="1"/>
  <c r="AA239" i="1" s="1"/>
  <c r="H239" i="1"/>
  <c r="I239" i="1"/>
  <c r="J239" i="1"/>
  <c r="L239" i="1" s="1"/>
  <c r="M239" i="1"/>
  <c r="N239" i="1" s="1"/>
  <c r="O239" i="1"/>
  <c r="P239" i="1" s="1"/>
  <c r="G240" i="1"/>
  <c r="AA240" i="1" s="1"/>
  <c r="AB240" i="1" s="1"/>
  <c r="AK240" i="1" s="1"/>
  <c r="H240" i="1"/>
  <c r="I240" i="1"/>
  <c r="J240" i="1"/>
  <c r="L240" i="1" s="1"/>
  <c r="M240" i="1"/>
  <c r="N240" i="1" s="1"/>
  <c r="O240" i="1"/>
  <c r="P240" i="1" s="1"/>
  <c r="G241" i="1"/>
  <c r="AA241" i="1" s="1"/>
  <c r="H241" i="1"/>
  <c r="I241" i="1"/>
  <c r="J241" i="1"/>
  <c r="L241" i="1" s="1"/>
  <c r="M241" i="1"/>
  <c r="N241" i="1" s="1"/>
  <c r="O241" i="1"/>
  <c r="P241" i="1" s="1"/>
  <c r="G242" i="1"/>
  <c r="AA242" i="1" s="1"/>
  <c r="H242" i="1"/>
  <c r="I242" i="1"/>
  <c r="J242" i="1"/>
  <c r="L242" i="1" s="1"/>
  <c r="M242" i="1"/>
  <c r="N242" i="1" s="1"/>
  <c r="O242" i="1"/>
  <c r="P242" i="1" s="1"/>
  <c r="G243" i="1"/>
  <c r="AA243" i="1" s="1"/>
  <c r="H243" i="1"/>
  <c r="I243" i="1"/>
  <c r="J243" i="1"/>
  <c r="L243" i="1" s="1"/>
  <c r="M243" i="1"/>
  <c r="N243" i="1" s="1"/>
  <c r="O243" i="1"/>
  <c r="P243" i="1" s="1"/>
  <c r="G244" i="1"/>
  <c r="AA244" i="1" s="1"/>
  <c r="H244" i="1"/>
  <c r="I244" i="1"/>
  <c r="J244" i="1"/>
  <c r="L244" i="1" s="1"/>
  <c r="M244" i="1"/>
  <c r="N244" i="1" s="1"/>
  <c r="O244" i="1"/>
  <c r="P244" i="1" s="1"/>
  <c r="G245" i="1"/>
  <c r="H245" i="1"/>
  <c r="K245" i="1" s="1"/>
  <c r="G246" i="1"/>
  <c r="AA246" i="1" s="1"/>
  <c r="H246" i="1"/>
  <c r="I246" i="1"/>
  <c r="J246" i="1"/>
  <c r="L246" i="1" s="1"/>
  <c r="M246" i="1"/>
  <c r="N246" i="1" s="1"/>
  <c r="O246" i="1"/>
  <c r="P246" i="1" s="1"/>
  <c r="G247" i="1"/>
  <c r="AA247" i="1" s="1"/>
  <c r="H247" i="1"/>
  <c r="I247" i="1"/>
  <c r="J247" i="1"/>
  <c r="L247" i="1" s="1"/>
  <c r="M247" i="1"/>
  <c r="N247" i="1" s="1"/>
  <c r="O247" i="1"/>
  <c r="P247" i="1" s="1"/>
  <c r="G248" i="1"/>
  <c r="AA248" i="1" s="1"/>
  <c r="H248" i="1"/>
  <c r="I248" i="1"/>
  <c r="J248" i="1"/>
  <c r="L248" i="1" s="1"/>
  <c r="M248" i="1"/>
  <c r="N248" i="1" s="1"/>
  <c r="O248" i="1"/>
  <c r="P248" i="1" s="1"/>
  <c r="G249" i="1"/>
  <c r="H249" i="1"/>
  <c r="I249" i="1"/>
  <c r="J249" i="1"/>
  <c r="L249" i="1" s="1"/>
  <c r="M249" i="1"/>
  <c r="N249" i="1" s="1"/>
  <c r="O249" i="1"/>
  <c r="P249" i="1" s="1"/>
  <c r="G250" i="1"/>
  <c r="AA250" i="1" s="1"/>
  <c r="H250" i="1"/>
  <c r="I250" i="1"/>
  <c r="J250" i="1"/>
  <c r="L250" i="1" s="1"/>
  <c r="M250" i="1"/>
  <c r="N250" i="1" s="1"/>
  <c r="O250" i="1"/>
  <c r="P250" i="1" s="1"/>
  <c r="G251" i="1"/>
  <c r="AA251" i="1" s="1"/>
  <c r="H251" i="1"/>
  <c r="I251" i="1"/>
  <c r="J251" i="1"/>
  <c r="L251" i="1" s="1"/>
  <c r="M251" i="1"/>
  <c r="N251" i="1" s="1"/>
  <c r="O251" i="1"/>
  <c r="P251" i="1" s="1"/>
  <c r="G252" i="1"/>
  <c r="AA252" i="1" s="1"/>
  <c r="H252" i="1"/>
  <c r="I252" i="1"/>
  <c r="J252" i="1"/>
  <c r="L252" i="1" s="1"/>
  <c r="M252" i="1"/>
  <c r="N252" i="1" s="1"/>
  <c r="O252" i="1"/>
  <c r="P252" i="1" s="1"/>
  <c r="G253" i="1"/>
  <c r="AA253" i="1" s="1"/>
  <c r="AB253" i="1" s="1"/>
  <c r="AK253" i="1" s="1"/>
  <c r="H253" i="1"/>
  <c r="I253" i="1"/>
  <c r="J253" i="1"/>
  <c r="L253" i="1" s="1"/>
  <c r="M253" i="1"/>
  <c r="N253" i="1" s="1"/>
  <c r="O253" i="1"/>
  <c r="P253" i="1" s="1"/>
  <c r="G254" i="1"/>
  <c r="AA254" i="1" s="1"/>
  <c r="H254" i="1"/>
  <c r="K254" i="1" s="1"/>
  <c r="G255" i="1"/>
  <c r="AA255" i="1" s="1"/>
  <c r="AB255" i="1" s="1"/>
  <c r="AK255" i="1" s="1"/>
  <c r="H255" i="1"/>
  <c r="I255" i="1"/>
  <c r="J255" i="1"/>
  <c r="L255" i="1" s="1"/>
  <c r="M255" i="1"/>
  <c r="N255" i="1" s="1"/>
  <c r="O255" i="1"/>
  <c r="P255" i="1" s="1"/>
  <c r="G256" i="1"/>
  <c r="AA256" i="1" s="1"/>
  <c r="AB256" i="1" s="1"/>
  <c r="AK256" i="1" s="1"/>
  <c r="H256" i="1"/>
  <c r="I256" i="1"/>
  <c r="J256" i="1"/>
  <c r="L256" i="1" s="1"/>
  <c r="M256" i="1"/>
  <c r="N256" i="1" s="1"/>
  <c r="O256" i="1"/>
  <c r="P256" i="1" s="1"/>
  <c r="G257" i="1"/>
  <c r="AA257" i="1" s="1"/>
  <c r="AB257" i="1" s="1"/>
  <c r="H257" i="1"/>
  <c r="I257" i="1"/>
  <c r="J257" i="1"/>
  <c r="L257" i="1" s="1"/>
  <c r="M257" i="1"/>
  <c r="N257" i="1" s="1"/>
  <c r="O257" i="1"/>
  <c r="P257" i="1" s="1"/>
  <c r="G258" i="1"/>
  <c r="AA258" i="1" s="1"/>
  <c r="AB258" i="1" s="1"/>
  <c r="AK258" i="1" s="1"/>
  <c r="H258" i="1"/>
  <c r="I258" i="1"/>
  <c r="J258" i="1"/>
  <c r="L258" i="1" s="1"/>
  <c r="M258" i="1"/>
  <c r="N258" i="1" s="1"/>
  <c r="O258" i="1"/>
  <c r="P258" i="1" s="1"/>
  <c r="G259" i="1"/>
  <c r="AA259" i="1" s="1"/>
  <c r="AB259" i="1" s="1"/>
  <c r="AK259" i="1" s="1"/>
  <c r="H259" i="1"/>
  <c r="I259" i="1"/>
  <c r="J259" i="1"/>
  <c r="L259" i="1" s="1"/>
  <c r="M259" i="1"/>
  <c r="N259" i="1" s="1"/>
  <c r="O259" i="1"/>
  <c r="P259" i="1" s="1"/>
  <c r="G260" i="1"/>
  <c r="AA260" i="1" s="1"/>
  <c r="AB260" i="1" s="1"/>
  <c r="AK260" i="1" s="1"/>
  <c r="H260" i="1"/>
  <c r="I260" i="1"/>
  <c r="J260" i="1"/>
  <c r="L260" i="1" s="1"/>
  <c r="M260" i="1"/>
  <c r="N260" i="1" s="1"/>
  <c r="O260" i="1"/>
  <c r="P260" i="1" s="1"/>
  <c r="G261" i="1"/>
  <c r="AA261" i="1" s="1"/>
  <c r="AB261" i="1" s="1"/>
  <c r="AK261" i="1" s="1"/>
  <c r="H261" i="1"/>
  <c r="I261" i="1"/>
  <c r="J261" i="1"/>
  <c r="L261" i="1" s="1"/>
  <c r="M261" i="1"/>
  <c r="N261" i="1" s="1"/>
  <c r="O261" i="1"/>
  <c r="P261" i="1" s="1"/>
  <c r="G262" i="1"/>
  <c r="AA262" i="1" s="1"/>
  <c r="AB262" i="1" s="1"/>
  <c r="AK262" i="1" s="1"/>
  <c r="H262" i="1"/>
  <c r="I262" i="1"/>
  <c r="J262" i="1"/>
  <c r="L262" i="1" s="1"/>
  <c r="M262" i="1"/>
  <c r="N262" i="1" s="1"/>
  <c r="O262" i="1"/>
  <c r="P262" i="1" s="1"/>
  <c r="G263" i="1"/>
  <c r="AA263" i="1" s="1"/>
  <c r="AB263" i="1" s="1"/>
  <c r="AK263" i="1" s="1"/>
  <c r="H263" i="1"/>
  <c r="I263" i="1"/>
  <c r="J263" i="1"/>
  <c r="L263" i="1" s="1"/>
  <c r="M263" i="1"/>
  <c r="N263" i="1" s="1"/>
  <c r="O263" i="1"/>
  <c r="P263" i="1" s="1"/>
  <c r="G264" i="1"/>
  <c r="AA264" i="1" s="1"/>
  <c r="AB264" i="1" s="1"/>
  <c r="AK264" i="1" s="1"/>
  <c r="H264" i="1"/>
  <c r="I264" i="1"/>
  <c r="J264" i="1"/>
  <c r="L264" i="1" s="1"/>
  <c r="M264" i="1"/>
  <c r="N264" i="1" s="1"/>
  <c r="O264" i="1"/>
  <c r="P264" i="1" s="1"/>
  <c r="G265" i="1"/>
  <c r="AA265" i="1" s="1"/>
  <c r="AB265" i="1" s="1"/>
  <c r="AK265" i="1" s="1"/>
  <c r="H265" i="1"/>
  <c r="I265" i="1"/>
  <c r="J265" i="1"/>
  <c r="L265" i="1" s="1"/>
  <c r="M265" i="1"/>
  <c r="N265" i="1" s="1"/>
  <c r="O265" i="1"/>
  <c r="P265" i="1" s="1"/>
  <c r="G266" i="1"/>
  <c r="AA266" i="1" s="1"/>
  <c r="AB266" i="1" s="1"/>
  <c r="H266" i="1"/>
  <c r="I266" i="1"/>
  <c r="J266" i="1"/>
  <c r="L266" i="1" s="1"/>
  <c r="M266" i="1"/>
  <c r="N266" i="1" s="1"/>
  <c r="O266" i="1"/>
  <c r="P266" i="1" s="1"/>
  <c r="G267" i="1"/>
  <c r="AA267" i="1" s="1"/>
  <c r="AB267" i="1" s="1"/>
  <c r="AK267" i="1" s="1"/>
  <c r="H267" i="1"/>
  <c r="I267" i="1"/>
  <c r="J267" i="1"/>
  <c r="L267" i="1" s="1"/>
  <c r="M267" i="1"/>
  <c r="N267" i="1" s="1"/>
  <c r="O267" i="1"/>
  <c r="P267" i="1" s="1"/>
  <c r="G268" i="1"/>
  <c r="AA268" i="1" s="1"/>
  <c r="AB268" i="1" s="1"/>
  <c r="AK268" i="1" s="1"/>
  <c r="H268" i="1"/>
  <c r="I268" i="1"/>
  <c r="J268" i="1"/>
  <c r="L268" i="1" s="1"/>
  <c r="M268" i="1"/>
  <c r="N268" i="1" s="1"/>
  <c r="O268" i="1"/>
  <c r="P268" i="1" s="1"/>
  <c r="G269" i="1"/>
  <c r="AA269" i="1" s="1"/>
  <c r="AB269" i="1" s="1"/>
  <c r="AK269" i="1" s="1"/>
  <c r="H269" i="1"/>
  <c r="I269" i="1"/>
  <c r="J269" i="1"/>
  <c r="L269" i="1" s="1"/>
  <c r="M269" i="1"/>
  <c r="N269" i="1" s="1"/>
  <c r="O269" i="1"/>
  <c r="P269" i="1" s="1"/>
  <c r="G270" i="1"/>
  <c r="AA270" i="1" s="1"/>
  <c r="AB270" i="1" s="1"/>
  <c r="AK270" i="1" s="1"/>
  <c r="H270" i="1"/>
  <c r="I270" i="1"/>
  <c r="J270" i="1"/>
  <c r="L270" i="1" s="1"/>
  <c r="M270" i="1"/>
  <c r="N270" i="1" s="1"/>
  <c r="O270" i="1"/>
  <c r="P270" i="1" s="1"/>
  <c r="G271" i="1"/>
  <c r="AA271" i="1" s="1"/>
  <c r="AB271" i="1" s="1"/>
  <c r="AK271" i="1" s="1"/>
  <c r="H271" i="1"/>
  <c r="I271" i="1"/>
  <c r="J271" i="1"/>
  <c r="L271" i="1" s="1"/>
  <c r="M271" i="1"/>
  <c r="N271" i="1" s="1"/>
  <c r="O271" i="1"/>
  <c r="P271" i="1" s="1"/>
  <c r="G272" i="1"/>
  <c r="AA272" i="1" s="1"/>
  <c r="AB272" i="1" s="1"/>
  <c r="AK272" i="1" s="1"/>
  <c r="H272" i="1"/>
  <c r="I272" i="1"/>
  <c r="J272" i="1"/>
  <c r="L272" i="1" s="1"/>
  <c r="M272" i="1"/>
  <c r="N272" i="1" s="1"/>
  <c r="O272" i="1"/>
  <c r="P272" i="1" s="1"/>
  <c r="G273" i="1"/>
  <c r="AA273" i="1" s="1"/>
  <c r="AB273" i="1" s="1"/>
  <c r="AK273" i="1" s="1"/>
  <c r="H273" i="1"/>
  <c r="I273" i="1"/>
  <c r="J273" i="1"/>
  <c r="L273" i="1" s="1"/>
  <c r="M273" i="1"/>
  <c r="N273" i="1" s="1"/>
  <c r="O273" i="1"/>
  <c r="P273" i="1" s="1"/>
  <c r="G274" i="1"/>
  <c r="AA274" i="1" s="1"/>
  <c r="AB274" i="1" s="1"/>
  <c r="AK274" i="1" s="1"/>
  <c r="H274" i="1"/>
  <c r="I274" i="1"/>
  <c r="J274" i="1"/>
  <c r="L274" i="1" s="1"/>
  <c r="M274" i="1"/>
  <c r="N274" i="1" s="1"/>
  <c r="O274" i="1"/>
  <c r="P274" i="1" s="1"/>
  <c r="G275" i="1"/>
  <c r="AA275" i="1" s="1"/>
  <c r="AB275" i="1" s="1"/>
  <c r="AK275" i="1" s="1"/>
  <c r="H275" i="1"/>
  <c r="I275" i="1"/>
  <c r="J275" i="1"/>
  <c r="L275" i="1" s="1"/>
  <c r="M275" i="1"/>
  <c r="N275" i="1" s="1"/>
  <c r="O275" i="1"/>
  <c r="P275" i="1" s="1"/>
  <c r="G276" i="1"/>
  <c r="AA276" i="1" s="1"/>
  <c r="AB276" i="1" s="1"/>
  <c r="AK276" i="1" s="1"/>
  <c r="H276" i="1"/>
  <c r="I276" i="1"/>
  <c r="J276" i="1"/>
  <c r="L276" i="1" s="1"/>
  <c r="M276" i="1"/>
  <c r="N276" i="1" s="1"/>
  <c r="O276" i="1"/>
  <c r="P276" i="1" s="1"/>
  <c r="G277" i="1"/>
  <c r="AA277" i="1" s="1"/>
  <c r="AB277" i="1" s="1"/>
  <c r="AK277" i="1" s="1"/>
  <c r="H277" i="1"/>
  <c r="I277" i="1"/>
  <c r="J277" i="1"/>
  <c r="L277" i="1" s="1"/>
  <c r="M277" i="1"/>
  <c r="N277" i="1" s="1"/>
  <c r="O277" i="1"/>
  <c r="P277" i="1" s="1"/>
  <c r="G278" i="1"/>
  <c r="AA278" i="1" s="1"/>
  <c r="AB278" i="1" s="1"/>
  <c r="AK278" i="1" s="1"/>
  <c r="H278" i="1"/>
  <c r="I278" i="1"/>
  <c r="J278" i="1"/>
  <c r="L278" i="1" s="1"/>
  <c r="M278" i="1"/>
  <c r="N278" i="1" s="1"/>
  <c r="O278" i="1"/>
  <c r="P278" i="1" s="1"/>
  <c r="G279" i="1"/>
  <c r="AA279" i="1" s="1"/>
  <c r="AB279" i="1" s="1"/>
  <c r="AK279" i="1" s="1"/>
  <c r="H279" i="1"/>
  <c r="I279" i="1"/>
  <c r="J279" i="1"/>
  <c r="L279" i="1" s="1"/>
  <c r="M279" i="1"/>
  <c r="N279" i="1" s="1"/>
  <c r="O279" i="1"/>
  <c r="P279" i="1" s="1"/>
  <c r="G280" i="1"/>
  <c r="AA280" i="1" s="1"/>
  <c r="H280" i="1"/>
  <c r="I280" i="1"/>
  <c r="J280" i="1"/>
  <c r="L280" i="1" s="1"/>
  <c r="M280" i="1"/>
  <c r="N280" i="1" s="1"/>
  <c r="O280" i="1"/>
  <c r="P280" i="1" s="1"/>
  <c r="F281" i="1"/>
  <c r="F282" i="1"/>
  <c r="F283" i="1"/>
  <c r="F7" i="1"/>
  <c r="E37" i="10" s="1"/>
  <c r="F8" i="1"/>
  <c r="E38" i="10" s="1"/>
  <c r="F9" i="1"/>
  <c r="F10" i="1"/>
  <c r="E34" i="10" s="1"/>
  <c r="F11" i="1"/>
  <c r="E36" i="10" s="1"/>
  <c r="F12" i="1"/>
  <c r="F13" i="1"/>
  <c r="E13" i="1" s="1"/>
  <c r="F14" i="1"/>
  <c r="F15" i="1"/>
  <c r="F16" i="1"/>
  <c r="F17" i="1"/>
  <c r="F18" i="1"/>
  <c r="F19" i="1"/>
  <c r="F20" i="1"/>
  <c r="F21" i="1"/>
  <c r="F22" i="1"/>
  <c r="E22" i="1" s="1"/>
  <c r="F23" i="1"/>
  <c r="F24" i="1"/>
  <c r="F25" i="1"/>
  <c r="F26" i="1"/>
  <c r="F27" i="1"/>
  <c r="F28" i="1"/>
  <c r="F29" i="1"/>
  <c r="F30" i="1"/>
  <c r="F31" i="1"/>
  <c r="E31" i="1" s="1"/>
  <c r="W31" i="1" s="1"/>
  <c r="F32" i="1"/>
  <c r="F33" i="1"/>
  <c r="F34" i="1"/>
  <c r="F35" i="1"/>
  <c r="F36" i="1"/>
  <c r="F37" i="1"/>
  <c r="F38" i="1"/>
  <c r="F39" i="1"/>
  <c r="E39" i="1" s="1"/>
  <c r="F40" i="1"/>
  <c r="F41" i="1"/>
  <c r="F42" i="1"/>
  <c r="F43" i="1"/>
  <c r="F44" i="1"/>
  <c r="F45" i="1"/>
  <c r="F46" i="1"/>
  <c r="F47" i="1"/>
  <c r="F48" i="1"/>
  <c r="E48" i="1" s="1"/>
  <c r="F49" i="1"/>
  <c r="F50" i="1"/>
  <c r="F51" i="1"/>
  <c r="F52" i="1"/>
  <c r="F53" i="1"/>
  <c r="F54" i="1"/>
  <c r="F55" i="1"/>
  <c r="F56" i="1"/>
  <c r="E56" i="1" s="1"/>
  <c r="F57" i="1"/>
  <c r="F58" i="1"/>
  <c r="F59" i="1"/>
  <c r="F60" i="1"/>
  <c r="F61" i="1"/>
  <c r="F62" i="1"/>
  <c r="F63" i="1"/>
  <c r="F64" i="1"/>
  <c r="F65" i="1"/>
  <c r="E65" i="1" s="1"/>
  <c r="F66" i="1"/>
  <c r="F67" i="1"/>
  <c r="F68" i="1"/>
  <c r="F69" i="1"/>
  <c r="F70" i="1"/>
  <c r="F71" i="1"/>
  <c r="F72" i="1"/>
  <c r="F73" i="1"/>
  <c r="E73" i="1" s="1"/>
  <c r="F74" i="1"/>
  <c r="F75" i="1"/>
  <c r="F76" i="1"/>
  <c r="F77" i="1"/>
  <c r="F78" i="1"/>
  <c r="F79" i="1"/>
  <c r="F80" i="1"/>
  <c r="F81" i="1"/>
  <c r="E81" i="1" s="1"/>
  <c r="F82" i="1"/>
  <c r="F83" i="1"/>
  <c r="F84" i="1"/>
  <c r="F85" i="1"/>
  <c r="F86" i="1"/>
  <c r="F87" i="1"/>
  <c r="F88" i="1"/>
  <c r="F89" i="1"/>
  <c r="F90" i="1"/>
  <c r="E90" i="1" s="1"/>
  <c r="F91" i="1"/>
  <c r="F92" i="1"/>
  <c r="F93" i="1"/>
  <c r="F94" i="1"/>
  <c r="F95" i="1"/>
  <c r="F96" i="1"/>
  <c r="F97" i="1"/>
  <c r="F98" i="1"/>
  <c r="E98" i="1" s="1"/>
  <c r="F99" i="1"/>
  <c r="F100" i="1"/>
  <c r="F101" i="1"/>
  <c r="F102" i="1"/>
  <c r="F103" i="1"/>
  <c r="F104" i="1"/>
  <c r="F105" i="1"/>
  <c r="F106" i="1"/>
  <c r="F107" i="1"/>
  <c r="E107" i="1" s="1"/>
  <c r="F108" i="1"/>
  <c r="F109" i="1"/>
  <c r="F110" i="1"/>
  <c r="F111" i="1"/>
  <c r="F112" i="1"/>
  <c r="F113" i="1"/>
  <c r="F114" i="1"/>
  <c r="F115" i="1"/>
  <c r="E115" i="1" s="1"/>
  <c r="F116" i="1"/>
  <c r="F117" i="1"/>
  <c r="F118" i="1"/>
  <c r="F119" i="1"/>
  <c r="F120" i="1"/>
  <c r="F121" i="1"/>
  <c r="F122" i="1"/>
  <c r="F123" i="1"/>
  <c r="F124" i="1"/>
  <c r="E124" i="1" s="1"/>
  <c r="F125" i="1"/>
  <c r="F126" i="1"/>
  <c r="F127" i="1"/>
  <c r="F128" i="1"/>
  <c r="F129" i="1"/>
  <c r="F130" i="1"/>
  <c r="F131" i="1"/>
  <c r="F132" i="1"/>
  <c r="E132" i="1" s="1"/>
  <c r="F133" i="1"/>
  <c r="F134" i="1"/>
  <c r="F135" i="1"/>
  <c r="F136" i="1"/>
  <c r="F137" i="1"/>
  <c r="F138" i="1"/>
  <c r="F139" i="1"/>
  <c r="F140" i="1"/>
  <c r="F141" i="1"/>
  <c r="E141" i="1" s="1"/>
  <c r="F142" i="1"/>
  <c r="F143" i="1"/>
  <c r="F144" i="1"/>
  <c r="F145" i="1"/>
  <c r="F146" i="1"/>
  <c r="F147" i="1"/>
  <c r="F148" i="1"/>
  <c r="E148" i="1" s="1"/>
  <c r="F149" i="1"/>
  <c r="F150" i="1"/>
  <c r="F151" i="1"/>
  <c r="F152" i="1"/>
  <c r="F153" i="1"/>
  <c r="F154" i="1"/>
  <c r="F155" i="1"/>
  <c r="F156" i="1"/>
  <c r="F157" i="1"/>
  <c r="E157" i="1" s="1"/>
  <c r="F158" i="1"/>
  <c r="F159" i="1"/>
  <c r="F160" i="1"/>
  <c r="F161" i="1"/>
  <c r="F162" i="1"/>
  <c r="F163" i="1"/>
  <c r="F164" i="1"/>
  <c r="F165" i="1"/>
  <c r="F166" i="1"/>
  <c r="E166" i="1" s="1"/>
  <c r="F167" i="1"/>
  <c r="F168" i="1"/>
  <c r="F169" i="1"/>
  <c r="F170" i="1"/>
  <c r="F171" i="1"/>
  <c r="F172" i="1"/>
  <c r="F173" i="1"/>
  <c r="F174" i="1"/>
  <c r="F175" i="1"/>
  <c r="E175" i="1" s="1"/>
  <c r="F176" i="1"/>
  <c r="F177" i="1"/>
  <c r="F178" i="1"/>
  <c r="F179" i="1"/>
  <c r="F180" i="1"/>
  <c r="F181" i="1"/>
  <c r="F182" i="1"/>
  <c r="F183" i="1"/>
  <c r="F184" i="1"/>
  <c r="E184" i="1" s="1"/>
  <c r="F185" i="1"/>
  <c r="F186" i="1"/>
  <c r="F187" i="1"/>
  <c r="F188" i="1"/>
  <c r="F189" i="1"/>
  <c r="F190" i="1"/>
  <c r="F191" i="1"/>
  <c r="F192" i="1"/>
  <c r="F193" i="1"/>
  <c r="F194" i="1"/>
  <c r="F195" i="1"/>
  <c r="F196" i="1"/>
  <c r="E196" i="1" s="1"/>
  <c r="F197" i="1"/>
  <c r="F198" i="1"/>
  <c r="F199" i="1"/>
  <c r="F200" i="1"/>
  <c r="F201" i="1"/>
  <c r="F202" i="1"/>
  <c r="F203" i="1"/>
  <c r="F204" i="1"/>
  <c r="E204" i="1" s="1"/>
  <c r="F205" i="1"/>
  <c r="F206" i="1"/>
  <c r="F207" i="1"/>
  <c r="F208" i="1"/>
  <c r="F209" i="1"/>
  <c r="F210" i="1"/>
  <c r="F211" i="1"/>
  <c r="F212" i="1"/>
  <c r="E212" i="1" s="1"/>
  <c r="F213" i="1"/>
  <c r="F214" i="1"/>
  <c r="F215" i="1"/>
  <c r="F216" i="1"/>
  <c r="F217" i="1"/>
  <c r="F218" i="1"/>
  <c r="F219" i="1"/>
  <c r="F220" i="1"/>
  <c r="E220" i="1" s="1"/>
  <c r="F221" i="1"/>
  <c r="F222" i="1"/>
  <c r="F223" i="1"/>
  <c r="F224" i="1"/>
  <c r="F225" i="1"/>
  <c r="F226" i="1"/>
  <c r="F227" i="1"/>
  <c r="F228" i="1"/>
  <c r="E228" i="1" s="1"/>
  <c r="F229" i="1"/>
  <c r="F230" i="1"/>
  <c r="F231" i="1"/>
  <c r="F232" i="1"/>
  <c r="F233" i="1"/>
  <c r="F234" i="1"/>
  <c r="F235" i="1"/>
  <c r="F236" i="1"/>
  <c r="E236" i="1" s="1"/>
  <c r="F237" i="1"/>
  <c r="F238" i="1"/>
  <c r="F239" i="1"/>
  <c r="F240" i="1"/>
  <c r="F241" i="1"/>
  <c r="F242" i="1"/>
  <c r="F243" i="1"/>
  <c r="F244" i="1"/>
  <c r="F245" i="1"/>
  <c r="E245" i="1" s="1"/>
  <c r="F246" i="1"/>
  <c r="F247" i="1"/>
  <c r="F248" i="1"/>
  <c r="F249" i="1"/>
  <c r="F250" i="1"/>
  <c r="F251" i="1"/>
  <c r="F252" i="1"/>
  <c r="F253" i="1"/>
  <c r="F254" i="1"/>
  <c r="E254" i="1" s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J6" i="1"/>
  <c r="I6" i="1"/>
  <c r="O6" i="1"/>
  <c r="M6" i="1"/>
  <c r="N6" i="1" s="1"/>
  <c r="H6" i="1"/>
  <c r="Y7" i="1"/>
  <c r="Y8" i="1"/>
  <c r="Y9" i="1"/>
  <c r="Y10" i="1"/>
  <c r="Y11" i="1"/>
  <c r="Y12" i="1"/>
  <c r="Y14" i="1"/>
  <c r="Y15" i="1"/>
  <c r="Y16" i="1"/>
  <c r="Y17" i="1"/>
  <c r="Y18" i="1"/>
  <c r="Y19" i="1"/>
  <c r="Y20" i="1"/>
  <c r="Y21" i="1"/>
  <c r="Y23" i="1"/>
  <c r="Y24" i="1"/>
  <c r="Y25" i="1"/>
  <c r="Y26" i="1"/>
  <c r="Y27" i="1"/>
  <c r="Y28" i="1"/>
  <c r="Y29" i="1"/>
  <c r="Y30" i="1"/>
  <c r="Y32" i="1"/>
  <c r="Y33" i="1"/>
  <c r="Y34" i="1"/>
  <c r="Y35" i="1"/>
  <c r="Y36" i="1"/>
  <c r="Y37" i="1"/>
  <c r="Y38" i="1"/>
  <c r="Y40" i="1"/>
  <c r="Y41" i="1"/>
  <c r="Y42" i="1"/>
  <c r="Y43" i="1"/>
  <c r="Y44" i="1"/>
  <c r="Y45" i="1"/>
  <c r="Y46" i="1"/>
  <c r="Y47" i="1"/>
  <c r="Y6" i="1"/>
  <c r="X7" i="1"/>
  <c r="X8" i="1"/>
  <c r="X9" i="1"/>
  <c r="X10" i="1"/>
  <c r="X11" i="1"/>
  <c r="X12" i="1"/>
  <c r="X14" i="1"/>
  <c r="X15" i="1"/>
  <c r="X16" i="1"/>
  <c r="X17" i="1"/>
  <c r="X18" i="1"/>
  <c r="X19" i="1"/>
  <c r="X20" i="1"/>
  <c r="X21" i="1"/>
  <c r="X23" i="1"/>
  <c r="X24" i="1"/>
  <c r="X25" i="1"/>
  <c r="X26" i="1"/>
  <c r="X27" i="1"/>
  <c r="X28" i="1"/>
  <c r="X29" i="1"/>
  <c r="X30" i="1"/>
  <c r="X32" i="1"/>
  <c r="X33" i="1"/>
  <c r="X34" i="1"/>
  <c r="X35" i="1"/>
  <c r="X36" i="1"/>
  <c r="X37" i="1"/>
  <c r="X38" i="1"/>
  <c r="X40" i="1"/>
  <c r="X41" i="1"/>
  <c r="X42" i="1"/>
  <c r="X43" i="1"/>
  <c r="X44" i="1"/>
  <c r="X45" i="1"/>
  <c r="X46" i="1"/>
  <c r="X47" i="1"/>
  <c r="X6" i="1"/>
  <c r="AM280" i="1"/>
  <c r="W45" i="1"/>
  <c r="L4" i="7" a="1"/>
  <c r="W7" i="1"/>
  <c r="W8" i="1"/>
  <c r="W9" i="1"/>
  <c r="W10" i="1"/>
  <c r="W11" i="1"/>
  <c r="W12" i="1"/>
  <c r="W14" i="1"/>
  <c r="W15" i="1"/>
  <c r="W16" i="1"/>
  <c r="W17" i="1"/>
  <c r="W18" i="1"/>
  <c r="W19" i="1"/>
  <c r="W20" i="1"/>
  <c r="W21" i="1"/>
  <c r="W23" i="1"/>
  <c r="W24" i="1"/>
  <c r="W25" i="1"/>
  <c r="W26" i="1"/>
  <c r="W27" i="1"/>
  <c r="W28" i="1"/>
  <c r="W29" i="1"/>
  <c r="W30" i="1"/>
  <c r="W32" i="1"/>
  <c r="W33" i="1"/>
  <c r="W34" i="1"/>
  <c r="W35" i="1"/>
  <c r="W36" i="1"/>
  <c r="W37" i="1"/>
  <c r="W38" i="1"/>
  <c r="W40" i="1"/>
  <c r="W41" i="1"/>
  <c r="W42" i="1"/>
  <c r="W43" i="1"/>
  <c r="W44" i="1"/>
  <c r="W46" i="1"/>
  <c r="W47" i="1"/>
  <c r="W6" i="1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AM279" i="1"/>
  <c r="AL279" i="1"/>
  <c r="AM278" i="1"/>
  <c r="AL278" i="1"/>
  <c r="AM277" i="1"/>
  <c r="AL277" i="1"/>
  <c r="AM276" i="1"/>
  <c r="AL276" i="1"/>
  <c r="AM275" i="1"/>
  <c r="AL275" i="1"/>
  <c r="AM274" i="1"/>
  <c r="AL274" i="1"/>
  <c r="AM273" i="1"/>
  <c r="AL273" i="1"/>
  <c r="AM272" i="1"/>
  <c r="AL272" i="1"/>
  <c r="AM271" i="1"/>
  <c r="AL271" i="1"/>
  <c r="AM270" i="1"/>
  <c r="AL270" i="1"/>
  <c r="AM269" i="1"/>
  <c r="AL269" i="1"/>
  <c r="AM268" i="1"/>
  <c r="AL268" i="1"/>
  <c r="AM267" i="1"/>
  <c r="AL267" i="1"/>
  <c r="AM266" i="1"/>
  <c r="AL266" i="1"/>
  <c r="AM265" i="1"/>
  <c r="AL265" i="1"/>
  <c r="AM264" i="1"/>
  <c r="AL264" i="1"/>
  <c r="AM263" i="1"/>
  <c r="AL263" i="1"/>
  <c r="AM262" i="1"/>
  <c r="AL262" i="1"/>
  <c r="AM261" i="1"/>
  <c r="AL261" i="1"/>
  <c r="AM260" i="1"/>
  <c r="AL260" i="1"/>
  <c r="AM259" i="1"/>
  <c r="AL259" i="1"/>
  <c r="AM258" i="1"/>
  <c r="AL258" i="1"/>
  <c r="AM257" i="1"/>
  <c r="AL257" i="1"/>
  <c r="AM256" i="1"/>
  <c r="AL256" i="1"/>
  <c r="AM255" i="1"/>
  <c r="AL255" i="1"/>
  <c r="AM254" i="1"/>
  <c r="AL254" i="1"/>
  <c r="AM253" i="1"/>
  <c r="AL253" i="1"/>
  <c r="AM252" i="1"/>
  <c r="AL252" i="1"/>
  <c r="AM251" i="1"/>
  <c r="AL251" i="1"/>
  <c r="AM249" i="1"/>
  <c r="AL249" i="1"/>
  <c r="AM248" i="1"/>
  <c r="AL248" i="1"/>
  <c r="AM245" i="1"/>
  <c r="AL245" i="1"/>
  <c r="AM244" i="1"/>
  <c r="AL244" i="1"/>
  <c r="AM243" i="1"/>
  <c r="AL243" i="1"/>
  <c r="AM240" i="1"/>
  <c r="AL240" i="1"/>
  <c r="AM239" i="1"/>
  <c r="AL239" i="1"/>
  <c r="AM236" i="1"/>
  <c r="AL236" i="1"/>
  <c r="AM235" i="1"/>
  <c r="AL235" i="1"/>
  <c r="AM233" i="1"/>
  <c r="AL233" i="1"/>
  <c r="AM231" i="1"/>
  <c r="AL231" i="1"/>
  <c r="AM230" i="1"/>
  <c r="AL230" i="1"/>
  <c r="AM227" i="1"/>
  <c r="AL227" i="1"/>
  <c r="AM226" i="1"/>
  <c r="AL226" i="1"/>
  <c r="AM224" i="1"/>
  <c r="AL224" i="1"/>
  <c r="AM223" i="1"/>
  <c r="AL223" i="1"/>
  <c r="AM222" i="1"/>
  <c r="AL222" i="1"/>
  <c r="AM220" i="1"/>
  <c r="AL220" i="1"/>
  <c r="AM219" i="1"/>
  <c r="AL219" i="1"/>
  <c r="AM218" i="1"/>
  <c r="AL218" i="1"/>
  <c r="AM216" i="1"/>
  <c r="AL216" i="1"/>
  <c r="AM215" i="1"/>
  <c r="AL215" i="1"/>
  <c r="AM214" i="1"/>
  <c r="AL214" i="1"/>
  <c r="AM211" i="1"/>
  <c r="AL211" i="1"/>
  <c r="AM210" i="1"/>
  <c r="AL210" i="1"/>
  <c r="AM208" i="1"/>
  <c r="AL208" i="1"/>
  <c r="AM207" i="1"/>
  <c r="AL207" i="1"/>
  <c r="AM206" i="1"/>
  <c r="AL206" i="1"/>
  <c r="AM204" i="1"/>
  <c r="AL204" i="1"/>
  <c r="AM203" i="1"/>
  <c r="AL203" i="1"/>
  <c r="AM202" i="1"/>
  <c r="AL202" i="1"/>
  <c r="U3" i="1"/>
  <c r="AM200" i="1"/>
  <c r="AL200" i="1"/>
  <c r="AM199" i="1"/>
  <c r="AL199" i="1"/>
  <c r="AM198" i="1"/>
  <c r="AL198" i="1"/>
  <c r="AM195" i="1"/>
  <c r="AL195" i="1"/>
  <c r="AM194" i="1"/>
  <c r="AL194" i="1"/>
  <c r="AM191" i="1"/>
  <c r="AL191" i="1"/>
  <c r="AM190" i="1"/>
  <c r="AL190" i="1"/>
  <c r="AM188" i="1"/>
  <c r="AL188" i="1"/>
  <c r="AM187" i="1"/>
  <c r="AL187" i="1"/>
  <c r="AM186" i="1"/>
  <c r="AL186" i="1"/>
  <c r="AM184" i="1"/>
  <c r="AL184" i="1"/>
  <c r="AM183" i="1"/>
  <c r="AL183" i="1"/>
  <c r="AM182" i="1"/>
  <c r="AL182" i="1"/>
  <c r="AA182" i="1"/>
  <c r="AM179" i="1"/>
  <c r="AL179" i="1"/>
  <c r="AM178" i="1"/>
  <c r="AL178" i="1"/>
  <c r="AM177" i="1"/>
  <c r="AL177" i="1"/>
  <c r="AM175" i="1"/>
  <c r="AL175" i="1"/>
  <c r="AM174" i="1"/>
  <c r="AL174" i="1"/>
  <c r="AM173" i="1"/>
  <c r="AL173" i="1"/>
  <c r="AM171" i="1"/>
  <c r="AL171" i="1"/>
  <c r="AM169" i="1"/>
  <c r="AL169" i="1"/>
  <c r="AM168" i="1"/>
  <c r="AL168" i="1"/>
  <c r="AM165" i="1"/>
  <c r="AL165" i="1"/>
  <c r="AM164" i="1"/>
  <c r="AL164" i="1"/>
  <c r="AM162" i="1"/>
  <c r="AL162" i="1"/>
  <c r="AM160" i="1"/>
  <c r="AL160" i="1"/>
  <c r="AM159" i="1"/>
  <c r="AL159" i="1"/>
  <c r="AM157" i="1"/>
  <c r="AL157" i="1"/>
  <c r="AM154" i="1"/>
  <c r="AL154" i="1"/>
  <c r="AM153" i="1"/>
  <c r="AL153" i="1"/>
  <c r="AM151" i="1"/>
  <c r="AL151" i="1"/>
  <c r="AM148" i="1"/>
  <c r="AL148" i="1"/>
  <c r="AM146" i="1"/>
  <c r="AL146" i="1"/>
  <c r="AM140" i="1"/>
  <c r="AL140" i="1"/>
  <c r="AM138" i="1"/>
  <c r="AL138" i="1"/>
  <c r="AM136" i="1"/>
  <c r="AL136" i="1"/>
  <c r="AM135" i="1"/>
  <c r="AL135" i="1"/>
  <c r="AM132" i="1"/>
  <c r="AL132" i="1"/>
  <c r="AM130" i="1"/>
  <c r="AL130" i="1"/>
  <c r="AM129" i="1"/>
  <c r="AL129" i="1"/>
  <c r="AM126" i="1"/>
  <c r="AL126" i="1"/>
  <c r="AM123" i="1"/>
  <c r="AL123" i="1"/>
  <c r="AM121" i="1"/>
  <c r="AL121" i="1"/>
  <c r="AM113" i="1"/>
  <c r="AL113" i="1"/>
  <c r="AM111" i="1"/>
  <c r="AL111" i="1"/>
  <c r="AA107" i="1"/>
  <c r="AM105" i="1"/>
  <c r="AL105" i="1"/>
  <c r="AM102" i="1"/>
  <c r="AL102" i="1"/>
  <c r="AM98" i="1"/>
  <c r="AL98" i="1"/>
  <c r="AM96" i="1"/>
  <c r="AL96" i="1"/>
  <c r="AA95" i="1"/>
  <c r="AM93" i="1"/>
  <c r="AL93" i="1"/>
  <c r="AM88" i="1"/>
  <c r="AL88" i="1"/>
  <c r="AA85" i="1"/>
  <c r="AM84" i="1"/>
  <c r="AL84" i="1"/>
  <c r="AA82" i="1"/>
  <c r="AM80" i="1"/>
  <c r="AL80" i="1"/>
  <c r="AM79" i="1"/>
  <c r="AL79" i="1"/>
  <c r="AM78" i="1"/>
  <c r="AL78" i="1"/>
  <c r="AM76" i="1"/>
  <c r="AL76" i="1"/>
  <c r="AM75" i="1"/>
  <c r="AL75" i="1"/>
  <c r="AM72" i="1"/>
  <c r="AL72" i="1"/>
  <c r="AA71" i="1"/>
  <c r="AM67" i="1"/>
  <c r="AL67" i="1"/>
  <c r="AA67" i="1"/>
  <c r="AM65" i="1"/>
  <c r="AL65" i="1"/>
  <c r="AM64" i="1"/>
  <c r="AL64" i="1"/>
  <c r="AA63" i="1"/>
  <c r="AM62" i="1"/>
  <c r="AL62" i="1"/>
  <c r="AA60" i="1"/>
  <c r="AB60" i="1" s="1"/>
  <c r="AK60" i="1" s="1"/>
  <c r="AM59" i="1"/>
  <c r="AL59" i="1"/>
  <c r="AA59" i="1"/>
  <c r="AM58" i="1"/>
  <c r="AL58" i="1"/>
  <c r="AA57" i="1"/>
  <c r="AM56" i="1"/>
  <c r="AL56" i="1"/>
  <c r="AM55" i="1"/>
  <c r="AL55" i="1"/>
  <c r="AA55" i="1"/>
  <c r="AB55" i="1" s="1"/>
  <c r="AK55" i="1" s="1"/>
  <c r="AA54" i="1"/>
  <c r="AB54" i="1" s="1"/>
  <c r="AK54" i="1" s="1"/>
  <c r="AM53" i="1"/>
  <c r="AL53" i="1"/>
  <c r="AM51" i="1"/>
  <c r="AL51" i="1"/>
  <c r="AA51" i="1"/>
  <c r="AB51" i="1" s="1"/>
  <c r="AK51" i="1" s="1"/>
  <c r="AM50" i="1"/>
  <c r="AL50" i="1"/>
  <c r="AA49" i="1"/>
  <c r="AB49" i="1" s="1"/>
  <c r="AM48" i="1"/>
  <c r="AL48" i="1"/>
  <c r="AM47" i="1"/>
  <c r="AL47" i="1"/>
  <c r="AM46" i="1"/>
  <c r="AL46" i="1"/>
  <c r="AA46" i="1"/>
  <c r="AL43" i="1"/>
  <c r="AM42" i="1"/>
  <c r="AL42" i="1"/>
  <c r="AM39" i="1"/>
  <c r="AL39" i="1"/>
  <c r="AA38" i="1"/>
  <c r="AB38" i="1" s="1"/>
  <c r="AK38" i="1" s="1"/>
  <c r="AM37" i="1"/>
  <c r="AL37" i="1"/>
  <c r="AA37" i="1"/>
  <c r="AA36" i="1"/>
  <c r="AM33" i="1"/>
  <c r="AL33" i="1"/>
  <c r="AM31" i="1"/>
  <c r="AL31" i="1"/>
  <c r="AM29" i="1"/>
  <c r="AL29" i="1"/>
  <c r="AM28" i="1"/>
  <c r="AL28" i="1"/>
  <c r="AA28" i="1"/>
  <c r="AA27" i="1"/>
  <c r="AA26" i="1"/>
  <c r="AM24" i="1"/>
  <c r="AL24" i="1"/>
  <c r="AM22" i="1"/>
  <c r="AL22" i="1"/>
  <c r="AM21" i="1"/>
  <c r="AL21" i="1"/>
  <c r="AM20" i="1"/>
  <c r="AL20" i="1"/>
  <c r="AA18" i="1"/>
  <c r="AM17" i="1"/>
  <c r="AL17" i="1"/>
  <c r="AA17" i="1"/>
  <c r="AM16" i="1"/>
  <c r="AL16" i="1"/>
  <c r="AA16" i="1"/>
  <c r="AM12" i="1"/>
  <c r="AL12" i="1"/>
  <c r="AM11" i="1"/>
  <c r="AL11" i="1"/>
  <c r="AM9" i="1"/>
  <c r="AL9" i="1"/>
  <c r="AM7" i="1"/>
  <c r="AL7" i="1"/>
  <c r="G6" i="1"/>
  <c r="AA6" i="1" s="1"/>
  <c r="F6" i="1"/>
  <c r="E35" i="10" s="1"/>
  <c r="V3" i="1"/>
  <c r="AL133" i="1"/>
  <c r="AL71" i="1"/>
  <c r="AL63" i="1"/>
  <c r="AM63" i="1"/>
  <c r="AL52" i="1"/>
  <c r="AL38" i="1"/>
  <c r="AL87" i="1"/>
  <c r="AL8" i="1"/>
  <c r="AM8" i="1"/>
  <c r="AL137" i="1"/>
  <c r="AM137" i="1"/>
  <c r="AL90" i="1"/>
  <c r="AM90" i="1"/>
  <c r="AL114" i="1"/>
  <c r="AL68" i="1"/>
  <c r="AL85" i="1"/>
  <c r="AM85" i="1"/>
  <c r="AL49" i="1"/>
  <c r="AM49" i="1"/>
  <c r="AL95" i="1"/>
  <c r="AL13" i="1"/>
  <c r="AM13" i="1"/>
  <c r="AL122" i="1"/>
  <c r="AM133" i="1"/>
  <c r="AL73" i="1"/>
  <c r="AL81" i="1"/>
  <c r="AL139" i="1"/>
  <c r="AL120" i="1"/>
  <c r="AL134" i="1"/>
  <c r="AL54" i="1"/>
  <c r="AL131" i="1"/>
  <c r="AL107" i="1"/>
  <c r="AM107" i="1"/>
  <c r="AL155" i="1"/>
  <c r="AL109" i="1"/>
  <c r="AL100" i="1"/>
  <c r="AM81" i="1"/>
  <c r="AM95" i="1"/>
  <c r="AM73" i="1"/>
  <c r="AM131" i="1"/>
  <c r="AM120" i="1"/>
  <c r="AM54" i="1"/>
  <c r="AL25" i="1"/>
  <c r="AM25" i="1"/>
  <c r="AL143" i="1"/>
  <c r="AL36" i="1"/>
  <c r="AM71" i="1"/>
  <c r="AL60" i="1"/>
  <c r="AM60" i="1"/>
  <c r="AL34" i="1"/>
  <c r="AM34" i="1"/>
  <c r="AL104" i="1"/>
  <c r="AM155" i="1"/>
  <c r="AM87" i="1"/>
  <c r="AM139" i="1"/>
  <c r="AL117" i="1"/>
  <c r="AM38" i="1"/>
  <c r="AM68" i="1"/>
  <c r="AM36" i="1"/>
  <c r="AM134" i="1"/>
  <c r="AM109" i="1"/>
  <c r="AM117" i="1"/>
  <c r="AM100" i="1"/>
  <c r="AM114" i="1"/>
  <c r="AM122" i="1"/>
  <c r="AM143" i="1"/>
  <c r="AM52" i="1"/>
  <c r="AM104" i="1"/>
  <c r="Z254" i="1" l="1"/>
  <c r="Z166" i="1"/>
  <c r="Z81" i="1"/>
  <c r="Z220" i="1"/>
  <c r="Z107" i="1"/>
  <c r="Z98" i="1"/>
  <c r="Z236" i="1"/>
  <c r="Z124" i="1"/>
  <c r="Z148" i="1"/>
  <c r="Z245" i="1"/>
  <c r="Z157" i="1"/>
  <c r="Z212" i="1"/>
  <c r="Z184" i="1"/>
  <c r="Z73" i="1"/>
  <c r="Z65" i="1"/>
  <c r="Z175" i="1"/>
  <c r="Z90" i="1"/>
  <c r="Z204" i="1"/>
  <c r="Z228" i="1"/>
  <c r="Z115" i="1"/>
  <c r="Z132" i="1"/>
  <c r="Z196" i="1"/>
  <c r="Z141" i="1"/>
  <c r="Z56" i="1"/>
  <c r="K49" i="1"/>
  <c r="K246" i="1"/>
  <c r="K210" i="1"/>
  <c r="K180" i="1"/>
  <c r="K170" i="1"/>
  <c r="K160" i="1"/>
  <c r="K150" i="1"/>
  <c r="K114" i="1"/>
  <c r="K104" i="1"/>
  <c r="K94" i="1"/>
  <c r="K84" i="1"/>
  <c r="K74" i="1"/>
  <c r="K270" i="1"/>
  <c r="K256" i="1"/>
  <c r="K200" i="1"/>
  <c r="K190" i="1"/>
  <c r="K38" i="1"/>
  <c r="K28" i="1"/>
  <c r="K18" i="1"/>
  <c r="K279" i="1"/>
  <c r="K265" i="1"/>
  <c r="K235" i="1"/>
  <c r="K225" i="1"/>
  <c r="K215" i="1"/>
  <c r="K205" i="1"/>
  <c r="K185" i="1"/>
  <c r="K139" i="1"/>
  <c r="K129" i="1"/>
  <c r="K119" i="1"/>
  <c r="K109" i="1"/>
  <c r="K99" i="1"/>
  <c r="K63" i="1"/>
  <c r="K53" i="1"/>
  <c r="K43" i="1"/>
  <c r="K33" i="1"/>
  <c r="K23" i="1"/>
  <c r="K88" i="1"/>
  <c r="K78" i="1"/>
  <c r="K68" i="1"/>
  <c r="K58" i="1"/>
  <c r="K248" i="1"/>
  <c r="K172" i="1"/>
  <c r="K260" i="1"/>
  <c r="K230" i="1"/>
  <c r="K269" i="1"/>
  <c r="K255" i="1"/>
  <c r="K219" i="1"/>
  <c r="K209" i="1"/>
  <c r="K199" i="1"/>
  <c r="K189" i="1"/>
  <c r="K179" i="1"/>
  <c r="K169" i="1"/>
  <c r="K159" i="1"/>
  <c r="K149" i="1"/>
  <c r="K123" i="1"/>
  <c r="K113" i="1"/>
  <c r="K103" i="1"/>
  <c r="K93" i="1"/>
  <c r="K83" i="1"/>
  <c r="K164" i="1"/>
  <c r="K47" i="1"/>
  <c r="K37" i="1"/>
  <c r="K27" i="1"/>
  <c r="K17" i="1"/>
  <c r="K154" i="1"/>
  <c r="K278" i="1"/>
  <c r="K264" i="1"/>
  <c r="K244" i="1"/>
  <c r="K234" i="1"/>
  <c r="K224" i="1"/>
  <c r="K214" i="1"/>
  <c r="K138" i="1"/>
  <c r="K128" i="1"/>
  <c r="K118" i="1"/>
  <c r="K108" i="1"/>
  <c r="K72" i="1"/>
  <c r="K62" i="1"/>
  <c r="K144" i="1"/>
  <c r="K52" i="1"/>
  <c r="K42" i="1"/>
  <c r="K32" i="1"/>
  <c r="K97" i="1"/>
  <c r="K87" i="1"/>
  <c r="K77" i="1"/>
  <c r="K67" i="1"/>
  <c r="K57" i="1"/>
  <c r="K250" i="1"/>
  <c r="K174" i="1"/>
  <c r="K21" i="1"/>
  <c r="K268" i="1"/>
  <c r="K218" i="1"/>
  <c r="K208" i="1"/>
  <c r="K198" i="1"/>
  <c r="K188" i="1"/>
  <c r="K178" i="1"/>
  <c r="K168" i="1"/>
  <c r="K158" i="1"/>
  <c r="K122" i="1"/>
  <c r="K112" i="1"/>
  <c r="K102" i="1"/>
  <c r="K92" i="1"/>
  <c r="K82" i="1"/>
  <c r="K194" i="1"/>
  <c r="K46" i="1"/>
  <c r="K36" i="1"/>
  <c r="K26" i="1"/>
  <c r="K16" i="1"/>
  <c r="K272" i="1"/>
  <c r="K258" i="1"/>
  <c r="K182" i="1"/>
  <c r="K274" i="1"/>
  <c r="K240" i="1"/>
  <c r="K273" i="1"/>
  <c r="K259" i="1"/>
  <c r="K249" i="1"/>
  <c r="K239" i="1"/>
  <c r="K229" i="1"/>
  <c r="K203" i="1"/>
  <c r="K193" i="1"/>
  <c r="K183" i="1"/>
  <c r="K173" i="1"/>
  <c r="K163" i="1"/>
  <c r="K153" i="1"/>
  <c r="K143" i="1"/>
  <c r="K133" i="1"/>
  <c r="K277" i="1"/>
  <c r="K263" i="1"/>
  <c r="K253" i="1"/>
  <c r="K243" i="1"/>
  <c r="K233" i="1"/>
  <c r="K223" i="1"/>
  <c r="K213" i="1"/>
  <c r="K147" i="1"/>
  <c r="K137" i="1"/>
  <c r="K127" i="1"/>
  <c r="K117" i="1"/>
  <c r="K71" i="1"/>
  <c r="K61" i="1"/>
  <c r="K51" i="1"/>
  <c r="K41" i="1"/>
  <c r="K106" i="1"/>
  <c r="K96" i="1"/>
  <c r="K86" i="1"/>
  <c r="K76" i="1"/>
  <c r="K66" i="1"/>
  <c r="K30" i="1"/>
  <c r="K20" i="1"/>
  <c r="K267" i="1"/>
  <c r="K227" i="1"/>
  <c r="K217" i="1"/>
  <c r="K207" i="1"/>
  <c r="K197" i="1"/>
  <c r="K187" i="1"/>
  <c r="K177" i="1"/>
  <c r="K167" i="1"/>
  <c r="K131" i="1"/>
  <c r="K121" i="1"/>
  <c r="K111" i="1"/>
  <c r="K101" i="1"/>
  <c r="K91" i="1"/>
  <c r="K45" i="1"/>
  <c r="K35" i="1"/>
  <c r="K25" i="1"/>
  <c r="K15" i="1"/>
  <c r="K276" i="1"/>
  <c r="K262" i="1"/>
  <c r="K252" i="1"/>
  <c r="K242" i="1"/>
  <c r="K232" i="1"/>
  <c r="K222" i="1"/>
  <c r="K156" i="1"/>
  <c r="K146" i="1"/>
  <c r="K136" i="1"/>
  <c r="K126" i="1"/>
  <c r="K116" i="1"/>
  <c r="K80" i="1"/>
  <c r="K70" i="1"/>
  <c r="K60" i="1"/>
  <c r="K50" i="1"/>
  <c r="K40" i="1"/>
  <c r="K105" i="1"/>
  <c r="K95" i="1"/>
  <c r="K85" i="1"/>
  <c r="K75" i="1"/>
  <c r="K29" i="1"/>
  <c r="K19" i="1"/>
  <c r="K280" i="1"/>
  <c r="K266" i="1"/>
  <c r="K226" i="1"/>
  <c r="K216" i="1"/>
  <c r="K206" i="1"/>
  <c r="K186" i="1"/>
  <c r="K176" i="1"/>
  <c r="K130" i="1"/>
  <c r="K120" i="1"/>
  <c r="K110" i="1"/>
  <c r="K100" i="1"/>
  <c r="K64" i="1"/>
  <c r="K54" i="1"/>
  <c r="K44" i="1"/>
  <c r="K34" i="1"/>
  <c r="K24" i="1"/>
  <c r="K14" i="1"/>
  <c r="K238" i="1"/>
  <c r="K202" i="1"/>
  <c r="K192" i="1"/>
  <c r="K162" i="1"/>
  <c r="K152" i="1"/>
  <c r="K142" i="1"/>
  <c r="K271" i="1"/>
  <c r="K257" i="1"/>
  <c r="K247" i="1"/>
  <c r="K237" i="1"/>
  <c r="K211" i="1"/>
  <c r="K201" i="1"/>
  <c r="K191" i="1"/>
  <c r="K181" i="1"/>
  <c r="K171" i="1"/>
  <c r="K161" i="1"/>
  <c r="K151" i="1"/>
  <c r="K275" i="1"/>
  <c r="K261" i="1"/>
  <c r="K251" i="1"/>
  <c r="K241" i="1"/>
  <c r="K231" i="1"/>
  <c r="K221" i="1"/>
  <c r="K195" i="1"/>
  <c r="K165" i="1"/>
  <c r="K155" i="1"/>
  <c r="K145" i="1"/>
  <c r="K125" i="1"/>
  <c r="K89" i="1"/>
  <c r="K79" i="1"/>
  <c r="K69" i="1"/>
  <c r="K59" i="1"/>
  <c r="K13" i="1"/>
  <c r="K8" i="1"/>
  <c r="K12" i="1"/>
  <c r="K7" i="1"/>
  <c r="K11" i="1"/>
  <c r="K10" i="1"/>
  <c r="K6" i="1"/>
  <c r="K9" i="1"/>
  <c r="Q48" i="1"/>
  <c r="R48" i="1" s="1"/>
  <c r="Z48" i="1"/>
  <c r="Q39" i="1"/>
  <c r="R39" i="1" s="1"/>
  <c r="Z39" i="1"/>
  <c r="Q31" i="1"/>
  <c r="R31" i="1" s="1"/>
  <c r="Z31" i="1"/>
  <c r="W22" i="1"/>
  <c r="Q33" i="7" s="1"/>
  <c r="R33" i="7" s="1"/>
  <c r="Z22" i="1"/>
  <c r="X13" i="1"/>
  <c r="Z13" i="1"/>
  <c r="W48" i="1"/>
  <c r="Q30" i="7" s="1"/>
  <c r="R30" i="7" s="1"/>
  <c r="Q254" i="1"/>
  <c r="Y254" i="1"/>
  <c r="X254" i="1"/>
  <c r="W254" i="1"/>
  <c r="Q11" i="7" s="1"/>
  <c r="R11" i="7" s="1"/>
  <c r="Q245" i="1"/>
  <c r="R245" i="1" s="1"/>
  <c r="Y245" i="1"/>
  <c r="W245" i="1"/>
  <c r="Q12" i="7" s="1"/>
  <c r="R12" i="7" s="1"/>
  <c r="X245" i="1"/>
  <c r="Q236" i="1"/>
  <c r="R236" i="1" s="1"/>
  <c r="Y236" i="1"/>
  <c r="X236" i="1"/>
  <c r="W236" i="1"/>
  <c r="Q10" i="7" s="1"/>
  <c r="R10" i="7" s="1"/>
  <c r="Q228" i="1"/>
  <c r="R228" i="1" s="1"/>
  <c r="X228" i="1"/>
  <c r="W228" i="1"/>
  <c r="Q28" i="7" s="1"/>
  <c r="R28" i="7" s="1"/>
  <c r="Y228" i="1"/>
  <c r="W220" i="1"/>
  <c r="Q29" i="7" s="1"/>
  <c r="R29" i="7" s="1"/>
  <c r="Y220" i="1"/>
  <c r="X220" i="1"/>
  <c r="Q212" i="1"/>
  <c r="R212" i="1" s="1"/>
  <c r="W212" i="1"/>
  <c r="Q27" i="7" s="1"/>
  <c r="R27" i="7" s="1"/>
  <c r="Y212" i="1"/>
  <c r="X212" i="1"/>
  <c r="Q204" i="1"/>
  <c r="R204" i="1" s="1"/>
  <c r="X204" i="1"/>
  <c r="W204" i="1"/>
  <c r="Q21" i="7" s="1"/>
  <c r="R21" i="7" s="1"/>
  <c r="Y204" i="1"/>
  <c r="Q196" i="1"/>
  <c r="R196" i="1" s="1"/>
  <c r="Y196" i="1"/>
  <c r="X196" i="1"/>
  <c r="W196" i="1"/>
  <c r="Q20" i="7" s="1"/>
  <c r="R20" i="7" s="1"/>
  <c r="Q184" i="1"/>
  <c r="W184" i="1"/>
  <c r="Q22" i="7" s="1"/>
  <c r="R22" i="7" s="1"/>
  <c r="Y184" i="1"/>
  <c r="X184" i="1"/>
  <c r="Q175" i="1"/>
  <c r="Y175" i="1"/>
  <c r="X175" i="1"/>
  <c r="W175" i="1"/>
  <c r="Q23" i="7" s="1"/>
  <c r="R23" i="7" s="1"/>
  <c r="Q166" i="1"/>
  <c r="R166" i="1" s="1"/>
  <c r="Y166" i="1"/>
  <c r="X166" i="1"/>
  <c r="W166" i="1"/>
  <c r="Q24" i="7" s="1"/>
  <c r="R24" i="7" s="1"/>
  <c r="Q157" i="1"/>
  <c r="X157" i="1"/>
  <c r="W157" i="1"/>
  <c r="Q25" i="7" s="1"/>
  <c r="R25" i="7" s="1"/>
  <c r="Y157" i="1"/>
  <c r="Q148" i="1"/>
  <c r="R148" i="1" s="1"/>
  <c r="X148" i="1"/>
  <c r="W148" i="1"/>
  <c r="Q26" i="7" s="1"/>
  <c r="R26" i="7" s="1"/>
  <c r="Y148" i="1"/>
  <c r="Q141" i="1"/>
  <c r="R141" i="1" s="1"/>
  <c r="Y141" i="1"/>
  <c r="X141" i="1"/>
  <c r="W141" i="1"/>
  <c r="Q19" i="7" s="1"/>
  <c r="R19" i="7" s="1"/>
  <c r="Q132" i="1"/>
  <c r="R132" i="1" s="1"/>
  <c r="X132" i="1"/>
  <c r="W132" i="1"/>
  <c r="Q13" i="7" s="1"/>
  <c r="R13" i="7" s="1"/>
  <c r="Y132" i="1"/>
  <c r="Q124" i="1"/>
  <c r="R124" i="1" s="1"/>
  <c r="X124" i="1"/>
  <c r="W124" i="1"/>
  <c r="Q14" i="7" s="1"/>
  <c r="R14" i="7" s="1"/>
  <c r="Y124" i="1"/>
  <c r="Q115" i="1"/>
  <c r="R115" i="1" s="1"/>
  <c r="Y115" i="1"/>
  <c r="W115" i="1"/>
  <c r="Q15" i="7" s="1"/>
  <c r="R15" i="7" s="1"/>
  <c r="X115" i="1"/>
  <c r="Q107" i="1"/>
  <c r="R107" i="1" s="1"/>
  <c r="Y107" i="1"/>
  <c r="X107" i="1"/>
  <c r="W107" i="1"/>
  <c r="Q16" i="7" s="1"/>
  <c r="R16" i="7" s="1"/>
  <c r="Q98" i="1"/>
  <c r="R98" i="1" s="1"/>
  <c r="X98" i="1"/>
  <c r="W98" i="1"/>
  <c r="Q17" i="7" s="1"/>
  <c r="R17" i="7" s="1"/>
  <c r="Y98" i="1"/>
  <c r="Q90" i="1"/>
  <c r="R90" i="1" s="1"/>
  <c r="W90" i="1"/>
  <c r="Q18" i="7" s="1"/>
  <c r="R18" i="7" s="1"/>
  <c r="Y90" i="1"/>
  <c r="X90" i="1"/>
  <c r="Y81" i="1"/>
  <c r="W81" i="1"/>
  <c r="Q9" i="7" s="1"/>
  <c r="R9" i="7" s="1"/>
  <c r="X81" i="1"/>
  <c r="Q73" i="1"/>
  <c r="X73" i="1"/>
  <c r="W73" i="1"/>
  <c r="Q8" i="7" s="1"/>
  <c r="R8" i="7" s="1"/>
  <c r="Y73" i="1"/>
  <c r="Q65" i="1"/>
  <c r="Y65" i="1"/>
  <c r="X65" i="1"/>
  <c r="W65" i="1"/>
  <c r="Q7" i="7" s="1"/>
  <c r="R7" i="7" s="1"/>
  <c r="Q56" i="1"/>
  <c r="R56" i="1" s="1"/>
  <c r="Y56" i="1"/>
  <c r="X56" i="1"/>
  <c r="W56" i="1"/>
  <c r="Q31" i="7" s="1"/>
  <c r="R31" i="7" s="1"/>
  <c r="K283" i="1"/>
  <c r="AB283" i="1"/>
  <c r="K282" i="1"/>
  <c r="AB282" i="1"/>
  <c r="K281" i="1"/>
  <c r="AB281" i="1"/>
  <c r="Q220" i="1"/>
  <c r="Q81" i="1"/>
  <c r="R81" i="1" s="1"/>
  <c r="Y13" i="1"/>
  <c r="W13" i="1"/>
  <c r="Q35" i="7" s="1"/>
  <c r="R35" i="7" s="1"/>
  <c r="X22" i="1"/>
  <c r="E8" i="10"/>
  <c r="X31" i="1"/>
  <c r="O184" i="1"/>
  <c r="P184" i="1" s="1"/>
  <c r="M166" i="1"/>
  <c r="N166" i="1" s="1"/>
  <c r="X48" i="1"/>
  <c r="J166" i="1"/>
  <c r="L166" i="1" s="1"/>
  <c r="M204" i="1"/>
  <c r="N204" i="1" s="1"/>
  <c r="O254" i="1"/>
  <c r="P254" i="1" s="1"/>
  <c r="I254" i="1"/>
  <c r="I220" i="1"/>
  <c r="E7" i="10"/>
  <c r="E5" i="10"/>
  <c r="O220" i="1"/>
  <c r="P220" i="1" s="1"/>
  <c r="J220" i="1"/>
  <c r="L220" i="1" s="1"/>
  <c r="E100" i="10"/>
  <c r="E105" i="10"/>
  <c r="E19" i="10"/>
  <c r="E134" i="10"/>
  <c r="J245" i="1"/>
  <c r="L245" i="1" s="1"/>
  <c r="Y39" i="1"/>
  <c r="E99" i="10"/>
  <c r="E103" i="10"/>
  <c r="E168" i="10"/>
  <c r="E22" i="10"/>
  <c r="E69" i="10"/>
  <c r="E135" i="10"/>
  <c r="E95" i="10"/>
  <c r="M254" i="1"/>
  <c r="N254" i="1" s="1"/>
  <c r="I245" i="1"/>
  <c r="J254" i="1"/>
  <c r="L254" i="1" s="1"/>
  <c r="M220" i="1"/>
  <c r="N220" i="1" s="1"/>
  <c r="J196" i="1"/>
  <c r="L196" i="1" s="1"/>
  <c r="Y31" i="1"/>
  <c r="E86" i="10"/>
  <c r="E78" i="10"/>
  <c r="E123" i="10"/>
  <c r="E84" i="10"/>
  <c r="E128" i="10"/>
  <c r="I196" i="1"/>
  <c r="O157" i="1"/>
  <c r="P157" i="1" s="1"/>
  <c r="M157" i="1"/>
  <c r="N157" i="1" s="1"/>
  <c r="J157" i="1"/>
  <c r="L157" i="1" s="1"/>
  <c r="O166" i="1"/>
  <c r="P166" i="1" s="1"/>
  <c r="I157" i="1"/>
  <c r="J204" i="1"/>
  <c r="L204" i="1" s="1"/>
  <c r="I204" i="1"/>
  <c r="E98" i="10"/>
  <c r="W39" i="1"/>
  <c r="X39" i="1"/>
  <c r="Y48" i="1"/>
  <c r="E71" i="10"/>
  <c r="E49" i="10"/>
  <c r="E12" i="10"/>
  <c r="E46" i="10"/>
  <c r="E146" i="10"/>
  <c r="E148" i="10"/>
  <c r="O212" i="1"/>
  <c r="P212" i="1" s="1"/>
  <c r="O148" i="1"/>
  <c r="P148" i="1" s="1"/>
  <c r="M212" i="1"/>
  <c r="N212" i="1" s="1"/>
  <c r="M148" i="1"/>
  <c r="N148" i="1" s="1"/>
  <c r="M184" i="1"/>
  <c r="N184" i="1" s="1"/>
  <c r="J148" i="1"/>
  <c r="L148" i="1" s="1"/>
  <c r="I236" i="1"/>
  <c r="J184" i="1"/>
  <c r="L184" i="1" s="1"/>
  <c r="I148" i="1"/>
  <c r="I184" i="1"/>
  <c r="O245" i="1"/>
  <c r="P245" i="1" s="1"/>
  <c r="M245" i="1"/>
  <c r="N245" i="1" s="1"/>
  <c r="E70" i="10"/>
  <c r="E104" i="10"/>
  <c r="E63" i="10"/>
  <c r="E165" i="10"/>
  <c r="E107" i="10"/>
  <c r="E45" i="10"/>
  <c r="E144" i="10"/>
  <c r="E92" i="10"/>
  <c r="E6" i="10"/>
  <c r="M236" i="1"/>
  <c r="N236" i="1" s="1"/>
  <c r="M141" i="1"/>
  <c r="N141" i="1" s="1"/>
  <c r="I132" i="1"/>
  <c r="I90" i="1"/>
  <c r="M73" i="1"/>
  <c r="N73" i="1" s="1"/>
  <c r="O31" i="1"/>
  <c r="P31" i="1" s="1"/>
  <c r="J22" i="1"/>
  <c r="L22" i="1" s="1"/>
  <c r="E102" i="10"/>
  <c r="E61" i="10"/>
  <c r="E44" i="10"/>
  <c r="E140" i="10"/>
  <c r="J236" i="1"/>
  <c r="L236" i="1" s="1"/>
  <c r="O204" i="1"/>
  <c r="P204" i="1" s="1"/>
  <c r="J141" i="1"/>
  <c r="L141" i="1" s="1"/>
  <c r="J73" i="1"/>
  <c r="L73" i="1" s="1"/>
  <c r="M31" i="1"/>
  <c r="N31" i="1" s="1"/>
  <c r="I22" i="1"/>
  <c r="E62" i="10"/>
  <c r="E20" i="10"/>
  <c r="E109" i="10"/>
  <c r="E93" i="10"/>
  <c r="I141" i="1"/>
  <c r="I73" i="1"/>
  <c r="J31" i="1"/>
  <c r="L31" i="1" s="1"/>
  <c r="E106" i="10"/>
  <c r="I31" i="1"/>
  <c r="E97" i="10"/>
  <c r="E101" i="10"/>
  <c r="E64" i="10"/>
  <c r="E127" i="10"/>
  <c r="E66" i="10"/>
  <c r="E94" i="10"/>
  <c r="F167" i="10"/>
  <c r="F65" i="10"/>
  <c r="F162" i="10"/>
  <c r="F66" i="10"/>
  <c r="F102" i="10"/>
  <c r="F6" i="10"/>
  <c r="F120" i="10"/>
  <c r="F166" i="10"/>
  <c r="F121" i="10"/>
  <c r="F122" i="10"/>
  <c r="F5" i="10"/>
  <c r="F157" i="10"/>
  <c r="F159" i="10"/>
  <c r="F7" i="10"/>
  <c r="F94" i="10"/>
  <c r="F32" i="10"/>
  <c r="F30" i="10"/>
  <c r="F57" i="10"/>
  <c r="F21" i="10"/>
  <c r="F136" i="10"/>
  <c r="E177" i="10"/>
  <c r="F160" i="10"/>
  <c r="F129" i="10"/>
  <c r="F26" i="10"/>
  <c r="F173" i="10"/>
  <c r="F104" i="10"/>
  <c r="F93" i="10"/>
  <c r="F158" i="10"/>
  <c r="F75" i="10"/>
  <c r="F177" i="10"/>
  <c r="F145" i="10"/>
  <c r="F73" i="10"/>
  <c r="F64" i="10"/>
  <c r="F100" i="10"/>
  <c r="F28" i="10"/>
  <c r="F149" i="10"/>
  <c r="F114" i="10"/>
  <c r="F42" i="10"/>
  <c r="F63" i="10"/>
  <c r="F98" i="10"/>
  <c r="F110" i="10"/>
  <c r="F118" i="10"/>
  <c r="F83" i="10"/>
  <c r="F9" i="10"/>
  <c r="F62" i="10"/>
  <c r="F138" i="10"/>
  <c r="F61" i="10"/>
  <c r="F87" i="10"/>
  <c r="F52" i="10"/>
  <c r="E179" i="10"/>
  <c r="F107" i="10"/>
  <c r="E173" i="10"/>
  <c r="F155" i="10"/>
  <c r="F56" i="10"/>
  <c r="F20" i="10"/>
  <c r="F163" i="10"/>
  <c r="F156" i="10"/>
  <c r="F137" i="10"/>
  <c r="F179" i="10"/>
  <c r="F25" i="10"/>
  <c r="F144" i="10"/>
  <c r="F135" i="10"/>
  <c r="F99" i="10"/>
  <c r="F33" i="10"/>
  <c r="F74" i="10"/>
  <c r="F27" i="10"/>
  <c r="F113" i="10"/>
  <c r="F103" i="10"/>
  <c r="F153" i="10"/>
  <c r="E171" i="10"/>
  <c r="F71" i="10"/>
  <c r="F178" i="10"/>
  <c r="F51" i="10"/>
  <c r="F72" i="10"/>
  <c r="F95" i="10"/>
  <c r="F132" i="10"/>
  <c r="F161" i="10"/>
  <c r="F119" i="10"/>
  <c r="F19" i="10"/>
  <c r="F39" i="10"/>
  <c r="F151" i="10"/>
  <c r="F79" i="10"/>
  <c r="F60" i="10"/>
  <c r="F176" i="10"/>
  <c r="F171" i="10"/>
  <c r="F8" i="10"/>
  <c r="F141" i="10"/>
  <c r="F31" i="10"/>
  <c r="F154" i="10"/>
  <c r="F148" i="10"/>
  <c r="F143" i="10"/>
  <c r="F134" i="10"/>
  <c r="E176" i="10"/>
  <c r="F58" i="10"/>
  <c r="F128" i="10"/>
  <c r="F117" i="10"/>
  <c r="F112" i="10"/>
  <c r="F106" i="10"/>
  <c r="F140" i="10"/>
  <c r="F45" i="10"/>
  <c r="F16" i="10"/>
  <c r="F86" i="10"/>
  <c r="F81" i="10"/>
  <c r="F78" i="10"/>
  <c r="F92" i="10"/>
  <c r="E178" i="10"/>
  <c r="F172" i="10"/>
  <c r="F55" i="10"/>
  <c r="F49" i="10"/>
  <c r="F50" i="10"/>
  <c r="E175" i="10"/>
  <c r="F90" i="10"/>
  <c r="F127" i="10"/>
  <c r="F24" i="10"/>
  <c r="F18" i="10"/>
  <c r="F22" i="10"/>
  <c r="F139" i="10"/>
  <c r="F77" i="10"/>
  <c r="F15" i="10"/>
  <c r="F175" i="10"/>
  <c r="F170" i="10"/>
  <c r="F125" i="10"/>
  <c r="F91" i="10"/>
  <c r="E169" i="10"/>
  <c r="F169" i="10"/>
  <c r="F147" i="10"/>
  <c r="F142" i="10"/>
  <c r="F97" i="10"/>
  <c r="F59" i="10"/>
  <c r="F130" i="10"/>
  <c r="F126" i="10"/>
  <c r="F116" i="10"/>
  <c r="F111" i="10"/>
  <c r="F69" i="10"/>
  <c r="F108" i="10"/>
  <c r="F76" i="10"/>
  <c r="F70" i="10"/>
  <c r="F85" i="10"/>
  <c r="F80" i="10"/>
  <c r="F41" i="10"/>
  <c r="F101" i="10"/>
  <c r="F29" i="10"/>
  <c r="F14" i="10"/>
  <c r="F54" i="10"/>
  <c r="F48" i="10"/>
  <c r="F13" i="10"/>
  <c r="F46" i="10"/>
  <c r="F109" i="10"/>
  <c r="F168" i="10"/>
  <c r="F23" i="10"/>
  <c r="F17" i="10"/>
  <c r="F124" i="10"/>
  <c r="F44" i="10"/>
  <c r="F47" i="10"/>
  <c r="F123" i="10"/>
  <c r="F174" i="10"/>
  <c r="F165" i="10"/>
  <c r="F96" i="10"/>
  <c r="F89" i="10"/>
  <c r="F152" i="10"/>
  <c r="F67" i="10"/>
  <c r="F146" i="10"/>
  <c r="F105" i="10"/>
  <c r="F68" i="10"/>
  <c r="Q13" i="1"/>
  <c r="R13" i="1" s="1"/>
  <c r="E172" i="10"/>
  <c r="E174" i="10"/>
  <c r="F12" i="10"/>
  <c r="F115" i="10"/>
  <c r="F43" i="10"/>
  <c r="F40" i="10"/>
  <c r="F133" i="10"/>
  <c r="E170" i="10"/>
  <c r="F150" i="10"/>
  <c r="F84" i="10"/>
  <c r="F10" i="10"/>
  <c r="F82" i="10"/>
  <c r="F131" i="10"/>
  <c r="F88" i="10"/>
  <c r="F53" i="10"/>
  <c r="F164" i="10"/>
  <c r="J212" i="1"/>
  <c r="L212" i="1" s="1"/>
  <c r="O98" i="1"/>
  <c r="P98" i="1" s="1"/>
  <c r="E60" i="10"/>
  <c r="E21" i="10"/>
  <c r="E65" i="10"/>
  <c r="E161" i="10"/>
  <c r="E91" i="10"/>
  <c r="I212" i="1"/>
  <c r="M98" i="1"/>
  <c r="N98" i="1" s="1"/>
  <c r="E18" i="10"/>
  <c r="E126" i="10"/>
  <c r="E136" i="10"/>
  <c r="O175" i="1"/>
  <c r="P175" i="1" s="1"/>
  <c r="O107" i="1"/>
  <c r="P107" i="1" s="1"/>
  <c r="J98" i="1"/>
  <c r="L98" i="1" s="1"/>
  <c r="E96" i="10"/>
  <c r="E75" i="10"/>
  <c r="E122" i="10"/>
  <c r="E68" i="10"/>
  <c r="E137" i="10"/>
  <c r="M175" i="1"/>
  <c r="N175" i="1" s="1"/>
  <c r="I166" i="1"/>
  <c r="M107" i="1"/>
  <c r="N107" i="1" s="1"/>
  <c r="I98" i="1"/>
  <c r="O39" i="1"/>
  <c r="P39" i="1" s="1"/>
  <c r="E76" i="10"/>
  <c r="E124" i="10"/>
  <c r="E67" i="10"/>
  <c r="E142" i="10"/>
  <c r="J175" i="1"/>
  <c r="L175" i="1" s="1"/>
  <c r="J107" i="1"/>
  <c r="L107" i="1" s="1"/>
  <c r="M39" i="1"/>
  <c r="N39" i="1" s="1"/>
  <c r="E166" i="10"/>
  <c r="E121" i="10"/>
  <c r="E41" i="10"/>
  <c r="E141" i="10"/>
  <c r="I175" i="1"/>
  <c r="I107" i="1"/>
  <c r="O48" i="1"/>
  <c r="P48" i="1" s="1"/>
  <c r="J39" i="1"/>
  <c r="L39" i="1" s="1"/>
  <c r="E88" i="10"/>
  <c r="E79" i="10"/>
  <c r="E120" i="10"/>
  <c r="E40" i="10"/>
  <c r="E125" i="10"/>
  <c r="E131" i="10"/>
  <c r="E90" i="10"/>
  <c r="M48" i="1"/>
  <c r="N48" i="1" s="1"/>
  <c r="I39" i="1"/>
  <c r="E117" i="10"/>
  <c r="J48" i="1"/>
  <c r="L48" i="1" s="1"/>
  <c r="I48" i="1"/>
  <c r="E118" i="10"/>
  <c r="E39" i="10"/>
  <c r="E80" i="10"/>
  <c r="E138" i="10"/>
  <c r="E42" i="10"/>
  <c r="E24" i="10"/>
  <c r="E133" i="10"/>
  <c r="O115" i="1"/>
  <c r="P115" i="1" s="1"/>
  <c r="E77" i="10"/>
  <c r="E155" i="10"/>
  <c r="E25" i="10"/>
  <c r="E85" i="10"/>
  <c r="E132" i="10"/>
  <c r="M115" i="1"/>
  <c r="N115" i="1" s="1"/>
  <c r="E83" i="10"/>
  <c r="E116" i="10"/>
  <c r="E15" i="10"/>
  <c r="E157" i="10"/>
  <c r="E81" i="10"/>
  <c r="E129" i="10"/>
  <c r="E33" i="10"/>
  <c r="O124" i="1"/>
  <c r="P124" i="1" s="1"/>
  <c r="J115" i="1"/>
  <c r="L115" i="1" s="1"/>
  <c r="O56" i="1"/>
  <c r="P56" i="1" s="1"/>
  <c r="E139" i="10"/>
  <c r="E29" i="10"/>
  <c r="M124" i="1"/>
  <c r="N124" i="1" s="1"/>
  <c r="I115" i="1"/>
  <c r="M56" i="1"/>
  <c r="N56" i="1" s="1"/>
  <c r="E112" i="10"/>
  <c r="E51" i="10"/>
  <c r="E59" i="10"/>
  <c r="E158" i="10"/>
  <c r="E27" i="10"/>
  <c r="E167" i="10"/>
  <c r="E30" i="10"/>
  <c r="O228" i="1"/>
  <c r="P228" i="1" s="1"/>
  <c r="J124" i="1"/>
  <c r="L124" i="1" s="1"/>
  <c r="O65" i="1"/>
  <c r="P65" i="1" s="1"/>
  <c r="J56" i="1"/>
  <c r="L56" i="1" s="1"/>
  <c r="Y22" i="1"/>
  <c r="E13" i="10"/>
  <c r="E57" i="10"/>
  <c r="E156" i="10"/>
  <c r="E23" i="10"/>
  <c r="M228" i="1"/>
  <c r="N228" i="1" s="1"/>
  <c r="I124" i="1"/>
  <c r="M65" i="1"/>
  <c r="N65" i="1" s="1"/>
  <c r="I56" i="1"/>
  <c r="E115" i="10"/>
  <c r="E130" i="10"/>
  <c r="E113" i="10"/>
  <c r="E89" i="10"/>
  <c r="E111" i="10"/>
  <c r="E163" i="10"/>
  <c r="E119" i="10"/>
  <c r="E87" i="10"/>
  <c r="E17" i="10"/>
  <c r="E114" i="10"/>
  <c r="E14" i="10"/>
  <c r="E159" i="10"/>
  <c r="E26" i="10"/>
  <c r="E82" i="10"/>
  <c r="E10" i="10"/>
  <c r="E55" i="10"/>
  <c r="E153" i="10"/>
  <c r="E152" i="10"/>
  <c r="E31" i="10"/>
  <c r="J228" i="1"/>
  <c r="L228" i="1" s="1"/>
  <c r="O196" i="1"/>
  <c r="P196" i="1" s="1"/>
  <c r="J65" i="1"/>
  <c r="L65" i="1" s="1"/>
  <c r="E164" i="10"/>
  <c r="E54" i="10"/>
  <c r="E160" i="10"/>
  <c r="E149" i="10"/>
  <c r="E32" i="10"/>
  <c r="I228" i="1"/>
  <c r="M196" i="1"/>
  <c r="N196" i="1" s="1"/>
  <c r="I65" i="1"/>
  <c r="E73" i="10"/>
  <c r="E52" i="10"/>
  <c r="E16" i="10"/>
  <c r="E58" i="10"/>
  <c r="E154" i="10"/>
  <c r="E48" i="10"/>
  <c r="E147" i="10"/>
  <c r="E150" i="10"/>
  <c r="E28" i="10"/>
  <c r="O81" i="1"/>
  <c r="P81" i="1" s="1"/>
  <c r="F11" i="10"/>
  <c r="Q22" i="1"/>
  <c r="M81" i="1"/>
  <c r="N81" i="1" s="1"/>
  <c r="O13" i="1"/>
  <c r="P13" i="1" s="1"/>
  <c r="E11" i="10"/>
  <c r="E43" i="10"/>
  <c r="E143" i="10"/>
  <c r="E151" i="10"/>
  <c r="O132" i="1"/>
  <c r="P132" i="1" s="1"/>
  <c r="O90" i="1"/>
  <c r="P90" i="1" s="1"/>
  <c r="J81" i="1"/>
  <c r="L81" i="1" s="1"/>
  <c r="M13" i="1"/>
  <c r="N13" i="1" s="1"/>
  <c r="E74" i="10"/>
  <c r="E50" i="10"/>
  <c r="E162" i="10"/>
  <c r="E110" i="10"/>
  <c r="E9" i="10"/>
  <c r="M132" i="1"/>
  <c r="N132" i="1" s="1"/>
  <c r="M90" i="1"/>
  <c r="N90" i="1" s="1"/>
  <c r="I81" i="1"/>
  <c r="O22" i="1"/>
  <c r="P22" i="1" s="1"/>
  <c r="J13" i="1"/>
  <c r="L13" i="1" s="1"/>
  <c r="E72" i="10"/>
  <c r="E56" i="10"/>
  <c r="E108" i="10"/>
  <c r="E47" i="10"/>
  <c r="E145" i="10"/>
  <c r="E53" i="10"/>
  <c r="O236" i="1"/>
  <c r="P236" i="1" s="1"/>
  <c r="O141" i="1"/>
  <c r="P141" i="1" s="1"/>
  <c r="J132" i="1"/>
  <c r="L132" i="1" s="1"/>
  <c r="J90" i="1"/>
  <c r="L90" i="1" s="1"/>
  <c r="O73" i="1"/>
  <c r="P73" i="1" s="1"/>
  <c r="M22" i="1"/>
  <c r="N22" i="1" s="1"/>
  <c r="I13" i="1"/>
  <c r="Q32" i="7"/>
  <c r="R32" i="7" s="1"/>
  <c r="O13" i="7"/>
  <c r="P31" i="7"/>
  <c r="M25" i="7"/>
  <c r="P32" i="7"/>
  <c r="M26" i="7"/>
  <c r="P33" i="7"/>
  <c r="M27" i="7"/>
  <c r="P6" i="7"/>
  <c r="P34" i="7"/>
  <c r="M28" i="7"/>
  <c r="P7" i="7"/>
  <c r="P35" i="7"/>
  <c r="M29" i="7"/>
  <c r="P8" i="7"/>
  <c r="P36" i="7"/>
  <c r="M30" i="7"/>
  <c r="M17" i="7"/>
  <c r="M19" i="7"/>
  <c r="M21" i="7"/>
  <c r="P30" i="7"/>
  <c r="P9" i="7"/>
  <c r="P5" i="7"/>
  <c r="M31" i="7"/>
  <c r="M8" i="7"/>
  <c r="M10" i="7"/>
  <c r="P22" i="7"/>
  <c r="P10" i="7"/>
  <c r="M32" i="7"/>
  <c r="P14" i="7"/>
  <c r="M5" i="7"/>
  <c r="M12" i="7"/>
  <c r="M14" i="7"/>
  <c r="M16" i="7"/>
  <c r="M18" i="7"/>
  <c r="M24" i="7"/>
  <c r="P11" i="7"/>
  <c r="M33" i="7"/>
  <c r="M35" i="7"/>
  <c r="M9" i="7"/>
  <c r="M11" i="7"/>
  <c r="M13" i="7"/>
  <c r="P21" i="7"/>
  <c r="M20" i="7"/>
  <c r="M22" i="7"/>
  <c r="P12" i="7"/>
  <c r="M6" i="7"/>
  <c r="M34" i="7"/>
  <c r="M7" i="7"/>
  <c r="M36" i="7"/>
  <c r="P16" i="7"/>
  <c r="M15" i="7"/>
  <c r="P23" i="7"/>
  <c r="M23" i="7"/>
  <c r="P13" i="7"/>
  <c r="P15" i="7"/>
  <c r="P17" i="7"/>
  <c r="P18" i="7"/>
  <c r="P19" i="7"/>
  <c r="P20" i="7"/>
  <c r="P24" i="7"/>
  <c r="P25" i="7"/>
  <c r="P26" i="7"/>
  <c r="P27" i="7"/>
  <c r="P28" i="7"/>
  <c r="P29" i="7"/>
  <c r="O12" i="7"/>
  <c r="O10" i="7"/>
  <c r="O5" i="7"/>
  <c r="O9" i="7"/>
  <c r="N25" i="7"/>
  <c r="N29" i="7"/>
  <c r="L4" i="7"/>
  <c r="O11" i="7"/>
  <c r="N23" i="7"/>
  <c r="O29" i="7"/>
  <c r="N24" i="7"/>
  <c r="O25" i="7"/>
  <c r="O36" i="7"/>
  <c r="O8" i="7"/>
  <c r="N30" i="7"/>
  <c r="N26" i="7"/>
  <c r="O35" i="7"/>
  <c r="O7" i="7"/>
  <c r="N31" i="7"/>
  <c r="N27" i="7"/>
  <c r="O34" i="7"/>
  <c r="O6" i="7"/>
  <c r="N32" i="7"/>
  <c r="N28" i="7"/>
  <c r="O33" i="7"/>
  <c r="N33" i="7"/>
  <c r="O32" i="7"/>
  <c r="N6" i="7"/>
  <c r="O31" i="7"/>
  <c r="N34" i="7"/>
  <c r="O30" i="7"/>
  <c r="N20" i="7"/>
  <c r="N7" i="7"/>
  <c r="O28" i="7"/>
  <c r="N35" i="7"/>
  <c r="O27" i="7"/>
  <c r="N8" i="7"/>
  <c r="O26" i="7"/>
  <c r="N36" i="7"/>
  <c r="N9" i="7"/>
  <c r="O24" i="7"/>
  <c r="N10" i="7"/>
  <c r="N11" i="7"/>
  <c r="N12" i="7"/>
  <c r="N13" i="7"/>
  <c r="N14" i="7"/>
  <c r="N15" i="7"/>
  <c r="N16" i="7"/>
  <c r="N17" i="7"/>
  <c r="N18" i="7"/>
  <c r="N19" i="7"/>
  <c r="N21" i="7"/>
  <c r="N22" i="7"/>
  <c r="N5" i="7"/>
  <c r="O23" i="7"/>
  <c r="O22" i="7"/>
  <c r="O21" i="7"/>
  <c r="O20" i="7"/>
  <c r="O19" i="7"/>
  <c r="O18" i="7"/>
  <c r="O17" i="7"/>
  <c r="O16" i="7"/>
  <c r="O15" i="7"/>
  <c r="O14" i="7"/>
  <c r="K140" i="1"/>
  <c r="K135" i="1"/>
  <c r="P43" i="1"/>
  <c r="P47" i="1"/>
  <c r="L43" i="1"/>
  <c r="L47" i="1"/>
  <c r="K134" i="1"/>
  <c r="AA9" i="1"/>
  <c r="AB9" i="1" s="1"/>
  <c r="AK9" i="1" s="1"/>
  <c r="L6" i="1"/>
  <c r="AA249" i="1"/>
  <c r="AB249" i="1" s="1"/>
  <c r="AB149" i="1"/>
  <c r="AB68" i="1"/>
  <c r="AB146" i="1"/>
  <c r="AB153" i="1"/>
  <c r="AA232" i="1"/>
  <c r="AA48" i="1"/>
  <c r="AA86" i="1"/>
  <c r="AA170" i="1"/>
  <c r="AA100" i="1"/>
  <c r="AA245" i="1"/>
  <c r="AA169" i="1"/>
  <c r="AB169" i="1" s="1"/>
  <c r="AB76" i="1"/>
  <c r="AB195" i="1"/>
  <c r="AA14" i="1"/>
  <c r="AA91" i="1"/>
  <c r="AA231" i="1"/>
  <c r="AB231" i="1" s="1"/>
  <c r="AA109" i="1"/>
  <c r="AA44" i="1"/>
  <c r="AA33" i="1"/>
  <c r="AA198" i="1"/>
  <c r="AA13" i="1"/>
  <c r="AK49" i="1"/>
  <c r="P6" i="1"/>
  <c r="AA204" i="1"/>
  <c r="AK72" i="1"/>
  <c r="AK80" i="1"/>
  <c r="AK257" i="1"/>
  <c r="AK266" i="1"/>
  <c r="AK165" i="1"/>
  <c r="AK137" i="1"/>
  <c r="AB233" i="1"/>
  <c r="AB171" i="1"/>
  <c r="AB117" i="1"/>
  <c r="AB143" i="1"/>
  <c r="AB29" i="1"/>
  <c r="AB216" i="1"/>
  <c r="AB214" i="1"/>
  <c r="AB250" i="1"/>
  <c r="AB40" i="1"/>
  <c r="AB192" i="1"/>
  <c r="AB82" i="1"/>
  <c r="AB208" i="1"/>
  <c r="AB105" i="1"/>
  <c r="AB123" i="1"/>
  <c r="AB114" i="1"/>
  <c r="AB34" i="1"/>
  <c r="AB96" i="1"/>
  <c r="AB131" i="1"/>
  <c r="AB18" i="1"/>
  <c r="AB161" i="1"/>
  <c r="AB207" i="1"/>
  <c r="AB173" i="1"/>
  <c r="AB251" i="1"/>
  <c r="AB162" i="1"/>
  <c r="AB75" i="1"/>
  <c r="AB241" i="1"/>
  <c r="AB200" i="1"/>
  <c r="AB25" i="1"/>
  <c r="AB224" i="1"/>
  <c r="AB252" i="1"/>
  <c r="AB104" i="1"/>
  <c r="AB180" i="1"/>
  <c r="AB88" i="1"/>
  <c r="AB237" i="1"/>
  <c r="AB50" i="1"/>
  <c r="AB130" i="1"/>
  <c r="AB126" i="1"/>
  <c r="AB95" i="1"/>
  <c r="AB113" i="1"/>
  <c r="AB155" i="1"/>
  <c r="AB174" i="1"/>
  <c r="AB121" i="1"/>
  <c r="AB254" i="1" l="1"/>
  <c r="AK254" i="1" s="1"/>
  <c r="R254" i="1"/>
  <c r="AB220" i="1"/>
  <c r="AK220" i="1" s="1"/>
  <c r="R220" i="1"/>
  <c r="AB22" i="1"/>
  <c r="AK22" i="1" s="1"/>
  <c r="R22" i="1"/>
  <c r="AB157" i="1"/>
  <c r="AK157" i="1" s="1"/>
  <c r="R157" i="1"/>
  <c r="AB73" i="1"/>
  <c r="R73" i="1"/>
  <c r="AB65" i="1"/>
  <c r="R65" i="1"/>
  <c r="AB184" i="1"/>
  <c r="AK184" i="1" s="1"/>
  <c r="R184" i="1"/>
  <c r="AB175" i="1"/>
  <c r="AK175" i="1" s="1"/>
  <c r="R175" i="1"/>
  <c r="W3" i="1"/>
  <c r="N2" i="7" s="1"/>
  <c r="N1" i="7" s="1"/>
  <c r="Z3" i="1"/>
  <c r="AK281" i="1"/>
  <c r="AK282" i="1"/>
  <c r="AK283" i="1"/>
  <c r="X3" i="1"/>
  <c r="M2" i="7" s="1"/>
  <c r="M1" i="7" s="1"/>
  <c r="Q34" i="7"/>
  <c r="R34" i="7" s="1"/>
  <c r="Y3" i="1"/>
  <c r="O2" i="7" s="1"/>
  <c r="O1" i="7" s="1"/>
  <c r="O2" i="1"/>
  <c r="J2" i="1"/>
  <c r="AB33" i="1"/>
  <c r="AB14" i="1"/>
  <c r="AB109" i="1"/>
  <c r="AB86" i="1"/>
  <c r="AB13" i="1"/>
  <c r="AK13" i="1" s="1"/>
  <c r="AB48" i="1"/>
  <c r="AK48" i="1" s="1"/>
  <c r="AB44" i="1"/>
  <c r="AB204" i="1"/>
  <c r="AK204" i="1" s="1"/>
  <c r="AB245" i="1"/>
  <c r="AK245" i="1" s="1"/>
  <c r="AB100" i="1"/>
  <c r="AB182" i="1"/>
  <c r="AB164" i="1"/>
  <c r="P2" i="1"/>
  <c r="AK231" i="1"/>
  <c r="AK173" i="1"/>
  <c r="AK249" i="1"/>
  <c r="AK195" i="1"/>
  <c r="AK76" i="1"/>
  <c r="AK169" i="1"/>
  <c r="AK174" i="1"/>
  <c r="AA87" i="1"/>
  <c r="AB41" i="1"/>
  <c r="E146" i="2"/>
  <c r="E154" i="2"/>
  <c r="B129" i="2"/>
  <c r="D129" i="2" s="1"/>
  <c r="A3" i="2" a="1"/>
  <c r="E131" i="2"/>
  <c r="E132" i="2"/>
  <c r="B152" i="2"/>
  <c r="D152" i="2" s="1"/>
  <c r="E151" i="2"/>
  <c r="B141" i="2"/>
  <c r="D141" i="2" s="1"/>
  <c r="E148" i="2"/>
  <c r="E134" i="2"/>
  <c r="B130" i="2"/>
  <c r="C130" i="2" s="1"/>
  <c r="B137" i="2"/>
  <c r="B140" i="2"/>
  <c r="E145" i="2"/>
  <c r="E139" i="2"/>
  <c r="E152" i="2"/>
  <c r="E142" i="2"/>
  <c r="AB198" i="1"/>
  <c r="B134" i="2"/>
  <c r="B133" i="2"/>
  <c r="B148" i="2"/>
  <c r="E140" i="2"/>
  <c r="B149" i="2"/>
  <c r="E128" i="2"/>
  <c r="E144" i="2"/>
  <c r="E153" i="2"/>
  <c r="E136" i="2"/>
  <c r="B142" i="2"/>
  <c r="B143" i="2"/>
  <c r="E141" i="2"/>
  <c r="E149" i="2"/>
  <c r="B132" i="2"/>
  <c r="B139" i="2"/>
  <c r="E129" i="2"/>
  <c r="E138" i="2"/>
  <c r="E133" i="2"/>
  <c r="B131" i="2"/>
  <c r="B138" i="2"/>
  <c r="B135" i="2"/>
  <c r="B151" i="2"/>
  <c r="E143" i="2"/>
  <c r="AB91" i="1"/>
  <c r="B128" i="2"/>
  <c r="B153" i="2"/>
  <c r="B146" i="2"/>
  <c r="B150" i="2"/>
  <c r="E155" i="2"/>
  <c r="E147" i="2"/>
  <c r="B144" i="2"/>
  <c r="B154" i="2"/>
  <c r="B155" i="2"/>
  <c r="E130" i="2"/>
  <c r="E137" i="2"/>
  <c r="E135" i="2"/>
  <c r="B136" i="2"/>
  <c r="B147" i="2"/>
  <c r="E150" i="2"/>
  <c r="B145" i="2"/>
  <c r="AK200" i="1"/>
  <c r="AK73" i="1"/>
  <c r="AB218" i="1"/>
  <c r="AB98" i="1"/>
  <c r="AB47" i="1"/>
  <c r="AB128" i="1"/>
  <c r="AB209" i="1"/>
  <c r="AB111" i="1"/>
  <c r="AK131" i="1"/>
  <c r="AK224" i="1"/>
  <c r="AB234" i="1"/>
  <c r="AB31" i="1"/>
  <c r="AB99" i="1"/>
  <c r="AB219" i="1"/>
  <c r="AB59" i="1"/>
  <c r="AB119" i="1"/>
  <c r="AB206" i="1"/>
  <c r="AB196" i="1"/>
  <c r="AB106" i="1"/>
  <c r="AB197" i="1"/>
  <c r="AB248" i="1"/>
  <c r="AB85" i="1"/>
  <c r="AB118" i="1"/>
  <c r="AB190" i="1"/>
  <c r="AB211" i="1"/>
  <c r="AB178" i="1"/>
  <c r="AB63" i="1"/>
  <c r="AB221" i="1"/>
  <c r="AB116" i="1"/>
  <c r="AB93" i="1"/>
  <c r="AB120" i="1"/>
  <c r="AB238" i="1"/>
  <c r="AB102" i="1"/>
  <c r="AB125" i="1"/>
  <c r="AB21" i="1"/>
  <c r="AK21" i="1" s="1"/>
  <c r="AB81" i="1"/>
  <c r="AB160" i="1"/>
  <c r="AB185" i="1"/>
  <c r="AB112" i="1"/>
  <c r="AB230" i="1"/>
  <c r="AB186" i="1"/>
  <c r="AB213" i="1"/>
  <c r="AB229" i="1"/>
  <c r="AB144" i="1"/>
  <c r="AB35" i="1"/>
  <c r="AB225" i="1"/>
  <c r="AB142" i="1"/>
  <c r="AB24" i="1"/>
  <c r="AB226" i="1"/>
  <c r="AB103" i="1"/>
  <c r="AB181" i="1"/>
  <c r="AB97" i="1"/>
  <c r="AB10" i="1"/>
  <c r="AB152" i="1"/>
  <c r="AB156" i="1"/>
  <c r="AB154" i="1"/>
  <c r="AB70" i="1"/>
  <c r="AB228" i="1"/>
  <c r="AB235" i="1"/>
  <c r="AB193" i="1"/>
  <c r="AB210" i="1"/>
  <c r="AB66" i="1"/>
  <c r="AB15" i="1"/>
  <c r="AB84" i="1"/>
  <c r="AB183" i="1"/>
  <c r="AB148" i="1"/>
  <c r="AK208" i="1"/>
  <c r="AB17" i="1"/>
  <c r="AB246" i="1"/>
  <c r="AB177" i="1"/>
  <c r="AB107" i="1"/>
  <c r="AB244" i="1"/>
  <c r="AB189" i="1"/>
  <c r="AB43" i="1"/>
  <c r="AB280" i="1"/>
  <c r="AK280" i="1" s="1"/>
  <c r="AB159" i="1"/>
  <c r="AB132" i="1"/>
  <c r="AK132" i="1" s="1"/>
  <c r="AB222" i="1"/>
  <c r="AB6" i="1"/>
  <c r="AB19" i="1"/>
  <c r="AB150" i="1"/>
  <c r="AB61" i="1"/>
  <c r="AB141" i="1"/>
  <c r="AB16" i="1"/>
  <c r="AB168" i="1"/>
  <c r="AB78" i="1"/>
  <c r="AB191" i="1"/>
  <c r="AB11" i="1"/>
  <c r="AB37" i="1"/>
  <c r="AK65" i="1"/>
  <c r="AK155" i="1"/>
  <c r="AB247" i="1"/>
  <c r="AB27" i="1"/>
  <c r="AB8" i="1"/>
  <c r="AB167" i="1"/>
  <c r="AB145" i="1"/>
  <c r="AB28" i="1"/>
  <c r="AB202" i="1"/>
  <c r="AB101" i="1"/>
  <c r="AB236" i="1"/>
  <c r="AB83" i="1"/>
  <c r="AB77" i="1"/>
  <c r="AB166" i="1"/>
  <c r="AB124" i="1"/>
  <c r="AB110" i="1"/>
  <c r="AB115" i="1"/>
  <c r="AB12" i="1"/>
  <c r="AB71" i="1"/>
  <c r="AB108" i="1"/>
  <c r="AB45" i="1"/>
  <c r="AB163" i="1"/>
  <c r="AB242" i="1"/>
  <c r="AB194" i="1"/>
  <c r="AB239" i="1"/>
  <c r="AB201" i="1"/>
  <c r="AB205" i="1"/>
  <c r="AB39" i="1"/>
  <c r="AK39" i="1" s="1"/>
  <c r="AB62" i="1"/>
  <c r="AK114" i="1"/>
  <c r="AB129" i="1"/>
  <c r="AB89" i="1"/>
  <c r="AB243" i="1"/>
  <c r="AB147" i="1"/>
  <c r="AK50" i="1"/>
  <c r="AB30" i="1"/>
  <c r="AL172" i="1"/>
  <c r="AK123" i="1"/>
  <c r="AB176" i="1"/>
  <c r="AB172" i="1"/>
  <c r="AB7" i="1"/>
  <c r="AB94" i="1"/>
  <c r="AK216" i="1"/>
  <c r="AB26" i="1"/>
  <c r="AB199" i="1"/>
  <c r="AB212" i="1"/>
  <c r="AB67" i="1"/>
  <c r="AB217" i="1"/>
  <c r="AB32" i="1"/>
  <c r="AB46" i="1"/>
  <c r="AB127" i="1"/>
  <c r="AK34" i="1"/>
  <c r="AB232" i="1"/>
  <c r="AB151" i="1"/>
  <c r="AB74" i="1"/>
  <c r="AB57" i="1"/>
  <c r="AB203" i="1"/>
  <c r="AB187" i="1"/>
  <c r="AB23" i="1"/>
  <c r="AB42" i="1"/>
  <c r="AB92" i="1"/>
  <c r="AB158" i="1"/>
  <c r="AB90" i="1"/>
  <c r="AB223" i="1"/>
  <c r="AB69" i="1"/>
  <c r="AB170" i="1"/>
  <c r="F127" i="2" l="1"/>
  <c r="B127" i="2"/>
  <c r="D127" i="2" s="1"/>
  <c r="E127" i="2"/>
  <c r="AB87" i="1"/>
  <c r="B43" i="2" s="1"/>
  <c r="AB215" i="1"/>
  <c r="B106" i="2" s="1"/>
  <c r="AB20" i="1"/>
  <c r="B13" i="2" s="1"/>
  <c r="C13" i="2" s="1"/>
  <c r="AB36" i="1"/>
  <c r="B21" i="2" s="1"/>
  <c r="D130" i="2"/>
  <c r="AK219" i="1"/>
  <c r="AK12" i="1"/>
  <c r="C141" i="2"/>
  <c r="G141" i="2" s="1"/>
  <c r="H141" i="2" s="1"/>
  <c r="B120" i="2"/>
  <c r="C120" i="2" s="1"/>
  <c r="D120" i="2" s="1"/>
  <c r="B84" i="2"/>
  <c r="E49" i="2"/>
  <c r="E48" i="2"/>
  <c r="E45" i="2"/>
  <c r="E33" i="2"/>
  <c r="B28" i="2"/>
  <c r="E42" i="2"/>
  <c r="E114" i="2"/>
  <c r="E78" i="2"/>
  <c r="E64" i="2"/>
  <c r="B26" i="2"/>
  <c r="C26" i="2" s="1"/>
  <c r="B24" i="2"/>
  <c r="C24" i="2" s="1"/>
  <c r="B86" i="2"/>
  <c r="C86" i="2" s="1"/>
  <c r="B23" i="2"/>
  <c r="B72" i="2"/>
  <c r="C72" i="2" s="1"/>
  <c r="E81" i="2"/>
  <c r="E8" i="2"/>
  <c r="E111" i="2"/>
  <c r="E17" i="2"/>
  <c r="B15" i="2"/>
  <c r="C15" i="2" s="1"/>
  <c r="D15" i="2" s="1"/>
  <c r="B81" i="2"/>
  <c r="C81" i="2" s="1"/>
  <c r="E61" i="2"/>
  <c r="E125" i="2"/>
  <c r="E120" i="2"/>
  <c r="E65" i="2"/>
  <c r="B47" i="2"/>
  <c r="E124" i="2"/>
  <c r="B8" i="2"/>
  <c r="C8" i="2" s="1"/>
  <c r="B41" i="2"/>
  <c r="C41" i="2" s="1"/>
  <c r="B88" i="2"/>
  <c r="E102" i="2"/>
  <c r="E16" i="2"/>
  <c r="B102" i="2"/>
  <c r="E10" i="2"/>
  <c r="E126" i="2"/>
  <c r="B6" i="2"/>
  <c r="E121" i="2"/>
  <c r="E80" i="2"/>
  <c r="B55" i="2"/>
  <c r="C55" i="2" s="1"/>
  <c r="E55" i="2"/>
  <c r="E47" i="2"/>
  <c r="E57" i="2"/>
  <c r="E14" i="2"/>
  <c r="E58" i="2"/>
  <c r="E85" i="2"/>
  <c r="B91" i="2"/>
  <c r="C91" i="2" s="1"/>
  <c r="E86" i="2"/>
  <c r="E88" i="2"/>
  <c r="E73" i="2"/>
  <c r="E89" i="2"/>
  <c r="B45" i="2"/>
  <c r="C152" i="2"/>
  <c r="G152" i="2" s="1"/>
  <c r="H152" i="2" s="1"/>
  <c r="E77" i="2"/>
  <c r="E99" i="2"/>
  <c r="E104" i="2"/>
  <c r="F26" i="2"/>
  <c r="B124" i="2"/>
  <c r="C124" i="2" s="1"/>
  <c r="B57" i="2"/>
  <c r="E109" i="2"/>
  <c r="E84" i="2"/>
  <c r="E91" i="2"/>
  <c r="B60" i="2"/>
  <c r="B10" i="2"/>
  <c r="C10" i="2" s="1"/>
  <c r="E123" i="2"/>
  <c r="E24" i="2"/>
  <c r="E6" i="2"/>
  <c r="B53" i="2"/>
  <c r="C53" i="2" s="1"/>
  <c r="B17" i="2"/>
  <c r="C17" i="2" s="1"/>
  <c r="B114" i="2"/>
  <c r="B109" i="2"/>
  <c r="C109" i="2" s="1"/>
  <c r="B111" i="2"/>
  <c r="D111" i="2" s="1"/>
  <c r="E28" i="2"/>
  <c r="B40" i="2"/>
  <c r="E36" i="2"/>
  <c r="E63" i="2"/>
  <c r="E90" i="2"/>
  <c r="E20" i="2"/>
  <c r="B125" i="2"/>
  <c r="E41" i="2"/>
  <c r="E95" i="2"/>
  <c r="E22" i="2"/>
  <c r="B95" i="2"/>
  <c r="C95" i="2" s="1"/>
  <c r="E19" i="2"/>
  <c r="E103" i="2"/>
  <c r="E83" i="2"/>
  <c r="B105" i="2"/>
  <c r="C105" i="2" s="1"/>
  <c r="B36" i="2"/>
  <c r="E106" i="2"/>
  <c r="E56" i="2"/>
  <c r="B66" i="2"/>
  <c r="E25" i="2"/>
  <c r="B25" i="2"/>
  <c r="E5" i="2"/>
  <c r="B75" i="2"/>
  <c r="C75" i="2" s="1"/>
  <c r="E94" i="2"/>
  <c r="E51" i="2"/>
  <c r="B126" i="2"/>
  <c r="C126" i="2" s="1"/>
  <c r="E43" i="2"/>
  <c r="B62" i="2"/>
  <c r="E9" i="2"/>
  <c r="E75" i="2"/>
  <c r="E115" i="2"/>
  <c r="E40" i="2"/>
  <c r="E23" i="2"/>
  <c r="B73" i="2"/>
  <c r="B82" i="2"/>
  <c r="C82" i="2" s="1"/>
  <c r="B30" i="2"/>
  <c r="B34" i="2"/>
  <c r="B68" i="2"/>
  <c r="E53" i="2"/>
  <c r="E96" i="2"/>
  <c r="E108" i="2"/>
  <c r="E98" i="2"/>
  <c r="E107" i="2"/>
  <c r="B32" i="2"/>
  <c r="E68" i="2"/>
  <c r="E69" i="2"/>
  <c r="B107" i="2"/>
  <c r="E37" i="2"/>
  <c r="E67" i="2"/>
  <c r="E27" i="2"/>
  <c r="E113" i="2"/>
  <c r="B49" i="2"/>
  <c r="E29" i="2"/>
  <c r="E31" i="2"/>
  <c r="B19" i="2"/>
  <c r="C19" i="2" s="1"/>
  <c r="B18" i="2"/>
  <c r="C18" i="2" s="1"/>
  <c r="E122" i="2"/>
  <c r="E34" i="2"/>
  <c r="C129" i="2"/>
  <c r="G129" i="2" s="1"/>
  <c r="H129" i="2" s="1"/>
  <c r="B77" i="2"/>
  <c r="C77" i="2" s="1"/>
  <c r="B70" i="2"/>
  <c r="E100" i="2"/>
  <c r="B108" i="2"/>
  <c r="B12" i="2"/>
  <c r="E52" i="2"/>
  <c r="E116" i="2"/>
  <c r="E87" i="2"/>
  <c r="E70" i="2"/>
  <c r="E44" i="2"/>
  <c r="E59" i="2"/>
  <c r="B63" i="2"/>
  <c r="E93" i="2"/>
  <c r="E119" i="2"/>
  <c r="B35" i="2"/>
  <c r="E101" i="2"/>
  <c r="E50" i="2"/>
  <c r="E13" i="2"/>
  <c r="B51" i="2"/>
  <c r="E82" i="2"/>
  <c r="E35" i="2"/>
  <c r="A3" i="2"/>
  <c r="E110" i="2"/>
  <c r="B113" i="2"/>
  <c r="B116" i="2"/>
  <c r="E38" i="2"/>
  <c r="B123" i="2"/>
  <c r="B98" i="2"/>
  <c r="E62" i="2"/>
  <c r="E11" i="2"/>
  <c r="E117" i="2"/>
  <c r="F126" i="2"/>
  <c r="E54" i="2"/>
  <c r="E72" i="2"/>
  <c r="E60" i="2"/>
  <c r="E26" i="2"/>
  <c r="E46" i="2"/>
  <c r="B96" i="2"/>
  <c r="B79" i="2"/>
  <c r="E7" i="2"/>
  <c r="E18" i="2"/>
  <c r="E12" i="2"/>
  <c r="E92" i="2"/>
  <c r="E105" i="2"/>
  <c r="E118" i="2"/>
  <c r="E74" i="2"/>
  <c r="F125" i="2"/>
  <c r="E71" i="2"/>
  <c r="E21" i="2"/>
  <c r="E112" i="2"/>
  <c r="B122" i="2"/>
  <c r="E30" i="2"/>
  <c r="E32" i="2"/>
  <c r="E76" i="2"/>
  <c r="E79" i="2"/>
  <c r="E66" i="2"/>
  <c r="B58" i="2"/>
  <c r="C58" i="2" s="1"/>
  <c r="B118" i="2"/>
  <c r="C118" i="2" s="1"/>
  <c r="B100" i="2"/>
  <c r="C100" i="2" s="1"/>
  <c r="E15" i="2"/>
  <c r="E97" i="2"/>
  <c r="B64" i="2"/>
  <c r="C64" i="2" s="1"/>
  <c r="B38" i="2"/>
  <c r="E39" i="2"/>
  <c r="D135" i="2"/>
  <c r="C135" i="2"/>
  <c r="G135" i="2" s="1"/>
  <c r="H135" i="2" s="1"/>
  <c r="C138" i="2"/>
  <c r="G138" i="2" s="1"/>
  <c r="H138" i="2" s="1"/>
  <c r="D138" i="2"/>
  <c r="B93" i="2"/>
  <c r="D136" i="2"/>
  <c r="C136" i="2"/>
  <c r="G136" i="2" s="1"/>
  <c r="H136" i="2" s="1"/>
  <c r="G130" i="2"/>
  <c r="H130" i="2" s="1"/>
  <c r="D131" i="2"/>
  <c r="C131" i="2"/>
  <c r="G131" i="2" s="1"/>
  <c r="H131" i="2" s="1"/>
  <c r="D140" i="2"/>
  <c r="C140" i="2"/>
  <c r="G140" i="2" s="1"/>
  <c r="H140" i="2" s="1"/>
  <c r="D139" i="2"/>
  <c r="C139" i="2"/>
  <c r="G139" i="2" s="1"/>
  <c r="H139" i="2" s="1"/>
  <c r="C144" i="2"/>
  <c r="G144" i="2" s="1"/>
  <c r="H144" i="2" s="1"/>
  <c r="D144" i="2"/>
  <c r="C137" i="2"/>
  <c r="G137" i="2" s="1"/>
  <c r="H137" i="2" s="1"/>
  <c r="D137" i="2"/>
  <c r="D132" i="2"/>
  <c r="C132" i="2"/>
  <c r="G132" i="2" s="1"/>
  <c r="H132" i="2" s="1"/>
  <c r="D154" i="2"/>
  <c r="C154" i="2"/>
  <c r="G154" i="2" s="1"/>
  <c r="H154" i="2" s="1"/>
  <c r="D155" i="2"/>
  <c r="C155" i="2"/>
  <c r="G155" i="2" s="1"/>
  <c r="H155" i="2" s="1"/>
  <c r="D143" i="2"/>
  <c r="C143" i="2"/>
  <c r="G143" i="2" s="1"/>
  <c r="H143" i="2" s="1"/>
  <c r="D142" i="2"/>
  <c r="C142" i="2"/>
  <c r="G142" i="2" s="1"/>
  <c r="H142" i="2" s="1"/>
  <c r="D150" i="2"/>
  <c r="C150" i="2"/>
  <c r="G150" i="2" s="1"/>
  <c r="H150" i="2" s="1"/>
  <c r="D145" i="2"/>
  <c r="C145" i="2"/>
  <c r="G145" i="2" s="1"/>
  <c r="H145" i="2" s="1"/>
  <c r="D146" i="2"/>
  <c r="C146" i="2"/>
  <c r="G146" i="2" s="1"/>
  <c r="H146" i="2" s="1"/>
  <c r="D153" i="2"/>
  <c r="C153" i="2"/>
  <c r="G153" i="2" s="1"/>
  <c r="H153" i="2" s="1"/>
  <c r="D128" i="2"/>
  <c r="C128" i="2"/>
  <c r="G128" i="2" s="1"/>
  <c r="H128" i="2" s="1"/>
  <c r="D149" i="2"/>
  <c r="C149" i="2"/>
  <c r="G149" i="2" s="1"/>
  <c r="H149" i="2" s="1"/>
  <c r="D147" i="2"/>
  <c r="C147" i="2"/>
  <c r="G147" i="2" s="1"/>
  <c r="H147" i="2" s="1"/>
  <c r="D148" i="2"/>
  <c r="C148" i="2"/>
  <c r="G148" i="2" s="1"/>
  <c r="H148" i="2" s="1"/>
  <c r="D133" i="2"/>
  <c r="C133" i="2"/>
  <c r="G133" i="2" s="1"/>
  <c r="H133" i="2" s="1"/>
  <c r="C151" i="2"/>
  <c r="G151" i="2" s="1"/>
  <c r="H151" i="2" s="1"/>
  <c r="D151" i="2"/>
  <c r="D134" i="2"/>
  <c r="C134" i="2"/>
  <c r="G134" i="2" s="1"/>
  <c r="H134" i="2" s="1"/>
  <c r="B31" i="2"/>
  <c r="B11" i="2"/>
  <c r="B97" i="2"/>
  <c r="B5" i="2"/>
  <c r="D5" i="2" s="1"/>
  <c r="B115" i="2"/>
  <c r="B69" i="2"/>
  <c r="B80" i="2"/>
  <c r="B83" i="2"/>
  <c r="B20" i="2"/>
  <c r="B48" i="2"/>
  <c r="B85" i="2"/>
  <c r="B110" i="2"/>
  <c r="B117" i="2"/>
  <c r="B61" i="2"/>
  <c r="B119" i="2"/>
  <c r="AB58" i="1"/>
  <c r="B29" i="2" s="1"/>
  <c r="AB79" i="1"/>
  <c r="B87" i="2"/>
  <c r="B92" i="2"/>
  <c r="B52" i="2"/>
  <c r="B37" i="2"/>
  <c r="B7" i="2"/>
  <c r="B56" i="2"/>
  <c r="B103" i="2"/>
  <c r="B33" i="2"/>
  <c r="B16" i="2"/>
  <c r="B71" i="2"/>
  <c r="B67" i="2"/>
  <c r="B22" i="2"/>
  <c r="B112" i="2"/>
  <c r="B65" i="2"/>
  <c r="B46" i="2"/>
  <c r="B78" i="2"/>
  <c r="B44" i="2"/>
  <c r="B42" i="2"/>
  <c r="B121" i="2"/>
  <c r="B76" i="2"/>
  <c r="B89" i="2"/>
  <c r="B59" i="2"/>
  <c r="B94" i="2"/>
  <c r="B9" i="2"/>
  <c r="B54" i="2"/>
  <c r="B14" i="2"/>
  <c r="B74" i="2"/>
  <c r="B99" i="2"/>
  <c r="B50" i="2"/>
  <c r="B101" i="2"/>
  <c r="B90" i="2"/>
  <c r="AC284" i="1" l="1"/>
  <c r="AD284" i="1" s="1"/>
  <c r="AF284" i="1" s="1"/>
  <c r="AC283" i="1"/>
  <c r="AD283" i="1" s="1"/>
  <c r="AF283" i="1" s="1"/>
  <c r="AC282" i="1"/>
  <c r="AD282" i="1" s="1"/>
  <c r="AF282" i="1" s="1"/>
  <c r="AC281" i="1"/>
  <c r="AD281" i="1" s="1"/>
  <c r="AF281" i="1" s="1"/>
  <c r="B104" i="2"/>
  <c r="C104" i="2" s="1"/>
  <c r="D104" i="2" s="1"/>
  <c r="B39" i="2"/>
  <c r="AC79" i="1" s="1"/>
  <c r="AD79" i="1" s="1"/>
  <c r="AF79" i="1" s="1"/>
  <c r="C127" i="2"/>
  <c r="G127" i="2" s="1"/>
  <c r="H127" i="2" s="1"/>
  <c r="D41" i="2"/>
  <c r="D30" i="2"/>
  <c r="AC250" i="1"/>
  <c r="AD250" i="1" s="1"/>
  <c r="AF250" i="1" s="1"/>
  <c r="AK33" i="1"/>
  <c r="AL32" i="1" s="1"/>
  <c r="AC232" i="1"/>
  <c r="AD232" i="1" s="1"/>
  <c r="AF232" i="1" s="1"/>
  <c r="AC123" i="1"/>
  <c r="AD123" i="1" s="1"/>
  <c r="AF123" i="1" s="1"/>
  <c r="AC65" i="1"/>
  <c r="AD65" i="1" s="1"/>
  <c r="AF65" i="1" s="1"/>
  <c r="D17" i="2"/>
  <c r="AC29" i="1"/>
  <c r="AD29" i="1" s="1"/>
  <c r="AF29" i="1" s="1"/>
  <c r="C21" i="2"/>
  <c r="D21" i="2" s="1"/>
  <c r="AC253" i="1"/>
  <c r="AD253" i="1" s="1"/>
  <c r="AF253" i="1" s="1"/>
  <c r="D10" i="2"/>
  <c r="AC245" i="1"/>
  <c r="AD245" i="1" s="1"/>
  <c r="AF245" i="1" s="1"/>
  <c r="AC88" i="1"/>
  <c r="AD88" i="1" s="1"/>
  <c r="AF88" i="1" s="1"/>
  <c r="AC44" i="1"/>
  <c r="AD44" i="1" s="1"/>
  <c r="AF44" i="1" s="1"/>
  <c r="AC268" i="1"/>
  <c r="AD268" i="1" s="1"/>
  <c r="AF268" i="1" s="1"/>
  <c r="AC249" i="1"/>
  <c r="AD249" i="1" s="1"/>
  <c r="AF249" i="1" s="1"/>
  <c r="AC162" i="1"/>
  <c r="AD162" i="1" s="1"/>
  <c r="AF162" i="1" s="1"/>
  <c r="D95" i="2"/>
  <c r="D91" i="2"/>
  <c r="AC256" i="1"/>
  <c r="AD256" i="1" s="1"/>
  <c r="AF256" i="1" s="1"/>
  <c r="D82" i="2"/>
  <c r="D58" i="2"/>
  <c r="AC199" i="1"/>
  <c r="AD199" i="1" s="1"/>
  <c r="AF199" i="1" s="1"/>
  <c r="AK23" i="1"/>
  <c r="AC34" i="1"/>
  <c r="AD34" i="1" s="1"/>
  <c r="AF34" i="1" s="1"/>
  <c r="AK24" i="1"/>
  <c r="AC254" i="1"/>
  <c r="AD254" i="1" s="1"/>
  <c r="AF254" i="1" s="1"/>
  <c r="D18" i="2"/>
  <c r="AC33" i="1"/>
  <c r="AD33" i="1" s="1"/>
  <c r="AF33" i="1" s="1"/>
  <c r="C49" i="2"/>
  <c r="C102" i="2"/>
  <c r="D102" i="2" s="1"/>
  <c r="C30" i="2"/>
  <c r="AC276" i="1"/>
  <c r="AD276" i="1" s="1"/>
  <c r="AF276" i="1" s="1"/>
  <c r="AC23" i="1"/>
  <c r="AD23" i="1" s="1"/>
  <c r="AF23" i="1" s="1"/>
  <c r="AC35" i="1"/>
  <c r="AD35" i="1" s="1"/>
  <c r="AF35" i="1" s="1"/>
  <c r="AC280" i="1"/>
  <c r="AD280" i="1" s="1"/>
  <c r="AF280" i="1" s="1"/>
  <c r="AC279" i="1"/>
  <c r="AD279" i="1" s="1"/>
  <c r="AF279" i="1" s="1"/>
  <c r="AC86" i="1"/>
  <c r="AD86" i="1" s="1"/>
  <c r="AF86" i="1" s="1"/>
  <c r="AC192" i="1"/>
  <c r="AD192" i="1" s="1"/>
  <c r="AF192" i="1" s="1"/>
  <c r="AC155" i="1"/>
  <c r="AD155" i="1" s="1"/>
  <c r="AF155" i="1" s="1"/>
  <c r="AC60" i="1"/>
  <c r="AD60" i="1" s="1"/>
  <c r="AF60" i="1" s="1"/>
  <c r="AC200" i="1"/>
  <c r="AD200" i="1" s="1"/>
  <c r="AF200" i="1" s="1"/>
  <c r="AC171" i="1"/>
  <c r="AD171" i="1" s="1"/>
  <c r="AF171" i="1" s="1"/>
  <c r="AC39" i="1"/>
  <c r="AD39" i="1" s="1"/>
  <c r="AF39" i="1" s="1"/>
  <c r="AC38" i="1"/>
  <c r="AD38" i="1" s="1"/>
  <c r="AF38" i="1" s="1"/>
  <c r="AC105" i="1"/>
  <c r="AD105" i="1" s="1"/>
  <c r="AF105" i="1" s="1"/>
  <c r="AC40" i="1"/>
  <c r="AD40" i="1" s="1"/>
  <c r="AF40" i="1" s="1"/>
  <c r="C47" i="2"/>
  <c r="D47" i="2" s="1"/>
  <c r="AC100" i="1"/>
  <c r="AD100" i="1" s="1"/>
  <c r="AF100" i="1" s="1"/>
  <c r="C73" i="2"/>
  <c r="C28" i="2"/>
  <c r="D28" i="2" s="1"/>
  <c r="AC258" i="1"/>
  <c r="AD258" i="1" s="1"/>
  <c r="AF258" i="1" s="1"/>
  <c r="C35" i="2"/>
  <c r="AC263" i="1"/>
  <c r="AD263" i="1" s="1"/>
  <c r="AF263" i="1" s="1"/>
  <c r="AC104" i="1"/>
  <c r="AD104" i="1" s="1"/>
  <c r="AF104" i="1" s="1"/>
  <c r="C96" i="2"/>
  <c r="D96" i="2" s="1"/>
  <c r="D105" i="2"/>
  <c r="AC216" i="1"/>
  <c r="AD216" i="1" s="1"/>
  <c r="AF216" i="1" s="1"/>
  <c r="AC76" i="1"/>
  <c r="AD76" i="1" s="1"/>
  <c r="AF76" i="1" s="1"/>
  <c r="B27" i="2"/>
  <c r="AC57" i="1" s="1"/>
  <c r="AD57" i="1" s="1"/>
  <c r="AF57" i="1" s="1"/>
  <c r="D100" i="2"/>
  <c r="AC208" i="1"/>
  <c r="AD208" i="1" s="1"/>
  <c r="AF208" i="1" s="1"/>
  <c r="D118" i="2"/>
  <c r="AC74" i="1"/>
  <c r="AD74" i="1" s="1"/>
  <c r="AF74" i="1" s="1"/>
  <c r="AC131" i="1"/>
  <c r="AD131" i="1" s="1"/>
  <c r="AF131" i="1" s="1"/>
  <c r="AC9" i="1"/>
  <c r="AD9" i="1" s="1"/>
  <c r="AF9" i="1" s="1"/>
  <c r="AC56" i="1"/>
  <c r="AD56" i="1" s="1"/>
  <c r="AF56" i="1" s="1"/>
  <c r="AC275" i="1"/>
  <c r="AD275" i="1" s="1"/>
  <c r="AF275" i="1" s="1"/>
  <c r="AC75" i="1"/>
  <c r="AD75" i="1" s="1"/>
  <c r="AF75" i="1" s="1"/>
  <c r="AC267" i="1"/>
  <c r="AD267" i="1" s="1"/>
  <c r="AF267" i="1" s="1"/>
  <c r="AC14" i="1"/>
  <c r="AD14" i="1" s="1"/>
  <c r="AF14" i="1" s="1"/>
  <c r="D19" i="2"/>
  <c r="D77" i="2"/>
  <c r="AC252" i="1"/>
  <c r="AD252" i="1" s="1"/>
  <c r="AF252" i="1" s="1"/>
  <c r="D81" i="2"/>
  <c r="D13" i="2"/>
  <c r="AC25" i="1"/>
  <c r="AD25" i="1" s="1"/>
  <c r="AF25" i="1" s="1"/>
  <c r="C66" i="2"/>
  <c r="D26" i="2"/>
  <c r="D8" i="2"/>
  <c r="D66" i="2"/>
  <c r="AC143" i="1"/>
  <c r="AD143" i="1" s="1"/>
  <c r="AF143" i="1" s="1"/>
  <c r="D53" i="2"/>
  <c r="AC117" i="1"/>
  <c r="AD117" i="1" s="1"/>
  <c r="AF117" i="1" s="1"/>
  <c r="C45" i="2"/>
  <c r="AC222" i="1"/>
  <c r="AD222" i="1" s="1"/>
  <c r="AF222" i="1" s="1"/>
  <c r="AC114" i="1"/>
  <c r="AD114" i="1" s="1"/>
  <c r="AF114" i="1" s="1"/>
  <c r="C34" i="2"/>
  <c r="C38" i="2"/>
  <c r="D38" i="2" s="1"/>
  <c r="AC149" i="1"/>
  <c r="AD149" i="1" s="1"/>
  <c r="AF149" i="1" s="1"/>
  <c r="AC82" i="1"/>
  <c r="AD82" i="1" s="1"/>
  <c r="AF82" i="1" s="1"/>
  <c r="AC204" i="1"/>
  <c r="AD204" i="1" s="1"/>
  <c r="AF204" i="1" s="1"/>
  <c r="AC96" i="1"/>
  <c r="AD96" i="1" s="1"/>
  <c r="AF96" i="1" s="1"/>
  <c r="C40" i="2"/>
  <c r="G26" i="2"/>
  <c r="H26" i="2" s="1"/>
  <c r="AC255" i="1"/>
  <c r="AD255" i="1" s="1"/>
  <c r="AF255" i="1" s="1"/>
  <c r="C23" i="2"/>
  <c r="C123" i="2"/>
  <c r="D123" i="2" s="1"/>
  <c r="D109" i="2"/>
  <c r="D126" i="2"/>
  <c r="D86" i="2"/>
  <c r="D72" i="2"/>
  <c r="AC224" i="1"/>
  <c r="AD224" i="1" s="1"/>
  <c r="AF224" i="1" s="1"/>
  <c r="AC157" i="1"/>
  <c r="AD157" i="1" s="1"/>
  <c r="AF157" i="1" s="1"/>
  <c r="C57" i="2"/>
  <c r="D57" i="2" s="1"/>
  <c r="D24" i="2"/>
  <c r="AC265" i="1"/>
  <c r="AD265" i="1" s="1"/>
  <c r="AF265" i="1" s="1"/>
  <c r="C107" i="2"/>
  <c r="D107" i="2" s="1"/>
  <c r="AC207" i="1"/>
  <c r="AD207" i="1" s="1"/>
  <c r="AF207" i="1" s="1"/>
  <c r="AC180" i="1"/>
  <c r="AD180" i="1" s="1"/>
  <c r="AF180" i="1" s="1"/>
  <c r="AC87" i="1"/>
  <c r="AD87" i="1" s="1"/>
  <c r="AF87" i="1" s="1"/>
  <c r="C12" i="2"/>
  <c r="D75" i="2"/>
  <c r="D124" i="2"/>
  <c r="D12" i="2"/>
  <c r="C114" i="2"/>
  <c r="C6" i="2"/>
  <c r="C70" i="2"/>
  <c r="D70" i="2" s="1"/>
  <c r="C25" i="2"/>
  <c r="D55" i="2"/>
  <c r="AC233" i="1"/>
  <c r="AD233" i="1" s="1"/>
  <c r="AF233" i="1" s="1"/>
  <c r="AC227" i="1"/>
  <c r="AD227" i="1" s="1"/>
  <c r="AF227" i="1" s="1"/>
  <c r="C98" i="2"/>
  <c r="D98" i="2" s="1"/>
  <c r="AC153" i="1"/>
  <c r="AD153" i="1" s="1"/>
  <c r="AF153" i="1" s="1"/>
  <c r="AC241" i="1"/>
  <c r="AD241" i="1" s="1"/>
  <c r="AF241" i="1" s="1"/>
  <c r="C122" i="2"/>
  <c r="D122" i="2" s="1"/>
  <c r="C62" i="2"/>
  <c r="D62" i="2" s="1"/>
  <c r="AC231" i="1"/>
  <c r="AD231" i="1" s="1"/>
  <c r="AF231" i="1" s="1"/>
  <c r="C111" i="2"/>
  <c r="AC24" i="1"/>
  <c r="AD24" i="1" s="1"/>
  <c r="AF24" i="1" s="1"/>
  <c r="AC48" i="1"/>
  <c r="AD48" i="1" s="1"/>
  <c r="AF48" i="1" s="1"/>
  <c r="AC223" i="1"/>
  <c r="AD223" i="1" s="1"/>
  <c r="AF223" i="1" s="1"/>
  <c r="C113" i="2"/>
  <c r="D113" i="2" s="1"/>
  <c r="G126" i="2"/>
  <c r="H126" i="2" s="1"/>
  <c r="AC22" i="1"/>
  <c r="AD22" i="1" s="1"/>
  <c r="AF22" i="1" s="1"/>
  <c r="AC251" i="1"/>
  <c r="AD251" i="1" s="1"/>
  <c r="AF251" i="1" s="1"/>
  <c r="AC36" i="1"/>
  <c r="AD36" i="1" s="1"/>
  <c r="AF36" i="1" s="1"/>
  <c r="AC220" i="1"/>
  <c r="AD220" i="1" s="1"/>
  <c r="AF220" i="1" s="1"/>
  <c r="AC64" i="1"/>
  <c r="AD64" i="1" s="1"/>
  <c r="AF64" i="1" s="1"/>
  <c r="D125" i="2"/>
  <c r="C125" i="2"/>
  <c r="G125" i="2" s="1"/>
  <c r="H125" i="2" s="1"/>
  <c r="AC122" i="1"/>
  <c r="AD122" i="1" s="1"/>
  <c r="AF122" i="1" s="1"/>
  <c r="AC37" i="1"/>
  <c r="AD37" i="1" s="1"/>
  <c r="AF37" i="1" s="1"/>
  <c r="AC170" i="1"/>
  <c r="AD170" i="1" s="1"/>
  <c r="AF170" i="1" s="1"/>
  <c r="AC154" i="1"/>
  <c r="AD154" i="1" s="1"/>
  <c r="AF154" i="1" s="1"/>
  <c r="AC73" i="1"/>
  <c r="AD73" i="1" s="1"/>
  <c r="AF73" i="1" s="1"/>
  <c r="AC161" i="1"/>
  <c r="AD161" i="1" s="1"/>
  <c r="AF161" i="1" s="1"/>
  <c r="AC274" i="1"/>
  <c r="AD274" i="1" s="1"/>
  <c r="AF274" i="1" s="1"/>
  <c r="AC140" i="1"/>
  <c r="AD140" i="1" s="1"/>
  <c r="AF140" i="1" s="1"/>
  <c r="AC269" i="1"/>
  <c r="AD269" i="1" s="1"/>
  <c r="AF269" i="1" s="1"/>
  <c r="AC260" i="1"/>
  <c r="AD260" i="1" s="1"/>
  <c r="AF260" i="1" s="1"/>
  <c r="C32" i="2"/>
  <c r="D32" i="2"/>
  <c r="AC277" i="1"/>
  <c r="AD277" i="1" s="1"/>
  <c r="AF277" i="1" s="1"/>
  <c r="AC121" i="1"/>
  <c r="AD121" i="1" s="1"/>
  <c r="AF121" i="1" s="1"/>
  <c r="AC261" i="1"/>
  <c r="AD261" i="1" s="1"/>
  <c r="AF261" i="1" s="1"/>
  <c r="C116" i="2"/>
  <c r="AC221" i="1"/>
  <c r="AD221" i="1" s="1"/>
  <c r="AF221" i="1" s="1"/>
  <c r="AC184" i="1"/>
  <c r="AD184" i="1" s="1"/>
  <c r="AF184" i="1" s="1"/>
  <c r="AC72" i="1"/>
  <c r="AD72" i="1" s="1"/>
  <c r="AF72" i="1" s="1"/>
  <c r="AC175" i="1"/>
  <c r="AD175" i="1" s="1"/>
  <c r="AF175" i="1" s="1"/>
  <c r="AC240" i="1"/>
  <c r="AD240" i="1" s="1"/>
  <c r="AF240" i="1" s="1"/>
  <c r="AC271" i="1"/>
  <c r="AD271" i="1" s="1"/>
  <c r="AF271" i="1" s="1"/>
  <c r="AC188" i="1"/>
  <c r="AD188" i="1" s="1"/>
  <c r="AF188" i="1" s="1"/>
  <c r="AC18" i="1"/>
  <c r="AD18" i="1" s="1"/>
  <c r="AF18" i="1" s="1"/>
  <c r="AC179" i="1"/>
  <c r="AD179" i="1" s="1"/>
  <c r="AF179" i="1" s="1"/>
  <c r="AC278" i="1"/>
  <c r="AD278" i="1" s="1"/>
  <c r="AF278" i="1" s="1"/>
  <c r="AC135" i="1"/>
  <c r="AD135" i="1" s="1"/>
  <c r="AF135" i="1" s="1"/>
  <c r="AC113" i="1"/>
  <c r="AD113" i="1" s="1"/>
  <c r="AF113" i="1" s="1"/>
  <c r="AC109" i="1"/>
  <c r="AD109" i="1" s="1"/>
  <c r="AF109" i="1" s="1"/>
  <c r="AC237" i="1"/>
  <c r="AD237" i="1" s="1"/>
  <c r="AF237" i="1" s="1"/>
  <c r="AC264" i="1"/>
  <c r="AD264" i="1" s="1"/>
  <c r="AF264" i="1" s="1"/>
  <c r="AC257" i="1"/>
  <c r="AD257" i="1" s="1"/>
  <c r="AF257" i="1" s="1"/>
  <c r="AC68" i="1"/>
  <c r="AD68" i="1" s="1"/>
  <c r="AF68" i="1" s="1"/>
  <c r="AC80" i="1"/>
  <c r="AD80" i="1" s="1"/>
  <c r="AF80" i="1" s="1"/>
  <c r="AC259" i="1"/>
  <c r="AD259" i="1" s="1"/>
  <c r="AF259" i="1" s="1"/>
  <c r="AC136" i="1"/>
  <c r="AD136" i="1" s="1"/>
  <c r="AF136" i="1" s="1"/>
  <c r="AC132" i="1"/>
  <c r="AD132" i="1" s="1"/>
  <c r="AF132" i="1" s="1"/>
  <c r="AC133" i="1"/>
  <c r="AD133" i="1" s="1"/>
  <c r="AF133" i="1" s="1"/>
  <c r="AC138" i="1"/>
  <c r="AD138" i="1" s="1"/>
  <c r="AF138" i="1" s="1"/>
  <c r="AC130" i="1"/>
  <c r="AD130" i="1" s="1"/>
  <c r="AF130" i="1" s="1"/>
  <c r="AC169" i="1"/>
  <c r="AD169" i="1" s="1"/>
  <c r="AF169" i="1" s="1"/>
  <c r="AC139" i="1"/>
  <c r="AD139" i="1" s="1"/>
  <c r="AF139" i="1" s="1"/>
  <c r="AC266" i="1"/>
  <c r="AD266" i="1" s="1"/>
  <c r="AF266" i="1" s="1"/>
  <c r="AC146" i="1"/>
  <c r="AD146" i="1" s="1"/>
  <c r="AF146" i="1" s="1"/>
  <c r="AC272" i="1"/>
  <c r="AD272" i="1" s="1"/>
  <c r="AF272" i="1" s="1"/>
  <c r="AC13" i="1"/>
  <c r="AD13" i="1" s="1"/>
  <c r="AF13" i="1" s="1"/>
  <c r="AC134" i="1"/>
  <c r="AD134" i="1" s="1"/>
  <c r="AF134" i="1" s="1"/>
  <c r="AC126" i="1"/>
  <c r="AD126" i="1" s="1"/>
  <c r="AF126" i="1" s="1"/>
  <c r="AC137" i="1"/>
  <c r="AD137" i="1" s="1"/>
  <c r="AF137" i="1" s="1"/>
  <c r="AC165" i="1"/>
  <c r="AD165" i="1" s="1"/>
  <c r="AF165" i="1" s="1"/>
  <c r="AC270" i="1"/>
  <c r="AD270" i="1" s="1"/>
  <c r="AF270" i="1" s="1"/>
  <c r="C108" i="2"/>
  <c r="C68" i="2"/>
  <c r="D68" i="2" s="1"/>
  <c r="C88" i="2"/>
  <c r="D88" i="2" s="1"/>
  <c r="C51" i="2"/>
  <c r="C36" i="2"/>
  <c r="C79" i="2"/>
  <c r="C60" i="2"/>
  <c r="D60" i="2" s="1"/>
  <c r="C63" i="2"/>
  <c r="D63" i="2" s="1"/>
  <c r="D64" i="2"/>
  <c r="C84" i="2"/>
  <c r="C43" i="2"/>
  <c r="AC91" i="1"/>
  <c r="AD91" i="1" s="1"/>
  <c r="AF91" i="1" s="1"/>
  <c r="C93" i="2"/>
  <c r="AC198" i="1"/>
  <c r="AD198" i="1" s="1"/>
  <c r="AF198" i="1" s="1"/>
  <c r="AC273" i="1"/>
  <c r="AD273" i="1" s="1"/>
  <c r="AF273" i="1" s="1"/>
  <c r="AC95" i="1"/>
  <c r="AD95" i="1" s="1"/>
  <c r="AF95" i="1" s="1"/>
  <c r="AC262" i="1"/>
  <c r="AD262" i="1" s="1"/>
  <c r="AF262" i="1" s="1"/>
  <c r="AC195" i="1"/>
  <c r="AD195" i="1" s="1"/>
  <c r="AF195" i="1" s="1"/>
  <c r="AC61" i="1"/>
  <c r="AD61" i="1" s="1"/>
  <c r="AF61" i="1" s="1"/>
  <c r="C29" i="2"/>
  <c r="D29" i="2" s="1"/>
  <c r="AC62" i="1"/>
  <c r="AD62" i="1" s="1"/>
  <c r="AF62" i="1" s="1"/>
  <c r="AC63" i="1"/>
  <c r="AD63" i="1" s="1"/>
  <c r="AF63" i="1" s="1"/>
  <c r="AC168" i="1"/>
  <c r="AD168" i="1" s="1"/>
  <c r="AF168" i="1" s="1"/>
  <c r="AC167" i="1"/>
  <c r="AD167" i="1" s="1"/>
  <c r="AF167" i="1" s="1"/>
  <c r="AC166" i="1"/>
  <c r="AD166" i="1" s="1"/>
  <c r="AF166" i="1" s="1"/>
  <c r="C80" i="2"/>
  <c r="AC94" i="1"/>
  <c r="AD94" i="1" s="1"/>
  <c r="AF94" i="1" s="1"/>
  <c r="AC93" i="1"/>
  <c r="AD93" i="1" s="1"/>
  <c r="AF93" i="1" s="1"/>
  <c r="AC92" i="1"/>
  <c r="AD92" i="1" s="1"/>
  <c r="AF92" i="1" s="1"/>
  <c r="C44" i="2"/>
  <c r="C56" i="2"/>
  <c r="D56" i="2" s="1"/>
  <c r="AC119" i="1"/>
  <c r="AD119" i="1" s="1"/>
  <c r="AF119" i="1" s="1"/>
  <c r="AC118" i="1"/>
  <c r="AD118" i="1" s="1"/>
  <c r="AF118" i="1" s="1"/>
  <c r="AC120" i="1"/>
  <c r="AD120" i="1" s="1"/>
  <c r="AF120" i="1" s="1"/>
  <c r="AC209" i="1"/>
  <c r="AD209" i="1" s="1"/>
  <c r="AF209" i="1" s="1"/>
  <c r="AC211" i="1"/>
  <c r="AD211" i="1" s="1"/>
  <c r="AF211" i="1" s="1"/>
  <c r="AC210" i="1"/>
  <c r="AD210" i="1" s="1"/>
  <c r="AF210" i="1" s="1"/>
  <c r="C101" i="2"/>
  <c r="D101" i="2" s="1"/>
  <c r="AC12" i="1"/>
  <c r="AD12" i="1" s="1"/>
  <c r="AF12" i="1" s="1"/>
  <c r="C7" i="2"/>
  <c r="D7" i="2" s="1"/>
  <c r="AC11" i="1"/>
  <c r="AD11" i="1" s="1"/>
  <c r="AF11" i="1" s="1"/>
  <c r="AC10" i="1"/>
  <c r="AD10" i="1" s="1"/>
  <c r="AF10" i="1" s="1"/>
  <c r="C69" i="2"/>
  <c r="D69" i="2" s="1"/>
  <c r="AC148" i="1"/>
  <c r="AD148" i="1" s="1"/>
  <c r="AF148" i="1" s="1"/>
  <c r="AC147" i="1"/>
  <c r="AD147" i="1" s="1"/>
  <c r="AF147" i="1" s="1"/>
  <c r="C74" i="2"/>
  <c r="D74" i="2" s="1"/>
  <c r="AC156" i="1"/>
  <c r="AD156" i="1" s="1"/>
  <c r="AF156" i="1" s="1"/>
  <c r="C119" i="2"/>
  <c r="D119" i="2" s="1"/>
  <c r="AC242" i="1"/>
  <c r="AD242" i="1" s="1"/>
  <c r="AF242" i="1" s="1"/>
  <c r="AC243" i="1"/>
  <c r="AD243" i="1" s="1"/>
  <c r="AF243" i="1" s="1"/>
  <c r="AC244" i="1"/>
  <c r="AD244" i="1" s="1"/>
  <c r="AF244" i="1" s="1"/>
  <c r="AC197" i="1"/>
  <c r="AD197" i="1" s="1"/>
  <c r="AF197" i="1" s="1"/>
  <c r="AC196" i="1"/>
  <c r="AD196" i="1" s="1"/>
  <c r="AF196" i="1" s="1"/>
  <c r="C94" i="2"/>
  <c r="D94" i="2" s="1"/>
  <c r="AC129" i="1"/>
  <c r="AD129" i="1" s="1"/>
  <c r="AF129" i="1" s="1"/>
  <c r="C61" i="2"/>
  <c r="AC128" i="1"/>
  <c r="AD128" i="1" s="1"/>
  <c r="AF128" i="1" s="1"/>
  <c r="AC127" i="1"/>
  <c r="AD127" i="1" s="1"/>
  <c r="AF127" i="1" s="1"/>
  <c r="AC85" i="1"/>
  <c r="AD85" i="1" s="1"/>
  <c r="AF85" i="1" s="1"/>
  <c r="AC84" i="1"/>
  <c r="AD84" i="1" s="1"/>
  <c r="AF84" i="1" s="1"/>
  <c r="AC83" i="1"/>
  <c r="AD83" i="1" s="1"/>
  <c r="AF83" i="1" s="1"/>
  <c r="AC15" i="1"/>
  <c r="AD15" i="1" s="1"/>
  <c r="AF15" i="1" s="1"/>
  <c r="C9" i="2"/>
  <c r="D9" i="2" s="1"/>
  <c r="AC16" i="1"/>
  <c r="AD16" i="1" s="1"/>
  <c r="AF16" i="1" s="1"/>
  <c r="AC17" i="1"/>
  <c r="AD17" i="1" s="1"/>
  <c r="AF17" i="1" s="1"/>
  <c r="C76" i="2"/>
  <c r="AC160" i="1"/>
  <c r="AD160" i="1" s="1"/>
  <c r="AF160" i="1" s="1"/>
  <c r="AC159" i="1"/>
  <c r="AD159" i="1" s="1"/>
  <c r="AF159" i="1" s="1"/>
  <c r="AC158" i="1"/>
  <c r="AD158" i="1" s="1"/>
  <c r="AF158" i="1" s="1"/>
  <c r="C115" i="2"/>
  <c r="D115" i="2" s="1"/>
  <c r="AC235" i="1"/>
  <c r="AD235" i="1" s="1"/>
  <c r="AF235" i="1" s="1"/>
  <c r="AC236" i="1"/>
  <c r="AD236" i="1" s="1"/>
  <c r="AF236" i="1" s="1"/>
  <c r="AC234" i="1"/>
  <c r="AD234" i="1" s="1"/>
  <c r="AF234" i="1" s="1"/>
  <c r="C37" i="2"/>
  <c r="AC81" i="1"/>
  <c r="AD81" i="1" s="1"/>
  <c r="AF81" i="1" s="1"/>
  <c r="AC238" i="1"/>
  <c r="AD238" i="1" s="1"/>
  <c r="AF238" i="1" s="1"/>
  <c r="C117" i="2"/>
  <c r="D117" i="2" s="1"/>
  <c r="AC239" i="1"/>
  <c r="AD239" i="1" s="1"/>
  <c r="AF239" i="1" s="1"/>
  <c r="AC190" i="1"/>
  <c r="AD190" i="1" s="1"/>
  <c r="AF190" i="1" s="1"/>
  <c r="C90" i="2"/>
  <c r="D90" i="2" s="1"/>
  <c r="AC189" i="1"/>
  <c r="AD189" i="1" s="1"/>
  <c r="AF189" i="1" s="1"/>
  <c r="AC191" i="1"/>
  <c r="AD191" i="1" s="1"/>
  <c r="AF191" i="1" s="1"/>
  <c r="C52" i="2"/>
  <c r="AC112" i="1"/>
  <c r="AD112" i="1" s="1"/>
  <c r="AF112" i="1" s="1"/>
  <c r="AC110" i="1"/>
  <c r="AD110" i="1" s="1"/>
  <c r="AF110" i="1" s="1"/>
  <c r="AC111" i="1"/>
  <c r="AD111" i="1" s="1"/>
  <c r="AF111" i="1" s="1"/>
  <c r="AC141" i="1"/>
  <c r="AD141" i="1" s="1"/>
  <c r="AF141" i="1" s="1"/>
  <c r="AC142" i="1"/>
  <c r="AD142" i="1" s="1"/>
  <c r="AF142" i="1" s="1"/>
  <c r="C65" i="2"/>
  <c r="D65" i="2" s="1"/>
  <c r="C110" i="2"/>
  <c r="AK222" i="1" s="1"/>
  <c r="AC225" i="1"/>
  <c r="AD225" i="1" s="1"/>
  <c r="AF225" i="1" s="1"/>
  <c r="AC226" i="1"/>
  <c r="AD226" i="1" s="1"/>
  <c r="AF226" i="1" s="1"/>
  <c r="AC247" i="1"/>
  <c r="AD247" i="1" s="1"/>
  <c r="AF247" i="1" s="1"/>
  <c r="AC248" i="1"/>
  <c r="AD248" i="1" s="1"/>
  <c r="AF248" i="1" s="1"/>
  <c r="C121" i="2"/>
  <c r="D121" i="2" s="1"/>
  <c r="AC246" i="1"/>
  <c r="AD246" i="1" s="1"/>
  <c r="AF246" i="1" s="1"/>
  <c r="AC99" i="1"/>
  <c r="AD99" i="1" s="1"/>
  <c r="AF99" i="1" s="1"/>
  <c r="AC98" i="1"/>
  <c r="AD98" i="1" s="1"/>
  <c r="AF98" i="1" s="1"/>
  <c r="AC97" i="1"/>
  <c r="AD97" i="1" s="1"/>
  <c r="AF97" i="1" s="1"/>
  <c r="C46" i="2"/>
  <c r="C14" i="2"/>
  <c r="D14" i="2" s="1"/>
  <c r="AC28" i="1"/>
  <c r="AD28" i="1" s="1"/>
  <c r="AF28" i="1" s="1"/>
  <c r="AC27" i="1"/>
  <c r="AD27" i="1" s="1"/>
  <c r="AF27" i="1" s="1"/>
  <c r="AC26" i="1"/>
  <c r="AD26" i="1" s="1"/>
  <c r="AF26" i="1" s="1"/>
  <c r="AC177" i="1"/>
  <c r="AD177" i="1" s="1"/>
  <c r="AF177" i="1" s="1"/>
  <c r="AC178" i="1"/>
  <c r="AD178" i="1" s="1"/>
  <c r="AF178" i="1" s="1"/>
  <c r="C85" i="2"/>
  <c r="D85" i="2" s="1"/>
  <c r="AC176" i="1"/>
  <c r="AD176" i="1" s="1"/>
  <c r="AF176" i="1" s="1"/>
  <c r="C59" i="2"/>
  <c r="D59" i="2" s="1"/>
  <c r="AC125" i="1"/>
  <c r="AD125" i="1" s="1"/>
  <c r="AF125" i="1" s="1"/>
  <c r="AC124" i="1"/>
  <c r="AD124" i="1" s="1"/>
  <c r="AF124" i="1" s="1"/>
  <c r="AC230" i="1"/>
  <c r="AD230" i="1" s="1"/>
  <c r="AF230" i="1" s="1"/>
  <c r="AC228" i="1"/>
  <c r="AD228" i="1" s="1"/>
  <c r="AF228" i="1" s="1"/>
  <c r="AC229" i="1"/>
  <c r="AD229" i="1" s="1"/>
  <c r="AF229" i="1" s="1"/>
  <c r="C112" i="2"/>
  <c r="D112" i="2" s="1"/>
  <c r="AC45" i="1"/>
  <c r="AD45" i="1" s="1"/>
  <c r="AF45" i="1" s="1"/>
  <c r="AC47" i="1"/>
  <c r="AD47" i="1" s="1"/>
  <c r="AF47" i="1" s="1"/>
  <c r="C22" i="2"/>
  <c r="D22" i="2" s="1"/>
  <c r="AC46" i="1"/>
  <c r="AD46" i="1" s="1"/>
  <c r="AF46" i="1" s="1"/>
  <c r="AC7" i="1"/>
  <c r="AD7" i="1" s="1"/>
  <c r="AF7" i="1" s="1"/>
  <c r="AC8" i="1"/>
  <c r="AD8" i="1" s="1"/>
  <c r="AF8" i="1" s="1"/>
  <c r="AC6" i="1"/>
  <c r="AD6" i="1" s="1"/>
  <c r="C5" i="2"/>
  <c r="C78" i="2"/>
  <c r="D78" i="2" s="1"/>
  <c r="AC164" i="1"/>
  <c r="AD164" i="1" s="1"/>
  <c r="AF164" i="1" s="1"/>
  <c r="AC163" i="1"/>
  <c r="AD163" i="1" s="1"/>
  <c r="AF163" i="1" s="1"/>
  <c r="AC194" i="1"/>
  <c r="AD194" i="1" s="1"/>
  <c r="AF194" i="1" s="1"/>
  <c r="C92" i="2"/>
  <c r="D92" i="2" s="1"/>
  <c r="AC193" i="1"/>
  <c r="AD193" i="1" s="1"/>
  <c r="AF193" i="1" s="1"/>
  <c r="AC101" i="1"/>
  <c r="AD101" i="1" s="1"/>
  <c r="AF101" i="1" s="1"/>
  <c r="AC102" i="1"/>
  <c r="AD102" i="1" s="1"/>
  <c r="AF102" i="1" s="1"/>
  <c r="C48" i="2"/>
  <c r="AC103" i="1"/>
  <c r="AD103" i="1" s="1"/>
  <c r="AF103" i="1" s="1"/>
  <c r="AC186" i="1"/>
  <c r="AD186" i="1" s="1"/>
  <c r="AF186" i="1" s="1"/>
  <c r="C89" i="2"/>
  <c r="D89" i="2" s="1"/>
  <c r="AC185" i="1"/>
  <c r="AD185" i="1" s="1"/>
  <c r="AF185" i="1" s="1"/>
  <c r="AC187" i="1"/>
  <c r="AD187" i="1" s="1"/>
  <c r="AF187" i="1" s="1"/>
  <c r="AC152" i="1"/>
  <c r="AD152" i="1" s="1"/>
  <c r="AF152" i="1" s="1"/>
  <c r="AC151" i="1"/>
  <c r="AD151" i="1" s="1"/>
  <c r="AF151" i="1" s="1"/>
  <c r="C71" i="2"/>
  <c r="D71" i="2" s="1"/>
  <c r="AC150" i="1"/>
  <c r="AD150" i="1" s="1"/>
  <c r="AF150" i="1" s="1"/>
  <c r="AC202" i="1"/>
  <c r="AD202" i="1" s="1"/>
  <c r="AF202" i="1" s="1"/>
  <c r="AC203" i="1"/>
  <c r="AD203" i="1" s="1"/>
  <c r="AF203" i="1" s="1"/>
  <c r="C97" i="2"/>
  <c r="D97" i="2" s="1"/>
  <c r="AC201" i="1"/>
  <c r="AD201" i="1" s="1"/>
  <c r="AF201" i="1" s="1"/>
  <c r="AC218" i="1"/>
  <c r="AD218" i="1" s="1"/>
  <c r="AF218" i="1" s="1"/>
  <c r="AC219" i="1"/>
  <c r="AD219" i="1" s="1"/>
  <c r="AF219" i="1" s="1"/>
  <c r="C106" i="2"/>
  <c r="D106" i="2" s="1"/>
  <c r="AC217" i="1"/>
  <c r="AD217" i="1" s="1"/>
  <c r="AF217" i="1" s="1"/>
  <c r="AC41" i="1"/>
  <c r="AD41" i="1" s="1"/>
  <c r="AF41" i="1" s="1"/>
  <c r="AC42" i="1"/>
  <c r="AD42" i="1" s="1"/>
  <c r="AF42" i="1" s="1"/>
  <c r="C20" i="2"/>
  <c r="AC43" i="1"/>
  <c r="AD43" i="1" s="1"/>
  <c r="AF43" i="1" s="1"/>
  <c r="AC89" i="1"/>
  <c r="AD89" i="1" s="1"/>
  <c r="AF89" i="1" s="1"/>
  <c r="C42" i="2"/>
  <c r="AC90" i="1"/>
  <c r="AD90" i="1" s="1"/>
  <c r="AF90" i="1" s="1"/>
  <c r="AC32" i="1"/>
  <c r="AD32" i="1" s="1"/>
  <c r="AF32" i="1" s="1"/>
  <c r="AC31" i="1"/>
  <c r="AD31" i="1" s="1"/>
  <c r="AF31" i="1" s="1"/>
  <c r="C16" i="2"/>
  <c r="D16" i="2" s="1"/>
  <c r="AC30" i="1"/>
  <c r="AD30" i="1" s="1"/>
  <c r="AF30" i="1" s="1"/>
  <c r="AC182" i="1"/>
  <c r="AD182" i="1" s="1"/>
  <c r="AF182" i="1" s="1"/>
  <c r="AC181" i="1"/>
  <c r="AD181" i="1" s="1"/>
  <c r="AF181" i="1" s="1"/>
  <c r="AC183" i="1"/>
  <c r="AD183" i="1" s="1"/>
  <c r="AF183" i="1" s="1"/>
  <c r="C87" i="2"/>
  <c r="AC172" i="1"/>
  <c r="AD172" i="1" s="1"/>
  <c r="AF172" i="1" s="1"/>
  <c r="C83" i="2"/>
  <c r="D83" i="2" s="1"/>
  <c r="AC174" i="1"/>
  <c r="AD174" i="1" s="1"/>
  <c r="AF174" i="1" s="1"/>
  <c r="AC173" i="1"/>
  <c r="AD173" i="1" s="1"/>
  <c r="AF173" i="1" s="1"/>
  <c r="C11" i="2"/>
  <c r="D11" i="2" s="1"/>
  <c r="AC20" i="1"/>
  <c r="AD20" i="1" s="1"/>
  <c r="AF20" i="1" s="1"/>
  <c r="AC21" i="1"/>
  <c r="AD21" i="1" s="1"/>
  <c r="AF21" i="1" s="1"/>
  <c r="AC19" i="1"/>
  <c r="AD19" i="1" s="1"/>
  <c r="AF19" i="1" s="1"/>
  <c r="C54" i="2"/>
  <c r="D54" i="2" s="1"/>
  <c r="AC116" i="1"/>
  <c r="AD116" i="1" s="1"/>
  <c r="AF116" i="1" s="1"/>
  <c r="AC115" i="1"/>
  <c r="AD115" i="1" s="1"/>
  <c r="AF115" i="1" s="1"/>
  <c r="C67" i="2"/>
  <c r="D67" i="2" s="1"/>
  <c r="AC145" i="1"/>
  <c r="AD145" i="1" s="1"/>
  <c r="AF145" i="1" s="1"/>
  <c r="AC144" i="1"/>
  <c r="AD144" i="1" s="1"/>
  <c r="AF144" i="1" s="1"/>
  <c r="AC69" i="1"/>
  <c r="AD69" i="1" s="1"/>
  <c r="AF69" i="1" s="1"/>
  <c r="C33" i="2"/>
  <c r="AC70" i="1"/>
  <c r="AD70" i="1" s="1"/>
  <c r="AF70" i="1" s="1"/>
  <c r="AC71" i="1"/>
  <c r="AD71" i="1" s="1"/>
  <c r="AF71" i="1" s="1"/>
  <c r="C99" i="2"/>
  <c r="D99" i="2" s="1"/>
  <c r="AC205" i="1"/>
  <c r="AD205" i="1" s="1"/>
  <c r="AF205" i="1" s="1"/>
  <c r="AC206" i="1"/>
  <c r="AD206" i="1" s="1"/>
  <c r="AF206" i="1" s="1"/>
  <c r="AC213" i="1"/>
  <c r="AD213" i="1" s="1"/>
  <c r="AF213" i="1" s="1"/>
  <c r="AC212" i="1"/>
  <c r="AD212" i="1" s="1"/>
  <c r="AF212" i="1" s="1"/>
  <c r="C103" i="2"/>
  <c r="AC106" i="1"/>
  <c r="AD106" i="1" s="1"/>
  <c r="AF106" i="1" s="1"/>
  <c r="AC107" i="1"/>
  <c r="AD107" i="1" s="1"/>
  <c r="AF107" i="1" s="1"/>
  <c r="AC108" i="1"/>
  <c r="AD108" i="1" s="1"/>
  <c r="AF108" i="1" s="1"/>
  <c r="C50" i="2"/>
  <c r="AC66" i="1"/>
  <c r="AD66" i="1" s="1"/>
  <c r="AF66" i="1" s="1"/>
  <c r="AC67" i="1"/>
  <c r="AD67" i="1" s="1"/>
  <c r="AF67" i="1" s="1"/>
  <c r="C31" i="2"/>
  <c r="D31" i="2" s="1"/>
  <c r="AF3" i="1" l="1"/>
  <c r="AF6" i="1"/>
  <c r="AF1" i="1"/>
  <c r="AN143" i="1"/>
  <c r="AN32" i="1"/>
  <c r="AN112" i="1"/>
  <c r="AN165" i="1"/>
  <c r="AN243" i="1"/>
  <c r="AN156" i="1"/>
  <c r="AN178" i="1"/>
  <c r="AN194" i="1"/>
  <c r="AN163" i="1"/>
  <c r="AN68" i="1"/>
  <c r="AN226" i="1"/>
  <c r="AN205" i="1"/>
  <c r="AN99" i="1"/>
  <c r="AN69" i="1"/>
  <c r="AN115" i="1"/>
  <c r="AN109" i="1"/>
  <c r="AN19" i="1"/>
  <c r="AN84" i="1"/>
  <c r="AN20" i="1"/>
  <c r="AN111" i="1"/>
  <c r="AN150" i="1"/>
  <c r="AN174" i="1"/>
  <c r="AN124" i="1"/>
  <c r="AN67" i="1"/>
  <c r="AN152" i="1"/>
  <c r="AN125" i="1"/>
  <c r="AN191" i="1"/>
  <c r="AN137" i="1"/>
  <c r="AN240" i="1"/>
  <c r="AN206" i="1"/>
  <c r="AN164" i="1"/>
  <c r="AN116" i="1"/>
  <c r="AN25" i="1"/>
  <c r="AN100" i="1"/>
  <c r="AN97" i="1"/>
  <c r="AN216" i="1"/>
  <c r="AN45" i="1"/>
  <c r="AN189" i="1"/>
  <c r="AN256" i="1"/>
  <c r="AN237" i="1"/>
  <c r="AN113" i="1"/>
  <c r="AN187" i="1"/>
  <c r="AN175" i="1"/>
  <c r="AN190" i="1"/>
  <c r="AN244" i="1"/>
  <c r="AN168" i="1"/>
  <c r="AN13" i="1"/>
  <c r="AN184" i="1"/>
  <c r="AN40" i="1"/>
  <c r="AN262" i="1"/>
  <c r="AN136" i="1"/>
  <c r="AN7" i="1"/>
  <c r="AN126" i="1"/>
  <c r="AN197" i="1"/>
  <c r="AN181" i="1"/>
  <c r="AN239" i="1"/>
  <c r="AN63" i="1"/>
  <c r="AN272" i="1"/>
  <c r="AN105" i="1"/>
  <c r="AN225" i="1"/>
  <c r="AN201" i="1"/>
  <c r="AN172" i="1"/>
  <c r="AN166" i="1"/>
  <c r="AN176" i="1"/>
  <c r="AN134" i="1"/>
  <c r="AN183" i="1"/>
  <c r="AN107" i="1"/>
  <c r="AN106" i="1"/>
  <c r="AN182" i="1"/>
  <c r="AN103" i="1"/>
  <c r="AN177" i="1"/>
  <c r="AN242" i="1"/>
  <c r="AN62" i="1"/>
  <c r="AN146" i="1"/>
  <c r="AN38" i="1"/>
  <c r="AN162" i="1"/>
  <c r="AN218" i="1"/>
  <c r="AN167" i="1"/>
  <c r="AN72" i="1"/>
  <c r="AN108" i="1"/>
  <c r="AN186" i="1"/>
  <c r="AN30" i="1"/>
  <c r="AN238" i="1"/>
  <c r="AN266" i="1"/>
  <c r="AN261" i="1"/>
  <c r="AN39" i="1"/>
  <c r="AN249" i="1"/>
  <c r="AN15" i="1"/>
  <c r="AN142" i="1"/>
  <c r="AN66" i="1"/>
  <c r="AN196" i="1"/>
  <c r="AN185" i="1"/>
  <c r="AN26" i="1"/>
  <c r="AN212" i="1"/>
  <c r="AN102" i="1"/>
  <c r="AN27" i="1"/>
  <c r="AN81" i="1"/>
  <c r="AN61" i="1"/>
  <c r="AN139" i="1"/>
  <c r="AN14" i="1"/>
  <c r="AN171" i="1"/>
  <c r="AN268" i="1"/>
  <c r="AN89" i="1"/>
  <c r="AN211" i="1"/>
  <c r="AN118" i="1"/>
  <c r="AN213" i="1"/>
  <c r="AN31" i="1"/>
  <c r="AN101" i="1"/>
  <c r="AN28" i="1"/>
  <c r="AN195" i="1"/>
  <c r="AN169" i="1"/>
  <c r="AN267" i="1"/>
  <c r="AN200" i="1"/>
  <c r="AN44" i="1"/>
  <c r="AN75" i="1"/>
  <c r="AN60" i="1"/>
  <c r="AN88" i="1"/>
  <c r="AN148" i="1"/>
  <c r="AN95" i="1"/>
  <c r="AN138" i="1"/>
  <c r="AN153" i="1"/>
  <c r="AN275" i="1"/>
  <c r="AN155" i="1"/>
  <c r="AN245" i="1"/>
  <c r="AN193" i="1"/>
  <c r="AN273" i="1"/>
  <c r="AN133" i="1"/>
  <c r="AN56" i="1"/>
  <c r="AN192" i="1"/>
  <c r="AN71" i="1"/>
  <c r="AN98" i="1"/>
  <c r="AN10" i="1"/>
  <c r="AN198" i="1"/>
  <c r="AN132" i="1"/>
  <c r="AN9" i="1"/>
  <c r="AN86" i="1"/>
  <c r="AN253" i="1"/>
  <c r="AN131" i="1"/>
  <c r="AN279" i="1"/>
  <c r="AN91" i="1"/>
  <c r="AN259" i="1"/>
  <c r="AN74" i="1"/>
  <c r="AN280" i="1"/>
  <c r="AN29" i="1"/>
  <c r="AN12" i="1"/>
  <c r="AN35" i="1"/>
  <c r="AN80" i="1"/>
  <c r="AN41" i="1"/>
  <c r="AN6" i="1"/>
  <c r="AN248" i="1"/>
  <c r="AN208" i="1"/>
  <c r="AN160" i="1"/>
  <c r="AN144" i="1"/>
  <c r="AN23" i="1"/>
  <c r="AN65" i="1"/>
  <c r="AN145" i="1"/>
  <c r="AN217" i="1"/>
  <c r="AN8" i="1"/>
  <c r="AN247" i="1"/>
  <c r="AN17" i="1"/>
  <c r="AN210" i="1"/>
  <c r="AN257" i="1"/>
  <c r="AN276" i="1"/>
  <c r="AN123" i="1"/>
  <c r="AN130" i="1"/>
  <c r="AN57" i="1"/>
  <c r="AN232" i="1"/>
  <c r="AN70" i="1"/>
  <c r="AN250" i="1"/>
  <c r="AN236" i="1"/>
  <c r="AN43" i="1"/>
  <c r="AN11" i="1"/>
  <c r="AN42" i="1"/>
  <c r="AN46" i="1"/>
  <c r="AN76" i="1"/>
  <c r="AN33" i="1"/>
  <c r="AN235" i="1"/>
  <c r="AN159" i="1"/>
  <c r="AN16" i="1"/>
  <c r="AN117" i="1"/>
  <c r="AN147" i="1"/>
  <c r="AN264" i="1"/>
  <c r="AN119" i="1"/>
  <c r="AN135" i="1"/>
  <c r="AN21" i="1"/>
  <c r="AN203" i="1"/>
  <c r="AN141" i="1"/>
  <c r="AN85" i="1"/>
  <c r="AN278" i="1"/>
  <c r="AN104" i="1"/>
  <c r="AN254" i="1"/>
  <c r="AN90" i="1"/>
  <c r="AN263" i="1"/>
  <c r="AN234" i="1"/>
  <c r="AN246" i="1"/>
  <c r="AN209" i="1"/>
  <c r="AN120" i="1"/>
  <c r="AN47" i="1"/>
  <c r="AN202" i="1"/>
  <c r="AN127" i="1"/>
  <c r="AN179" i="1"/>
  <c r="AN34" i="1"/>
  <c r="AN158" i="1"/>
  <c r="AN219" i="1"/>
  <c r="AN228" i="1"/>
  <c r="AN110" i="1"/>
  <c r="AN128" i="1"/>
  <c r="AN92" i="1"/>
  <c r="AN18" i="1"/>
  <c r="AN173" i="1"/>
  <c r="AN230" i="1"/>
  <c r="AN93" i="1"/>
  <c r="AN270" i="1"/>
  <c r="AN188" i="1"/>
  <c r="AN258" i="1"/>
  <c r="AN83" i="1"/>
  <c r="AN229" i="1"/>
  <c r="AN151" i="1"/>
  <c r="AN129" i="1"/>
  <c r="AN94" i="1"/>
  <c r="AN271" i="1"/>
  <c r="AN199" i="1"/>
  <c r="AN284" i="1"/>
  <c r="AE284" i="1"/>
  <c r="AC214" i="1"/>
  <c r="AD214" i="1" s="1"/>
  <c r="AF214" i="1" s="1"/>
  <c r="AE281" i="1"/>
  <c r="AN281" i="1"/>
  <c r="AE282" i="1"/>
  <c r="AN282" i="1"/>
  <c r="AE283" i="1"/>
  <c r="AN283" i="1"/>
  <c r="AC215" i="1"/>
  <c r="AD215" i="1" s="1"/>
  <c r="AF215" i="1" s="1"/>
  <c r="AK154" i="1"/>
  <c r="AK237" i="1"/>
  <c r="C39" i="2"/>
  <c r="D39" i="2" s="1"/>
  <c r="AE79" i="1" s="1"/>
  <c r="AC77" i="1"/>
  <c r="AD77" i="1" s="1"/>
  <c r="AF77" i="1" s="1"/>
  <c r="D33" i="2"/>
  <c r="AE67" i="1" s="1"/>
  <c r="AK68" i="1"/>
  <c r="AC78" i="1"/>
  <c r="AD78" i="1" s="1"/>
  <c r="AF78" i="1" s="1"/>
  <c r="AE29" i="1"/>
  <c r="AC52" i="1"/>
  <c r="AD52" i="1" s="1"/>
  <c r="AF52" i="1" s="1"/>
  <c r="AC53" i="1"/>
  <c r="AD53" i="1" s="1"/>
  <c r="AF53" i="1" s="1"/>
  <c r="AK109" i="1"/>
  <c r="AK91" i="1"/>
  <c r="AK82" i="1"/>
  <c r="AC55" i="1"/>
  <c r="AD55" i="1" s="1"/>
  <c r="AF55" i="1" s="1"/>
  <c r="AC51" i="1"/>
  <c r="AD51" i="1" s="1"/>
  <c r="AF51" i="1" s="1"/>
  <c r="AE254" i="1"/>
  <c r="AC50" i="1"/>
  <c r="AD50" i="1" s="1"/>
  <c r="AF50" i="1" s="1"/>
  <c r="AC54" i="1"/>
  <c r="AD54" i="1" s="1"/>
  <c r="AF54" i="1" s="1"/>
  <c r="AK37" i="1"/>
  <c r="AK35" i="1"/>
  <c r="AK126" i="1"/>
  <c r="AL125" i="1" s="1"/>
  <c r="AK36" i="1"/>
  <c r="AK215" i="1"/>
  <c r="AE245" i="1"/>
  <c r="AC49" i="1"/>
  <c r="AD49" i="1" s="1"/>
  <c r="AF49" i="1" s="1"/>
  <c r="AK105" i="1"/>
  <c r="AK214" i="1"/>
  <c r="D25" i="2"/>
  <c r="AK198" i="1"/>
  <c r="AK29" i="1"/>
  <c r="AK25" i="1"/>
  <c r="AL23" i="1" s="1"/>
  <c r="AK86" i="1"/>
  <c r="AK95" i="1"/>
  <c r="D84" i="2"/>
  <c r="AE170" i="1" s="1"/>
  <c r="AK241" i="1"/>
  <c r="F18" i="2"/>
  <c r="G18" i="2" s="1"/>
  <c r="H18" i="2" s="1"/>
  <c r="AK119" i="1"/>
  <c r="AK121" i="1"/>
  <c r="AE123" i="1"/>
  <c r="AE65" i="1"/>
  <c r="D34" i="2"/>
  <c r="AK100" i="1"/>
  <c r="AE253" i="1"/>
  <c r="D79" i="2"/>
  <c r="AE250" i="1"/>
  <c r="D45" i="2"/>
  <c r="AK199" i="1"/>
  <c r="D36" i="2"/>
  <c r="D49" i="2"/>
  <c r="D51" i="2"/>
  <c r="D43" i="2"/>
  <c r="AE249" i="1"/>
  <c r="AE23" i="1"/>
  <c r="AK75" i="1"/>
  <c r="AL74" i="1" s="1"/>
  <c r="AK74" i="1"/>
  <c r="AE268" i="1"/>
  <c r="D37" i="2"/>
  <c r="AE74" i="1" s="1"/>
  <c r="D35" i="2"/>
  <c r="AE70" i="1" s="1"/>
  <c r="AK252" i="1"/>
  <c r="AK40" i="1"/>
  <c r="AE276" i="1"/>
  <c r="AE35" i="1"/>
  <c r="AE33" i="1"/>
  <c r="AE200" i="1"/>
  <c r="AE279" i="1"/>
  <c r="AE256" i="1"/>
  <c r="AE267" i="1"/>
  <c r="AE34" i="1"/>
  <c r="D6" i="2"/>
  <c r="AE7" i="1" s="1"/>
  <c r="AE131" i="1"/>
  <c r="AE199" i="1"/>
  <c r="AK18" i="1"/>
  <c r="AK233" i="1"/>
  <c r="AK96" i="1"/>
  <c r="AK171" i="1"/>
  <c r="AK143" i="1"/>
  <c r="AL142" i="1" s="1"/>
  <c r="AK146" i="1"/>
  <c r="AL145" i="1" s="1"/>
  <c r="AK251" i="1"/>
  <c r="AK104" i="1"/>
  <c r="AK14" i="1"/>
  <c r="AK250" i="1"/>
  <c r="AK153" i="1"/>
  <c r="D73" i="2"/>
  <c r="AE152" i="1" s="1"/>
  <c r="AK162" i="1"/>
  <c r="AK232" i="1"/>
  <c r="AK130" i="1"/>
  <c r="AK113" i="1"/>
  <c r="AL112" i="1" s="1"/>
  <c r="AK170" i="1"/>
  <c r="AK229" i="1"/>
  <c r="AK88" i="1"/>
  <c r="AK44" i="1"/>
  <c r="AK161" i="1"/>
  <c r="AK87" i="1"/>
  <c r="D93" i="2"/>
  <c r="AE192" i="1" s="1"/>
  <c r="AK223" i="1"/>
  <c r="AL221" i="1" s="1"/>
  <c r="AK207" i="1"/>
  <c r="D108" i="2"/>
  <c r="AE217" i="1" s="1"/>
  <c r="AK180" i="1"/>
  <c r="D23" i="2"/>
  <c r="AK149" i="1"/>
  <c r="D40" i="2"/>
  <c r="AK192" i="1"/>
  <c r="AK117" i="1"/>
  <c r="AL116" i="1" s="1"/>
  <c r="AK221" i="1"/>
  <c r="D116" i="2"/>
  <c r="AE239" i="1" s="1"/>
  <c r="D114" i="2"/>
  <c r="AE38" i="1"/>
  <c r="AE60" i="1"/>
  <c r="D61" i="2"/>
  <c r="AE126" i="1" s="1"/>
  <c r="AK129" i="1"/>
  <c r="AE117" i="1"/>
  <c r="AE208" i="1"/>
  <c r="AE280" i="1"/>
  <c r="AE261" i="1"/>
  <c r="AE39" i="1"/>
  <c r="AE143" i="1"/>
  <c r="AE275" i="1"/>
  <c r="AE155" i="1"/>
  <c r="AC58" i="1"/>
  <c r="AD58" i="1" s="1"/>
  <c r="AF58" i="1" s="1"/>
  <c r="C27" i="2"/>
  <c r="AK58" i="1" s="1"/>
  <c r="AE14" i="1"/>
  <c r="AC59" i="1"/>
  <c r="AD59" i="1" s="1"/>
  <c r="AF59" i="1" s="1"/>
  <c r="AE263" i="1"/>
  <c r="AE25" i="1"/>
  <c r="AE76" i="1"/>
  <c r="AE216" i="1"/>
  <c r="AE121" i="1"/>
  <c r="AN121" i="1"/>
  <c r="AN223" i="1"/>
  <c r="AN277" i="1"/>
  <c r="AN79" i="1"/>
  <c r="AE48" i="1"/>
  <c r="AN48" i="1"/>
  <c r="AN221" i="1"/>
  <c r="AN87" i="1"/>
  <c r="AE56" i="1"/>
  <c r="AE260" i="1"/>
  <c r="AN260" i="1"/>
  <c r="AE180" i="1"/>
  <c r="AN180" i="1"/>
  <c r="AE269" i="1"/>
  <c r="AN269" i="1"/>
  <c r="AN255" i="1"/>
  <c r="AN140" i="1"/>
  <c r="AE24" i="1"/>
  <c r="AN24" i="1"/>
  <c r="AN274" i="1"/>
  <c r="AN207" i="1"/>
  <c r="AN161" i="1"/>
  <c r="AE9" i="1"/>
  <c r="AN231" i="1"/>
  <c r="AN73" i="1"/>
  <c r="AN96" i="1"/>
  <c r="AN154" i="1"/>
  <c r="AE204" i="1"/>
  <c r="AN204" i="1"/>
  <c r="AN170" i="1"/>
  <c r="AE265" i="1"/>
  <c r="AN265" i="1"/>
  <c r="AE37" i="1"/>
  <c r="AN37" i="1"/>
  <c r="AE122" i="1"/>
  <c r="AN122" i="1"/>
  <c r="AE252" i="1"/>
  <c r="AN252" i="1"/>
  <c r="AE241" i="1"/>
  <c r="AN241" i="1"/>
  <c r="AN82" i="1"/>
  <c r="AN149" i="1"/>
  <c r="AE22" i="1"/>
  <c r="AN22" i="1"/>
  <c r="AE64" i="1"/>
  <c r="AN64" i="1"/>
  <c r="AE227" i="1"/>
  <c r="AN227" i="1"/>
  <c r="AE220" i="1"/>
  <c r="AN220" i="1"/>
  <c r="AN233" i="1"/>
  <c r="AN222" i="1"/>
  <c r="AN36" i="1"/>
  <c r="AN157" i="1"/>
  <c r="AE114" i="1"/>
  <c r="AN114" i="1"/>
  <c r="AE258" i="1"/>
  <c r="AE251" i="1"/>
  <c r="AN251" i="1"/>
  <c r="AE224" i="1"/>
  <c r="AN224" i="1"/>
  <c r="AE207" i="1"/>
  <c r="AE73" i="1"/>
  <c r="AE231" i="1"/>
  <c r="AE255" i="1"/>
  <c r="AE157" i="1"/>
  <c r="AE36" i="1"/>
  <c r="AE274" i="1"/>
  <c r="AE277" i="1"/>
  <c r="AE134" i="1"/>
  <c r="AE72" i="1"/>
  <c r="AE18" i="1"/>
  <c r="AE13" i="1"/>
  <c r="AE184" i="1"/>
  <c r="AE272" i="1"/>
  <c r="AE146" i="1"/>
  <c r="AE266" i="1"/>
  <c r="AE139" i="1"/>
  <c r="AE169" i="1"/>
  <c r="AE130" i="1"/>
  <c r="AE138" i="1"/>
  <c r="AE133" i="1"/>
  <c r="AE132" i="1"/>
  <c r="AE136" i="1"/>
  <c r="AE259" i="1"/>
  <c r="AE140" i="1"/>
  <c r="AE80" i="1"/>
  <c r="AE257" i="1"/>
  <c r="AE264" i="1"/>
  <c r="AE113" i="1"/>
  <c r="AE135" i="1"/>
  <c r="AE278" i="1"/>
  <c r="AE179" i="1"/>
  <c r="AE270" i="1"/>
  <c r="AE188" i="1"/>
  <c r="AE165" i="1"/>
  <c r="AE271" i="1"/>
  <c r="AE137" i="1"/>
  <c r="AE240" i="1"/>
  <c r="AE175" i="1"/>
  <c r="AE195" i="1"/>
  <c r="AE198" i="1"/>
  <c r="AE273" i="1"/>
  <c r="AE262" i="1"/>
  <c r="AK182" i="1"/>
  <c r="AK181" i="1"/>
  <c r="AK183" i="1"/>
  <c r="AK99" i="1"/>
  <c r="AK98" i="1"/>
  <c r="AK97" i="1"/>
  <c r="AK110" i="1"/>
  <c r="AK112" i="1"/>
  <c r="AK111" i="1"/>
  <c r="AK102" i="1"/>
  <c r="AK101" i="1"/>
  <c r="AK103" i="1"/>
  <c r="AE228" i="1"/>
  <c r="AE178" i="1"/>
  <c r="AK41" i="1"/>
  <c r="AK42" i="1"/>
  <c r="AK43" i="1"/>
  <c r="D48" i="2"/>
  <c r="D46" i="2"/>
  <c r="AE97" i="1" s="1"/>
  <c r="AK160" i="1"/>
  <c r="AK158" i="1"/>
  <c r="AK159" i="1"/>
  <c r="AE129" i="1"/>
  <c r="AE17" i="1"/>
  <c r="AK94" i="1"/>
  <c r="AK93" i="1"/>
  <c r="AK92" i="1"/>
  <c r="AL91" i="1" s="1"/>
  <c r="F45" i="2" s="1"/>
  <c r="G45" i="2" s="1"/>
  <c r="H45" i="2" s="1"/>
  <c r="AK212" i="1"/>
  <c r="AK213" i="1"/>
  <c r="D103" i="2"/>
  <c r="AE213" i="1" s="1"/>
  <c r="D20" i="2"/>
  <c r="AE206" i="1"/>
  <c r="AK89" i="1"/>
  <c r="AK90" i="1"/>
  <c r="AE205" i="1"/>
  <c r="AE191" i="1"/>
  <c r="AE16" i="1"/>
  <c r="AE147" i="1"/>
  <c r="D44" i="2"/>
  <c r="AK205" i="1"/>
  <c r="AK206" i="1"/>
  <c r="AE115" i="1"/>
  <c r="AK193" i="1"/>
  <c r="AK194" i="1"/>
  <c r="AE124" i="1"/>
  <c r="AE246" i="1"/>
  <c r="AK16" i="1"/>
  <c r="AK17" i="1"/>
  <c r="AK15" i="1"/>
  <c r="AE148" i="1"/>
  <c r="AK217" i="1"/>
  <c r="AK218" i="1"/>
  <c r="AK248" i="1"/>
  <c r="AK246" i="1"/>
  <c r="AK247" i="1"/>
  <c r="AE15" i="1"/>
  <c r="AE219" i="1"/>
  <c r="AE248" i="1"/>
  <c r="AK191" i="1"/>
  <c r="AK190" i="1"/>
  <c r="AK189" i="1"/>
  <c r="AE236" i="1"/>
  <c r="AE244" i="1"/>
  <c r="AK148" i="1"/>
  <c r="AK147" i="1"/>
  <c r="AE116" i="1"/>
  <c r="AK115" i="1"/>
  <c r="AK116" i="1"/>
  <c r="AE30" i="1"/>
  <c r="AK124" i="1"/>
  <c r="AK125" i="1"/>
  <c r="AE247" i="1"/>
  <c r="AE243" i="1"/>
  <c r="AE10" i="1"/>
  <c r="AK166" i="1"/>
  <c r="AK168" i="1"/>
  <c r="AL167" i="1" s="1"/>
  <c r="AK167" i="1"/>
  <c r="AE85" i="1"/>
  <c r="AE31" i="1"/>
  <c r="AK177" i="1"/>
  <c r="AK178" i="1"/>
  <c r="AK176" i="1"/>
  <c r="AK236" i="1"/>
  <c r="AK234" i="1"/>
  <c r="AK235" i="1"/>
  <c r="AE242" i="1"/>
  <c r="AE11" i="1"/>
  <c r="AE32" i="1"/>
  <c r="AK85" i="1"/>
  <c r="AK84" i="1"/>
  <c r="AK83" i="1"/>
  <c r="AK244" i="1"/>
  <c r="AK243" i="1"/>
  <c r="AK242" i="1"/>
  <c r="AK11" i="1"/>
  <c r="AK10" i="1"/>
  <c r="AK225" i="1"/>
  <c r="AK226" i="1"/>
  <c r="AE127" i="1"/>
  <c r="D80" i="2"/>
  <c r="AE166" i="1" s="1"/>
  <c r="D110" i="2"/>
  <c r="AE226" i="1" s="1"/>
  <c r="AK71" i="1"/>
  <c r="AL70" i="1" s="1"/>
  <c r="AK69" i="1"/>
  <c r="AK70" i="1"/>
  <c r="AK201" i="1"/>
  <c r="AK203" i="1"/>
  <c r="AK202" i="1"/>
  <c r="AE164" i="1"/>
  <c r="AE128" i="1"/>
  <c r="AE12" i="1"/>
  <c r="AE69" i="1"/>
  <c r="AE19" i="1"/>
  <c r="AE203" i="1"/>
  <c r="AK164" i="1"/>
  <c r="AK163" i="1"/>
  <c r="AK141" i="1"/>
  <c r="AK142" i="1"/>
  <c r="AE202" i="1"/>
  <c r="AK6" i="1"/>
  <c r="AK8" i="1"/>
  <c r="AK7" i="1"/>
  <c r="AE142" i="1"/>
  <c r="AK128" i="1"/>
  <c r="AK127" i="1"/>
  <c r="AE63" i="1"/>
  <c r="AE21" i="1"/>
  <c r="AE62" i="1"/>
  <c r="AE20" i="1"/>
  <c r="AE6" i="1"/>
  <c r="AK209" i="1"/>
  <c r="AK211" i="1"/>
  <c r="AK210" i="1"/>
  <c r="AK61" i="1"/>
  <c r="AK63" i="1"/>
  <c r="AK62" i="1"/>
  <c r="AK32" i="1"/>
  <c r="AK30" i="1"/>
  <c r="AK31" i="1"/>
  <c r="AE141" i="1"/>
  <c r="AK19" i="1"/>
  <c r="AK20" i="1"/>
  <c r="AE235" i="1"/>
  <c r="AK144" i="1"/>
  <c r="AK145" i="1"/>
  <c r="AE8" i="1"/>
  <c r="AE61" i="1"/>
  <c r="AE211" i="1"/>
  <c r="AE174" i="1"/>
  <c r="AE151" i="1"/>
  <c r="AE197" i="1"/>
  <c r="AE144" i="1"/>
  <c r="AK106" i="1"/>
  <c r="AK107" i="1"/>
  <c r="AK108" i="1"/>
  <c r="AK172" i="1"/>
  <c r="AE81" i="1"/>
  <c r="AE120" i="1"/>
  <c r="AE163" i="1"/>
  <c r="AK151" i="1"/>
  <c r="AK150" i="1"/>
  <c r="AL149" i="1" s="1"/>
  <c r="F72" i="2" s="1"/>
  <c r="G72" i="2" s="1"/>
  <c r="H72" i="2" s="1"/>
  <c r="AK152" i="1"/>
  <c r="AE187" i="1"/>
  <c r="AK46" i="1"/>
  <c r="AK45" i="1"/>
  <c r="AK47" i="1"/>
  <c r="AE26" i="1"/>
  <c r="AE118" i="1"/>
  <c r="AK66" i="1"/>
  <c r="AK67" i="1"/>
  <c r="AK238" i="1"/>
  <c r="AK239" i="1"/>
  <c r="AE173" i="1"/>
  <c r="AE47" i="1"/>
  <c r="AE27" i="1"/>
  <c r="D52" i="2"/>
  <c r="AE111" i="1" s="1"/>
  <c r="AK81" i="1"/>
  <c r="AK197" i="1"/>
  <c r="AK196" i="1"/>
  <c r="AE196" i="1"/>
  <c r="D50" i="2"/>
  <c r="D87" i="2"/>
  <c r="AE182" i="1" s="1"/>
  <c r="D42" i="2"/>
  <c r="AE185" i="1"/>
  <c r="AE28" i="1"/>
  <c r="AE119" i="1"/>
  <c r="AE145" i="1"/>
  <c r="AK186" i="1"/>
  <c r="AK185" i="1"/>
  <c r="AK187" i="1"/>
  <c r="AK26" i="1"/>
  <c r="AK27" i="1"/>
  <c r="AK28" i="1"/>
  <c r="D76" i="2"/>
  <c r="AE160" i="1" s="1"/>
  <c r="AE156" i="1"/>
  <c r="AK120" i="1"/>
  <c r="AK118" i="1"/>
  <c r="AE201" i="1"/>
  <c r="AE186" i="1"/>
  <c r="AK230" i="1"/>
  <c r="AL229" i="1" s="1"/>
  <c r="AK228" i="1"/>
  <c r="AK156" i="1"/>
  <c r="AE50" i="1" l="1"/>
  <c r="AG50" i="1" s="1"/>
  <c r="AI50" i="1" s="1"/>
  <c r="AG284" i="1"/>
  <c r="AI284" i="1" s="1"/>
  <c r="AG114" i="1"/>
  <c r="AI114" i="1" s="1"/>
  <c r="AN52" i="1"/>
  <c r="AG22" i="1"/>
  <c r="AE54" i="1"/>
  <c r="AN59" i="1"/>
  <c r="AE53" i="1"/>
  <c r="AN58" i="1"/>
  <c r="AN78" i="1"/>
  <c r="AN77" i="1"/>
  <c r="AN215" i="1"/>
  <c r="AN49" i="1"/>
  <c r="AN51" i="1"/>
  <c r="AL152" i="1"/>
  <c r="AN214" i="1"/>
  <c r="AE214" i="1"/>
  <c r="AG214" i="1" s="1"/>
  <c r="AI214" i="1" s="1"/>
  <c r="AE215" i="1"/>
  <c r="AG283" i="1"/>
  <c r="AI283" i="1" s="1"/>
  <c r="AE172" i="1"/>
  <c r="AG172" i="1" s="1"/>
  <c r="AI172" i="1" s="1"/>
  <c r="AG282" i="1"/>
  <c r="AI282" i="1" s="1"/>
  <c r="AG281" i="1"/>
  <c r="AI281" i="1" s="1"/>
  <c r="AE171" i="1"/>
  <c r="AG171" i="1" s="1"/>
  <c r="AI171" i="1" s="1"/>
  <c r="AE176" i="1"/>
  <c r="AG176" i="1" s="1"/>
  <c r="AI176" i="1" s="1"/>
  <c r="AE177" i="1"/>
  <c r="AG177" i="1" s="1"/>
  <c r="AI177" i="1" s="1"/>
  <c r="AE77" i="1"/>
  <c r="AK77" i="1"/>
  <c r="AK79" i="1"/>
  <c r="AK78" i="1"/>
  <c r="AE234" i="1"/>
  <c r="AG234" i="1" s="1"/>
  <c r="AI234" i="1" s="1"/>
  <c r="AE68" i="1"/>
  <c r="AG68" i="1" s="1"/>
  <c r="AI68" i="1" s="1"/>
  <c r="AL35" i="1"/>
  <c r="F19" i="2" s="1"/>
  <c r="G19" i="2" s="1"/>
  <c r="H19" i="2" s="1"/>
  <c r="AE75" i="1"/>
  <c r="AG75" i="1" s="1"/>
  <c r="AI75" i="1" s="1"/>
  <c r="AE232" i="1"/>
  <c r="AG232" i="1" s="1"/>
  <c r="AI232" i="1" s="1"/>
  <c r="AG254" i="1"/>
  <c r="AE51" i="1"/>
  <c r="AE82" i="1"/>
  <c r="AG82" i="1" s="1"/>
  <c r="AI82" i="1" s="1"/>
  <c r="AE222" i="1"/>
  <c r="AE161" i="1"/>
  <c r="AG161" i="1" s="1"/>
  <c r="AI161" i="1" s="1"/>
  <c r="AE150" i="1"/>
  <c r="AG150" i="1" s="1"/>
  <c r="AI150" i="1" s="1"/>
  <c r="AE66" i="1"/>
  <c r="AG66" i="1" s="1"/>
  <c r="AI66" i="1" s="1"/>
  <c r="AE49" i="1"/>
  <c r="AL241" i="1"/>
  <c r="AL103" i="1"/>
  <c r="F51" i="2" s="1"/>
  <c r="G51" i="2" s="1"/>
  <c r="H51" i="2" s="1"/>
  <c r="AG250" i="1"/>
  <c r="AI250" i="1" s="1"/>
  <c r="AG29" i="1"/>
  <c r="AI29" i="1" s="1"/>
  <c r="AE78" i="1"/>
  <c r="AG65" i="1"/>
  <c r="AE55" i="1"/>
  <c r="AN55" i="1"/>
  <c r="AL119" i="1"/>
  <c r="AE52" i="1"/>
  <c r="AN53" i="1"/>
  <c r="AE218" i="1"/>
  <c r="AG218" i="1" s="1"/>
  <c r="AI218" i="1" s="1"/>
  <c r="AG23" i="1"/>
  <c r="AI23" i="1" s="1"/>
  <c r="AN54" i="1"/>
  <c r="AN50" i="1"/>
  <c r="AG35" i="1"/>
  <c r="AI35" i="1" s="1"/>
  <c r="AL213" i="1"/>
  <c r="AG268" i="1"/>
  <c r="AI268" i="1" s="1"/>
  <c r="AE210" i="1"/>
  <c r="AG210" i="1" s="1"/>
  <c r="AI210" i="1" s="1"/>
  <c r="AE221" i="1"/>
  <c r="AG221" i="1" s="1"/>
  <c r="AI221" i="1" s="1"/>
  <c r="AG245" i="1"/>
  <c r="AE149" i="1"/>
  <c r="AG149" i="1" s="1"/>
  <c r="AI149" i="1" s="1"/>
  <c r="AE44" i="1"/>
  <c r="AG44" i="1" s="1"/>
  <c r="AI44" i="1" s="1"/>
  <c r="AE209" i="1"/>
  <c r="AG209" i="1" s="1"/>
  <c r="AI209" i="1" s="1"/>
  <c r="AL94" i="1"/>
  <c r="F47" i="2" s="1"/>
  <c r="G47" i="2" s="1"/>
  <c r="H47" i="2" s="1"/>
  <c r="AL197" i="1"/>
  <c r="AE162" i="1"/>
  <c r="AG162" i="1" s="1"/>
  <c r="AI162" i="1" s="1"/>
  <c r="AE230" i="1"/>
  <c r="AG230" i="1" s="1"/>
  <c r="AI230" i="1" s="1"/>
  <c r="AL27" i="1"/>
  <c r="F17" i="2" s="1"/>
  <c r="G17" i="2" s="1"/>
  <c r="H17" i="2" s="1"/>
  <c r="AE71" i="1"/>
  <c r="AG71" i="1" s="1"/>
  <c r="AI71" i="1" s="1"/>
  <c r="AE42" i="1"/>
  <c r="AG42" i="1" s="1"/>
  <c r="AI42" i="1" s="1"/>
  <c r="AG256" i="1"/>
  <c r="AI256" i="1" s="1"/>
  <c r="AE229" i="1"/>
  <c r="AG229" i="1" s="1"/>
  <c r="AI229" i="1" s="1"/>
  <c r="AG123" i="1"/>
  <c r="AI123" i="1" s="1"/>
  <c r="AE40" i="1"/>
  <c r="AG40" i="1" s="1"/>
  <c r="AI40" i="1" s="1"/>
  <c r="F114" i="2"/>
  <c r="G114" i="2" s="1"/>
  <c r="H114" i="2" s="1"/>
  <c r="F73" i="2"/>
  <c r="G73" i="2" s="1"/>
  <c r="H73" i="2" s="1"/>
  <c r="F35" i="2"/>
  <c r="G35" i="2" s="1"/>
  <c r="H35" i="2" s="1"/>
  <c r="F36" i="2"/>
  <c r="G36" i="2" s="1"/>
  <c r="H36" i="2" s="1"/>
  <c r="F109" i="2"/>
  <c r="G109" i="2" s="1"/>
  <c r="H109" i="2" s="1"/>
  <c r="AG267" i="1"/>
  <c r="AI267" i="1" s="1"/>
  <c r="AG276" i="1"/>
  <c r="AI276" i="1" s="1"/>
  <c r="AE190" i="1"/>
  <c r="AG190" i="1" s="1"/>
  <c r="AI190" i="1" s="1"/>
  <c r="AG253" i="1"/>
  <c r="AI253" i="1" s="1"/>
  <c r="AG33" i="1"/>
  <c r="AI33" i="1" s="1"/>
  <c r="F15" i="2"/>
  <c r="G15" i="2" s="1"/>
  <c r="H15" i="2" s="1"/>
  <c r="AE189" i="1"/>
  <c r="AG189" i="1" s="1"/>
  <c r="AI189" i="1" s="1"/>
  <c r="AG199" i="1"/>
  <c r="AI199" i="1" s="1"/>
  <c r="AG249" i="1"/>
  <c r="AI249" i="1" s="1"/>
  <c r="AG60" i="1"/>
  <c r="AI60" i="1" s="1"/>
  <c r="AG279" i="1"/>
  <c r="AI279" i="1" s="1"/>
  <c r="AL250" i="1"/>
  <c r="F124" i="2" s="1"/>
  <c r="G124" i="2" s="1"/>
  <c r="H124" i="2" s="1"/>
  <c r="AG275" i="1"/>
  <c r="AI275" i="1" s="1"/>
  <c r="AG192" i="1"/>
  <c r="AI192" i="1" s="1"/>
  <c r="AG131" i="1"/>
  <c r="AI131" i="1" s="1"/>
  <c r="AE154" i="1"/>
  <c r="AG154" i="1" s="1"/>
  <c r="AI154" i="1" s="1"/>
  <c r="AG200" i="1"/>
  <c r="AI200" i="1" s="1"/>
  <c r="AE238" i="1"/>
  <c r="AG238" i="1" s="1"/>
  <c r="AI238" i="1" s="1"/>
  <c r="AG261" i="1"/>
  <c r="AI261" i="1" s="1"/>
  <c r="AE153" i="1"/>
  <c r="AG153" i="1" s="1"/>
  <c r="AI153" i="1" s="1"/>
  <c r="AL192" i="1"/>
  <c r="AL237" i="1"/>
  <c r="F116" i="2" s="1"/>
  <c r="G116" i="2" s="1"/>
  <c r="H116" i="2" s="1"/>
  <c r="AE125" i="1"/>
  <c r="AG125" i="1" s="1"/>
  <c r="AI125" i="1" s="1"/>
  <c r="AL40" i="1"/>
  <c r="AG34" i="1"/>
  <c r="AI34" i="1" s="1"/>
  <c r="AL128" i="1"/>
  <c r="AE46" i="1"/>
  <c r="AG46" i="1" s="1"/>
  <c r="AI46" i="1" s="1"/>
  <c r="AG260" i="1"/>
  <c r="AI260" i="1" s="1"/>
  <c r="AL180" i="1"/>
  <c r="AE233" i="1"/>
  <c r="AG233" i="1" s="1"/>
  <c r="AI233" i="1" s="1"/>
  <c r="AL86" i="1"/>
  <c r="F43" i="2" s="1"/>
  <c r="G43" i="2" s="1"/>
  <c r="H43" i="2" s="1"/>
  <c r="AE83" i="1"/>
  <c r="AG83" i="1" s="1"/>
  <c r="AI83" i="1" s="1"/>
  <c r="AG38" i="1"/>
  <c r="AI38" i="1" s="1"/>
  <c r="AE237" i="1"/>
  <c r="AG237" i="1" s="1"/>
  <c r="AI237" i="1" s="1"/>
  <c r="AE96" i="1"/>
  <c r="AG96" i="1" s="1"/>
  <c r="AI96" i="1" s="1"/>
  <c r="AE223" i="1"/>
  <c r="AG223" i="1" s="1"/>
  <c r="AI223" i="1" s="1"/>
  <c r="AG208" i="1"/>
  <c r="AI208" i="1" s="1"/>
  <c r="AE84" i="1"/>
  <c r="AG84" i="1" s="1"/>
  <c r="AI84" i="1" s="1"/>
  <c r="AE45" i="1"/>
  <c r="AG45" i="1" s="1"/>
  <c r="AI45" i="1" s="1"/>
  <c r="AL18" i="1"/>
  <c r="F12" i="2" s="1"/>
  <c r="G12" i="2" s="1"/>
  <c r="H12" i="2" s="1"/>
  <c r="AE94" i="1"/>
  <c r="AG94" i="1" s="1"/>
  <c r="AI94" i="1" s="1"/>
  <c r="AE95" i="1"/>
  <c r="AG95" i="1" s="1"/>
  <c r="AI95" i="1" s="1"/>
  <c r="AL82" i="1"/>
  <c r="AL161" i="1"/>
  <c r="F79" i="2" s="1"/>
  <c r="G79" i="2" s="1"/>
  <c r="H79" i="2" s="1"/>
  <c r="AE90" i="1"/>
  <c r="AE88" i="1"/>
  <c r="AG88" i="1" s="1"/>
  <c r="AI88" i="1" s="1"/>
  <c r="AE86" i="1"/>
  <c r="AG86" i="1" s="1"/>
  <c r="AI86" i="1" s="1"/>
  <c r="AE109" i="1"/>
  <c r="AG109" i="1" s="1"/>
  <c r="AI109" i="1" s="1"/>
  <c r="AE106" i="1"/>
  <c r="AE104" i="1"/>
  <c r="AG104" i="1" s="1"/>
  <c r="AI104" i="1" s="1"/>
  <c r="AE105" i="1"/>
  <c r="AG105" i="1" s="1"/>
  <c r="AI105" i="1" s="1"/>
  <c r="AE87" i="1"/>
  <c r="AG87" i="1" s="1"/>
  <c r="AI87" i="1" s="1"/>
  <c r="AE103" i="1"/>
  <c r="AG103" i="1" s="1"/>
  <c r="AI103" i="1" s="1"/>
  <c r="AE100" i="1"/>
  <c r="AG100" i="1" s="1"/>
  <c r="AI100" i="1" s="1"/>
  <c r="AG180" i="1"/>
  <c r="AI180" i="1" s="1"/>
  <c r="AL44" i="1"/>
  <c r="F25" i="2" s="1"/>
  <c r="G25" i="2" s="1"/>
  <c r="H25" i="2" s="1"/>
  <c r="AG280" i="1"/>
  <c r="AI280" i="1" s="1"/>
  <c r="AL170" i="1"/>
  <c r="AE193" i="1"/>
  <c r="AG193" i="1" s="1"/>
  <c r="AI193" i="1" s="1"/>
  <c r="AE194" i="1"/>
  <c r="AG194" i="1" s="1"/>
  <c r="AI194" i="1" s="1"/>
  <c r="AE91" i="1"/>
  <c r="AG91" i="1" s="1"/>
  <c r="AI91" i="1" s="1"/>
  <c r="AL99" i="1"/>
  <c r="F49" i="2" s="1"/>
  <c r="G49" i="2" s="1"/>
  <c r="H49" i="2" s="1"/>
  <c r="AL14" i="1"/>
  <c r="F10" i="2" s="1"/>
  <c r="G10" i="2" s="1"/>
  <c r="H10" i="2" s="1"/>
  <c r="AL108" i="1"/>
  <c r="F53" i="2" s="1"/>
  <c r="G53" i="2" s="1"/>
  <c r="H53" i="2" s="1"/>
  <c r="AG117" i="1"/>
  <c r="AI117" i="1" s="1"/>
  <c r="AG73" i="1"/>
  <c r="AG143" i="1"/>
  <c r="AI143" i="1" s="1"/>
  <c r="AG74" i="1"/>
  <c r="AI74" i="1" s="1"/>
  <c r="AG39" i="1"/>
  <c r="AG216" i="1"/>
  <c r="AI216" i="1" s="1"/>
  <c r="AG25" i="1"/>
  <c r="AI25" i="1" s="1"/>
  <c r="AG263" i="1"/>
  <c r="AI263" i="1" s="1"/>
  <c r="AG14" i="1"/>
  <c r="AI14" i="1" s="1"/>
  <c r="AG56" i="1"/>
  <c r="AG231" i="1"/>
  <c r="AI231" i="1" s="1"/>
  <c r="AG265" i="1"/>
  <c r="AI265" i="1" s="1"/>
  <c r="AG155" i="1"/>
  <c r="AI155" i="1" s="1"/>
  <c r="AG9" i="1"/>
  <c r="AI9" i="1" s="1"/>
  <c r="AG121" i="1"/>
  <c r="AI121" i="1" s="1"/>
  <c r="AG227" i="1"/>
  <c r="AI227" i="1" s="1"/>
  <c r="AG251" i="1"/>
  <c r="AI251" i="1" s="1"/>
  <c r="AG258" i="1"/>
  <c r="AI258" i="1" s="1"/>
  <c r="AG157" i="1"/>
  <c r="AG37" i="1"/>
  <c r="AI37" i="1" s="1"/>
  <c r="D27" i="2"/>
  <c r="AE58" i="1" s="1"/>
  <c r="AG76" i="1"/>
  <c r="AI76" i="1" s="1"/>
  <c r="AG64" i="1"/>
  <c r="AI64" i="1" s="1"/>
  <c r="AK57" i="1"/>
  <c r="AK59" i="1"/>
  <c r="AG140" i="1"/>
  <c r="AI140" i="1" s="1"/>
  <c r="AG207" i="1"/>
  <c r="AI207" i="1" s="1"/>
  <c r="AG277" i="1"/>
  <c r="AI277" i="1" s="1"/>
  <c r="AG24" i="1"/>
  <c r="AI24" i="1" s="1"/>
  <c r="AG204" i="1"/>
  <c r="AG252" i="1"/>
  <c r="AI252" i="1" s="1"/>
  <c r="AG274" i="1"/>
  <c r="AI274" i="1" s="1"/>
  <c r="AG79" i="1"/>
  <c r="AI79" i="1" s="1"/>
  <c r="AG170" i="1"/>
  <c r="AI170" i="1" s="1"/>
  <c r="AG48" i="1"/>
  <c r="AG36" i="1"/>
  <c r="AI36" i="1" s="1"/>
  <c r="AG241" i="1"/>
  <c r="AI241" i="1" s="1"/>
  <c r="AL225" i="1"/>
  <c r="F110" i="2" s="1"/>
  <c r="G110" i="2" s="1"/>
  <c r="H110" i="2" s="1"/>
  <c r="AM225" i="1" s="1"/>
  <c r="AL147" i="1"/>
  <c r="AL217" i="1"/>
  <c r="F108" i="2" s="1"/>
  <c r="G108" i="2" s="1"/>
  <c r="H108" i="2" s="1"/>
  <c r="AL228" i="1"/>
  <c r="F113" i="2" s="1"/>
  <c r="G113" i="2" s="1"/>
  <c r="H113" i="2" s="1"/>
  <c r="AL238" i="1"/>
  <c r="AG224" i="1"/>
  <c r="AI224" i="1" s="1"/>
  <c r="AL163" i="1"/>
  <c r="AL10" i="1"/>
  <c r="AL66" i="1"/>
  <c r="AL144" i="1"/>
  <c r="F70" i="2" s="1"/>
  <c r="G70" i="2" s="1"/>
  <c r="H70" i="2" s="1"/>
  <c r="AL118" i="1"/>
  <c r="F58" i="2" s="1"/>
  <c r="G58" i="2" s="1"/>
  <c r="H58" i="2" s="1"/>
  <c r="AL19" i="1"/>
  <c r="AL89" i="1"/>
  <c r="AL196" i="1"/>
  <c r="AL127" i="1"/>
  <c r="AL83" i="1"/>
  <c r="AL6" i="1"/>
  <c r="F7" i="2" s="1"/>
  <c r="AL205" i="1"/>
  <c r="AG255" i="1"/>
  <c r="AI255" i="1" s="1"/>
  <c r="AL193" i="1"/>
  <c r="AG269" i="1"/>
  <c r="AI269" i="1" s="1"/>
  <c r="AL124" i="1"/>
  <c r="AL141" i="1"/>
  <c r="AL212" i="1"/>
  <c r="AG122" i="1"/>
  <c r="AI122" i="1" s="1"/>
  <c r="AL115" i="1"/>
  <c r="AG220" i="1"/>
  <c r="AG213" i="1"/>
  <c r="AI213" i="1" s="1"/>
  <c r="AG72" i="1"/>
  <c r="AI72" i="1" s="1"/>
  <c r="AL185" i="1"/>
  <c r="AG152" i="1"/>
  <c r="AI152" i="1" s="1"/>
  <c r="AG146" i="1"/>
  <c r="AI146" i="1" s="1"/>
  <c r="AG182" i="1"/>
  <c r="AI182" i="1" s="1"/>
  <c r="AG160" i="1"/>
  <c r="AI160" i="1" s="1"/>
  <c r="AL101" i="1"/>
  <c r="AG115" i="1"/>
  <c r="AG13" i="1"/>
  <c r="AL181" i="1"/>
  <c r="AG226" i="1"/>
  <c r="AI226" i="1" s="1"/>
  <c r="AE93" i="1"/>
  <c r="AG266" i="1"/>
  <c r="AI266" i="1" s="1"/>
  <c r="AE110" i="1"/>
  <c r="AG110" i="1" s="1"/>
  <c r="AI110" i="1" s="1"/>
  <c r="AE102" i="1"/>
  <c r="AG240" i="1"/>
  <c r="AI240" i="1" s="1"/>
  <c r="AG128" i="1"/>
  <c r="AI128" i="1" s="1"/>
  <c r="AG165" i="1"/>
  <c r="AI165" i="1" s="1"/>
  <c r="AE99" i="1"/>
  <c r="AG99" i="1" s="1"/>
  <c r="AI99" i="1" s="1"/>
  <c r="AG257" i="1"/>
  <c r="AI257" i="1" s="1"/>
  <c r="AG169" i="1"/>
  <c r="AI169" i="1" s="1"/>
  <c r="AL110" i="1"/>
  <c r="AG80" i="1"/>
  <c r="AI80" i="1" s="1"/>
  <c r="AG16" i="1"/>
  <c r="AI16" i="1" s="1"/>
  <c r="AL92" i="1"/>
  <c r="AG113" i="1"/>
  <c r="AI113" i="1" s="1"/>
  <c r="AG136" i="1"/>
  <c r="AI136" i="1" s="1"/>
  <c r="AG205" i="1"/>
  <c r="AI205" i="1" s="1"/>
  <c r="AE41" i="1"/>
  <c r="AG41" i="1" s="1"/>
  <c r="AI41" i="1" s="1"/>
  <c r="AG18" i="1"/>
  <c r="AI18" i="1" s="1"/>
  <c r="AL176" i="1"/>
  <c r="AG133" i="1"/>
  <c r="AI133" i="1" s="1"/>
  <c r="AL97" i="1"/>
  <c r="F46" i="2" s="1"/>
  <c r="G46" i="2" s="1"/>
  <c r="H46" i="2" s="1"/>
  <c r="AG130" i="1"/>
  <c r="AI130" i="1" s="1"/>
  <c r="AE168" i="1"/>
  <c r="AG168" i="1" s="1"/>
  <c r="AI168" i="1" s="1"/>
  <c r="AG188" i="1"/>
  <c r="AI188" i="1" s="1"/>
  <c r="AG120" i="1"/>
  <c r="AI120" i="1" s="1"/>
  <c r="AG12" i="1"/>
  <c r="AI12" i="1" s="1"/>
  <c r="AE98" i="1"/>
  <c r="AE92" i="1"/>
  <c r="AG92" i="1" s="1"/>
  <c r="AI92" i="1" s="1"/>
  <c r="AE212" i="1"/>
  <c r="AG259" i="1"/>
  <c r="AI259" i="1" s="1"/>
  <c r="AE112" i="1"/>
  <c r="AG112" i="1" s="1"/>
  <c r="AI112" i="1" s="1"/>
  <c r="AG187" i="1"/>
  <c r="AI187" i="1" s="1"/>
  <c r="AG248" i="1"/>
  <c r="AI248" i="1" s="1"/>
  <c r="AG217" i="1"/>
  <c r="AI217" i="1" s="1"/>
  <c r="AG242" i="1"/>
  <c r="AI242" i="1" s="1"/>
  <c r="AG247" i="1"/>
  <c r="AI247" i="1" s="1"/>
  <c r="AG219" i="1"/>
  <c r="AI219" i="1" s="1"/>
  <c r="AL15" i="1"/>
  <c r="AG139" i="1"/>
  <c r="AI139" i="1" s="1"/>
  <c r="AG270" i="1"/>
  <c r="AI270" i="1" s="1"/>
  <c r="AG21" i="1"/>
  <c r="AI21" i="1" s="1"/>
  <c r="AG246" i="1"/>
  <c r="AI246" i="1" s="1"/>
  <c r="AG179" i="1"/>
  <c r="AI179" i="1" s="1"/>
  <c r="AG278" i="1"/>
  <c r="AI278" i="1" s="1"/>
  <c r="AE167" i="1"/>
  <c r="AG167" i="1" s="1"/>
  <c r="AI167" i="1" s="1"/>
  <c r="AG135" i="1"/>
  <c r="AI135" i="1" s="1"/>
  <c r="AG272" i="1"/>
  <c r="AI272" i="1" s="1"/>
  <c r="AG116" i="1"/>
  <c r="AI116" i="1" s="1"/>
  <c r="AG175" i="1"/>
  <c r="AG184" i="1"/>
  <c r="AL26" i="1"/>
  <c r="F14" i="2" s="1"/>
  <c r="G14" i="2" s="1"/>
  <c r="H14" i="2" s="1"/>
  <c r="AM26" i="1" s="1"/>
  <c r="AE107" i="1"/>
  <c r="AG147" i="1"/>
  <c r="AI147" i="1" s="1"/>
  <c r="AG126" i="1"/>
  <c r="AI126" i="1" s="1"/>
  <c r="AG132" i="1"/>
  <c r="AG262" i="1"/>
  <c r="AI262" i="1" s="1"/>
  <c r="AG195" i="1"/>
  <c r="AI195" i="1" s="1"/>
  <c r="AG10" i="1"/>
  <c r="AI10" i="1" s="1"/>
  <c r="AG264" i="1"/>
  <c r="AI264" i="1" s="1"/>
  <c r="AG137" i="1"/>
  <c r="AI137" i="1" s="1"/>
  <c r="AL189" i="1"/>
  <c r="AG138" i="1"/>
  <c r="AI138" i="1" s="1"/>
  <c r="AG134" i="1"/>
  <c r="AI134" i="1" s="1"/>
  <c r="AG271" i="1"/>
  <c r="AI271" i="1" s="1"/>
  <c r="AG118" i="1"/>
  <c r="AI118" i="1" s="1"/>
  <c r="AG111" i="1"/>
  <c r="AI111" i="1" s="1"/>
  <c r="AE225" i="1"/>
  <c r="AE101" i="1"/>
  <c r="AG101" i="1" s="1"/>
  <c r="AI101" i="1" s="1"/>
  <c r="AG151" i="1"/>
  <c r="AI151" i="1" s="1"/>
  <c r="AG30" i="1"/>
  <c r="AI30" i="1" s="1"/>
  <c r="AG47" i="1"/>
  <c r="AI47" i="1" s="1"/>
  <c r="AL201" i="1"/>
  <c r="AG32" i="1"/>
  <c r="AI32" i="1" s="1"/>
  <c r="AG206" i="1"/>
  <c r="AI206" i="1" s="1"/>
  <c r="AL158" i="1"/>
  <c r="AG235" i="1"/>
  <c r="AI235" i="1" s="1"/>
  <c r="AG196" i="1"/>
  <c r="AL150" i="1"/>
  <c r="F71" i="2" s="1"/>
  <c r="G71" i="2" s="1"/>
  <c r="H71" i="2" s="1"/>
  <c r="AG11" i="1"/>
  <c r="AI11" i="1" s="1"/>
  <c r="AG273" i="1"/>
  <c r="AI273" i="1" s="1"/>
  <c r="AG201" i="1"/>
  <c r="AI201" i="1" s="1"/>
  <c r="AG144" i="1"/>
  <c r="AI144" i="1" s="1"/>
  <c r="AG97" i="1"/>
  <c r="AI97" i="1" s="1"/>
  <c r="AG156" i="1"/>
  <c r="AI156" i="1" s="1"/>
  <c r="AG141" i="1"/>
  <c r="AG63" i="1"/>
  <c r="AI63" i="1" s="1"/>
  <c r="AG19" i="1"/>
  <c r="AI19" i="1" s="1"/>
  <c r="AL234" i="1"/>
  <c r="F115" i="2" s="1"/>
  <c r="G115" i="2" s="1"/>
  <c r="H115" i="2" s="1"/>
  <c r="AM234" i="1" s="1"/>
  <c r="AG173" i="1"/>
  <c r="AI173" i="1" s="1"/>
  <c r="AL41" i="1"/>
  <c r="F20" i="2" s="1"/>
  <c r="G20" i="2" s="1"/>
  <c r="H20" i="2" s="1"/>
  <c r="AM41" i="1" s="1"/>
  <c r="AG81" i="1"/>
  <c r="AG67" i="1"/>
  <c r="AI67" i="1" s="1"/>
  <c r="AG198" i="1"/>
  <c r="AI198" i="1" s="1"/>
  <c r="AG119" i="1"/>
  <c r="AI119" i="1" s="1"/>
  <c r="AE108" i="1"/>
  <c r="AG108" i="1" s="1"/>
  <c r="AI108" i="1" s="1"/>
  <c r="AG61" i="1"/>
  <c r="AI61" i="1" s="1"/>
  <c r="AG202" i="1"/>
  <c r="AI202" i="1" s="1"/>
  <c r="AG8" i="1"/>
  <c r="AI8" i="1" s="1"/>
  <c r="AG244" i="1"/>
  <c r="AI244" i="1" s="1"/>
  <c r="AG20" i="1"/>
  <c r="AI20" i="1" s="1"/>
  <c r="AE158" i="1"/>
  <c r="AG158" i="1" s="1"/>
  <c r="AI158" i="1" s="1"/>
  <c r="AG163" i="1"/>
  <c r="AI163" i="1" s="1"/>
  <c r="AG197" i="1"/>
  <c r="AI197" i="1" s="1"/>
  <c r="AG62" i="1"/>
  <c r="AI62" i="1" s="1"/>
  <c r="AG164" i="1"/>
  <c r="AI164" i="1" s="1"/>
  <c r="AG85" i="1"/>
  <c r="AI85" i="1" s="1"/>
  <c r="AG145" i="1"/>
  <c r="AI145" i="1" s="1"/>
  <c r="AL30" i="1"/>
  <c r="AL166" i="1"/>
  <c r="F82" i="2" s="1"/>
  <c r="G82" i="2" s="1"/>
  <c r="H82" i="2" s="1"/>
  <c r="AG124" i="1"/>
  <c r="AG203" i="1"/>
  <c r="AI203" i="1" s="1"/>
  <c r="AL247" i="1"/>
  <c r="AL246" i="1"/>
  <c r="AG186" i="1"/>
  <c r="AI186" i="1" s="1"/>
  <c r="AL61" i="1"/>
  <c r="AL69" i="1"/>
  <c r="F34" i="2" s="1"/>
  <c r="G34" i="2" s="1"/>
  <c r="H34" i="2" s="1"/>
  <c r="AG17" i="1"/>
  <c r="AI17" i="1" s="1"/>
  <c r="AE89" i="1"/>
  <c r="AG166" i="1"/>
  <c r="AG243" i="1"/>
  <c r="AI243" i="1" s="1"/>
  <c r="AE183" i="1"/>
  <c r="AG26" i="1"/>
  <c r="AI26" i="1" s="1"/>
  <c r="AG174" i="1"/>
  <c r="AI174" i="1" s="1"/>
  <c r="AL209" i="1"/>
  <c r="AG69" i="1"/>
  <c r="AI69" i="1" s="1"/>
  <c r="AG236" i="1"/>
  <c r="AE181" i="1"/>
  <c r="AG181" i="1" s="1"/>
  <c r="AI181" i="1" s="1"/>
  <c r="AE159" i="1"/>
  <c r="AG159" i="1" s="1"/>
  <c r="AI159" i="1" s="1"/>
  <c r="AG28" i="1"/>
  <c r="AI28" i="1" s="1"/>
  <c r="AL45" i="1"/>
  <c r="F22" i="2" s="1"/>
  <c r="G22" i="2" s="1"/>
  <c r="H22" i="2" s="1"/>
  <c r="AM45" i="1" s="1"/>
  <c r="AG211" i="1"/>
  <c r="AI211" i="1" s="1"/>
  <c r="AG142" i="1"/>
  <c r="AI142" i="1" s="1"/>
  <c r="AG127" i="1"/>
  <c r="AI127" i="1" s="1"/>
  <c r="AG178" i="1"/>
  <c r="AI178" i="1" s="1"/>
  <c r="AG27" i="1"/>
  <c r="AI27" i="1" s="1"/>
  <c r="AL106" i="1"/>
  <c r="AG185" i="1"/>
  <c r="AI185" i="1" s="1"/>
  <c r="AG239" i="1"/>
  <c r="AI239" i="1" s="1"/>
  <c r="AE43" i="1"/>
  <c r="AG6" i="1"/>
  <c r="AG148" i="1"/>
  <c r="AG191" i="1"/>
  <c r="AI191" i="1" s="1"/>
  <c r="AG129" i="1"/>
  <c r="AI129" i="1" s="1"/>
  <c r="AL156" i="1"/>
  <c r="AG7" i="1"/>
  <c r="AI7" i="1" s="1"/>
  <c r="AG70" i="1"/>
  <c r="AI70" i="1" s="1"/>
  <c r="AL242" i="1"/>
  <c r="AG228" i="1"/>
  <c r="AG31" i="1"/>
  <c r="AG15" i="1"/>
  <c r="AI15" i="1" s="1"/>
  <c r="AI6" i="1" l="1"/>
  <c r="AH6" i="1"/>
  <c r="AH276" i="1"/>
  <c r="AJ276" i="1" s="1"/>
  <c r="AH64" i="1"/>
  <c r="AH262" i="1"/>
  <c r="AJ262" i="1" s="1"/>
  <c r="AH267" i="1"/>
  <c r="AH260" i="1"/>
  <c r="AJ260" i="1" s="1"/>
  <c r="AH203" i="1"/>
  <c r="AH97" i="1"/>
  <c r="AH144" i="1"/>
  <c r="AH12" i="1"/>
  <c r="AH120" i="1"/>
  <c r="AH34" i="1"/>
  <c r="AJ34" i="1" s="1"/>
  <c r="AH147" i="1"/>
  <c r="AH273" i="1"/>
  <c r="AH281" i="1"/>
  <c r="AH85" i="1"/>
  <c r="AH282" i="1"/>
  <c r="AH9" i="1"/>
  <c r="AJ9" i="1" s="1"/>
  <c r="AH283" i="1"/>
  <c r="AJ283" i="1" s="1"/>
  <c r="AH265" i="1"/>
  <c r="AJ265" i="1" s="1"/>
  <c r="AH272" i="1"/>
  <c r="AH261" i="1"/>
  <c r="AH164" i="1"/>
  <c r="AH235" i="1"/>
  <c r="AH211" i="1"/>
  <c r="AH127" i="1"/>
  <c r="AH47" i="1"/>
  <c r="AH72" i="1"/>
  <c r="AH179" i="1"/>
  <c r="AH244" i="1"/>
  <c r="AH263" i="1"/>
  <c r="AJ263" i="1" s="1"/>
  <c r="AH30" i="1"/>
  <c r="AH69" i="1"/>
  <c r="AH151" i="1"/>
  <c r="AH21" i="1"/>
  <c r="AH216" i="1"/>
  <c r="AH80" i="1"/>
  <c r="AJ80" i="1" s="1"/>
  <c r="AH111" i="1"/>
  <c r="AH270" i="1"/>
  <c r="AH275" i="1"/>
  <c r="AJ275" i="1" s="1"/>
  <c r="AH278" i="1"/>
  <c r="AH26" i="1"/>
  <c r="AH118" i="1"/>
  <c r="AH219" i="1"/>
  <c r="AH269" i="1"/>
  <c r="AJ269" i="1" s="1"/>
  <c r="AH271" i="1"/>
  <c r="AH257" i="1"/>
  <c r="AJ257" i="1" s="1"/>
  <c r="AH268" i="1"/>
  <c r="AJ268" i="1" s="1"/>
  <c r="AH114" i="1"/>
  <c r="AJ114" i="1" s="1"/>
  <c r="AH17" i="1"/>
  <c r="AH173" i="1"/>
  <c r="AH264" i="1"/>
  <c r="AH191" i="1"/>
  <c r="AH284" i="1"/>
  <c r="AJ284" i="1" s="1"/>
  <c r="AG102" i="1"/>
  <c r="AI102" i="1" s="1"/>
  <c r="AG90" i="1"/>
  <c r="AG222" i="1"/>
  <c r="AI222" i="1" s="1"/>
  <c r="AG225" i="1"/>
  <c r="AI225" i="1" s="1"/>
  <c r="AG183" i="1"/>
  <c r="AI183" i="1" s="1"/>
  <c r="AG89" i="1"/>
  <c r="AI89" i="1" s="1"/>
  <c r="AG93" i="1"/>
  <c r="AI93" i="1" s="1"/>
  <c r="AG43" i="1"/>
  <c r="AI43" i="1" s="1"/>
  <c r="AG98" i="1"/>
  <c r="AG107" i="1"/>
  <c r="AG55" i="1"/>
  <c r="AI55" i="1" s="1"/>
  <c r="AG106" i="1"/>
  <c r="AI106" i="1" s="1"/>
  <c r="AG212" i="1"/>
  <c r="AG54" i="1"/>
  <c r="AI54" i="1" s="1"/>
  <c r="AG53" i="1"/>
  <c r="AI53" i="1" s="1"/>
  <c r="AH172" i="1"/>
  <c r="AH104" i="1"/>
  <c r="AH8" i="1"/>
  <c r="AH205" i="1"/>
  <c r="AH241" i="1"/>
  <c r="AH96" i="1"/>
  <c r="AH189" i="1"/>
  <c r="AH210" i="1"/>
  <c r="AH161" i="1"/>
  <c r="AH15" i="1"/>
  <c r="AH174" i="1"/>
  <c r="AH122" i="1"/>
  <c r="AH112" i="1"/>
  <c r="AH156" i="1"/>
  <c r="AH10" i="1"/>
  <c r="AH259" i="1"/>
  <c r="AH110" i="1"/>
  <c r="AH237" i="1"/>
  <c r="AH214" i="1"/>
  <c r="AH208" i="1"/>
  <c r="AH66" i="1"/>
  <c r="AH239" i="1"/>
  <c r="AH195" i="1"/>
  <c r="AH266" i="1"/>
  <c r="AH76" i="1"/>
  <c r="AH91" i="1"/>
  <c r="AH38" i="1"/>
  <c r="AH33" i="1"/>
  <c r="AH82" i="1"/>
  <c r="AH185" i="1"/>
  <c r="AH92" i="1"/>
  <c r="AH194" i="1"/>
  <c r="AH83" i="1"/>
  <c r="AH253" i="1"/>
  <c r="AH35" i="1"/>
  <c r="AH248" i="1"/>
  <c r="AH37" i="1"/>
  <c r="AH193" i="1"/>
  <c r="AH190" i="1"/>
  <c r="AH155" i="1"/>
  <c r="AH20" i="1"/>
  <c r="AH135" i="1"/>
  <c r="AH61" i="1"/>
  <c r="AH246" i="1"/>
  <c r="AH113" i="1"/>
  <c r="AH171" i="1"/>
  <c r="AH70" i="1"/>
  <c r="AH201" i="1"/>
  <c r="AH226" i="1"/>
  <c r="AH27" i="1"/>
  <c r="AH126" i="1"/>
  <c r="AH233" i="1"/>
  <c r="AH178" i="1"/>
  <c r="AH145" i="1"/>
  <c r="AH280" i="1"/>
  <c r="AH50" i="1"/>
  <c r="AH232" i="1"/>
  <c r="AH11" i="1"/>
  <c r="AH188" i="1"/>
  <c r="AH75" i="1"/>
  <c r="AH197" i="1"/>
  <c r="AH182" i="1"/>
  <c r="AH258" i="1"/>
  <c r="AH142" i="1"/>
  <c r="AH168" i="1"/>
  <c r="AH251" i="1"/>
  <c r="AH180" i="1"/>
  <c r="AH46" i="1"/>
  <c r="AH23" i="1"/>
  <c r="AH224" i="1"/>
  <c r="AH218" i="1"/>
  <c r="AH68" i="1"/>
  <c r="AH234" i="1"/>
  <c r="AH62" i="1"/>
  <c r="AH130" i="1"/>
  <c r="AH160" i="1"/>
  <c r="AH227" i="1"/>
  <c r="AH105" i="1"/>
  <c r="AH125" i="1"/>
  <c r="AH40" i="1"/>
  <c r="AH123" i="1"/>
  <c r="AH181" i="1"/>
  <c r="AH32" i="1"/>
  <c r="AH167" i="1"/>
  <c r="AH41" i="1"/>
  <c r="AH231" i="1"/>
  <c r="AH229" i="1"/>
  <c r="AH87" i="1"/>
  <c r="AH153" i="1"/>
  <c r="AH256" i="1"/>
  <c r="AH158" i="1"/>
  <c r="AH202" i="1"/>
  <c r="AH177" i="1"/>
  <c r="AH213" i="1"/>
  <c r="AH176" i="1"/>
  <c r="AH103" i="1"/>
  <c r="AH133" i="1"/>
  <c r="AH86" i="1"/>
  <c r="AH136" i="1"/>
  <c r="AH14" i="1"/>
  <c r="AH154" i="1"/>
  <c r="AH28" i="1"/>
  <c r="AH163" i="1"/>
  <c r="AH116" i="1"/>
  <c r="AH146" i="1"/>
  <c r="AH152" i="1"/>
  <c r="AH206" i="1"/>
  <c r="AH18" i="1"/>
  <c r="AH121" i="1"/>
  <c r="AH109" i="1"/>
  <c r="AH88" i="1"/>
  <c r="AH108" i="1"/>
  <c r="AH101" i="1"/>
  <c r="AH230" i="1"/>
  <c r="AH198" i="1"/>
  <c r="AH139" i="1"/>
  <c r="AH274" i="1"/>
  <c r="AH131" i="1"/>
  <c r="AH162" i="1"/>
  <c r="AH29" i="1"/>
  <c r="AH243" i="1"/>
  <c r="AH67" i="1"/>
  <c r="AH252" i="1"/>
  <c r="AH95" i="1"/>
  <c r="AH192" i="1"/>
  <c r="AH250" i="1"/>
  <c r="AH238" i="1"/>
  <c r="AH119" i="1"/>
  <c r="AH16" i="1"/>
  <c r="AH79" i="1"/>
  <c r="AH169" i="1"/>
  <c r="AH74" i="1"/>
  <c r="AH94" i="1"/>
  <c r="AH7" i="1"/>
  <c r="AH247" i="1"/>
  <c r="AH24" i="1"/>
  <c r="AH143" i="1"/>
  <c r="AH209" i="1"/>
  <c r="AH134" i="1"/>
  <c r="AH242" i="1"/>
  <c r="AH99" i="1"/>
  <c r="AH255" i="1"/>
  <c r="AH277" i="1"/>
  <c r="AH45" i="1"/>
  <c r="AH279" i="1"/>
  <c r="AH44" i="1"/>
  <c r="AH42" i="1"/>
  <c r="AH129" i="1"/>
  <c r="AH138" i="1"/>
  <c r="AH217" i="1"/>
  <c r="AH165" i="1"/>
  <c r="AH207" i="1"/>
  <c r="AH117" i="1"/>
  <c r="AH84" i="1"/>
  <c r="AH60" i="1"/>
  <c r="AH149" i="1"/>
  <c r="AH100" i="1"/>
  <c r="AH159" i="1"/>
  <c r="AH36" i="1"/>
  <c r="AH71" i="1"/>
  <c r="AH170" i="1"/>
  <c r="AH25" i="1"/>
  <c r="AH200" i="1"/>
  <c r="AH19" i="1"/>
  <c r="AH140" i="1"/>
  <c r="AH249" i="1"/>
  <c r="AH128" i="1"/>
  <c r="AH186" i="1"/>
  <c r="AH63" i="1"/>
  <c r="AH137" i="1"/>
  <c r="AH187" i="1"/>
  <c r="AH240" i="1"/>
  <c r="AH223" i="1"/>
  <c r="AH199" i="1"/>
  <c r="AH221" i="1"/>
  <c r="AH150" i="1"/>
  <c r="AG215" i="1"/>
  <c r="AI215" i="1" s="1"/>
  <c r="F96" i="2"/>
  <c r="G96" i="2" s="1"/>
  <c r="H96" i="2" s="1"/>
  <c r="AL77" i="1"/>
  <c r="F39" i="2" s="1"/>
  <c r="G39" i="2" s="1"/>
  <c r="H39" i="2" s="1"/>
  <c r="AM83" i="1" s="1"/>
  <c r="F81" i="2"/>
  <c r="G81" i="2" s="1"/>
  <c r="H81" i="2" s="1"/>
  <c r="F87" i="2"/>
  <c r="G87" i="2" s="1"/>
  <c r="H87" i="2" s="1"/>
  <c r="AM181" i="1" s="1"/>
  <c r="F69" i="2"/>
  <c r="G69" i="2" s="1"/>
  <c r="H69" i="2" s="1"/>
  <c r="F119" i="2"/>
  <c r="G119" i="2" s="1"/>
  <c r="H119" i="2" s="1"/>
  <c r="AM242" i="1" s="1"/>
  <c r="F105" i="2"/>
  <c r="G105" i="2" s="1"/>
  <c r="H105" i="2" s="1"/>
  <c r="AG77" i="1"/>
  <c r="AI77" i="1" s="1"/>
  <c r="F21" i="2"/>
  <c r="G21" i="2" s="1"/>
  <c r="H21" i="2" s="1"/>
  <c r="AM35" i="1" s="1"/>
  <c r="AM32" i="1"/>
  <c r="AG51" i="1"/>
  <c r="AI51" i="1" s="1"/>
  <c r="AG49" i="1"/>
  <c r="AI49" i="1" s="1"/>
  <c r="AG52" i="1"/>
  <c r="AI52" i="1" s="1"/>
  <c r="AG78" i="1"/>
  <c r="AI78" i="1" s="1"/>
  <c r="AJ267" i="1"/>
  <c r="F50" i="2"/>
  <c r="G50" i="2" s="1"/>
  <c r="H50" i="2" s="1"/>
  <c r="F44" i="2"/>
  <c r="G44" i="2" s="1"/>
  <c r="H44" i="2" s="1"/>
  <c r="F103" i="2"/>
  <c r="G103" i="2" s="1"/>
  <c r="H103" i="2" s="1"/>
  <c r="AM212" i="1" s="1"/>
  <c r="AM27" i="1"/>
  <c r="F31" i="2"/>
  <c r="G31" i="2" s="1"/>
  <c r="H31" i="2" s="1"/>
  <c r="F80" i="2"/>
  <c r="G80" i="2" s="1"/>
  <c r="H80" i="2" s="1"/>
  <c r="AM166" i="1" s="1"/>
  <c r="F94" i="2"/>
  <c r="G94" i="2" s="1"/>
  <c r="H94" i="2" s="1"/>
  <c r="AM196" i="1" s="1"/>
  <c r="F88" i="2"/>
  <c r="G88" i="2" s="1"/>
  <c r="H88" i="2" s="1"/>
  <c r="F118" i="2"/>
  <c r="G118" i="2" s="1"/>
  <c r="H118" i="2" s="1"/>
  <c r="F16" i="2"/>
  <c r="G16" i="2" s="1"/>
  <c r="H16" i="2" s="1"/>
  <c r="AM30" i="1" s="1"/>
  <c r="AM23" i="1"/>
  <c r="F13" i="2"/>
  <c r="G13" i="2" s="1"/>
  <c r="H13" i="2" s="1"/>
  <c r="F63" i="2"/>
  <c r="G63" i="2" s="1"/>
  <c r="H63" i="2" s="1"/>
  <c r="F64" i="2"/>
  <c r="G64" i="2" s="1"/>
  <c r="H64" i="2" s="1"/>
  <c r="F95" i="2"/>
  <c r="G95" i="2" s="1"/>
  <c r="H95" i="2" s="1"/>
  <c r="F106" i="2"/>
  <c r="G106" i="2" s="1"/>
  <c r="H106" i="2" s="1"/>
  <c r="F107" i="2"/>
  <c r="G107" i="2" s="1"/>
  <c r="H107" i="2" s="1"/>
  <c r="F5" i="2"/>
  <c r="G5" i="2" s="1"/>
  <c r="H5" i="2" s="1"/>
  <c r="F6" i="2"/>
  <c r="G6" i="2" s="1"/>
  <c r="H6" i="2" s="1"/>
  <c r="F93" i="2"/>
  <c r="G93" i="2" s="1"/>
  <c r="H93" i="2" s="1"/>
  <c r="F83" i="2"/>
  <c r="G83" i="2" s="1"/>
  <c r="H83" i="2" s="1"/>
  <c r="AM167" i="1" s="1"/>
  <c r="F84" i="2"/>
  <c r="G84" i="2" s="1"/>
  <c r="H84" i="2" s="1"/>
  <c r="F104" i="2"/>
  <c r="G104" i="2" s="1"/>
  <c r="H104" i="2" s="1"/>
  <c r="F23" i="2"/>
  <c r="G23" i="2" s="1"/>
  <c r="H23" i="2" s="1"/>
  <c r="AM40" i="1" s="1"/>
  <c r="F24" i="2"/>
  <c r="G24" i="2" s="1"/>
  <c r="H24" i="2" s="1"/>
  <c r="F76" i="2"/>
  <c r="G76" i="2" s="1"/>
  <c r="H76" i="2" s="1"/>
  <c r="F77" i="2"/>
  <c r="G77" i="2" s="1"/>
  <c r="H77" i="2" s="1"/>
  <c r="F122" i="2"/>
  <c r="G122" i="2" s="1"/>
  <c r="H122" i="2" s="1"/>
  <c r="F123" i="2"/>
  <c r="G123" i="2" s="1"/>
  <c r="H123" i="2" s="1"/>
  <c r="F40" i="2"/>
  <c r="G40" i="2" s="1"/>
  <c r="H40" i="2" s="1"/>
  <c r="F41" i="2"/>
  <c r="G41" i="2" s="1"/>
  <c r="H41" i="2" s="1"/>
  <c r="AM221" i="1"/>
  <c r="F101" i="2"/>
  <c r="G101" i="2" s="1"/>
  <c r="H101" i="2" s="1"/>
  <c r="F102" i="2"/>
  <c r="G102" i="2" s="1"/>
  <c r="H102" i="2" s="1"/>
  <c r="F97" i="2"/>
  <c r="G97" i="2" s="1"/>
  <c r="H97" i="2" s="1"/>
  <c r="F98" i="2"/>
  <c r="G98" i="2" s="1"/>
  <c r="H98" i="2" s="1"/>
  <c r="F30" i="2"/>
  <c r="G30" i="2" s="1"/>
  <c r="H30" i="2" s="1"/>
  <c r="G7" i="2"/>
  <c r="H7" i="2" s="1"/>
  <c r="F8" i="2"/>
  <c r="G8" i="2" s="1"/>
  <c r="H8" i="2" s="1"/>
  <c r="F99" i="2"/>
  <c r="G99" i="2" s="1"/>
  <c r="H99" i="2" s="1"/>
  <c r="F100" i="2"/>
  <c r="G100" i="2" s="1"/>
  <c r="H100" i="2" s="1"/>
  <c r="F89" i="2"/>
  <c r="G89" i="2" s="1"/>
  <c r="H89" i="2" s="1"/>
  <c r="F91" i="2"/>
  <c r="G91" i="2" s="1"/>
  <c r="H91" i="2" s="1"/>
  <c r="F74" i="2"/>
  <c r="G74" i="2" s="1"/>
  <c r="H74" i="2" s="1"/>
  <c r="F75" i="2"/>
  <c r="G75" i="2" s="1"/>
  <c r="H75" i="2" s="1"/>
  <c r="AJ261" i="1"/>
  <c r="F117" i="2"/>
  <c r="G117" i="2" s="1"/>
  <c r="H117" i="2" s="1"/>
  <c r="AM238" i="1" s="1"/>
  <c r="F42" i="2"/>
  <c r="G42" i="2" s="1"/>
  <c r="H42" i="2" s="1"/>
  <c r="F9" i="2"/>
  <c r="G9" i="2" s="1"/>
  <c r="H9" i="2" s="1"/>
  <c r="F11" i="2"/>
  <c r="G11" i="2" s="1"/>
  <c r="H11" i="2" s="1"/>
  <c r="F90" i="2"/>
  <c r="G90" i="2" s="1"/>
  <c r="H90" i="2" s="1"/>
  <c r="AE57" i="1"/>
  <c r="AG57" i="1" s="1"/>
  <c r="AI57" i="1" s="1"/>
  <c r="AJ216" i="1"/>
  <c r="F48" i="2"/>
  <c r="G48" i="2" s="1"/>
  <c r="H48" i="2" s="1"/>
  <c r="AM106" i="1"/>
  <c r="F54" i="2"/>
  <c r="G54" i="2" s="1"/>
  <c r="H54" i="2" s="1"/>
  <c r="F55" i="2"/>
  <c r="G55" i="2" s="1"/>
  <c r="H55" i="2" s="1"/>
  <c r="F52" i="2"/>
  <c r="G52" i="2" s="1"/>
  <c r="H52" i="2" s="1"/>
  <c r="AM103" i="1" s="1"/>
  <c r="F65" i="2"/>
  <c r="G65" i="2" s="1"/>
  <c r="H65" i="2" s="1"/>
  <c r="AM141" i="1" s="1"/>
  <c r="F66" i="2"/>
  <c r="G66" i="2" s="1"/>
  <c r="H66" i="2" s="1"/>
  <c r="F59" i="2"/>
  <c r="G59" i="2" s="1"/>
  <c r="H59" i="2" s="1"/>
  <c r="AM124" i="1" s="1"/>
  <c r="F60" i="2"/>
  <c r="G60" i="2" s="1"/>
  <c r="H60" i="2" s="1"/>
  <c r="AM101" i="1"/>
  <c r="F92" i="2"/>
  <c r="G92" i="2" s="1"/>
  <c r="H92" i="2" s="1"/>
  <c r="AM193" i="1" s="1"/>
  <c r="AM150" i="1"/>
  <c r="AM149" i="1"/>
  <c r="F33" i="2"/>
  <c r="G33" i="2" s="1"/>
  <c r="H33" i="2" s="1"/>
  <c r="F32" i="2"/>
  <c r="G32" i="2" s="1"/>
  <c r="H32" i="2" s="1"/>
  <c r="AM172" i="1"/>
  <c r="AM15" i="1"/>
  <c r="AM89" i="1"/>
  <c r="F85" i="2"/>
  <c r="G85" i="2" s="1"/>
  <c r="H85" i="2" s="1"/>
  <c r="F86" i="2"/>
  <c r="G86" i="2" s="1"/>
  <c r="H86" i="2" s="1"/>
  <c r="AM19" i="1"/>
  <c r="F56" i="2"/>
  <c r="G56" i="2" s="1"/>
  <c r="H56" i="2" s="1"/>
  <c r="F57" i="2"/>
  <c r="G57" i="2" s="1"/>
  <c r="H57" i="2" s="1"/>
  <c r="F61" i="2"/>
  <c r="G61" i="2" s="1"/>
  <c r="H61" i="2" s="1"/>
  <c r="F62" i="2"/>
  <c r="G62" i="2" s="1"/>
  <c r="H62" i="2" s="1"/>
  <c r="F37" i="2"/>
  <c r="G37" i="2" s="1"/>
  <c r="H37" i="2" s="1"/>
  <c r="AM74" i="1" s="1"/>
  <c r="F38" i="2"/>
  <c r="G38" i="2" s="1"/>
  <c r="H38" i="2" s="1"/>
  <c r="F67" i="2"/>
  <c r="G67" i="2" s="1"/>
  <c r="H67" i="2" s="1"/>
  <c r="F68" i="2"/>
  <c r="G68" i="2" s="1"/>
  <c r="H68" i="2" s="1"/>
  <c r="AM97" i="1"/>
  <c r="F78" i="2"/>
  <c r="G78" i="2" s="1"/>
  <c r="H78" i="2" s="1"/>
  <c r="AG58" i="1"/>
  <c r="AI58" i="1" s="1"/>
  <c r="AJ64" i="1"/>
  <c r="F121" i="2"/>
  <c r="G121" i="2" s="1"/>
  <c r="H121" i="2" s="1"/>
  <c r="F120" i="2"/>
  <c r="G120" i="2" s="1"/>
  <c r="H120" i="2" s="1"/>
  <c r="F112" i="2"/>
  <c r="G112" i="2" s="1"/>
  <c r="H112" i="2" s="1"/>
  <c r="F111" i="2"/>
  <c r="G111" i="2" s="1"/>
  <c r="H111" i="2" s="1"/>
  <c r="AM147" i="1"/>
  <c r="AM145" i="1"/>
  <c r="AM92" i="1"/>
  <c r="AM91" i="1"/>
  <c r="AE59" i="1"/>
  <c r="AG59" i="1" s="1"/>
  <c r="AI59" i="1" s="1"/>
  <c r="AL57" i="1"/>
  <c r="F29" i="2" s="1"/>
  <c r="G29" i="2" s="1"/>
  <c r="H29" i="2" s="1"/>
  <c r="AJ72" i="1"/>
  <c r="AJ22" i="1"/>
  <c r="AM247" i="1"/>
  <c r="AH89" i="1" l="1"/>
  <c r="AH53" i="1"/>
  <c r="AJ53" i="1" s="1"/>
  <c r="AH54" i="1"/>
  <c r="AJ54" i="1" s="1"/>
  <c r="AJ98" i="1"/>
  <c r="AH55" i="1"/>
  <c r="AH183" i="1"/>
  <c r="AH93" i="1"/>
  <c r="AJ212" i="1"/>
  <c r="AH106" i="1"/>
  <c r="AH43" i="1"/>
  <c r="AH102" i="1"/>
  <c r="AH222" i="1"/>
  <c r="AH225" i="1"/>
  <c r="AJ231" i="1"/>
  <c r="AJ195" i="1"/>
  <c r="AJ259" i="1"/>
  <c r="AJ73" i="1"/>
  <c r="AJ123" i="1"/>
  <c r="AJ224" i="1"/>
  <c r="AJ76" i="1"/>
  <c r="AJ149" i="1"/>
  <c r="AJ88" i="1"/>
  <c r="AJ91" i="1"/>
  <c r="AJ169" i="1"/>
  <c r="AJ18" i="1"/>
  <c r="AJ48" i="1"/>
  <c r="AJ29" i="1"/>
  <c r="AJ274" i="1"/>
  <c r="AJ121" i="1"/>
  <c r="AJ280" i="1"/>
  <c r="AJ204" i="1"/>
  <c r="AJ38" i="1"/>
  <c r="AJ253" i="1"/>
  <c r="AJ75" i="1"/>
  <c r="AJ37" i="1"/>
  <c r="AJ153" i="1"/>
  <c r="AJ245" i="1"/>
  <c r="AJ240" i="1"/>
  <c r="AJ160" i="1"/>
  <c r="AJ258" i="1"/>
  <c r="AJ109" i="1"/>
  <c r="AJ60" i="1"/>
  <c r="AJ277" i="1"/>
  <c r="AJ266" i="1"/>
  <c r="AJ255" i="1"/>
  <c r="AJ208" i="1"/>
  <c r="AJ256" i="1"/>
  <c r="AJ86" i="1"/>
  <c r="AJ155" i="1"/>
  <c r="AJ192" i="1"/>
  <c r="AJ279" i="1"/>
  <c r="AJ100" i="1"/>
  <c r="AJ249" i="1"/>
  <c r="AJ188" i="1"/>
  <c r="AJ23" i="1"/>
  <c r="AJ131" i="1"/>
  <c r="AJ82" i="1"/>
  <c r="AJ200" i="1"/>
  <c r="AJ251" i="1"/>
  <c r="AJ13" i="1"/>
  <c r="AJ241" i="1"/>
  <c r="AJ157" i="1"/>
  <c r="AJ74" i="1"/>
  <c r="AJ33" i="1"/>
  <c r="AJ232" i="1"/>
  <c r="AH215" i="1"/>
  <c r="AJ96" i="1"/>
  <c r="AJ207" i="1"/>
  <c r="AJ180" i="1"/>
  <c r="AH59" i="1"/>
  <c r="AJ227" i="1"/>
  <c r="AH58" i="1"/>
  <c r="AJ250" i="1"/>
  <c r="AJ50" i="1"/>
  <c r="AH78" i="1"/>
  <c r="AH49" i="1"/>
  <c r="AJ214" i="1"/>
  <c r="AJ65" i="1"/>
  <c r="AJ14" i="1"/>
  <c r="AJ56" i="1"/>
  <c r="AJ233" i="1"/>
  <c r="AJ254" i="1"/>
  <c r="AJ35" i="1"/>
  <c r="AJ143" i="1"/>
  <c r="AJ199" i="1"/>
  <c r="AH77" i="1"/>
  <c r="AH52" i="1"/>
  <c r="AJ95" i="1"/>
  <c r="AJ105" i="1"/>
  <c r="AJ40" i="1"/>
  <c r="AJ140" i="1"/>
  <c r="AJ117" i="1"/>
  <c r="AH51" i="1"/>
  <c r="AJ161" i="1"/>
  <c r="AJ113" i="1"/>
  <c r="AJ220" i="1"/>
  <c r="AJ79" i="1"/>
  <c r="AJ171" i="1"/>
  <c r="AJ146" i="1"/>
  <c r="AJ25" i="1"/>
  <c r="AJ39" i="1"/>
  <c r="AJ252" i="1"/>
  <c r="AJ44" i="1"/>
  <c r="AJ170" i="1"/>
  <c r="AJ104" i="1"/>
  <c r="AJ221" i="1"/>
  <c r="AH57" i="1"/>
  <c r="AJ162" i="1"/>
  <c r="AJ282" i="1"/>
  <c r="AJ281" i="1"/>
  <c r="AM217" i="1"/>
  <c r="AM99" i="1"/>
  <c r="AM86" i="1"/>
  <c r="AM185" i="1"/>
  <c r="AM18" i="1"/>
  <c r="AM205" i="1"/>
  <c r="AM246" i="1"/>
  <c r="AM197" i="1"/>
  <c r="AM180" i="1"/>
  <c r="AM6" i="1"/>
  <c r="AM66" i="1"/>
  <c r="AM213" i="1"/>
  <c r="AM170" i="1"/>
  <c r="AM94" i="1"/>
  <c r="AM192" i="1"/>
  <c r="AM14" i="1"/>
  <c r="AM241" i="1"/>
  <c r="AM82" i="1"/>
  <c r="AM158" i="1"/>
  <c r="F27" i="2"/>
  <c r="G27" i="2" s="1"/>
  <c r="H27" i="2" s="1"/>
  <c r="F28" i="2"/>
  <c r="G28" i="2" s="1"/>
  <c r="H28" i="2" s="1"/>
  <c r="AM10" i="1"/>
  <c r="AM237" i="1"/>
  <c r="AM61" i="1"/>
  <c r="AM201" i="1"/>
  <c r="AM156" i="1"/>
  <c r="AM152" i="1"/>
  <c r="AM128" i="1"/>
  <c r="AM250" i="1"/>
  <c r="AM44" i="1"/>
  <c r="AM209" i="1"/>
  <c r="AM119" i="1"/>
  <c r="AJ87" i="1"/>
  <c r="AM176" i="1"/>
  <c r="AJ226" i="1"/>
  <c r="AM228" i="1"/>
  <c r="AM229" i="1"/>
  <c r="AM69" i="1"/>
  <c r="AM70" i="1"/>
  <c r="AM189" i="1"/>
  <c r="AM163" i="1"/>
  <c r="AM161" i="1"/>
  <c r="AM144" i="1"/>
  <c r="AM142" i="1"/>
  <c r="AM77" i="1"/>
  <c r="AM127" i="1"/>
  <c r="AM125" i="1"/>
  <c r="AM110" i="1"/>
  <c r="AM108" i="1"/>
  <c r="AM118" i="1"/>
  <c r="AM116" i="1"/>
  <c r="AM115" i="1"/>
  <c r="AM112" i="1"/>
  <c r="AJ63" i="1"/>
  <c r="AJ189" i="1"/>
  <c r="AJ223" i="1"/>
  <c r="AJ172" i="1"/>
  <c r="AJ45" i="1"/>
  <c r="AJ218" i="1"/>
  <c r="AJ67" i="1"/>
  <c r="AJ152" i="1"/>
  <c r="AJ125" i="1"/>
  <c r="AJ139" i="1"/>
  <c r="AJ147" i="1"/>
  <c r="AJ71" i="1"/>
  <c r="AJ205" i="1"/>
  <c r="AJ136" i="1"/>
  <c r="AJ32" i="1"/>
  <c r="AJ41" i="1"/>
  <c r="AJ118" i="1"/>
  <c r="AJ248" i="1"/>
  <c r="AJ61" i="1"/>
  <c r="AJ110" i="1"/>
  <c r="AJ134" i="1"/>
  <c r="AJ133" i="1"/>
  <c r="AJ135" i="1"/>
  <c r="AJ36" i="1"/>
  <c r="AJ190" i="1"/>
  <c r="AJ150" i="1"/>
  <c r="AJ209" i="1"/>
  <c r="AJ202" i="1"/>
  <c r="AJ193" i="1"/>
  <c r="AJ30" i="1"/>
  <c r="AJ128" i="1"/>
  <c r="AJ173" i="1"/>
  <c r="AJ10" i="1"/>
  <c r="AJ217" i="1"/>
  <c r="AJ156" i="1"/>
  <c r="AJ206" i="1"/>
  <c r="AJ244" i="1"/>
  <c r="AJ238" i="1"/>
  <c r="AJ66" i="1"/>
  <c r="AJ81" i="1"/>
  <c r="AJ177" i="1"/>
  <c r="AJ111" i="1"/>
  <c r="AJ196" i="1"/>
  <c r="AJ115" i="1"/>
  <c r="AJ120" i="1"/>
  <c r="AJ167" i="1"/>
  <c r="AJ187" i="1"/>
  <c r="AJ12" i="1"/>
  <c r="AJ201" i="1"/>
  <c r="AJ137" i="1"/>
  <c r="AJ8" i="1"/>
  <c r="AJ119" i="1"/>
  <c r="AJ230" i="1"/>
  <c r="AJ246" i="1"/>
  <c r="AJ235" i="1"/>
  <c r="AJ84" i="1"/>
  <c r="AJ138" i="1"/>
  <c r="AJ116" i="1"/>
  <c r="AJ19" i="1"/>
  <c r="AJ213" i="1"/>
  <c r="AJ47" i="1"/>
  <c r="AJ103" i="1"/>
  <c r="AJ11" i="1"/>
  <c r="AJ132" i="1"/>
  <c r="AJ247" i="1"/>
  <c r="AJ141" i="1"/>
  <c r="AJ176" i="1"/>
  <c r="AJ151" i="1"/>
  <c r="AJ182" i="1"/>
  <c r="AJ24" i="1"/>
  <c r="AJ144" i="1"/>
  <c r="AJ42" i="1"/>
  <c r="AJ210" i="1"/>
  <c r="AJ219" i="1"/>
  <c r="AJ154" i="1"/>
  <c r="AJ16" i="1"/>
  <c r="AJ97" i="1"/>
  <c r="AJ94" i="1"/>
  <c r="AJ229" i="1"/>
  <c r="AJ21" i="1"/>
  <c r="AJ242" i="1"/>
  <c r="AJ122" i="1"/>
  <c r="AJ126" i="1"/>
  <c r="AJ237" i="1"/>
  <c r="AJ264" i="1"/>
  <c r="AJ142" i="1"/>
  <c r="AJ243" i="1"/>
  <c r="AJ194" i="1"/>
  <c r="AJ165" i="1"/>
  <c r="AJ185" i="1"/>
  <c r="AJ92" i="1"/>
  <c r="AJ46" i="1"/>
  <c r="AJ28" i="1"/>
  <c r="AJ271" i="1"/>
  <c r="AJ130" i="1"/>
  <c r="AJ175" i="1"/>
  <c r="AJ191" i="1"/>
  <c r="AJ159" i="1"/>
  <c r="AJ272" i="1"/>
  <c r="AJ168" i="1"/>
  <c r="AJ211" i="1"/>
  <c r="AJ273" i="1"/>
  <c r="AJ179" i="1"/>
  <c r="AJ89" i="1"/>
  <c r="AJ164" i="1"/>
  <c r="AJ184" i="1"/>
  <c r="AJ68" i="1"/>
  <c r="AJ270" i="1"/>
  <c r="AJ278" i="1"/>
  <c r="AJ239" i="1"/>
  <c r="AJ17" i="1"/>
  <c r="AJ129" i="1"/>
  <c r="AJ174" i="1"/>
  <c r="AJ228" i="1"/>
  <c r="AJ198" i="1"/>
  <c r="AJ31" i="1"/>
  <c r="AJ62" i="1"/>
  <c r="AJ20" i="1"/>
  <c r="AJ6" i="1"/>
  <c r="AJ127" i="1"/>
  <c r="AJ69" i="1"/>
  <c r="AJ178" i="1"/>
  <c r="AJ112" i="1"/>
  <c r="AJ70" i="1"/>
  <c r="AJ7" i="1"/>
  <c r="AJ108" i="1"/>
  <c r="AJ234" i="1"/>
  <c r="AJ85" i="1"/>
  <c r="AJ203" i="1"/>
  <c r="AJ148" i="1"/>
  <c r="AJ83" i="1"/>
  <c r="AJ101" i="1"/>
  <c r="AJ145" i="1"/>
  <c r="AJ181" i="1"/>
  <c r="AJ166" i="1"/>
  <c r="AJ124" i="1"/>
  <c r="AJ26" i="1"/>
  <c r="AJ236" i="1"/>
  <c r="AJ158" i="1"/>
  <c r="AJ27" i="1"/>
  <c r="AJ163" i="1"/>
  <c r="AJ197" i="1"/>
  <c r="AJ186" i="1"/>
  <c r="AJ99" i="1"/>
  <c r="AJ107" i="1"/>
  <c r="AJ15" i="1"/>
  <c r="AJ183" i="1" l="1"/>
  <c r="AJ43" i="1"/>
  <c r="AJ93" i="1"/>
  <c r="AJ106" i="1"/>
  <c r="AJ55" i="1"/>
  <c r="AJ102" i="1"/>
  <c r="AJ90" i="1"/>
  <c r="AJ222" i="1"/>
  <c r="AJ225" i="1"/>
  <c r="AJ215" i="1"/>
  <c r="AJ78" i="1"/>
  <c r="AJ49" i="1"/>
  <c r="AJ51" i="1"/>
  <c r="AJ52" i="1"/>
  <c r="AJ77" i="1"/>
  <c r="AJ58" i="1"/>
  <c r="AJ57" i="1"/>
  <c r="AM57" i="1"/>
  <c r="AJ5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<sst xmlns="http://schemas.openxmlformats.org/spreadsheetml/2006/main" count="5730" uniqueCount="789">
  <si>
    <t>判断</t>
  </si>
  <si>
    <t>顾问提成</t>
  </si>
  <si>
    <t>月份</t>
  </si>
  <si>
    <t>门店</t>
  </si>
  <si>
    <t>金三角</t>
  </si>
  <si>
    <t>岗位</t>
  </si>
  <si>
    <t>健康师</t>
  </si>
  <si>
    <t>辅助列</t>
  </si>
  <si>
    <t>门店状态</t>
  </si>
  <si>
    <t>出勤天数</t>
  </si>
  <si>
    <t>系统业绩</t>
  </si>
  <si>
    <t>总业绩</t>
  </si>
  <si>
    <t>基础业绩</t>
  </si>
  <si>
    <t>合作业绩</t>
  </si>
  <si>
    <t>奖励业绩</t>
  </si>
  <si>
    <t>消耗</t>
  </si>
  <si>
    <t>项目数</t>
  </si>
  <si>
    <t>手工</t>
  </si>
  <si>
    <t>①是否属于战队</t>
  </si>
  <si>
    <t>②是否满足考勤</t>
  </si>
  <si>
    <t>③战队最终人数</t>
  </si>
  <si>
    <t>④考勤后不属于战队视为单人</t>
  </si>
  <si>
    <t>⑤战队提成</t>
  </si>
  <si>
    <t>⑥按1人提成</t>
  </si>
  <si>
    <t>最终提成点</t>
  </si>
  <si>
    <t>基础业绩提成</t>
  </si>
  <si>
    <t>合作业绩提成</t>
  </si>
  <si>
    <t>提成合计</t>
  </si>
  <si>
    <t>个人占比</t>
  </si>
  <si>
    <t>组员合计</t>
  </si>
  <si>
    <t>6月</t>
  </si>
  <si>
    <t>精英队</t>
  </si>
  <si>
    <t>顾问</t>
  </si>
  <si>
    <t>李燕</t>
  </si>
  <si>
    <t>刘恬恬</t>
  </si>
  <si>
    <t>陈萍</t>
  </si>
  <si>
    <t>T区</t>
  </si>
  <si>
    <t>冲锋队</t>
  </si>
  <si>
    <t>陈小琴</t>
  </si>
  <si>
    <t>苟小春</t>
  </si>
  <si>
    <t>门店T区</t>
  </si>
  <si>
    <t>华润</t>
  </si>
  <si>
    <t>战狼队</t>
  </si>
  <si>
    <t>王瑞琳</t>
  </si>
  <si>
    <t>雷朝霞</t>
  </si>
  <si>
    <t>赵玉晓</t>
  </si>
  <si>
    <t>飞跃队</t>
  </si>
  <si>
    <t>黄小燕</t>
  </si>
  <si>
    <t>王如意</t>
  </si>
  <si>
    <t>陈雪莲</t>
  </si>
  <si>
    <t>单人</t>
  </si>
  <si>
    <t>静居寺</t>
  </si>
  <si>
    <t>战神队</t>
  </si>
  <si>
    <t>张丽</t>
  </si>
  <si>
    <t>王娇</t>
  </si>
  <si>
    <t>陈建蓉</t>
  </si>
  <si>
    <t>亮剑队</t>
  </si>
  <si>
    <t>董顺秀</t>
  </si>
  <si>
    <t>杨金花</t>
  </si>
  <si>
    <t>黎茂婷</t>
  </si>
  <si>
    <t>红光</t>
  </si>
  <si>
    <t>蒙亦锌</t>
  </si>
  <si>
    <t>张霞</t>
  </si>
  <si>
    <t>马丽亚</t>
  </si>
  <si>
    <t>阿衣尔扎</t>
  </si>
  <si>
    <t>刘梦蓝</t>
  </si>
  <si>
    <t>犀浦</t>
  </si>
  <si>
    <t>战胜队</t>
  </si>
  <si>
    <t>欧迎春</t>
  </si>
  <si>
    <t>谭芙蓉</t>
  </si>
  <si>
    <t>舒阳</t>
  </si>
  <si>
    <t>旗胜队</t>
  </si>
  <si>
    <t>包竹梅</t>
  </si>
  <si>
    <t>刘婵琴</t>
  </si>
  <si>
    <t>泽仁拉姆</t>
  </si>
  <si>
    <t>龙城国际</t>
  </si>
  <si>
    <t>王维</t>
  </si>
  <si>
    <t>李洪芳</t>
  </si>
  <si>
    <t>钟心悦</t>
  </si>
  <si>
    <t>谢金梅</t>
  </si>
  <si>
    <t>罗文文</t>
  </si>
  <si>
    <t>优品道</t>
  </si>
  <si>
    <t>梦想队</t>
  </si>
  <si>
    <t>李维</t>
  </si>
  <si>
    <t>邓笑</t>
  </si>
  <si>
    <t>刘丽华</t>
  </si>
  <si>
    <t>出奇队</t>
  </si>
  <si>
    <t>贾琳</t>
  </si>
  <si>
    <t>彭鑫</t>
  </si>
  <si>
    <t>王智慧</t>
  </si>
  <si>
    <t>大源</t>
  </si>
  <si>
    <t>陈世琳</t>
  </si>
  <si>
    <t>李燕1</t>
  </si>
  <si>
    <t>野狼队</t>
  </si>
  <si>
    <t>钟秦</t>
  </si>
  <si>
    <t>周林</t>
  </si>
  <si>
    <t>张林英</t>
  </si>
  <si>
    <t>保利</t>
  </si>
  <si>
    <t>黄江</t>
  </si>
  <si>
    <t>谭言希</t>
  </si>
  <si>
    <t>米琪</t>
  </si>
  <si>
    <t>陈琼</t>
  </si>
  <si>
    <t>骑士郡</t>
  </si>
  <si>
    <t>天宇霸主队</t>
  </si>
  <si>
    <t>王新华</t>
  </si>
  <si>
    <t>刘裕琼</t>
  </si>
  <si>
    <t>谭福英</t>
  </si>
  <si>
    <t>雄霸天下队</t>
  </si>
  <si>
    <t>唐玉芳</t>
  </si>
  <si>
    <t>龙巧云</t>
  </si>
  <si>
    <t>唐施语</t>
  </si>
  <si>
    <t>李凤</t>
  </si>
  <si>
    <t>荣华南路</t>
  </si>
  <si>
    <t>销冠队</t>
  </si>
  <si>
    <t>郑加焕</t>
  </si>
  <si>
    <t>侯英</t>
  </si>
  <si>
    <t>赢销队</t>
  </si>
  <si>
    <t>马宏梅</t>
  </si>
  <si>
    <t>陈洁</t>
  </si>
  <si>
    <t>谢德芳</t>
  </si>
  <si>
    <t>融创</t>
  </si>
  <si>
    <t>胜羽队</t>
  </si>
  <si>
    <t>李思忆</t>
  </si>
  <si>
    <t>赵情情</t>
  </si>
  <si>
    <t>吴飞雁</t>
  </si>
  <si>
    <t>太阳队</t>
  </si>
  <si>
    <t>梁缘缘</t>
  </si>
  <si>
    <t>曹悦</t>
  </si>
  <si>
    <t>尹桂香</t>
  </si>
  <si>
    <t>沙河</t>
  </si>
  <si>
    <t>奇迹队</t>
  </si>
  <si>
    <t>张芮</t>
  </si>
  <si>
    <t>叶文娟</t>
  </si>
  <si>
    <t>唐容</t>
  </si>
  <si>
    <t>王依蕊</t>
  </si>
  <si>
    <t>张元琼</t>
  </si>
  <si>
    <t>涌泉</t>
  </si>
  <si>
    <t>冲刺队</t>
  </si>
  <si>
    <t>袁玉</t>
  </si>
  <si>
    <t>郑丹</t>
  </si>
  <si>
    <t>进钱队</t>
  </si>
  <si>
    <t>赵晴亮</t>
  </si>
  <si>
    <t>赵静</t>
  </si>
  <si>
    <t>胡钦秀</t>
  </si>
  <si>
    <t>曾怡</t>
  </si>
  <si>
    <t>中和</t>
  </si>
  <si>
    <t>无敌队</t>
  </si>
  <si>
    <t>唐尹</t>
  </si>
  <si>
    <t>余姣姣</t>
  </si>
  <si>
    <t>冠军队</t>
  </si>
  <si>
    <t>李红梅</t>
  </si>
  <si>
    <t>龚艳</t>
  </si>
  <si>
    <t>叶朝春</t>
  </si>
  <si>
    <t>川音</t>
  </si>
  <si>
    <t>殷小燕</t>
  </si>
  <si>
    <t>王能琴</t>
  </si>
  <si>
    <t>贺丽</t>
  </si>
  <si>
    <t>邹孟君</t>
  </si>
  <si>
    <t>朱成芳</t>
  </si>
  <si>
    <t>翁玲</t>
  </si>
  <si>
    <t>彭羽佳</t>
  </si>
  <si>
    <t>李海瑛</t>
  </si>
  <si>
    <t>光华</t>
  </si>
  <si>
    <t>天翊队</t>
  </si>
  <si>
    <t>康钦</t>
  </si>
  <si>
    <t>达哇卓玛</t>
  </si>
  <si>
    <t>猛力队</t>
  </si>
  <si>
    <t>聂娟</t>
  </si>
  <si>
    <t>马菁</t>
  </si>
  <si>
    <t>龙湖</t>
  </si>
  <si>
    <t>突破队</t>
  </si>
  <si>
    <t>邓雪梅</t>
  </si>
  <si>
    <t>何婷</t>
  </si>
  <si>
    <t>必胜队</t>
  </si>
  <si>
    <t>张候敏</t>
  </si>
  <si>
    <t>高雪</t>
  </si>
  <si>
    <t>刘慧</t>
  </si>
  <si>
    <t>鹭岛</t>
  </si>
  <si>
    <t>郭小丽</t>
  </si>
  <si>
    <t>雷娜婷</t>
  </si>
  <si>
    <t>出单队</t>
  </si>
  <si>
    <t>顾红艳</t>
  </si>
  <si>
    <t>叶美霞</t>
  </si>
  <si>
    <t>梁婷</t>
  </si>
  <si>
    <t>南湖</t>
  </si>
  <si>
    <t>招财队</t>
  </si>
  <si>
    <t>刘九招</t>
  </si>
  <si>
    <t>李彩华</t>
  </si>
  <si>
    <t>进宝队</t>
  </si>
  <si>
    <t>廖妍</t>
  </si>
  <si>
    <t>朱羽</t>
  </si>
  <si>
    <t>高琴</t>
  </si>
  <si>
    <t>达卓措</t>
  </si>
  <si>
    <t>荣华北路</t>
  </si>
  <si>
    <t>王萍</t>
  </si>
  <si>
    <t>谢娟</t>
  </si>
  <si>
    <t>胡红琳</t>
  </si>
  <si>
    <t>陈美合</t>
  </si>
  <si>
    <t>紫荆</t>
  </si>
  <si>
    <t>雄鹰队</t>
  </si>
  <si>
    <t>康红梅</t>
  </si>
  <si>
    <t>唐银春</t>
  </si>
  <si>
    <t>陈红霞</t>
  </si>
  <si>
    <t>团结队</t>
  </si>
  <si>
    <t>刘巧艳</t>
  </si>
  <si>
    <t>刘晓丽</t>
  </si>
  <si>
    <t>熊艳</t>
  </si>
  <si>
    <t>任静</t>
  </si>
  <si>
    <t>廖增珍</t>
  </si>
  <si>
    <t>双流</t>
  </si>
  <si>
    <t>超越队</t>
  </si>
  <si>
    <t>冉芳霞</t>
  </si>
  <si>
    <t>谭萍</t>
  </si>
  <si>
    <t>星耀队</t>
  </si>
  <si>
    <t>郝中南</t>
  </si>
  <si>
    <t>彭措志玛</t>
  </si>
  <si>
    <t>罗湘湘</t>
  </si>
  <si>
    <t>亚洲湾</t>
  </si>
  <si>
    <t>钱进队</t>
  </si>
  <si>
    <t>刘霞</t>
  </si>
  <si>
    <t>石海力</t>
  </si>
  <si>
    <t>陈定坤</t>
  </si>
  <si>
    <t>龙腾队</t>
  </si>
  <si>
    <t>李科</t>
  </si>
  <si>
    <t>付薪燕</t>
  </si>
  <si>
    <t>川师</t>
  </si>
  <si>
    <t>虎啸龙吟队</t>
  </si>
  <si>
    <t>李巧娇</t>
  </si>
  <si>
    <t>李萌</t>
  </si>
  <si>
    <t>柳全菊</t>
  </si>
  <si>
    <t>卧虎藏龙队</t>
  </si>
  <si>
    <t>罗雪</t>
  </si>
  <si>
    <t>唐宇欣</t>
  </si>
  <si>
    <t>明信</t>
  </si>
  <si>
    <t>冷忠翠</t>
  </si>
  <si>
    <t>贺金云</t>
  </si>
  <si>
    <t>王红</t>
  </si>
  <si>
    <t>舒许芳</t>
  </si>
  <si>
    <t>千禧</t>
  </si>
  <si>
    <t>深藏不露队</t>
  </si>
  <si>
    <t>王显珍</t>
  </si>
  <si>
    <t>张廷妍</t>
  </si>
  <si>
    <t>杜兰兰</t>
  </si>
  <si>
    <t>马冬梅</t>
  </si>
  <si>
    <t>彭莉群</t>
  </si>
  <si>
    <t>大丰</t>
  </si>
  <si>
    <t>孙红梅</t>
  </si>
  <si>
    <t>蒲艳婷</t>
  </si>
  <si>
    <t>杨艳</t>
  </si>
  <si>
    <t>黎红花</t>
  </si>
  <si>
    <t>刘帆</t>
  </si>
  <si>
    <t>凤凰山</t>
  </si>
  <si>
    <t>徐文平</t>
  </si>
  <si>
    <t>周文慧</t>
  </si>
  <si>
    <t>郑美函</t>
  </si>
  <si>
    <t>凤羽队</t>
  </si>
  <si>
    <t>喻容</t>
  </si>
  <si>
    <t>张欣</t>
  </si>
  <si>
    <t>张白金</t>
  </si>
  <si>
    <t>川音店</t>
  </si>
  <si>
    <t>468店</t>
  </si>
  <si>
    <t>华润店</t>
  </si>
  <si>
    <t>静居寺店</t>
  </si>
  <si>
    <t>红光店</t>
  </si>
  <si>
    <t>犀浦店</t>
  </si>
  <si>
    <t>龙城国际店</t>
  </si>
  <si>
    <t>优品道店</t>
  </si>
  <si>
    <t>大源店</t>
  </si>
  <si>
    <t>保利店</t>
  </si>
  <si>
    <t>骑士郡店</t>
  </si>
  <si>
    <t>荣华南路店</t>
  </si>
  <si>
    <t>融创店</t>
  </si>
  <si>
    <t>沙河店</t>
  </si>
  <si>
    <t>涌泉店</t>
  </si>
  <si>
    <t>中和店</t>
  </si>
  <si>
    <t>光华店</t>
  </si>
  <si>
    <t>龙湖店</t>
  </si>
  <si>
    <t>鹭岛店</t>
  </si>
  <si>
    <t>南湖店</t>
  </si>
  <si>
    <t>荣华北路店</t>
  </si>
  <si>
    <t>紫荆店</t>
  </si>
  <si>
    <t>双流店</t>
  </si>
  <si>
    <t>亚洲湾店</t>
  </si>
  <si>
    <t>川师店</t>
  </si>
  <si>
    <t>明信店</t>
  </si>
  <si>
    <t>千禧店</t>
  </si>
  <si>
    <t>大丰店</t>
  </si>
  <si>
    <t>凤凰山店</t>
  </si>
  <si>
    <t>当月实现的人数</t>
  </si>
  <si>
    <t>当月战队合计金额</t>
  </si>
  <si>
    <t>提成点数</t>
  </si>
  <si>
    <t>团队的消耗合计</t>
  </si>
  <si>
    <t>组员合计业绩占比</t>
  </si>
  <si>
    <t>战队提成占比</t>
  </si>
  <si>
    <t>提成金额</t>
  </si>
  <si>
    <t>序号</t>
  </si>
  <si>
    <t>开店时间</t>
  </si>
  <si>
    <t>闭店时间</t>
  </si>
  <si>
    <t>是否为新店</t>
  </si>
  <si>
    <t>新店前四个月没有金三角</t>
  </si>
  <si>
    <t>汇泉</t>
  </si>
  <si>
    <t>龙泉</t>
  </si>
  <si>
    <t>丽都</t>
  </si>
  <si>
    <t>战队判断标准</t>
  </si>
  <si>
    <t>顾问判断标准</t>
  </si>
  <si>
    <t>人数</t>
  </si>
  <si>
    <t>下限</t>
  </si>
  <si>
    <t>业绩</t>
  </si>
  <si>
    <t>团队占比</t>
  </si>
  <si>
    <t>月</t>
  </si>
  <si>
    <t>日</t>
  </si>
  <si>
    <t>项目</t>
  </si>
  <si>
    <t>客户</t>
  </si>
  <si>
    <t>扣除业绩</t>
  </si>
  <si>
    <t>类型</t>
  </si>
  <si>
    <t>医美秒杀卡</t>
  </si>
  <si>
    <t>医美</t>
  </si>
  <si>
    <t>私密秒杀</t>
  </si>
  <si>
    <t>曾忆</t>
  </si>
  <si>
    <t>刘佳</t>
  </si>
  <si>
    <t>李小芳</t>
  </si>
  <si>
    <t>冰美人秒杀</t>
  </si>
  <si>
    <t>基础</t>
  </si>
  <si>
    <t>科技部秒杀</t>
  </si>
  <si>
    <t>刘章敏</t>
  </si>
  <si>
    <t>女神卡</t>
  </si>
  <si>
    <t>股份</t>
  </si>
  <si>
    <t>扣钱</t>
  </si>
  <si>
    <t>补钱</t>
  </si>
  <si>
    <t>②</t>
  </si>
  <si>
    <t>①</t>
  </si>
  <si>
    <t>坐起</t>
  </si>
  <si>
    <t>③</t>
  </si>
  <si>
    <t>在岗天数</t>
  </si>
  <si>
    <t>当月标准休息天数</t>
  </si>
  <si>
    <t>实际休</t>
  </si>
  <si>
    <t>休息</t>
  </si>
  <si>
    <t>请假</t>
  </si>
  <si>
    <t>丧假</t>
  </si>
  <si>
    <t>年假</t>
  </si>
  <si>
    <t>出勤</t>
  </si>
  <si>
    <t>出勤+休息</t>
  </si>
  <si>
    <t>应休</t>
  </si>
  <si>
    <t>调减休息</t>
  </si>
  <si>
    <t>实际请假</t>
  </si>
  <si>
    <t>少休天数</t>
  </si>
  <si>
    <t>缺卡</t>
  </si>
  <si>
    <t>迟到</t>
  </si>
  <si>
    <t>全勤</t>
  </si>
  <si>
    <t>交通补助</t>
  </si>
  <si>
    <t>学习期扣款</t>
  </si>
  <si>
    <t>住宿</t>
  </si>
  <si>
    <t>工作服</t>
  </si>
  <si>
    <t>手机押金</t>
  </si>
  <si>
    <t>宿舍押金</t>
  </si>
  <si>
    <t>事业四部</t>
  </si>
  <si>
    <t>事业三部</t>
  </si>
  <si>
    <t>事业一部</t>
  </si>
  <si>
    <t>事业二部</t>
  </si>
  <si>
    <t>事业五部</t>
  </si>
  <si>
    <t>郝莉娜</t>
  </si>
  <si>
    <t>事业六部</t>
  </si>
  <si>
    <t>尚杨</t>
  </si>
  <si>
    <t>科技一部</t>
  </si>
  <si>
    <t>王方贤</t>
  </si>
  <si>
    <t>杨琴</t>
  </si>
  <si>
    <t>赵美艳</t>
  </si>
  <si>
    <t>郭兰</t>
  </si>
  <si>
    <t>戴林</t>
  </si>
  <si>
    <t>蒲俊峰</t>
  </si>
  <si>
    <t>科技二部</t>
  </si>
  <si>
    <t>张雨露</t>
  </si>
  <si>
    <t>刘祖红</t>
  </si>
  <si>
    <t>谢宗富</t>
  </si>
  <si>
    <t>余文</t>
  </si>
  <si>
    <t>王洪武</t>
  </si>
  <si>
    <t>门店/部门</t>
  </si>
  <si>
    <t>员工</t>
  </si>
  <si>
    <t>考虑是新店的第几个阶段</t>
    <phoneticPr fontId="9" type="noConversion"/>
  </si>
  <si>
    <t>新店二阶段</t>
    <phoneticPr fontId="9" type="noConversion"/>
  </si>
  <si>
    <t>3.4.5.6</t>
    <phoneticPr fontId="9" type="noConversion"/>
  </si>
  <si>
    <t>5.6.7.8</t>
    <phoneticPr fontId="9" type="noConversion"/>
  </si>
  <si>
    <t>4.5.6.7</t>
    <phoneticPr fontId="9" type="noConversion"/>
  </si>
  <si>
    <t>升单人数</t>
  </si>
  <si>
    <t>升单业绩</t>
  </si>
  <si>
    <t>核算月份</t>
  </si>
  <si>
    <t>新店</t>
    <phoneticPr fontId="9" type="noConversion"/>
  </si>
  <si>
    <t>新店阶段</t>
    <phoneticPr fontId="9" type="noConversion"/>
  </si>
  <si>
    <t>升单人头</t>
    <phoneticPr fontId="9" type="noConversion"/>
  </si>
  <si>
    <t>升单业绩</t>
    <phoneticPr fontId="9" type="noConversion"/>
  </si>
  <si>
    <t>新店二阶段</t>
    <phoneticPr fontId="9" type="noConversion"/>
  </si>
  <si>
    <t>新客业绩</t>
    <phoneticPr fontId="9" type="noConversion"/>
  </si>
  <si>
    <t>剩余业绩</t>
    <phoneticPr fontId="9" type="noConversion"/>
  </si>
  <si>
    <t>问题①</t>
    <phoneticPr fontId="9" type="noConversion"/>
  </si>
  <si>
    <t>基础业绩-升单业绩&lt;0</t>
    <phoneticPr fontId="9" type="noConversion"/>
  </si>
  <si>
    <t>当月有基础业绩退款+且不是新客</t>
    <phoneticPr fontId="9" type="noConversion"/>
  </si>
  <si>
    <t>如果是新客退款不会出现</t>
    <phoneticPr fontId="9" type="noConversion"/>
  </si>
  <si>
    <t>check：</t>
    <phoneticPr fontId="9" type="noConversion"/>
  </si>
  <si>
    <t>升单人头</t>
    <phoneticPr fontId="9" type="noConversion"/>
  </si>
  <si>
    <t>升单提点</t>
    <phoneticPr fontId="9" type="noConversion"/>
  </si>
  <si>
    <t>同老店</t>
    <phoneticPr fontId="9" type="noConversion"/>
  </si>
  <si>
    <t>第一步：</t>
    <phoneticPr fontId="9" type="noConversion"/>
  </si>
  <si>
    <t>判断人头及新客提点</t>
    <phoneticPr fontId="9" type="noConversion"/>
  </si>
  <si>
    <t>剩余业绩，按正常提点即可</t>
    <phoneticPr fontId="9" type="noConversion"/>
  </si>
  <si>
    <t>正常提点，用全业绩</t>
    <phoneticPr fontId="9" type="noConversion"/>
  </si>
  <si>
    <t>新客是新客提点+新客业绩</t>
    <phoneticPr fontId="9" type="noConversion"/>
  </si>
  <si>
    <t>川音</t>
    <phoneticPr fontId="9" type="noConversion"/>
  </si>
  <si>
    <t>翁玲</t>
    <phoneticPr fontId="9" type="noConversion"/>
  </si>
  <si>
    <t>总人头</t>
    <phoneticPr fontId="9" type="noConversion"/>
  </si>
  <si>
    <t>&gt;1000人头</t>
    <phoneticPr fontId="9" type="noConversion"/>
  </si>
  <si>
    <t>成交率</t>
    <phoneticPr fontId="9" type="noConversion"/>
  </si>
  <si>
    <t>成交业绩</t>
    <phoneticPr fontId="9" type="noConversion"/>
  </si>
  <si>
    <t>贺丽</t>
    <phoneticPr fontId="9" type="noConversion"/>
  </si>
  <si>
    <t>李海瑛</t>
    <phoneticPr fontId="9" type="noConversion"/>
  </si>
  <si>
    <t>王能琴</t>
    <phoneticPr fontId="9" type="noConversion"/>
  </si>
  <si>
    <t>邹孟君</t>
    <phoneticPr fontId="9" type="noConversion"/>
  </si>
  <si>
    <t>彭羽佳</t>
    <phoneticPr fontId="9" type="noConversion"/>
  </si>
  <si>
    <t>殷小燕</t>
    <phoneticPr fontId="9" type="noConversion"/>
  </si>
  <si>
    <t>朱成芳</t>
    <phoneticPr fontId="9" type="noConversion"/>
  </si>
  <si>
    <t>成交率</t>
    <phoneticPr fontId="9" type="noConversion"/>
  </si>
  <si>
    <t>成交业绩</t>
    <phoneticPr fontId="9" type="noConversion"/>
  </si>
  <si>
    <t>成交提点</t>
    <phoneticPr fontId="9" type="noConversion"/>
  </si>
  <si>
    <t>&lt;35%</t>
    <phoneticPr fontId="9" type="noConversion"/>
  </si>
  <si>
    <t>&gt;=35%</t>
    <phoneticPr fontId="9" type="noConversion"/>
  </si>
  <si>
    <t>&gt;=45%</t>
    <phoneticPr fontId="9" type="noConversion"/>
  </si>
  <si>
    <t>调整基础业绩</t>
    <phoneticPr fontId="9" type="noConversion"/>
  </si>
  <si>
    <t>调整合作业绩</t>
    <phoneticPr fontId="9" type="noConversion"/>
  </si>
  <si>
    <t>最终属于战队</t>
    <phoneticPr fontId="9" type="noConversion"/>
  </si>
  <si>
    <t>7月</t>
  </si>
  <si>
    <t>逐梦队</t>
  </si>
  <si>
    <t>飞鹰队</t>
  </si>
  <si>
    <t>陈丽</t>
  </si>
  <si>
    <t>邹奇圻</t>
  </si>
  <si>
    <t>陈珊珊</t>
  </si>
  <si>
    <t>霸天虎啸队</t>
  </si>
  <si>
    <t>爆棚队</t>
  </si>
  <si>
    <t>陈春秀</t>
  </si>
  <si>
    <t>安家晴</t>
  </si>
  <si>
    <t>路平</t>
  </si>
  <si>
    <t>谢翠华</t>
  </si>
  <si>
    <t>郑晓芳</t>
  </si>
  <si>
    <t>袁晓梅</t>
  </si>
  <si>
    <t>7月</t>
    <phoneticPr fontId="9" type="noConversion"/>
  </si>
  <si>
    <t>花名册</t>
  </si>
  <si>
    <t>金三角战队设置</t>
  </si>
  <si>
    <t>A-a-②</t>
  </si>
  <si>
    <t>A-b-①</t>
  </si>
  <si>
    <t>A-a-①-增加</t>
    <phoneticPr fontId="9" type="noConversion"/>
  </si>
  <si>
    <t>B-a-①呈现-门店经营数据-②</t>
    <phoneticPr fontId="9" type="noConversion"/>
  </si>
  <si>
    <t>A-b-②-增加</t>
  </si>
  <si>
    <t>表内计算</t>
    <phoneticPr fontId="9" type="noConversion"/>
  </si>
  <si>
    <t>基础业绩-成交业绩</t>
    <phoneticPr fontId="9" type="noConversion"/>
  </si>
  <si>
    <t>店名</t>
  </si>
  <si>
    <t>职位</t>
  </si>
  <si>
    <t>岗位分类</t>
  </si>
  <si>
    <t>姓名</t>
  </si>
  <si>
    <t>在职情况</t>
  </si>
  <si>
    <t>岗位分类②</t>
  </si>
  <si>
    <t>发放月份</t>
  </si>
  <si>
    <t>福利假</t>
  </si>
  <si>
    <t>不扣钱的天数</t>
  </si>
  <si>
    <t>少休补贴</t>
  </si>
  <si>
    <t>其他奖励</t>
  </si>
  <si>
    <t>保底-已核算金额</t>
  </si>
  <si>
    <t>当月培训</t>
  </si>
  <si>
    <t>当月交通补贴</t>
  </si>
  <si>
    <t>在店天数</t>
  </si>
  <si>
    <t>跨月天数</t>
  </si>
  <si>
    <t>6月工资-有</t>
  </si>
  <si>
    <t>当月在店天数+正常休</t>
  </si>
  <si>
    <t>店长</t>
  </si>
  <si>
    <t>B</t>
  </si>
  <si>
    <t>易春梅</t>
  </si>
  <si>
    <t>在职</t>
  </si>
  <si>
    <t>事业部</t>
  </si>
  <si>
    <t/>
  </si>
  <si>
    <t>店助</t>
  </si>
  <si>
    <t>A</t>
  </si>
  <si>
    <t>江玲</t>
  </si>
  <si>
    <t>总经理</t>
  </si>
  <si>
    <t>饶秋华</t>
  </si>
  <si>
    <t>莫志英</t>
  </si>
  <si>
    <t>吴琴</t>
  </si>
  <si>
    <t>主任</t>
  </si>
  <si>
    <t>李春华</t>
  </si>
  <si>
    <t>赵小红</t>
  </si>
  <si>
    <t>彭龙惠</t>
  </si>
  <si>
    <t>秦亚平</t>
  </si>
  <si>
    <t>谭莹</t>
  </si>
  <si>
    <t>向郑瑶</t>
  </si>
  <si>
    <t>邹福贞</t>
  </si>
  <si>
    <t>陈怡名</t>
  </si>
  <si>
    <t>店助主任</t>
  </si>
  <si>
    <t>樊琳</t>
  </si>
  <si>
    <t>张艳秋</t>
  </si>
  <si>
    <t>张小华</t>
  </si>
  <si>
    <t>王任燕</t>
  </si>
  <si>
    <t>吴敏</t>
  </si>
  <si>
    <t>陈佳丽</t>
  </si>
  <si>
    <t>徐睦垚</t>
  </si>
  <si>
    <t>经理</t>
  </si>
  <si>
    <t>曾雨晴</t>
  </si>
  <si>
    <t>但红玉</t>
  </si>
  <si>
    <t>李萱君</t>
  </si>
  <si>
    <t>张小娟</t>
  </si>
  <si>
    <t>刘安琼</t>
  </si>
  <si>
    <t>刘晓林</t>
  </si>
  <si>
    <t>林萍</t>
  </si>
  <si>
    <t>何琼华</t>
  </si>
  <si>
    <t>蒋圆圆</t>
  </si>
  <si>
    <t>秦娜</t>
  </si>
  <si>
    <t>牟光燕</t>
  </si>
  <si>
    <t>邓丽莉</t>
  </si>
  <si>
    <t>张明艳</t>
  </si>
  <si>
    <t>蒲草</t>
  </si>
  <si>
    <t>郑华跃</t>
  </si>
  <si>
    <t>李茂</t>
  </si>
  <si>
    <t>肖静梅</t>
  </si>
  <si>
    <t>王晓琳</t>
  </si>
  <si>
    <t>陈琳</t>
  </si>
  <si>
    <t>雷怡</t>
  </si>
  <si>
    <t>张勤</t>
  </si>
  <si>
    <t>陈嘉仪</t>
  </si>
  <si>
    <t>糜清云</t>
  </si>
  <si>
    <t>曾玉莲</t>
  </si>
  <si>
    <t>彭兰钦</t>
  </si>
  <si>
    <t>白丽</t>
  </si>
  <si>
    <t>郑巧玲</t>
  </si>
  <si>
    <t>刘金凤</t>
  </si>
  <si>
    <t>谢珂欣</t>
  </si>
  <si>
    <t>尧丹丹</t>
  </si>
  <si>
    <t>不发</t>
  </si>
  <si>
    <t>王桂明</t>
  </si>
  <si>
    <t>关晓燕</t>
  </si>
  <si>
    <t>贺慧</t>
  </si>
  <si>
    <t>竹艳梅</t>
  </si>
  <si>
    <t>魏柯</t>
  </si>
  <si>
    <t>叶璐璐</t>
  </si>
  <si>
    <t>龚茜</t>
  </si>
  <si>
    <t>施凤皎</t>
  </si>
  <si>
    <t>赵忠芬</t>
  </si>
  <si>
    <t>林锶莹</t>
  </si>
  <si>
    <t>高红艳</t>
  </si>
  <si>
    <t>张清华</t>
  </si>
  <si>
    <t>刘香</t>
  </si>
  <si>
    <t>张红霞</t>
  </si>
  <si>
    <t>陈燕辉</t>
  </si>
  <si>
    <t>宋林琳</t>
  </si>
  <si>
    <t>谢双叶</t>
  </si>
  <si>
    <t>罗林芳</t>
  </si>
  <si>
    <t>汪丽娟</t>
  </si>
  <si>
    <t>打版1000</t>
  </si>
  <si>
    <t>胡祝曲</t>
  </si>
  <si>
    <t>任艺</t>
  </si>
  <si>
    <t>涂莹丹</t>
  </si>
  <si>
    <t>总部</t>
  </si>
  <si>
    <t>人事主管</t>
  </si>
  <si>
    <t>葛敏</t>
  </si>
  <si>
    <t>人事专员</t>
  </si>
  <si>
    <t>袁小兵</t>
  </si>
  <si>
    <t>徐登毅</t>
  </si>
  <si>
    <t>范时依</t>
  </si>
  <si>
    <t>企划部</t>
  </si>
  <si>
    <t>吴小强</t>
  </si>
  <si>
    <t>拓展部</t>
  </si>
  <si>
    <t>宁燕</t>
  </si>
  <si>
    <t>杨苹</t>
  </si>
  <si>
    <t>赵倩</t>
  </si>
  <si>
    <t>财务老师</t>
  </si>
  <si>
    <t>梁诗雨</t>
  </si>
  <si>
    <t>财务主管</t>
  </si>
  <si>
    <t>郭思瑞</t>
  </si>
  <si>
    <t>文倩</t>
  </si>
  <si>
    <t>财务总监</t>
  </si>
  <si>
    <t>企划</t>
  </si>
  <si>
    <t>杨磊</t>
  </si>
  <si>
    <t>选址</t>
  </si>
  <si>
    <t>李吉原</t>
  </si>
  <si>
    <t>大项目主管</t>
  </si>
  <si>
    <t>黄桂琴</t>
  </si>
  <si>
    <t>詹芳英</t>
  </si>
  <si>
    <t>大项目老师</t>
  </si>
  <si>
    <t>陈思思</t>
  </si>
  <si>
    <t>李洁</t>
  </si>
  <si>
    <t>教育部总经理</t>
  </si>
  <si>
    <t>马小英</t>
  </si>
  <si>
    <t>欧阳敏</t>
  </si>
  <si>
    <t>教育部老师</t>
  </si>
  <si>
    <t>程燕</t>
  </si>
  <si>
    <t>肖倩</t>
  </si>
  <si>
    <t>王丽娟</t>
  </si>
  <si>
    <t>蓝海英</t>
  </si>
  <si>
    <t>夏萍</t>
  </si>
  <si>
    <t>组长</t>
  </si>
  <si>
    <t>科技老师</t>
  </si>
  <si>
    <t>张雪颖</t>
  </si>
  <si>
    <t>保洁</t>
  </si>
  <si>
    <t>王国英</t>
  </si>
  <si>
    <t>周莉</t>
  </si>
  <si>
    <t>吴斌</t>
  </si>
  <si>
    <t>杨汉玉</t>
  </si>
  <si>
    <t>杨润琼</t>
  </si>
  <si>
    <t>林玉琼</t>
  </si>
  <si>
    <t>王秀华</t>
  </si>
  <si>
    <t>刘陈秀</t>
  </si>
  <si>
    <t>钟术群</t>
  </si>
  <si>
    <t>郑竹兰</t>
  </si>
  <si>
    <t>陈春蓉</t>
  </si>
  <si>
    <t>陈明秀</t>
  </si>
  <si>
    <t>许开会</t>
  </si>
  <si>
    <t>蒋治琼</t>
  </si>
  <si>
    <t>曾志芬</t>
  </si>
  <si>
    <t>罗广秀</t>
  </si>
  <si>
    <t>何先会</t>
  </si>
  <si>
    <t>陈德芳</t>
  </si>
  <si>
    <t>邓成分</t>
  </si>
  <si>
    <t>刘胜琼</t>
  </si>
  <si>
    <t>陈文先</t>
  </si>
  <si>
    <t>杨则琼</t>
  </si>
  <si>
    <t>李培英</t>
  </si>
  <si>
    <t>陈永秀</t>
  </si>
  <si>
    <t>李大英</t>
  </si>
  <si>
    <t>范世琼</t>
  </si>
  <si>
    <t>倪巧琼</t>
  </si>
  <si>
    <t>颜香兰</t>
  </si>
  <si>
    <t>刘治菊</t>
  </si>
  <si>
    <t>刘雨佳</t>
  </si>
  <si>
    <t>孙鲜</t>
  </si>
  <si>
    <t>工作服退290</t>
  </si>
  <si>
    <t>曾小凤</t>
  </si>
  <si>
    <t>康丹</t>
  </si>
  <si>
    <t>尹佩佩</t>
  </si>
  <si>
    <t>周柏燚</t>
  </si>
  <si>
    <t>李文龙</t>
  </si>
  <si>
    <t>张文卓</t>
  </si>
  <si>
    <t>曹煦菡</t>
  </si>
  <si>
    <t>蹇雨珊</t>
  </si>
  <si>
    <t>赵圆缘</t>
  </si>
  <si>
    <t>李从丽</t>
  </si>
  <si>
    <t>杨慧琳</t>
  </si>
  <si>
    <t>袁琳育</t>
  </si>
  <si>
    <t>蒲敏</t>
  </si>
  <si>
    <t>黄芬</t>
  </si>
  <si>
    <t>吴英</t>
  </si>
  <si>
    <t>杨娇</t>
  </si>
  <si>
    <t>郭芬</t>
  </si>
  <si>
    <t>B-a-26考勤汇总表</t>
  </si>
  <si>
    <t>部门</t>
  </si>
  <si>
    <t>生命之波奖励手工</t>
  </si>
  <si>
    <t>手工合计</t>
  </si>
  <si>
    <t>合计</t>
    <phoneticPr fontId="9" type="noConversion"/>
  </si>
  <si>
    <t>奖励手工</t>
    <phoneticPr fontId="9" type="noConversion"/>
  </si>
  <si>
    <t>B-a-②呈现-业绩明细表-③</t>
    <phoneticPr fontId="9" type="noConversion"/>
  </si>
  <si>
    <t>B-a-③呈现-消耗明细表③</t>
    <phoneticPr fontId="9" type="noConversion"/>
  </si>
  <si>
    <t>检查</t>
    <phoneticPr fontId="9" type="noConversion"/>
  </si>
  <si>
    <t>表内判断</t>
    <phoneticPr fontId="9" type="noConversion"/>
  </si>
  <si>
    <t xml:space="preserve">A-b-② </t>
  </si>
  <si>
    <t>郝莉娜</t>
    <phoneticPr fontId="9" type="noConversion"/>
  </si>
  <si>
    <t>袁晓梅</t>
    <phoneticPr fontId="9" type="noConversion"/>
  </si>
  <si>
    <t>⑥战队统计表-B-a-②呈现-业绩明细表④</t>
  </si>
  <si>
    <t>⑥战队统计表-B-a-②呈现-业绩明细表④</t>
    <phoneticPr fontId="9" type="noConversion"/>
  </si>
  <si>
    <t>B-a-①-增加+核算</t>
    <phoneticPr fontId="9" type="noConversion"/>
  </si>
  <si>
    <t>战队/个人取其一</t>
    <phoneticPr fontId="9" type="noConversion"/>
  </si>
  <si>
    <t>表内核算</t>
    <phoneticPr fontId="9" type="noConversion"/>
  </si>
  <si>
    <t>⑥战队统计表-B-a-②呈现-业绩明细表④+核算</t>
    <phoneticPr fontId="9" type="noConversion"/>
  </si>
  <si>
    <t>门店</t>
    <phoneticPr fontId="9" type="noConversion"/>
  </si>
  <si>
    <t>岗位</t>
    <phoneticPr fontId="9" type="noConversion"/>
  </si>
  <si>
    <t>分类</t>
    <phoneticPr fontId="9" type="noConversion"/>
  </si>
  <si>
    <t>姓名</t>
    <phoneticPr fontId="9" type="noConversion"/>
  </si>
  <si>
    <t>花名册-健康师名单</t>
    <phoneticPr fontId="9" type="noConversion"/>
  </si>
  <si>
    <t>金三角-岗位</t>
    <phoneticPr fontId="9" type="noConversion"/>
  </si>
  <si>
    <t>金三角</t>
    <phoneticPr fontId="9" type="noConversion"/>
  </si>
  <si>
    <t>出勤天数</t>
    <phoneticPr fontId="9" type="noConversion"/>
  </si>
  <si>
    <t>总业绩</t>
    <phoneticPr fontId="9" type="noConversion"/>
  </si>
  <si>
    <t>基础业绩</t>
    <phoneticPr fontId="9" type="noConversion"/>
  </si>
  <si>
    <t>合作业绩</t>
    <phoneticPr fontId="9" type="noConversion"/>
  </si>
  <si>
    <t>奖励业绩</t>
    <phoneticPr fontId="9" type="noConversion"/>
  </si>
  <si>
    <t>消耗</t>
    <phoneticPr fontId="9" type="noConversion"/>
  </si>
  <si>
    <t>项目数</t>
    <phoneticPr fontId="9" type="noConversion"/>
  </si>
  <si>
    <t>手工</t>
    <phoneticPr fontId="9" type="noConversion"/>
  </si>
  <si>
    <t>暂不用</t>
  </si>
  <si>
    <t>8月</t>
  </si>
  <si>
    <t>应发上月</t>
  </si>
  <si>
    <t>应发次月</t>
  </si>
  <si>
    <t>离职</t>
  </si>
  <si>
    <t>7月</t>
    <phoneticPr fontId="9" type="noConversion"/>
  </si>
  <si>
    <t>张林英</t>
    <phoneticPr fontId="9" type="noConversion"/>
  </si>
  <si>
    <t>大源</t>
    <phoneticPr fontId="9" type="noConversion"/>
  </si>
  <si>
    <t>单人</t>
    <phoneticPr fontId="9" type="noConversion"/>
  </si>
  <si>
    <t>额外手工</t>
    <phoneticPr fontId="9" type="noConversion"/>
  </si>
  <si>
    <t>目前只有一次-手动【导表】</t>
    <phoneticPr fontId="9" type="noConversion"/>
  </si>
  <si>
    <t>表内计算</t>
  </si>
  <si>
    <t>B-a-②呈现-业绩明细表-③</t>
  </si>
  <si>
    <t>468+门店T区</t>
  </si>
  <si>
    <t>华润+门店T区</t>
  </si>
  <si>
    <t>静居寺+门店T区</t>
  </si>
  <si>
    <t>红光+门店T区</t>
  </si>
  <si>
    <t>犀浦+门店T区</t>
  </si>
  <si>
    <t>龙城国际+门店T区</t>
  </si>
  <si>
    <t>优品道+门店T区</t>
  </si>
  <si>
    <t>大源+门店T区</t>
  </si>
  <si>
    <t>保利+门店T区</t>
  </si>
  <si>
    <t>骑士郡+门店T区</t>
  </si>
  <si>
    <t>荣华南路+门店T区</t>
  </si>
  <si>
    <t>融创+门店T区</t>
  </si>
  <si>
    <t>沙河+门店T区</t>
  </si>
  <si>
    <t>涌泉+门店T区</t>
  </si>
  <si>
    <t>中和+门店T区</t>
  </si>
  <si>
    <t>川音+门店T区</t>
  </si>
  <si>
    <t>光华+门店T区</t>
  </si>
  <si>
    <t>龙湖+门店T区</t>
  </si>
  <si>
    <t>鹭岛+门店T区</t>
  </si>
  <si>
    <t>南湖+门店T区</t>
  </si>
  <si>
    <t>荣华北路+门店T区</t>
  </si>
  <si>
    <t>紫荆+门店T区</t>
  </si>
  <si>
    <t>双流+门店T区</t>
  </si>
  <si>
    <t>亚洲湾+门店T区</t>
  </si>
  <si>
    <t>川师+门店T区</t>
  </si>
  <si>
    <t>明信+门店T区</t>
  </si>
  <si>
    <t>千禧+门店T区</t>
  </si>
  <si>
    <t>大丰+门店T区</t>
  </si>
  <si>
    <t>凤凰山+门店T区</t>
  </si>
  <si>
    <t>李婷</t>
  </si>
  <si>
    <t>陈丽英</t>
  </si>
  <si>
    <t>李琴</t>
  </si>
  <si>
    <t>林晓秋</t>
  </si>
  <si>
    <t>杨凛</t>
  </si>
  <si>
    <t>苏红</t>
  </si>
  <si>
    <t>鲁丽</t>
  </si>
  <si>
    <t>李绍菊</t>
  </si>
  <si>
    <t>段芳芳</t>
  </si>
  <si>
    <t>肖丽平</t>
  </si>
  <si>
    <t>李敏（老）</t>
  </si>
  <si>
    <t>相雪莲</t>
  </si>
  <si>
    <t>魏姐</t>
  </si>
  <si>
    <t>沙超</t>
  </si>
  <si>
    <t>廖梓印</t>
  </si>
  <si>
    <t>郑鸿颖</t>
  </si>
  <si>
    <t>蔡东玫</t>
  </si>
  <si>
    <t>佘璐</t>
  </si>
  <si>
    <t>程红</t>
  </si>
  <si>
    <t>谢莉</t>
  </si>
  <si>
    <t>戴文</t>
  </si>
  <si>
    <t>谢雨勤</t>
  </si>
  <si>
    <t>王佳丽</t>
  </si>
  <si>
    <t>张容芳</t>
  </si>
  <si>
    <t>十一</t>
  </si>
  <si>
    <t>杜微</t>
  </si>
  <si>
    <t>张芸萍</t>
  </si>
  <si>
    <t>马素群</t>
  </si>
  <si>
    <t>肖瑞彤</t>
  </si>
  <si>
    <t>宋事倩</t>
  </si>
  <si>
    <t>林文萍</t>
  </si>
  <si>
    <t>潘秀梅</t>
  </si>
  <si>
    <t>宋园园</t>
  </si>
  <si>
    <t>李秋菊</t>
  </si>
  <si>
    <t>廖涵</t>
  </si>
  <si>
    <t>张爽</t>
  </si>
  <si>
    <t>徐素华</t>
  </si>
  <si>
    <t>胡女士</t>
  </si>
  <si>
    <t>祝香玉</t>
  </si>
  <si>
    <t>张小佳</t>
  </si>
  <si>
    <t>王研</t>
  </si>
  <si>
    <t>陈容英</t>
  </si>
  <si>
    <t>牟晓红</t>
  </si>
  <si>
    <t>毕慧霞</t>
  </si>
  <si>
    <t>孙婉</t>
  </si>
  <si>
    <t>刘娅菲</t>
  </si>
  <si>
    <t>谢梦</t>
  </si>
  <si>
    <t>汪雪琴</t>
  </si>
  <si>
    <t>李勇华</t>
  </si>
  <si>
    <t>张秀蓉</t>
  </si>
  <si>
    <t>林雪芳</t>
  </si>
  <si>
    <t>生命之波</t>
  </si>
  <si>
    <t>刘献芬</t>
  </si>
  <si>
    <t>雍兴玉</t>
  </si>
  <si>
    <t>SLK</t>
  </si>
  <si>
    <t>马晓兰</t>
  </si>
  <si>
    <t>产品</t>
  </si>
  <si>
    <t>杨姐</t>
  </si>
  <si>
    <t>itb</t>
  </si>
  <si>
    <t>刘丁华</t>
  </si>
  <si>
    <t>王琪</t>
  </si>
  <si>
    <t>按顾客的明细</t>
    <phoneticPr fontId="9" type="noConversion"/>
  </si>
  <si>
    <t>7月</t>
    <phoneticPr fontId="9" type="noConversion"/>
  </si>
  <si>
    <t>不足月考核</t>
    <phoneticPr fontId="9" type="noConversion"/>
  </si>
  <si>
    <t>不足月</t>
    <phoneticPr fontId="9" type="noConversion"/>
  </si>
  <si>
    <t>LOOKUP(S6,'②提成标准-B-a-①-增加'!$B$16:$B$20,'②提成标准-B-a-①-增加'!$D$16:$D$20)</t>
    <phoneticPr fontId="9" type="noConversion"/>
  </si>
  <si>
    <t>郑晓芳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</si>
</sst>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_ "/>
    <numFmt numFmtId="178" formatCode="0.00_);[Red]\(0.00\)"/>
    <numFmt numFmtId="179" formatCode="0_);[Red]\(0\)"/>
  </numFmts>
  <fonts count="26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微软雅黑"/>
      <family val="2"/>
      <charset val="134"/>
    </font>
    <font>
      <b/>
      <sz val="11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8"/>
      <name val="微软雅黑"/>
      <family val="2"/>
      <charset val="134"/>
    </font>
    <font>
      <sz val="9"/>
      <name val="宋体"/>
      <family val="3"/>
      <charset val="134"/>
      <scheme val="minor"/>
    </font>
    <font>
      <sz val="8"/>
      <color rgb="FF000000"/>
      <name val="微软雅黑"/>
      <family val="2"/>
      <charset val="134"/>
    </font>
    <font>
      <sz val="8"/>
      <name val="宋体"/>
      <family val="3"/>
      <charset val="134"/>
    </font>
    <font>
      <sz val="8"/>
      <name val="Microsoft YaHei Light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b/>
      <sz val="9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b/>
      <sz val="9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9"/>
      <color theme="1"/>
      <name val="宋体"/>
      <family val="3"/>
      <charset val="134"/>
      <scheme val="minor"/>
    </font>
    <font>
      <sz val="8"/>
      <color rgb="FFFF0000"/>
      <name val="宋体"/>
      <family val="3"/>
      <charset val="134"/>
    </font>
    <font>
      <sz val="8"/>
      <color rgb="FFFF0000"/>
      <name val="微软雅黑"/>
      <family val="2"/>
      <charset val="134"/>
    </font>
    <font>
      <b/>
      <sz val="9"/>
      <color indexed="8"/>
      <name val="微软雅黑"/>
      <family val="2"/>
      <charset val="134"/>
    </font>
    <font>
      <sz val="9"/>
      <color rgb="FFFF0000"/>
      <name val="微软雅黑"/>
      <family val="2"/>
      <charset val="134"/>
    </font>
  </fonts>
  <fills count="21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0" fillId="0" borderId="0" xfId="0" applyNumberFormat="1">
      <alignment vertical="center"/>
    </xf>
    <xf numFmtId="9" fontId="0" fillId="0" borderId="0" xfId="0" applyNumberFormat="1">
      <alignment vertical="center"/>
    </xf>
    <xf numFmtId="10" fontId="1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13" fillId="0" borderId="3" xfId="0" applyFont="1" applyBorder="1">
      <alignment vertical="center"/>
    </xf>
    <xf numFmtId="0" fontId="0" fillId="0" borderId="4" xfId="0" applyBorder="1">
      <alignment vertical="center"/>
    </xf>
    <xf numFmtId="10" fontId="13" fillId="0" borderId="4" xfId="0" applyNumberFormat="1" applyFont="1" applyBorder="1">
      <alignment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10" fontId="0" fillId="0" borderId="16" xfId="0" applyNumberFormat="1" applyBorder="1">
      <alignment vertical="center"/>
    </xf>
    <xf numFmtId="0" fontId="0" fillId="0" borderId="17" xfId="0" applyBorder="1">
      <alignment vertical="center"/>
    </xf>
    <xf numFmtId="0" fontId="0" fillId="0" borderId="0" xfId="0" applyAlignment="1"/>
    <xf numFmtId="9" fontId="0" fillId="0" borderId="0" xfId="0" applyNumberFormat="1" applyAlignment="1"/>
    <xf numFmtId="0" fontId="1" fillId="13" borderId="0" xfId="0" applyFont="1" applyFill="1" applyAlignment="1">
      <alignment horizontal="center" vertical="center"/>
    </xf>
    <xf numFmtId="10" fontId="1" fillId="13" borderId="0" xfId="0" applyNumberFormat="1" applyFont="1" applyFill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10" fontId="5" fillId="13" borderId="0" xfId="0" applyNumberFormat="1" applyFont="1" applyFill="1" applyAlignment="1">
      <alignment horizontal="center" vertical="center"/>
    </xf>
    <xf numFmtId="176" fontId="1" fillId="13" borderId="0" xfId="0" applyNumberFormat="1" applyFont="1" applyFill="1" applyAlignment="1">
      <alignment horizontal="center" vertical="center"/>
    </xf>
    <xf numFmtId="176" fontId="5" fillId="13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0" fontId="15" fillId="13" borderId="0" xfId="0" applyNumberFormat="1" applyFont="1" applyFill="1" applyAlignment="1">
      <alignment horizontal="center" vertical="center"/>
    </xf>
    <xf numFmtId="176" fontId="15" fillId="13" borderId="0" xfId="0" applyNumberFormat="1" applyFont="1" applyFill="1" applyAlignment="1">
      <alignment horizontal="center" vertical="center"/>
    </xf>
    <xf numFmtId="0" fontId="15" fillId="12" borderId="0" xfId="0" applyFont="1" applyFill="1" applyAlignment="1">
      <alignment horizontal="center" vertical="center"/>
    </xf>
    <xf numFmtId="10" fontId="15" fillId="12" borderId="0" xfId="0" applyNumberFormat="1" applyFont="1" applyFill="1" applyAlignment="1">
      <alignment horizontal="center" vertical="center"/>
    </xf>
    <xf numFmtId="10" fontId="15" fillId="0" borderId="0" xfId="0" applyNumberFormat="1" applyFont="1" applyAlignment="1">
      <alignment horizontal="center" vertical="center"/>
    </xf>
    <xf numFmtId="178" fontId="15" fillId="0" borderId="0" xfId="0" applyNumberFormat="1" applyFont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13" borderId="0" xfId="0" applyFont="1" applyFill="1" applyAlignment="1">
      <alignment horizontal="center" vertical="center"/>
    </xf>
    <xf numFmtId="10" fontId="16" fillId="13" borderId="0" xfId="0" applyNumberFormat="1" applyFont="1" applyFill="1" applyAlignment="1">
      <alignment horizontal="center" vertical="center"/>
    </xf>
    <xf numFmtId="176" fontId="16" fillId="13" borderId="0" xfId="0" applyNumberFormat="1" applyFont="1" applyFill="1" applyAlignment="1">
      <alignment horizontal="center" vertical="center"/>
    </xf>
    <xf numFmtId="0" fontId="16" fillId="12" borderId="0" xfId="0" applyFont="1" applyFill="1" applyAlignment="1">
      <alignment horizontal="center" vertical="center"/>
    </xf>
    <xf numFmtId="10" fontId="16" fillId="12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 wrapText="1"/>
    </xf>
    <xf numFmtId="10" fontId="17" fillId="4" borderId="0" xfId="0" applyNumberFormat="1" applyFont="1" applyFill="1" applyAlignment="1">
      <alignment horizontal="center" vertical="center"/>
    </xf>
    <xf numFmtId="178" fontId="17" fillId="4" borderId="0" xfId="0" applyNumberFormat="1" applyFont="1" applyFill="1" applyAlignment="1">
      <alignment horizontal="center" vertical="center"/>
    </xf>
    <xf numFmtId="178" fontId="17" fillId="8" borderId="0" xfId="0" applyNumberFormat="1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/>
    </xf>
    <xf numFmtId="10" fontId="18" fillId="9" borderId="0" xfId="0" applyNumberFormat="1" applyFont="1" applyFill="1" applyAlignment="1">
      <alignment horizontal="center" vertical="center"/>
    </xf>
    <xf numFmtId="9" fontId="18" fillId="9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10" fontId="20" fillId="0" borderId="0" xfId="0" applyNumberFormat="1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9" fontId="20" fillId="10" borderId="0" xfId="0" applyNumberFormat="1" applyFont="1" applyFill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10" fontId="21" fillId="0" borderId="0" xfId="0" applyNumberFormat="1" applyFont="1">
      <alignment vertical="center"/>
    </xf>
    <xf numFmtId="0" fontId="21" fillId="12" borderId="0" xfId="0" applyFont="1" applyFill="1">
      <alignment vertical="center"/>
    </xf>
    <xf numFmtId="176" fontId="15" fillId="4" borderId="0" xfId="0" applyNumberFormat="1" applyFont="1" applyFill="1" applyAlignment="1">
      <alignment horizontal="center" vertical="center"/>
    </xf>
    <xf numFmtId="0" fontId="8" fillId="14" borderId="0" xfId="0" applyFont="1" applyFill="1" applyAlignment="1">
      <alignment horizontal="center" vertical="center"/>
    </xf>
    <xf numFmtId="176" fontId="8" fillId="14" borderId="0" xfId="0" applyNumberFormat="1" applyFont="1" applyFill="1" applyAlignment="1">
      <alignment horizontal="center" vertical="center"/>
    </xf>
    <xf numFmtId="0" fontId="8" fillId="15" borderId="0" xfId="0" applyFont="1" applyFill="1" applyAlignment="1">
      <alignment horizontal="center" vertical="center"/>
    </xf>
    <xf numFmtId="0" fontId="11" fillId="14" borderId="0" xfId="0" applyFont="1" applyFill="1" applyAlignment="1">
      <alignment horizontal="center" vertical="center"/>
    </xf>
    <xf numFmtId="0" fontId="8" fillId="16" borderId="0" xfId="0" applyFont="1" applyFill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/>
    </xf>
    <xf numFmtId="176" fontId="10" fillId="14" borderId="1" xfId="0" applyNumberFormat="1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10" fillId="17" borderId="10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22" fillId="11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0" fontId="23" fillId="17" borderId="1" xfId="0" applyFont="1" applyFill="1" applyBorder="1" applyAlignment="1">
      <alignment horizontal="center" vertical="center"/>
    </xf>
    <xf numFmtId="0" fontId="11" fillId="16" borderId="0" xfId="0" applyFont="1" applyFill="1" applyAlignment="1">
      <alignment horizontal="center" vertical="center"/>
    </xf>
    <xf numFmtId="0" fontId="10" fillId="16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176" fontId="8" fillId="16" borderId="0" xfId="0" applyNumberFormat="1" applyFont="1" applyFill="1" applyAlignment="1">
      <alignment horizontal="center" vertical="center"/>
    </xf>
    <xf numFmtId="0" fontId="21" fillId="18" borderId="0" xfId="0" applyFont="1" applyFill="1">
      <alignment vertical="center"/>
    </xf>
    <xf numFmtId="0" fontId="24" fillId="3" borderId="0" xfId="0" applyFont="1" applyFill="1" applyAlignment="1">
      <alignment horizontal="center" vertical="center"/>
    </xf>
    <xf numFmtId="177" fontId="24" fillId="3" borderId="0" xfId="0" applyNumberFormat="1" applyFont="1" applyFill="1" applyAlignment="1">
      <alignment horizontal="center" vertical="center"/>
    </xf>
    <xf numFmtId="177" fontId="20" fillId="0" borderId="0" xfId="0" applyNumberFormat="1" applyFont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177" fontId="20" fillId="4" borderId="0" xfId="0" applyNumberFormat="1" applyFont="1" applyFill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177" fontId="15" fillId="0" borderId="0" xfId="0" applyNumberFormat="1" applyFont="1">
      <alignment vertical="center"/>
    </xf>
    <xf numFmtId="0" fontId="15" fillId="18" borderId="0" xfId="0" applyFont="1" applyFill="1">
      <alignment vertical="center"/>
    </xf>
    <xf numFmtId="10" fontId="15" fillId="4" borderId="0" xfId="0" applyNumberFormat="1" applyFont="1" applyFill="1" applyAlignment="1">
      <alignment horizontal="center" vertical="center"/>
    </xf>
    <xf numFmtId="9" fontId="20" fillId="0" borderId="0" xfId="0" applyNumberFormat="1" applyFont="1" applyAlignment="1">
      <alignment horizontal="center" vertical="center"/>
    </xf>
    <xf numFmtId="0" fontId="14" fillId="19" borderId="0" xfId="0" applyFont="1" applyFill="1" applyAlignment="1">
      <alignment horizontal="center" vertical="center"/>
    </xf>
    <xf numFmtId="0" fontId="14" fillId="20" borderId="0" xfId="0" applyFont="1" applyFill="1" applyAlignment="1">
      <alignment horizontal="center" vertical="center"/>
    </xf>
    <xf numFmtId="0" fontId="15" fillId="4" borderId="0" xfId="0" applyFont="1" applyFill="1">
      <alignment vertical="center"/>
    </xf>
    <xf numFmtId="0" fontId="25" fillId="4" borderId="0" xfId="0" applyFont="1" applyFill="1" applyAlignment="1">
      <alignment horizontal="center" vertical="center"/>
    </xf>
    <xf numFmtId="177" fontId="14" fillId="19" borderId="0" xfId="0" applyNumberFormat="1" applyFont="1" applyFill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center" vertical="center"/>
    </xf>
    <xf numFmtId="179" fontId="14" fillId="19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1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0000"/>
  </sheetPr>
  <dimension ref="A1:AN284"/>
  <sheetViews>
    <sheetView tabSelected="1" workbookViewId="0">
      <pane xSplit="5" ySplit="5" topLeftCell="O49" activePane="bottomRight" state="frozen"/>
      <selection pane="topRight"/>
      <selection pane="bottomLeft"/>
      <selection pane="bottomRight" activeCell="Q287" sqref="Q287"/>
    </sheetView>
  </sheetViews>
  <sheetFormatPr defaultColWidth="9" defaultRowHeight="14.25" x14ac:dyDescent="0.15"/>
  <cols>
    <col min="1" max="1" width="9" style="52"/>
    <col min="2" max="2" width="9.375" style="52"/>
    <col min="3" max="3" width="10" style="52" customWidth="1"/>
    <col min="4" max="5" width="16.375" style="52" bestFit="1" customWidth="1"/>
    <col min="6" max="6" width="19" style="53" customWidth="1"/>
    <col min="7" max="7" width="11.5" style="53" bestFit="1" customWidth="1"/>
    <col min="8" max="8" width="11.5" style="54" bestFit="1" customWidth="1"/>
    <col min="9" max="9" width="22" style="55" bestFit="1" customWidth="1"/>
    <col min="10" max="10" width="22" style="54" bestFit="1" customWidth="1"/>
    <col min="11" max="11" width="11.5" style="55" bestFit="1" customWidth="1"/>
    <col min="12" max="12" width="14.625" style="56" bestFit="1" customWidth="1"/>
    <col min="13" max="13" width="22" style="57" bestFit="1" customWidth="1"/>
    <col min="14" max="14" width="11.5" style="58" bestFit="1" customWidth="1"/>
    <col min="15" max="15" width="22" style="57" bestFit="1" customWidth="1"/>
    <col min="16" max="16" width="14.625" style="57" bestFit="1" customWidth="1"/>
    <col min="17" max="17" width="14.25" style="53" bestFit="1" customWidth="1"/>
    <col min="18" max="18" width="12.125" style="53" customWidth="1"/>
    <col min="19" max="19" width="10.25" style="53" bestFit="1" customWidth="1"/>
    <col min="20" max="22" width="20.375" style="53" bestFit="1" customWidth="1"/>
    <col min="23" max="23" width="18" style="53" bestFit="1" customWidth="1"/>
    <col min="24" max="25" width="19.75" style="53" bestFit="1" customWidth="1"/>
    <col min="26" max="26" width="21.25" style="53" bestFit="1" customWidth="1"/>
    <col min="27" max="28" width="19.375" style="53" bestFit="1" customWidth="1"/>
    <col min="29" max="29" width="30.375" style="53" bestFit="1" customWidth="1"/>
    <col min="30" max="30" width="15.25" style="53" customWidth="1"/>
    <col min="31" max="31" width="30.375" style="59" bestFit="1" customWidth="1"/>
    <col min="32" max="32" width="14.25" style="59" bestFit="1" customWidth="1"/>
    <col min="33" max="33" width="12.875" style="59" customWidth="1"/>
    <col min="34" max="34" width="12.375" style="60" customWidth="1"/>
    <col min="35" max="35" width="13.125" style="53" customWidth="1"/>
    <col min="36" max="36" width="13.25" style="60" customWidth="1"/>
    <col min="37" max="37" width="11.5" style="53" bestFit="1" customWidth="1"/>
    <col min="38" max="38" width="30.375" style="59" bestFit="1" customWidth="1"/>
    <col min="39" max="39" width="30.375" style="53" bestFit="1" customWidth="1"/>
    <col min="40" max="40" width="35" style="53" bestFit="1" customWidth="1"/>
    <col min="41" max="16384" width="9" style="53"/>
  </cols>
  <sheetData>
    <row r="1" spans="1:40" x14ac:dyDescent="0.15">
      <c r="Q1" s="155" t="s">
        <v>784</v>
      </c>
      <c r="R1" s="155">
        <v>31</v>
      </c>
      <c r="T1" s="53">
        <f>T3-T2</f>
        <v>124036.79999999981</v>
      </c>
      <c r="AE1" s="59" t="s">
        <v>787</v>
      </c>
      <c r="AF1" s="59">
        <f>IF(AD6="",0,LOOKUP(S6,'②提成标准-B-a-①-增加'!$B$16:$B$20,'②提成标准-B-a-①-增加'!$D$16:$D$20))</f>
        <v>0</v>
      </c>
    </row>
    <row r="2" spans="1:40" x14ac:dyDescent="0.15">
      <c r="J2" s="54">
        <f>SUM(J6:J291)</f>
        <v>4990</v>
      </c>
      <c r="M2" s="57" t="s">
        <v>391</v>
      </c>
      <c r="O2" s="57">
        <f>SUM(O6:O291)</f>
        <v>47366.880000000005</v>
      </c>
      <c r="P2" s="57">
        <f>SUM(P6:P291)</f>
        <v>4183774.0100000002</v>
      </c>
      <c r="Q2" s="53" t="s">
        <v>397</v>
      </c>
      <c r="T2" s="53">
        <v>4107104.09</v>
      </c>
      <c r="AF2" s="59">
        <f>LOOKUP(S6/Q6,'②提成标准-B-a-①-增加'!$B$23:$B$27,'②提成标准-B-a-①-增加'!$D$23:$D$27)</f>
        <v>0.03</v>
      </c>
      <c r="AI2" s="59"/>
    </row>
    <row r="3" spans="1:40" ht="19.5" customHeight="1" x14ac:dyDescent="0.15">
      <c r="A3" s="52" t="s">
        <v>443</v>
      </c>
      <c r="B3" s="52" t="s">
        <v>443</v>
      </c>
      <c r="C3" s="52" t="s">
        <v>443</v>
      </c>
      <c r="D3" s="52" t="s">
        <v>444</v>
      </c>
      <c r="E3" s="52" t="s">
        <v>444</v>
      </c>
      <c r="F3" s="52" t="s">
        <v>444</v>
      </c>
      <c r="L3" s="115" t="s">
        <v>451</v>
      </c>
      <c r="M3" s="57" t="s">
        <v>390</v>
      </c>
      <c r="P3" s="115" t="s">
        <v>451</v>
      </c>
      <c r="S3" s="53">
        <f t="shared" ref="S3:Z3" si="0">SUM(S6:S445)</f>
        <v>5377232.8900000015</v>
      </c>
      <c r="T3" s="53">
        <f>SUM(T6:T445)</f>
        <v>4231140.8899999997</v>
      </c>
      <c r="U3" s="53">
        <f t="shared" si="0"/>
        <v>1097988</v>
      </c>
      <c r="V3" s="53">
        <f t="shared" si="0"/>
        <v>48104</v>
      </c>
      <c r="W3" s="53">
        <f t="shared" si="0"/>
        <v>4541671.8099999977</v>
      </c>
      <c r="X3" s="53">
        <f t="shared" si="0"/>
        <v>17158</v>
      </c>
      <c r="Y3" s="53">
        <f t="shared" si="0"/>
        <v>209987</v>
      </c>
      <c r="Z3" s="53">
        <f t="shared" si="0"/>
        <v>13037.5</v>
      </c>
      <c r="AA3" s="53" t="s">
        <v>0</v>
      </c>
      <c r="AF3" s="59">
        <f>IF(AND(E6="T区",E6="门店T区"),"",IF(AD6="",0,LOOKUP(S6,'②提成标准-B-a-①-增加'!$B$16:$B$20,'②提成标准-B-a-①-增加'!$D$16:$D$20)))</f>
        <v>0</v>
      </c>
      <c r="AG3" s="59" t="s">
        <v>662</v>
      </c>
      <c r="AI3" s="59"/>
    </row>
    <row r="4" spans="1:40" ht="19.5" customHeight="1" x14ac:dyDescent="0.15">
      <c r="A4" s="52" t="s">
        <v>445</v>
      </c>
      <c r="B4" s="52" t="s">
        <v>445</v>
      </c>
      <c r="C4" s="52" t="s">
        <v>445</v>
      </c>
      <c r="D4" s="52" t="s">
        <v>446</v>
      </c>
      <c r="E4" s="52" t="s">
        <v>446</v>
      </c>
      <c r="F4" s="52" t="s">
        <v>446</v>
      </c>
      <c r="G4" s="52" t="s">
        <v>447</v>
      </c>
      <c r="H4" s="54" t="s">
        <v>447</v>
      </c>
      <c r="I4" s="55" t="s">
        <v>448</v>
      </c>
      <c r="J4" s="55" t="s">
        <v>448</v>
      </c>
      <c r="K4" s="55" t="s">
        <v>449</v>
      </c>
      <c r="L4" s="115" t="s">
        <v>450</v>
      </c>
      <c r="M4" s="58" t="s">
        <v>448</v>
      </c>
      <c r="N4" s="58" t="s">
        <v>449</v>
      </c>
      <c r="O4" s="58" t="s">
        <v>448</v>
      </c>
      <c r="P4" s="115" t="s">
        <v>450</v>
      </c>
      <c r="Q4" s="53" t="s">
        <v>646</v>
      </c>
      <c r="S4" s="53" t="s">
        <v>450</v>
      </c>
      <c r="T4" s="53" t="s">
        <v>652</v>
      </c>
      <c r="U4" s="53" t="s">
        <v>652</v>
      </c>
      <c r="V4" s="53" t="s">
        <v>652</v>
      </c>
      <c r="W4" s="149" t="s">
        <v>653</v>
      </c>
      <c r="X4" s="149" t="s">
        <v>653</v>
      </c>
      <c r="Y4" s="149" t="s">
        <v>653</v>
      </c>
      <c r="Z4" s="149" t="s">
        <v>690</v>
      </c>
      <c r="AA4" s="53" t="s">
        <v>655</v>
      </c>
      <c r="AB4" s="53" t="s">
        <v>655</v>
      </c>
      <c r="AC4" s="53" t="s">
        <v>659</v>
      </c>
      <c r="AD4" s="53" t="s">
        <v>655</v>
      </c>
      <c r="AE4" s="53" t="s">
        <v>660</v>
      </c>
      <c r="AF4" s="59" t="s">
        <v>661</v>
      </c>
      <c r="AG4" s="59" t="s">
        <v>663</v>
      </c>
      <c r="AH4" s="59" t="s">
        <v>663</v>
      </c>
      <c r="AI4" s="59" t="s">
        <v>663</v>
      </c>
      <c r="AJ4" s="59" t="s">
        <v>663</v>
      </c>
      <c r="AL4" s="53" t="s">
        <v>660</v>
      </c>
      <c r="AM4" s="53" t="s">
        <v>660</v>
      </c>
      <c r="AN4" s="53" t="s">
        <v>664</v>
      </c>
    </row>
    <row r="5" spans="1:40" s="78" customFormat="1" ht="28.5" x14ac:dyDescent="0.15">
      <c r="A5" s="61" t="s">
        <v>2</v>
      </c>
      <c r="B5" s="62" t="s">
        <v>3</v>
      </c>
      <c r="C5" s="62" t="s">
        <v>4</v>
      </c>
      <c r="D5" s="62" t="s">
        <v>5</v>
      </c>
      <c r="E5" s="63" t="s">
        <v>6</v>
      </c>
      <c r="F5" s="64" t="s">
        <v>7</v>
      </c>
      <c r="G5" s="64" t="s">
        <v>8</v>
      </c>
      <c r="H5" s="65" t="s">
        <v>387</v>
      </c>
      <c r="I5" s="66" t="s">
        <v>419</v>
      </c>
      <c r="J5" s="65" t="s">
        <v>420</v>
      </c>
      <c r="K5" s="66" t="s">
        <v>421</v>
      </c>
      <c r="L5" s="67" t="s">
        <v>392</v>
      </c>
      <c r="M5" s="68" t="s">
        <v>388</v>
      </c>
      <c r="N5" s="69" t="s">
        <v>399</v>
      </c>
      <c r="O5" s="68" t="s">
        <v>389</v>
      </c>
      <c r="P5" s="68" t="s">
        <v>392</v>
      </c>
      <c r="Q5" s="64" t="s">
        <v>9</v>
      </c>
      <c r="R5" s="64" t="s">
        <v>785</v>
      </c>
      <c r="S5" s="70" t="s">
        <v>11</v>
      </c>
      <c r="T5" s="70" t="s">
        <v>12</v>
      </c>
      <c r="U5" s="70" t="s">
        <v>13</v>
      </c>
      <c r="V5" s="70" t="s">
        <v>14</v>
      </c>
      <c r="W5" s="70" t="s">
        <v>15</v>
      </c>
      <c r="X5" s="70" t="s">
        <v>16</v>
      </c>
      <c r="Y5" s="70" t="s">
        <v>17</v>
      </c>
      <c r="Z5" s="70" t="s">
        <v>689</v>
      </c>
      <c r="AA5" s="64" t="s">
        <v>18</v>
      </c>
      <c r="AB5" s="64" t="s">
        <v>19</v>
      </c>
      <c r="AC5" s="64" t="s">
        <v>20</v>
      </c>
      <c r="AD5" s="71" t="s">
        <v>21</v>
      </c>
      <c r="AE5" s="71" t="s">
        <v>22</v>
      </c>
      <c r="AF5" s="72" t="s">
        <v>23</v>
      </c>
      <c r="AG5" s="72" t="s">
        <v>24</v>
      </c>
      <c r="AH5" s="73" t="s">
        <v>25</v>
      </c>
      <c r="AI5" s="72" t="s">
        <v>26</v>
      </c>
      <c r="AJ5" s="74" t="s">
        <v>27</v>
      </c>
      <c r="AK5" s="75" t="s">
        <v>28</v>
      </c>
      <c r="AL5" s="76" t="s">
        <v>29</v>
      </c>
      <c r="AM5" s="77" t="s">
        <v>1</v>
      </c>
      <c r="AN5" s="77" t="s">
        <v>427</v>
      </c>
    </row>
    <row r="6" spans="1:40" hidden="1" x14ac:dyDescent="0.15">
      <c r="A6" s="79" t="s">
        <v>428</v>
      </c>
      <c r="B6" s="80">
        <v>468</v>
      </c>
      <c r="C6" s="81" t="s">
        <v>31</v>
      </c>
      <c r="D6" s="82" t="s">
        <v>32</v>
      </c>
      <c r="E6" s="82" t="s">
        <v>34</v>
      </c>
      <c r="F6" s="53" t="str">
        <f t="shared" ref="F6:F69" si="1">B6&amp;"+"&amp;C6</f>
        <v>468+精英队</v>
      </c>
      <c r="G6" s="53">
        <f>IFERROR(_xlfn.XLOOKUP(B6,'①门店信息-A-a-①-增加'!B:B,'①门店信息-A-a-①-增加'!E:E,0),"")</f>
        <v>0</v>
      </c>
      <c r="H6" s="54">
        <f>_xlfn.XLOOKUP(B6,'①门店信息-A-a-①-增加'!B:B,'①门店信息-A-a-①-增加'!F:F,0)</f>
        <v>0</v>
      </c>
      <c r="I6" s="55">
        <f>_xlfn.XLOOKUP(E6,'③新店考核-B-a-②呈现-业绩明细表-③'!B:B,'③新店考核-B-a-②呈现-业绩明细表-③'!E:E,0)</f>
        <v>0</v>
      </c>
      <c r="J6" s="54">
        <f>_xlfn.XLOOKUP(E6,'③新店考核-B-a-②呈现-业绩明细表-③'!B:B,'③新店考核-B-a-②呈现-业绩明细表-③'!F:F,0)</f>
        <v>0</v>
      </c>
      <c r="K6" s="55">
        <f>IF(H6="新店一阶段",LOOKUP(I6,'②提成标准-B-a-①-增加'!$M$9:$M$12,'②提成标准-B-a-①-增加'!$O$9:$O$12),0)</f>
        <v>0</v>
      </c>
      <c r="L6" s="56">
        <f t="shared" ref="L6:L69" si="2">T6-J6</f>
        <v>16127</v>
      </c>
      <c r="M6" s="57">
        <f>_xlfn.XLOOKUP(E6,'③新店考核-B-a-②呈现-业绩明细表-③'!B:B,'③新店考核-B-a-②呈现-业绩明细表-③'!G:G,0)</f>
        <v>0</v>
      </c>
      <c r="N6" s="58" t="str">
        <f>LOOKUP(M6,'②提成标准-B-a-①-增加'!$M$1:$M$4,'②提成标准-B-a-①-增加'!$O$1:$O$4)</f>
        <v>同老店</v>
      </c>
      <c r="O6" s="57">
        <f>_xlfn.XLOOKUP(E6,'③新店考核-B-a-②呈现-业绩明细表-③'!B:B,'③新店考核-B-a-②呈现-业绩明细表-③'!H:H,0)</f>
        <v>0</v>
      </c>
      <c r="P6" s="57">
        <f t="shared" ref="P6:P69" si="3">T6-O6</f>
        <v>16127</v>
      </c>
      <c r="Q6" s="53">
        <f>_xlfn.XLOOKUP(E6,'④考勤-B-a-26考勤汇总表'!D:D,'④考勤-B-a-26考勤汇总表'!AP:AP,0)</f>
        <v>31</v>
      </c>
      <c r="R6" s="53" t="str">
        <f>IF(Q6=0,"",IF(Q6&lt;$R$1,"不足月",""))</f>
        <v/>
      </c>
      <c r="S6" s="53">
        <f>T6+U6+V6</f>
        <v>18015</v>
      </c>
      <c r="T6" s="53">
        <v>16127</v>
      </c>
      <c r="U6" s="53">
        <v>1000</v>
      </c>
      <c r="V6" s="53">
        <v>888</v>
      </c>
      <c r="W6" s="53">
        <f>_xlfn.XLOOKUP(E6,'⑤项目数-B-a-③消耗明细表'!C:C,'⑤项目数-B-a-③消耗明细表'!E:E,0)</f>
        <v>25060.39</v>
      </c>
      <c r="X6" s="53">
        <f>_xlfn.XLOOKUP(E6,'⑤项目数-B-a-③消耗明细表'!C:C,'⑤项目数-B-a-③消耗明细表'!D:D,0)</f>
        <v>128</v>
      </c>
      <c r="Y6" s="53">
        <f>_xlfn.XLOOKUP(E6,'⑤项目数-B-a-③消耗明细表'!C:C,'⑤项目数-B-a-③消耗明细表'!F:F,0)</f>
        <v>1585</v>
      </c>
      <c r="Z6" s="53">
        <f>_xlfn.XLOOKUP(E6,'⑤项目数-B-a-③消耗明细表'!C:C,'⑤项目数-B-a-③消耗明细表'!G:G,0)</f>
        <v>75</v>
      </c>
      <c r="AA6" s="84">
        <f t="shared" ref="AA6:AA69" si="4">IF(G6="新店","新店",IF(C6="单人","单人",IF(OR(C6="T区",C6="单人",G6="新店"),"不属于战队",1)))</f>
        <v>1</v>
      </c>
      <c r="AB6" s="84">
        <f t="shared" ref="AB6:AB69" si="5">IF(AA6=1,IF(Q6&gt;=20,1,0),0)</f>
        <v>1</v>
      </c>
      <c r="AC6" s="53">
        <f>_xlfn.XLOOKUP(F6,'⑥战队统计表-B-a-②呈现-业绩明细表④'!A:A,'⑥战队统计表-B-a-②呈现-业绩明细表④'!B:B,0)</f>
        <v>3</v>
      </c>
      <c r="AD6" s="53" t="str">
        <f>IF(OR(AA6="单人",AA6="新店",AC6&lt;=1,AB6=0),1,"")</f>
        <v/>
      </c>
      <c r="AE6" s="59">
        <f>IF(AD6="",_xlfn.XLOOKUP(F6,'⑥战队统计表-B-a-②呈现-业绩明细表④'!A:A,'⑥战队统计表-B-a-②呈现-业绩明细表④'!D:D,0),0)</f>
        <v>0.04</v>
      </c>
      <c r="AF6" s="85">
        <f>IF(AND(E6="T区",E6="门店T区"),"",IF(AD6="",0,IF(R6="",LOOKUP(S6,'②提成标准-B-a-①-增加'!$B$16:$B$20,'②提成标准-B-a-①-增加'!$D$16:$D$20),LOOKUP(S6/Q6,'②提成标准-B-a-①-增加'!$B$23:$B$27,'②提成标准-B-a-①-增加'!$D$23:$D$27))))</f>
        <v>0</v>
      </c>
      <c r="AG6" s="85">
        <f t="shared" ref="AG6:AG69" si="6">AE6+AF6</f>
        <v>0.04</v>
      </c>
      <c r="AH6" s="60">
        <f>IF(D6="门店T区",0,IF(H6="新店一阶段",J6*K6*0.95+L6*AF6*0.95,IF(N6="同老店",IF(AND($E$6="T区",$E$6="门店T区"),"",AG6*T6*0.95),O6*N6*0.95+P6*0.95*AG6)))</f>
        <v>612.82600000000002</v>
      </c>
      <c r="AI6" s="86">
        <f>IF(D6="门店T区",0,IF(AND($E$6="T区",$E$6="门店T区"),"",AG6*U6*0.95*0.65))</f>
        <v>24.7</v>
      </c>
      <c r="AJ6" s="60">
        <f>AI6+AH6</f>
        <v>637.52600000000007</v>
      </c>
      <c r="AK6" s="87">
        <f>IF(AB6=1,IFERROR(S6/VLOOKUP(F6,'⑥战队统计表-B-a-②呈现-业绩明细表④'!A:C,3,0),0),0)</f>
        <v>0.27054424220580287</v>
      </c>
      <c r="AL6" s="85">
        <f t="shared" ref="AL6:AL69" si="7">IF(D6="顾问",SUMIFS(AK:AK,$F:$F,F6,$D:$D,"健康师"),"")</f>
        <v>0.72945575779419713</v>
      </c>
      <c r="AM6" s="53">
        <f>IF(D6="顾问",_xlfn.XLOOKUP(F6,'⑥战队统计表-B-a-②呈现-业绩明细表④'!A:A,'⑥战队统计表-B-a-②呈现-业绩明细表④'!H:H,0),"")</f>
        <v>532.71</v>
      </c>
      <c r="AN6" s="53" t="str">
        <f t="shared" ref="AN6:AN69" si="8">IF(AND(AB6=1,AD6&lt;&gt;1),F6,"单人")</f>
        <v>468+精英队</v>
      </c>
    </row>
    <row r="7" spans="1:40" hidden="1" x14ac:dyDescent="0.15">
      <c r="A7" s="79" t="s">
        <v>428</v>
      </c>
      <c r="B7" s="80">
        <v>468</v>
      </c>
      <c r="C7" s="81" t="s">
        <v>31</v>
      </c>
      <c r="D7" s="82" t="s">
        <v>6</v>
      </c>
      <c r="E7" s="82" t="s">
        <v>33</v>
      </c>
      <c r="F7" s="53" t="str">
        <f t="shared" si="1"/>
        <v>468+精英队</v>
      </c>
      <c r="G7" s="53">
        <f>IFERROR(_xlfn.XLOOKUP(B7,'①门店信息-A-a-①-增加'!B:B,'①门店信息-A-a-①-增加'!E:E,0),"")</f>
        <v>0</v>
      </c>
      <c r="H7" s="54">
        <f>_xlfn.XLOOKUP(B7,'①门店信息-A-a-①-增加'!B:B,'①门店信息-A-a-①-增加'!F:F,0)</f>
        <v>0</v>
      </c>
      <c r="I7" s="55">
        <f>_xlfn.XLOOKUP(E7,'③新店考核-B-a-②呈现-业绩明细表-③'!B:B,'③新店考核-B-a-②呈现-业绩明细表-③'!E:E,0)</f>
        <v>0</v>
      </c>
      <c r="J7" s="54">
        <f>_xlfn.XLOOKUP(E7,'③新店考核-B-a-②呈现-业绩明细表-③'!B:B,'③新店考核-B-a-②呈现-业绩明细表-③'!F:F,0)</f>
        <v>0</v>
      </c>
      <c r="K7" s="55">
        <f>IF(H7="新店一阶段",LOOKUP(I7,'②提成标准-B-a-①-增加'!$M$9:$M$12,'②提成标准-B-a-①-增加'!$O$9:$O$12),0)</f>
        <v>0</v>
      </c>
      <c r="L7" s="56">
        <f t="shared" si="2"/>
        <v>40265</v>
      </c>
      <c r="M7" s="57">
        <f>_xlfn.XLOOKUP(E7,'③新店考核-B-a-②呈现-业绩明细表-③'!B:B,'③新店考核-B-a-②呈现-业绩明细表-③'!G:G,0)</f>
        <v>0</v>
      </c>
      <c r="N7" s="58" t="str">
        <f>LOOKUP(M7,'②提成标准-B-a-①-增加'!$M$1:$M$4,'②提成标准-B-a-①-增加'!$O$1:$O$4)</f>
        <v>同老店</v>
      </c>
      <c r="O7" s="57">
        <f>_xlfn.XLOOKUP(E7,'③新店考核-B-a-②呈现-业绩明细表-③'!B:B,'③新店考核-B-a-②呈现-业绩明细表-③'!H:H,0)</f>
        <v>0</v>
      </c>
      <c r="P7" s="57">
        <f t="shared" si="3"/>
        <v>40265</v>
      </c>
      <c r="Q7" s="53">
        <f>_xlfn.XLOOKUP(E7,'④考勤-B-a-26考勤汇总表'!D:D,'④考勤-B-a-26考勤汇总表'!AP:AP,0)</f>
        <v>31</v>
      </c>
      <c r="R7" s="53" t="str">
        <f t="shared" ref="R7:R70" si="9">IF(Q7=0,"",IF(Q7&lt;$R$1,"不足月",""))</f>
        <v/>
      </c>
      <c r="S7" s="53">
        <f t="shared" ref="S7:S70" si="10">T7+U7+V7</f>
        <v>40265</v>
      </c>
      <c r="T7" s="53">
        <v>40265</v>
      </c>
      <c r="U7" s="53">
        <v>0</v>
      </c>
      <c r="V7" s="53">
        <v>0</v>
      </c>
      <c r="W7" s="53">
        <f>_xlfn.XLOOKUP(E7,'⑤项目数-B-a-③消耗明细表'!C:C,'⑤项目数-B-a-③消耗明细表'!E:E,0)</f>
        <v>48303.1</v>
      </c>
      <c r="X7" s="53">
        <f>_xlfn.XLOOKUP(E7,'⑤项目数-B-a-③消耗明细表'!C:C,'⑤项目数-B-a-③消耗明细表'!D:D,0)</f>
        <v>127</v>
      </c>
      <c r="Y7" s="53">
        <f>_xlfn.XLOOKUP(E7,'⑤项目数-B-a-③消耗明细表'!C:C,'⑤项目数-B-a-③消耗明细表'!F:F,0)</f>
        <v>1533</v>
      </c>
      <c r="Z7" s="53">
        <f>_xlfn.XLOOKUP(E7,'⑤项目数-B-a-③消耗明细表'!C:C,'⑤项目数-B-a-③消耗明细表'!G:G,0)</f>
        <v>150</v>
      </c>
      <c r="AA7" s="84">
        <f t="shared" si="4"/>
        <v>1</v>
      </c>
      <c r="AB7" s="84">
        <f t="shared" si="5"/>
        <v>1</v>
      </c>
      <c r="AC7" s="53">
        <f>_xlfn.XLOOKUP(F7,'⑥战队统计表-B-a-②呈现-业绩明细表④'!A:A,'⑥战队统计表-B-a-②呈现-业绩明细表④'!B:B,0)</f>
        <v>3</v>
      </c>
      <c r="AD7" s="53" t="str">
        <f t="shared" ref="AD7:AD70" si="11">IF(OR(AA7="单人",AA7="新店",AC7&lt;=1,AB7=0),1,"")</f>
        <v/>
      </c>
      <c r="AE7" s="59">
        <f>IF(AD7="",_xlfn.XLOOKUP(F7,'⑥战队统计表-B-a-②呈现-业绩明细表④'!A:A,'⑥战队统计表-B-a-②呈现-业绩明细表④'!D:D,0),0)</f>
        <v>0.04</v>
      </c>
      <c r="AF7" s="85">
        <f>IF(AND(E7="T区",E7="门店T区"),"",IF(AD7="",0,IF(R7="",LOOKUP(S7,'②提成标准-B-a-①-增加'!$B$16:$B$20,'②提成标准-B-a-①-增加'!$D$16:$D$20),LOOKUP(S7/Q7,'②提成标准-B-a-①-增加'!$B$23:$B$27,'②提成标准-B-a-①-增加'!$D$23:$D$27))))</f>
        <v>0</v>
      </c>
      <c r="AG7" s="85">
        <f t="shared" si="6"/>
        <v>0.04</v>
      </c>
      <c r="AH7" s="60">
        <f t="shared" ref="AH7:AH70" si="12">IF(D7="门店T区",0,IF(H7="新店一阶段",J7*K7*0.95+L7*AF7*0.95,IF(N7="同老店",IF(AND($E$6="T区",$E$6="门店T区"),"",AG7*T7*0.95),O7*N7*0.95+P7*0.95*AG7)))</f>
        <v>1530.0700000000002</v>
      </c>
      <c r="AI7" s="86">
        <f t="shared" ref="AI7:AI70" si="13">IF(D7="门店T区",0,IF(AND($E$6="T区",$E$6="门店T区"),"",AG7*U7*0.95*0.65))</f>
        <v>0</v>
      </c>
      <c r="AJ7" s="60">
        <f t="shared" ref="AJ7:AJ70" si="14">AI7+AH7</f>
        <v>1530.0700000000002</v>
      </c>
      <c r="AK7" s="87">
        <f>IF(AB7=1,IFERROR(S7/VLOOKUP(F7,'⑥战队统计表-B-a-②呈现-业绩明细表④'!A:C,3,0),0),0)</f>
        <v>0.60468853246831256</v>
      </c>
      <c r="AL7" s="85" t="str">
        <f t="shared" si="7"/>
        <v/>
      </c>
      <c r="AM7" s="53" t="str">
        <f>IF(D7="顾问",_xlfn.XLOOKUP(F7,'⑥战队统计表-B-a-②呈现-业绩明细表④'!A:A,'⑥战队统计表-B-a-②呈现-业绩明细表④'!H:H,0),"")</f>
        <v/>
      </c>
      <c r="AN7" s="53" t="str">
        <f t="shared" si="8"/>
        <v>468+精英队</v>
      </c>
    </row>
    <row r="8" spans="1:40" hidden="1" x14ac:dyDescent="0.15">
      <c r="A8" s="79" t="s">
        <v>428</v>
      </c>
      <c r="B8" s="80">
        <v>468</v>
      </c>
      <c r="C8" s="81" t="s">
        <v>31</v>
      </c>
      <c r="D8" s="82" t="s">
        <v>6</v>
      </c>
      <c r="E8" s="82" t="s">
        <v>35</v>
      </c>
      <c r="F8" s="53" t="str">
        <f t="shared" si="1"/>
        <v>468+精英队</v>
      </c>
      <c r="G8" s="53">
        <f>IFERROR(_xlfn.XLOOKUP(B8,'①门店信息-A-a-①-增加'!B:B,'①门店信息-A-a-①-增加'!E:E,0),"")</f>
        <v>0</v>
      </c>
      <c r="H8" s="54">
        <f>_xlfn.XLOOKUP(B8,'①门店信息-A-a-①-增加'!B:B,'①门店信息-A-a-①-增加'!F:F,0)</f>
        <v>0</v>
      </c>
      <c r="I8" s="55">
        <f>_xlfn.XLOOKUP(E8,'③新店考核-B-a-②呈现-业绩明细表-③'!B:B,'③新店考核-B-a-②呈现-业绩明细表-③'!E:E,0)</f>
        <v>0</v>
      </c>
      <c r="J8" s="54">
        <f>_xlfn.XLOOKUP(E8,'③新店考核-B-a-②呈现-业绩明细表-③'!B:B,'③新店考核-B-a-②呈现-业绩明细表-③'!F:F,0)</f>
        <v>0</v>
      </c>
      <c r="K8" s="55">
        <f>IF(H8="新店一阶段",LOOKUP(I8,'②提成标准-B-a-①-增加'!$M$9:$M$12,'②提成标准-B-a-①-增加'!$O$9:$O$12),0)</f>
        <v>0</v>
      </c>
      <c r="L8" s="56">
        <f t="shared" si="2"/>
        <v>8308</v>
      </c>
      <c r="M8" s="57">
        <f>_xlfn.XLOOKUP(E8,'③新店考核-B-a-②呈现-业绩明细表-③'!B:B,'③新店考核-B-a-②呈现-业绩明细表-③'!G:G,0)</f>
        <v>0</v>
      </c>
      <c r="N8" s="58" t="str">
        <f>LOOKUP(M8,'②提成标准-B-a-①-增加'!$M$1:$M$4,'②提成标准-B-a-①-增加'!$O$1:$O$4)</f>
        <v>同老店</v>
      </c>
      <c r="O8" s="57">
        <f>_xlfn.XLOOKUP(E8,'③新店考核-B-a-②呈现-业绩明细表-③'!B:B,'③新店考核-B-a-②呈现-业绩明细表-③'!H:H,0)</f>
        <v>0</v>
      </c>
      <c r="P8" s="57">
        <f t="shared" si="3"/>
        <v>8308</v>
      </c>
      <c r="Q8" s="53">
        <f>_xlfn.XLOOKUP(E8,'④考勤-B-a-26考勤汇总表'!D:D,'④考勤-B-a-26考勤汇总表'!AP:AP,0)</f>
        <v>31</v>
      </c>
      <c r="R8" s="53" t="str">
        <f t="shared" si="9"/>
        <v/>
      </c>
      <c r="S8" s="53">
        <f t="shared" si="10"/>
        <v>8308</v>
      </c>
      <c r="T8" s="53">
        <v>8308</v>
      </c>
      <c r="U8" s="53">
        <v>0</v>
      </c>
      <c r="V8" s="53">
        <v>0</v>
      </c>
      <c r="W8" s="53">
        <f>_xlfn.XLOOKUP(E8,'⑤项目数-B-a-③消耗明细表'!C:C,'⑤项目数-B-a-③消耗明细表'!E:E,0)</f>
        <v>14604.05</v>
      </c>
      <c r="X8" s="53">
        <f>_xlfn.XLOOKUP(E8,'⑤项目数-B-a-③消耗明细表'!C:C,'⑤项目数-B-a-③消耗明细表'!D:D,0)</f>
        <v>116</v>
      </c>
      <c r="Y8" s="53">
        <f>_xlfn.XLOOKUP(E8,'⑤项目数-B-a-③消耗明细表'!C:C,'⑤项目数-B-a-③消耗明细表'!F:F,0)</f>
        <v>1571</v>
      </c>
      <c r="Z8" s="53">
        <f>_xlfn.XLOOKUP(E8,'⑤项目数-B-a-③消耗明细表'!C:C,'⑤项目数-B-a-③消耗明细表'!G:G,0)</f>
        <v>80</v>
      </c>
      <c r="AA8" s="84">
        <f t="shared" si="4"/>
        <v>1</v>
      </c>
      <c r="AB8" s="84">
        <f t="shared" si="5"/>
        <v>1</v>
      </c>
      <c r="AC8" s="53">
        <f>_xlfn.XLOOKUP(F8,'⑥战队统计表-B-a-②呈现-业绩明细表④'!A:A,'⑥战队统计表-B-a-②呈现-业绩明细表④'!B:B,0)</f>
        <v>3</v>
      </c>
      <c r="AD8" s="53" t="str">
        <f t="shared" si="11"/>
        <v/>
      </c>
      <c r="AE8" s="59">
        <f>IF(AD8="",_xlfn.XLOOKUP(F8,'⑥战队统计表-B-a-②呈现-业绩明细表④'!A:A,'⑥战队统计表-B-a-②呈现-业绩明细表④'!D:D,0),0)</f>
        <v>0.04</v>
      </c>
      <c r="AF8" s="85">
        <f>IF(AND(E8="T区",E8="门店T区"),"",IF(AD8="",0,IF(R8="",LOOKUP(S8,'②提成标准-B-a-①-增加'!$B$16:$B$20,'②提成标准-B-a-①-增加'!$D$16:$D$20),LOOKUP(S8/Q8,'②提成标准-B-a-①-增加'!$B$23:$B$27,'②提成标准-B-a-①-增加'!$D$23:$D$27))))</f>
        <v>0</v>
      </c>
      <c r="AG8" s="85">
        <f t="shared" si="6"/>
        <v>0.04</v>
      </c>
      <c r="AH8" s="60">
        <f t="shared" si="12"/>
        <v>315.70399999999995</v>
      </c>
      <c r="AI8" s="86">
        <f t="shared" si="13"/>
        <v>0</v>
      </c>
      <c r="AJ8" s="60">
        <f t="shared" si="14"/>
        <v>315.70399999999995</v>
      </c>
      <c r="AK8" s="87">
        <f>IF(AB8=1,IFERROR(S8/VLOOKUP(F8,'⑥战队统计表-B-a-②呈现-业绩明细表④'!A:C,3,0),0),0)</f>
        <v>0.12476722532588454</v>
      </c>
      <c r="AL8" s="85" t="str">
        <f t="shared" si="7"/>
        <v/>
      </c>
      <c r="AM8" s="53" t="str">
        <f>IF(D8="顾问",_xlfn.XLOOKUP(F8,'⑥战队统计表-B-a-②呈现-业绩明细表④'!A:A,'⑥战队统计表-B-a-②呈现-业绩明细表④'!H:H,0),"")</f>
        <v/>
      </c>
      <c r="AN8" s="53" t="str">
        <f t="shared" si="8"/>
        <v>468+精英队</v>
      </c>
    </row>
    <row r="9" spans="1:40" hidden="1" x14ac:dyDescent="0.15">
      <c r="A9" s="79" t="s">
        <v>428</v>
      </c>
      <c r="B9" s="80">
        <v>468</v>
      </c>
      <c r="C9" s="81" t="s">
        <v>36</v>
      </c>
      <c r="D9" s="82" t="s">
        <v>36</v>
      </c>
      <c r="E9" s="82" t="s">
        <v>36</v>
      </c>
      <c r="F9" s="53" t="str">
        <f t="shared" si="1"/>
        <v>468+T区</v>
      </c>
      <c r="G9" s="53">
        <f>IFERROR(_xlfn.XLOOKUP(B9,'①门店信息-A-a-①-增加'!B:B,'①门店信息-A-a-①-增加'!E:E,0),"")</f>
        <v>0</v>
      </c>
      <c r="H9" s="54">
        <f>_xlfn.XLOOKUP(B9,'①门店信息-A-a-①-增加'!B:B,'①门店信息-A-a-①-增加'!F:F,0)</f>
        <v>0</v>
      </c>
      <c r="I9" s="55">
        <f>_xlfn.XLOOKUP(E9,'③新店考核-B-a-②呈现-业绩明细表-③'!B:B,'③新店考核-B-a-②呈现-业绩明细表-③'!E:E,0)</f>
        <v>0</v>
      </c>
      <c r="J9" s="54">
        <f>_xlfn.XLOOKUP(E9,'③新店考核-B-a-②呈现-业绩明细表-③'!B:B,'③新店考核-B-a-②呈现-业绩明细表-③'!F:F,0)</f>
        <v>0</v>
      </c>
      <c r="K9" s="55">
        <f>IF(H9="新店一阶段",LOOKUP(I9,'②提成标准-B-a-①-增加'!$M$9:$M$12,'②提成标准-B-a-①-增加'!$O$9:$O$12),0)</f>
        <v>0</v>
      </c>
      <c r="L9" s="56">
        <f t="shared" si="2"/>
        <v>0</v>
      </c>
      <c r="M9" s="57">
        <f>_xlfn.XLOOKUP(E9,'③新店考核-B-a-②呈现-业绩明细表-③'!B:B,'③新店考核-B-a-②呈现-业绩明细表-③'!G:G,0)</f>
        <v>0</v>
      </c>
      <c r="N9" s="58" t="str">
        <f>LOOKUP(M9,'②提成标准-B-a-①-增加'!$M$1:$M$4,'②提成标准-B-a-①-增加'!$O$1:$O$4)</f>
        <v>同老店</v>
      </c>
      <c r="O9" s="57">
        <f>_xlfn.XLOOKUP(E9,'③新店考核-B-a-②呈现-业绩明细表-③'!B:B,'③新店考核-B-a-②呈现-业绩明细表-③'!H:H,0)</f>
        <v>0</v>
      </c>
      <c r="P9" s="57">
        <f t="shared" si="3"/>
        <v>0</v>
      </c>
      <c r="Q9" s="53">
        <f>_xlfn.XLOOKUP(E9,'④考勤-B-a-26考勤汇总表'!D:D,'④考勤-B-a-26考勤汇总表'!AP:AP,0)</f>
        <v>0</v>
      </c>
      <c r="R9" s="53" t="str">
        <f t="shared" si="9"/>
        <v/>
      </c>
      <c r="S9" s="53">
        <f t="shared" si="10"/>
        <v>0</v>
      </c>
      <c r="T9" s="53">
        <v>0</v>
      </c>
      <c r="U9" s="53">
        <v>0</v>
      </c>
      <c r="V9" s="53">
        <v>0</v>
      </c>
      <c r="W9" s="53">
        <f>_xlfn.XLOOKUP(E9,'⑤项目数-B-a-③消耗明细表'!C:C,'⑤项目数-B-a-③消耗明细表'!E:E,0)</f>
        <v>0</v>
      </c>
      <c r="X9" s="53">
        <f>_xlfn.XLOOKUP(E9,'⑤项目数-B-a-③消耗明细表'!C:C,'⑤项目数-B-a-③消耗明细表'!D:D,0)</f>
        <v>0</v>
      </c>
      <c r="Y9" s="53">
        <f>_xlfn.XLOOKUP(E9,'⑤项目数-B-a-③消耗明细表'!C:C,'⑤项目数-B-a-③消耗明细表'!F:F,0)</f>
        <v>0</v>
      </c>
      <c r="Z9" s="53">
        <f>_xlfn.XLOOKUP(E9,'⑤项目数-B-a-③消耗明细表'!C:C,'⑤项目数-B-a-③消耗明细表'!G:G,0)</f>
        <v>0</v>
      </c>
      <c r="AA9" s="84" t="str">
        <f t="shared" si="4"/>
        <v>不属于战队</v>
      </c>
      <c r="AB9" s="84">
        <f t="shared" si="5"/>
        <v>0</v>
      </c>
      <c r="AC9" s="53">
        <f>_xlfn.XLOOKUP(F9,'⑥战队统计表-B-a-②呈现-业绩明细表④'!A:A,'⑥战队统计表-B-a-②呈现-业绩明细表④'!B:B,0)</f>
        <v>0</v>
      </c>
      <c r="AD9" s="53">
        <f t="shared" si="11"/>
        <v>1</v>
      </c>
      <c r="AE9" s="59">
        <f>IF(AD9="",_xlfn.XLOOKUP(F9,'⑥战队统计表-B-a-②呈现-业绩明细表④'!A:A,'⑥战队统计表-B-a-②呈现-业绩明细表④'!D:D,0),0)</f>
        <v>0</v>
      </c>
      <c r="AF9" s="85">
        <f>IF(AND(E9="T区",E9="门店T区"),"",IF(AD9="",0,IF(R9="",LOOKUP(S9,'②提成标准-B-a-①-增加'!$B$16:$B$20,'②提成标准-B-a-①-增加'!$D$16:$D$20),LOOKUP(S9/Q9,'②提成标准-B-a-①-增加'!$B$23:$B$27,'②提成标准-B-a-①-增加'!$D$23:$D$27))))</f>
        <v>0</v>
      </c>
      <c r="AG9" s="85">
        <f t="shared" si="6"/>
        <v>0</v>
      </c>
      <c r="AH9" s="60">
        <f t="shared" si="12"/>
        <v>0</v>
      </c>
      <c r="AI9" s="86">
        <f t="shared" si="13"/>
        <v>0</v>
      </c>
      <c r="AJ9" s="60">
        <f t="shared" si="14"/>
        <v>0</v>
      </c>
      <c r="AK9" s="87">
        <f>IF(AB9=1,IFERROR(S9/VLOOKUP(F9,'⑥战队统计表-B-a-②呈现-业绩明细表④'!A:C,3,0),0),0)</f>
        <v>0</v>
      </c>
      <c r="AL9" s="85" t="str">
        <f t="shared" si="7"/>
        <v/>
      </c>
      <c r="AM9" s="53" t="str">
        <f>IF(D9="顾问",_xlfn.XLOOKUP(F9,'⑥战队统计表-B-a-②呈现-业绩明细表④'!A:A,'⑥战队统计表-B-a-②呈现-业绩明细表④'!H:H,0),"")</f>
        <v/>
      </c>
      <c r="AN9" s="53" t="str">
        <f t="shared" si="8"/>
        <v>单人</v>
      </c>
    </row>
    <row r="10" spans="1:40" hidden="1" x14ac:dyDescent="0.15">
      <c r="A10" s="79" t="s">
        <v>428</v>
      </c>
      <c r="B10" s="80">
        <v>468</v>
      </c>
      <c r="C10" s="81" t="s">
        <v>37</v>
      </c>
      <c r="D10" s="82" t="s">
        <v>32</v>
      </c>
      <c r="E10" s="82" t="s">
        <v>38</v>
      </c>
      <c r="F10" s="53" t="str">
        <f t="shared" si="1"/>
        <v>468+冲锋队</v>
      </c>
      <c r="G10" s="53">
        <f>IFERROR(_xlfn.XLOOKUP(B10,'①门店信息-A-a-①-增加'!B:B,'①门店信息-A-a-①-增加'!E:E,0),"")</f>
        <v>0</v>
      </c>
      <c r="H10" s="54">
        <f>_xlfn.XLOOKUP(B10,'①门店信息-A-a-①-增加'!B:B,'①门店信息-A-a-①-增加'!F:F,0)</f>
        <v>0</v>
      </c>
      <c r="I10" s="55">
        <f>_xlfn.XLOOKUP(E10,'③新店考核-B-a-②呈现-业绩明细表-③'!B:B,'③新店考核-B-a-②呈现-业绩明细表-③'!E:E,0)</f>
        <v>0</v>
      </c>
      <c r="J10" s="54">
        <f>_xlfn.XLOOKUP(E10,'③新店考核-B-a-②呈现-业绩明细表-③'!B:B,'③新店考核-B-a-②呈现-业绩明细表-③'!F:F,0)</f>
        <v>0</v>
      </c>
      <c r="K10" s="55">
        <f>IF(H10="新店一阶段",LOOKUP(I10,'②提成标准-B-a-①-增加'!$M$9:$M$12,'②提成标准-B-a-①-增加'!$O$9:$O$12),0)</f>
        <v>0</v>
      </c>
      <c r="L10" s="56">
        <f t="shared" si="2"/>
        <v>29735</v>
      </c>
      <c r="M10" s="57">
        <f>_xlfn.XLOOKUP(E10,'③新店考核-B-a-②呈现-业绩明细表-③'!B:B,'③新店考核-B-a-②呈现-业绩明细表-③'!G:G,0)</f>
        <v>0</v>
      </c>
      <c r="N10" s="58" t="str">
        <f>LOOKUP(M10,'②提成标准-B-a-①-增加'!$M$1:$M$4,'②提成标准-B-a-①-增加'!$O$1:$O$4)</f>
        <v>同老店</v>
      </c>
      <c r="O10" s="57">
        <f>_xlfn.XLOOKUP(E10,'③新店考核-B-a-②呈现-业绩明细表-③'!B:B,'③新店考核-B-a-②呈现-业绩明细表-③'!H:H,0)</f>
        <v>0</v>
      </c>
      <c r="P10" s="57">
        <f t="shared" si="3"/>
        <v>29735</v>
      </c>
      <c r="Q10" s="53">
        <f>_xlfn.XLOOKUP(E10,'④考勤-B-a-26考勤汇总表'!D:D,'④考勤-B-a-26考勤汇总表'!AP:AP,0)</f>
        <v>31</v>
      </c>
      <c r="R10" s="53" t="str">
        <f t="shared" si="9"/>
        <v/>
      </c>
      <c r="S10" s="53">
        <f t="shared" si="10"/>
        <v>40735</v>
      </c>
      <c r="T10" s="53">
        <v>29735</v>
      </c>
      <c r="U10" s="53">
        <v>11000</v>
      </c>
      <c r="V10" s="53">
        <v>0</v>
      </c>
      <c r="W10" s="53">
        <f>_xlfn.XLOOKUP(E10,'⑤项目数-B-a-③消耗明细表'!C:C,'⑤项目数-B-a-③消耗明细表'!E:E,0)</f>
        <v>65626.87</v>
      </c>
      <c r="X10" s="53">
        <f>_xlfn.XLOOKUP(E10,'⑤项目数-B-a-③消耗明细表'!C:C,'⑤项目数-B-a-③消耗明细表'!D:D,0)</f>
        <v>142</v>
      </c>
      <c r="Y10" s="53">
        <f>_xlfn.XLOOKUP(E10,'⑤项目数-B-a-③消耗明细表'!C:C,'⑤项目数-B-a-③消耗明细表'!F:F,0)</f>
        <v>1931</v>
      </c>
      <c r="Z10" s="53">
        <f>_xlfn.XLOOKUP(E10,'⑤项目数-B-a-③消耗明细表'!C:C,'⑤项目数-B-a-③消耗明细表'!G:G,0)</f>
        <v>235</v>
      </c>
      <c r="AA10" s="84">
        <f t="shared" si="4"/>
        <v>1</v>
      </c>
      <c r="AB10" s="84">
        <f t="shared" si="5"/>
        <v>1</v>
      </c>
      <c r="AC10" s="53">
        <f>_xlfn.XLOOKUP(F10,'⑥战队统计表-B-a-②呈现-业绩明细表④'!A:A,'⑥战队统计表-B-a-②呈现-业绩明细表④'!B:B,0)</f>
        <v>2</v>
      </c>
      <c r="AD10" s="53" t="str">
        <f t="shared" si="11"/>
        <v/>
      </c>
      <c r="AE10" s="59">
        <f>IF(AD10="",_xlfn.XLOOKUP(F10,'⑥战队统计表-B-a-②呈现-业绩明细表④'!A:A,'⑥战队统计表-B-a-②呈现-业绩明细表④'!D:D,0),0)</f>
        <v>0.05</v>
      </c>
      <c r="AF10" s="85">
        <f>IF(AND(E10="T区",E10="门店T区"),"",IF(AD10="",0,IF(R10="",LOOKUP(S10,'②提成标准-B-a-①-增加'!$B$16:$B$20,'②提成标准-B-a-①-增加'!$D$16:$D$20),LOOKUP(S10/Q10,'②提成标准-B-a-①-增加'!$B$23:$B$27,'②提成标准-B-a-①-增加'!$D$23:$D$27))))</f>
        <v>0</v>
      </c>
      <c r="AG10" s="85">
        <f t="shared" si="6"/>
        <v>0.05</v>
      </c>
      <c r="AH10" s="60">
        <f t="shared" si="12"/>
        <v>1412.4124999999999</v>
      </c>
      <c r="AI10" s="86">
        <f t="shared" si="13"/>
        <v>339.625</v>
      </c>
      <c r="AJ10" s="60">
        <f t="shared" si="14"/>
        <v>1752.0374999999999</v>
      </c>
      <c r="AK10" s="87">
        <f>IF(AB10=1,IFERROR(S10/VLOOKUP(F10,'⑥战队统计表-B-a-②呈现-业绩明细表④'!A:C,3,0),0),0)</f>
        <v>0.63941168160484718</v>
      </c>
      <c r="AL10" s="85">
        <f t="shared" si="7"/>
        <v>0.36058831839515282</v>
      </c>
      <c r="AM10" s="53">
        <f>IF(D10="顾问",_xlfn.XLOOKUP(F10,'⑥战队统计表-B-a-②呈现-业绩明细表④'!A:A,'⑥战队统计表-B-a-②呈现-业绩明细表④'!H:H,0),"")</f>
        <v>191.13</v>
      </c>
      <c r="AN10" s="53" t="str">
        <f t="shared" si="8"/>
        <v>468+冲锋队</v>
      </c>
    </row>
    <row r="11" spans="1:40" hidden="1" x14ac:dyDescent="0.15">
      <c r="A11" s="79" t="s">
        <v>428</v>
      </c>
      <c r="B11" s="80">
        <v>468</v>
      </c>
      <c r="C11" s="81" t="s">
        <v>37</v>
      </c>
      <c r="D11" s="82" t="s">
        <v>6</v>
      </c>
      <c r="E11" s="82" t="s">
        <v>39</v>
      </c>
      <c r="F11" s="53" t="str">
        <f t="shared" si="1"/>
        <v>468+冲锋队</v>
      </c>
      <c r="G11" s="53">
        <f>IFERROR(_xlfn.XLOOKUP(B11,'①门店信息-A-a-①-增加'!B:B,'①门店信息-A-a-①-增加'!E:E,0),"")</f>
        <v>0</v>
      </c>
      <c r="H11" s="54">
        <f>_xlfn.XLOOKUP(B11,'①门店信息-A-a-①-增加'!B:B,'①门店信息-A-a-①-增加'!F:F,0)</f>
        <v>0</v>
      </c>
      <c r="I11" s="55">
        <f>_xlfn.XLOOKUP(E11,'③新店考核-B-a-②呈现-业绩明细表-③'!B:B,'③新店考核-B-a-②呈现-业绩明细表-③'!E:E,0)</f>
        <v>0</v>
      </c>
      <c r="J11" s="54">
        <f>_xlfn.XLOOKUP(E11,'③新店考核-B-a-②呈现-业绩明细表-③'!B:B,'③新店考核-B-a-②呈现-业绩明细表-③'!F:F,0)</f>
        <v>0</v>
      </c>
      <c r="K11" s="55">
        <f>IF(H11="新店一阶段",LOOKUP(I11,'②提成标准-B-a-①-增加'!$M$9:$M$12,'②提成标准-B-a-①-增加'!$O$9:$O$12),0)</f>
        <v>0</v>
      </c>
      <c r="L11" s="56">
        <f t="shared" si="2"/>
        <v>22473</v>
      </c>
      <c r="M11" s="57">
        <f>_xlfn.XLOOKUP(E11,'③新店考核-B-a-②呈现-业绩明细表-③'!B:B,'③新店考核-B-a-②呈现-业绩明细表-③'!G:G,0)</f>
        <v>0</v>
      </c>
      <c r="N11" s="58" t="str">
        <f>LOOKUP(M11,'②提成标准-B-a-①-增加'!$M$1:$M$4,'②提成标准-B-a-①-增加'!$O$1:$O$4)</f>
        <v>同老店</v>
      </c>
      <c r="O11" s="57">
        <f>_xlfn.XLOOKUP(E11,'③新店考核-B-a-②呈现-业绩明细表-③'!B:B,'③新店考核-B-a-②呈现-业绩明细表-③'!H:H,0)</f>
        <v>0</v>
      </c>
      <c r="P11" s="57">
        <f t="shared" si="3"/>
        <v>22473</v>
      </c>
      <c r="Q11" s="53">
        <f>_xlfn.XLOOKUP(E11,'④考勤-B-a-26考勤汇总表'!D:D,'④考勤-B-a-26考勤汇总表'!AP:AP,0)</f>
        <v>31</v>
      </c>
      <c r="R11" s="53" t="str">
        <f t="shared" si="9"/>
        <v/>
      </c>
      <c r="S11" s="53">
        <f t="shared" si="10"/>
        <v>22972</v>
      </c>
      <c r="T11" s="53">
        <v>22473</v>
      </c>
      <c r="U11" s="53">
        <v>499</v>
      </c>
      <c r="V11" s="53">
        <v>0</v>
      </c>
      <c r="W11" s="53">
        <f>_xlfn.XLOOKUP(E11,'⑤项目数-B-a-③消耗明细表'!C:C,'⑤项目数-B-a-③消耗明细表'!E:E,0)</f>
        <v>24362.94</v>
      </c>
      <c r="X11" s="53">
        <f>_xlfn.XLOOKUP(E11,'⑤项目数-B-a-③消耗明细表'!C:C,'⑤项目数-B-a-③消耗明细表'!D:D,0)</f>
        <v>129</v>
      </c>
      <c r="Y11" s="53">
        <f>_xlfn.XLOOKUP(E11,'⑤项目数-B-a-③消耗明细表'!C:C,'⑤项目数-B-a-③消耗明细表'!F:F,0)</f>
        <v>1642</v>
      </c>
      <c r="Z11" s="53">
        <f>_xlfn.XLOOKUP(E11,'⑤项目数-B-a-③消耗明细表'!C:C,'⑤项目数-B-a-③消耗明细表'!G:G,0)</f>
        <v>85</v>
      </c>
      <c r="AA11" s="84">
        <f t="shared" si="4"/>
        <v>1</v>
      </c>
      <c r="AB11" s="84">
        <f t="shared" si="5"/>
        <v>1</v>
      </c>
      <c r="AC11" s="53">
        <f>_xlfn.XLOOKUP(F11,'⑥战队统计表-B-a-②呈现-业绩明细表④'!A:A,'⑥战队统计表-B-a-②呈现-业绩明细表④'!B:B,0)</f>
        <v>2</v>
      </c>
      <c r="AD11" s="53" t="str">
        <f t="shared" si="11"/>
        <v/>
      </c>
      <c r="AE11" s="59">
        <f>IF(AD11="",_xlfn.XLOOKUP(F11,'⑥战队统计表-B-a-②呈现-业绩明细表④'!A:A,'⑥战队统计表-B-a-②呈现-业绩明细表④'!D:D,0),0)</f>
        <v>0.05</v>
      </c>
      <c r="AF11" s="85">
        <f>IF(AND(E11="T区",E11="门店T区"),"",IF(AD11="",0,IF(R11="",LOOKUP(S11,'②提成标准-B-a-①-增加'!$B$16:$B$20,'②提成标准-B-a-①-增加'!$D$16:$D$20),LOOKUP(S11/Q11,'②提成标准-B-a-①-增加'!$B$23:$B$27,'②提成标准-B-a-①-增加'!$D$23:$D$27))))</f>
        <v>0</v>
      </c>
      <c r="AG11" s="85">
        <f t="shared" si="6"/>
        <v>0.05</v>
      </c>
      <c r="AH11" s="60">
        <f t="shared" si="12"/>
        <v>1067.4675</v>
      </c>
      <c r="AI11" s="86">
        <f t="shared" si="13"/>
        <v>15.406625</v>
      </c>
      <c r="AJ11" s="60">
        <f t="shared" si="14"/>
        <v>1082.874125</v>
      </c>
      <c r="AK11" s="87">
        <f>IF(AB11=1,IFERROR(S11/VLOOKUP(F11,'⑥战队统计表-B-a-②呈现-业绩明细表④'!A:C,3,0),0),0)</f>
        <v>0.36058831839515282</v>
      </c>
      <c r="AL11" s="85" t="str">
        <f t="shared" si="7"/>
        <v/>
      </c>
      <c r="AM11" s="53" t="str">
        <f>IF(D11="顾问",_xlfn.XLOOKUP(F11,'⑥战队统计表-B-a-②呈现-业绩明细表④'!A:A,'⑥战队统计表-B-a-②呈现-业绩明细表④'!H:H,0),"")</f>
        <v/>
      </c>
      <c r="AN11" s="53" t="str">
        <f t="shared" si="8"/>
        <v>468+冲锋队</v>
      </c>
    </row>
    <row r="12" spans="1:40" hidden="1" x14ac:dyDescent="0.15">
      <c r="A12" s="79" t="s">
        <v>428</v>
      </c>
      <c r="B12" s="80">
        <v>468</v>
      </c>
      <c r="C12" s="81" t="s">
        <v>36</v>
      </c>
      <c r="D12" s="82" t="s">
        <v>36</v>
      </c>
      <c r="E12" s="82" t="s">
        <v>36</v>
      </c>
      <c r="F12" s="53" t="str">
        <f t="shared" si="1"/>
        <v>468+T区</v>
      </c>
      <c r="G12" s="53">
        <f>IFERROR(_xlfn.XLOOKUP(B12,'①门店信息-A-a-①-增加'!B:B,'①门店信息-A-a-①-增加'!E:E,0),"")</f>
        <v>0</v>
      </c>
      <c r="H12" s="54">
        <f>_xlfn.XLOOKUP(B12,'①门店信息-A-a-①-增加'!B:B,'①门店信息-A-a-①-增加'!F:F,0)</f>
        <v>0</v>
      </c>
      <c r="I12" s="55">
        <f>_xlfn.XLOOKUP(E12,'③新店考核-B-a-②呈现-业绩明细表-③'!B:B,'③新店考核-B-a-②呈现-业绩明细表-③'!E:E,0)</f>
        <v>0</v>
      </c>
      <c r="J12" s="54">
        <f>_xlfn.XLOOKUP(E12,'③新店考核-B-a-②呈现-业绩明细表-③'!B:B,'③新店考核-B-a-②呈现-业绩明细表-③'!F:F,0)</f>
        <v>0</v>
      </c>
      <c r="K12" s="55">
        <f>IF(H12="新店一阶段",LOOKUP(I12,'②提成标准-B-a-①-增加'!$M$9:$M$12,'②提成标准-B-a-①-增加'!$O$9:$O$12),0)</f>
        <v>0</v>
      </c>
      <c r="L12" s="56">
        <f t="shared" si="2"/>
        <v>0</v>
      </c>
      <c r="M12" s="57">
        <f>_xlfn.XLOOKUP(E12,'③新店考核-B-a-②呈现-业绩明细表-③'!B:B,'③新店考核-B-a-②呈现-业绩明细表-③'!G:G,0)</f>
        <v>0</v>
      </c>
      <c r="N12" s="58" t="str">
        <f>LOOKUP(M12,'②提成标准-B-a-①-增加'!$M$1:$M$4,'②提成标准-B-a-①-增加'!$O$1:$O$4)</f>
        <v>同老店</v>
      </c>
      <c r="O12" s="57">
        <f>_xlfn.XLOOKUP(E12,'③新店考核-B-a-②呈现-业绩明细表-③'!B:B,'③新店考核-B-a-②呈现-业绩明细表-③'!H:H,0)</f>
        <v>0</v>
      </c>
      <c r="P12" s="57">
        <f t="shared" si="3"/>
        <v>0</v>
      </c>
      <c r="Q12" s="53">
        <f>_xlfn.XLOOKUP(E12,'④考勤-B-a-26考勤汇总表'!D:D,'④考勤-B-a-26考勤汇总表'!AP:AP,0)</f>
        <v>0</v>
      </c>
      <c r="R12" s="53" t="str">
        <f t="shared" si="9"/>
        <v/>
      </c>
      <c r="S12" s="53">
        <f t="shared" si="10"/>
        <v>0</v>
      </c>
      <c r="T12" s="53">
        <v>0</v>
      </c>
      <c r="U12" s="53">
        <v>0</v>
      </c>
      <c r="V12" s="53">
        <v>0</v>
      </c>
      <c r="W12" s="53">
        <f>_xlfn.XLOOKUP(E12,'⑤项目数-B-a-③消耗明细表'!C:C,'⑤项目数-B-a-③消耗明细表'!E:E,0)</f>
        <v>0</v>
      </c>
      <c r="X12" s="53">
        <f>_xlfn.XLOOKUP(E12,'⑤项目数-B-a-③消耗明细表'!C:C,'⑤项目数-B-a-③消耗明细表'!D:D,0)</f>
        <v>0</v>
      </c>
      <c r="Y12" s="53">
        <f>_xlfn.XLOOKUP(E12,'⑤项目数-B-a-③消耗明细表'!C:C,'⑤项目数-B-a-③消耗明细表'!F:F,0)</f>
        <v>0</v>
      </c>
      <c r="Z12" s="53">
        <f>_xlfn.XLOOKUP(E12,'⑤项目数-B-a-③消耗明细表'!C:C,'⑤项目数-B-a-③消耗明细表'!G:G,0)</f>
        <v>0</v>
      </c>
      <c r="AA12" s="84" t="str">
        <f t="shared" si="4"/>
        <v>不属于战队</v>
      </c>
      <c r="AB12" s="84">
        <f t="shared" si="5"/>
        <v>0</v>
      </c>
      <c r="AC12" s="53">
        <f>_xlfn.XLOOKUP(F12,'⑥战队统计表-B-a-②呈现-业绩明细表④'!A:A,'⑥战队统计表-B-a-②呈现-业绩明细表④'!B:B,0)</f>
        <v>0</v>
      </c>
      <c r="AD12" s="53">
        <f t="shared" si="11"/>
        <v>1</v>
      </c>
      <c r="AE12" s="59">
        <f>IF(AD12="",_xlfn.XLOOKUP(F12,'⑥战队统计表-B-a-②呈现-业绩明细表④'!A:A,'⑥战队统计表-B-a-②呈现-业绩明细表④'!D:D,0),0)</f>
        <v>0</v>
      </c>
      <c r="AF12" s="85">
        <f>IF(AND(E12="T区",E12="门店T区"),"",IF(AD12="",0,IF(R12="",LOOKUP(S12,'②提成标准-B-a-①-增加'!$B$16:$B$20,'②提成标准-B-a-①-增加'!$D$16:$D$20),LOOKUP(S12/Q12,'②提成标准-B-a-①-增加'!$B$23:$B$27,'②提成标准-B-a-①-增加'!$D$23:$D$27))))</f>
        <v>0</v>
      </c>
      <c r="AG12" s="85">
        <f t="shared" si="6"/>
        <v>0</v>
      </c>
      <c r="AH12" s="60">
        <f t="shared" si="12"/>
        <v>0</v>
      </c>
      <c r="AI12" s="86">
        <f t="shared" si="13"/>
        <v>0</v>
      </c>
      <c r="AJ12" s="60">
        <f t="shared" si="14"/>
        <v>0</v>
      </c>
      <c r="AK12" s="87">
        <f>IF(AB12=1,IFERROR(S12/VLOOKUP(F12,'⑥战队统计表-B-a-②呈现-业绩明细表④'!A:C,3,0),0),0)</f>
        <v>0</v>
      </c>
      <c r="AL12" s="85" t="str">
        <f t="shared" si="7"/>
        <v/>
      </c>
      <c r="AM12" s="53" t="str">
        <f>IF(D12="顾问",_xlfn.XLOOKUP(F12,'⑥战队统计表-B-a-②呈现-业绩明细表④'!A:A,'⑥战队统计表-B-a-②呈现-业绩明细表④'!H:H,0),"")</f>
        <v/>
      </c>
      <c r="AN12" s="53" t="str">
        <f t="shared" si="8"/>
        <v>单人</v>
      </c>
    </row>
    <row r="13" spans="1:40" hidden="1" x14ac:dyDescent="0.15">
      <c r="A13" s="79" t="s">
        <v>428</v>
      </c>
      <c r="B13" s="80">
        <v>468</v>
      </c>
      <c r="C13" s="81" t="s">
        <v>40</v>
      </c>
      <c r="D13" s="82" t="s">
        <v>40</v>
      </c>
      <c r="E13" s="88" t="str">
        <f>F13</f>
        <v>468+门店T区</v>
      </c>
      <c r="F13" s="53" t="str">
        <f t="shared" si="1"/>
        <v>468+门店T区</v>
      </c>
      <c r="G13" s="53">
        <f>IFERROR(_xlfn.XLOOKUP(B13,'①门店信息-A-a-①-增加'!B:B,'①门店信息-A-a-①-增加'!E:E,0),"")</f>
        <v>0</v>
      </c>
      <c r="H13" s="54">
        <f>_xlfn.XLOOKUP(B13,'①门店信息-A-a-①-增加'!B:B,'①门店信息-A-a-①-增加'!F:F,0)</f>
        <v>0</v>
      </c>
      <c r="I13" s="55">
        <f>_xlfn.XLOOKUP(E13,'③新店考核-B-a-②呈现-业绩明细表-③'!B:B,'③新店考核-B-a-②呈现-业绩明细表-③'!E:E,0)</f>
        <v>0</v>
      </c>
      <c r="J13" s="54">
        <f>_xlfn.XLOOKUP(E13,'③新店考核-B-a-②呈现-业绩明细表-③'!B:B,'③新店考核-B-a-②呈现-业绩明细表-③'!F:F,0)</f>
        <v>0</v>
      </c>
      <c r="K13" s="55">
        <f>IF(H13="新店一阶段",LOOKUP(I13,'②提成标准-B-a-①-增加'!$M$9:$M$12,'②提成标准-B-a-①-增加'!$O$9:$O$12),0)</f>
        <v>0</v>
      </c>
      <c r="L13" s="56">
        <f t="shared" si="2"/>
        <v>10000</v>
      </c>
      <c r="M13" s="57">
        <f>_xlfn.XLOOKUP(E13,'③新店考核-B-a-②呈现-业绩明细表-③'!B:B,'③新店考核-B-a-②呈现-业绩明细表-③'!G:G,0)</f>
        <v>0</v>
      </c>
      <c r="N13" s="58" t="str">
        <f>LOOKUP(M13,'②提成标准-B-a-①-增加'!$M$1:$M$4,'②提成标准-B-a-①-增加'!$O$1:$O$4)</f>
        <v>同老店</v>
      </c>
      <c r="O13" s="57">
        <f>_xlfn.XLOOKUP(E13,'③新店考核-B-a-②呈现-业绩明细表-③'!B:B,'③新店考核-B-a-②呈现-业绩明细表-③'!H:H,0)</f>
        <v>0</v>
      </c>
      <c r="P13" s="57">
        <f t="shared" si="3"/>
        <v>10000</v>
      </c>
      <c r="Q13" s="53">
        <f>_xlfn.XLOOKUP(E13,'④考勤-B-a-26考勤汇总表'!D:D,'④考勤-B-a-26考勤汇总表'!AP:AP,0)</f>
        <v>0</v>
      </c>
      <c r="R13" s="53" t="str">
        <f t="shared" si="9"/>
        <v/>
      </c>
      <c r="S13" s="53">
        <f t="shared" si="10"/>
        <v>10000</v>
      </c>
      <c r="T13" s="53">
        <v>10000</v>
      </c>
      <c r="U13" s="53">
        <v>0</v>
      </c>
      <c r="V13" s="53">
        <v>0</v>
      </c>
      <c r="W13" s="53">
        <f>_xlfn.XLOOKUP(E13,'⑤项目数-B-a-③消耗明细表'!C:C,'⑤项目数-B-a-③消耗明细表'!E:E,0)</f>
        <v>0</v>
      </c>
      <c r="X13" s="53">
        <f>_xlfn.XLOOKUP(E13,'⑤项目数-B-a-③消耗明细表'!C:C,'⑤项目数-B-a-③消耗明细表'!D:D,0)</f>
        <v>0</v>
      </c>
      <c r="Y13" s="53">
        <f>_xlfn.XLOOKUP(E13,'⑤项目数-B-a-③消耗明细表'!C:C,'⑤项目数-B-a-③消耗明细表'!F:F,0)</f>
        <v>0</v>
      </c>
      <c r="Z13" s="53">
        <f>_xlfn.XLOOKUP(E13,'⑤项目数-B-a-③消耗明细表'!C:C,'⑤项目数-B-a-③消耗明细表'!G:G,0)</f>
        <v>0</v>
      </c>
      <c r="AA13" s="84">
        <f t="shared" si="4"/>
        <v>1</v>
      </c>
      <c r="AB13" s="84">
        <f t="shared" si="5"/>
        <v>0</v>
      </c>
      <c r="AC13" s="53">
        <f>_xlfn.XLOOKUP(F13,'⑥战队统计表-B-a-②呈现-业绩明细表④'!A:A,'⑥战队统计表-B-a-②呈现-业绩明细表④'!B:B,0)</f>
        <v>0</v>
      </c>
      <c r="AD13" s="53">
        <f t="shared" si="11"/>
        <v>1</v>
      </c>
      <c r="AE13" s="59">
        <f>IF(AD13="",_xlfn.XLOOKUP(F13,'⑥战队统计表-B-a-②呈现-业绩明细表④'!A:A,'⑥战队统计表-B-a-②呈现-业绩明细表④'!D:D,0),0)</f>
        <v>0</v>
      </c>
      <c r="AF13" s="85">
        <f>IF(AND(E13="T区",E13="门店T区"),"",IF(AD13="",0,IF(R13="",LOOKUP(S13,'②提成标准-B-a-①-增加'!$B$16:$B$20,'②提成标准-B-a-①-增加'!$D$16:$D$20),LOOKUP(S13/Q13,'②提成标准-B-a-①-增加'!$B$23:$B$27,'②提成标准-B-a-①-增加'!$D$23:$D$27))))</f>
        <v>0.03</v>
      </c>
      <c r="AG13" s="85">
        <f t="shared" si="6"/>
        <v>0.03</v>
      </c>
      <c r="AH13" s="60">
        <f t="shared" si="12"/>
        <v>0</v>
      </c>
      <c r="AI13" s="86">
        <f t="shared" si="13"/>
        <v>0</v>
      </c>
      <c r="AJ13" s="60">
        <f t="shared" si="14"/>
        <v>0</v>
      </c>
      <c r="AK13" s="87">
        <f>IF(AB13=1,IFERROR(S13/VLOOKUP(F13,'⑥战队统计表-B-a-②呈现-业绩明细表④'!A:C,3,0),0),0)</f>
        <v>0</v>
      </c>
      <c r="AL13" s="85" t="str">
        <f t="shared" si="7"/>
        <v/>
      </c>
      <c r="AM13" s="53" t="str">
        <f>IF(D13="顾问",_xlfn.XLOOKUP(F13,'⑥战队统计表-B-a-②呈现-业绩明细表④'!A:A,'⑥战队统计表-B-a-②呈现-业绩明细表④'!H:H,0),"")</f>
        <v/>
      </c>
      <c r="AN13" s="53" t="str">
        <f t="shared" si="8"/>
        <v>单人</v>
      </c>
    </row>
    <row r="14" spans="1:40" hidden="1" x14ac:dyDescent="0.15">
      <c r="A14" s="79" t="s">
        <v>428</v>
      </c>
      <c r="B14" s="80" t="s">
        <v>41</v>
      </c>
      <c r="C14" s="89" t="s">
        <v>42</v>
      </c>
      <c r="D14" s="90" t="s">
        <v>32</v>
      </c>
      <c r="E14" s="90" t="s">
        <v>43</v>
      </c>
      <c r="F14" s="53" t="str">
        <f t="shared" si="1"/>
        <v>华润+战狼队</v>
      </c>
      <c r="G14" s="53">
        <f>IFERROR(_xlfn.XLOOKUP(B14,'①门店信息-A-a-①-增加'!B:B,'①门店信息-A-a-①-增加'!E:E,0),"")</f>
        <v>0</v>
      </c>
      <c r="H14" s="54">
        <f>_xlfn.XLOOKUP(B14,'①门店信息-A-a-①-增加'!B:B,'①门店信息-A-a-①-增加'!F:F,0)</f>
        <v>0</v>
      </c>
      <c r="I14" s="55">
        <f>_xlfn.XLOOKUP(E14,'③新店考核-B-a-②呈现-业绩明细表-③'!B:B,'③新店考核-B-a-②呈现-业绩明细表-③'!E:E,0)</f>
        <v>0</v>
      </c>
      <c r="J14" s="54">
        <f>_xlfn.XLOOKUP(E14,'③新店考核-B-a-②呈现-业绩明细表-③'!B:B,'③新店考核-B-a-②呈现-业绩明细表-③'!F:F,0)</f>
        <v>0</v>
      </c>
      <c r="K14" s="55">
        <f>IF(H14="新店一阶段",LOOKUP(I14,'②提成标准-B-a-①-增加'!$M$9:$M$12,'②提成标准-B-a-①-增加'!$O$9:$O$12),0)</f>
        <v>0</v>
      </c>
      <c r="L14" s="56">
        <f t="shared" si="2"/>
        <v>44516.5</v>
      </c>
      <c r="M14" s="57">
        <f>_xlfn.XLOOKUP(E14,'③新店考核-B-a-②呈现-业绩明细表-③'!B:B,'③新店考核-B-a-②呈现-业绩明细表-③'!G:G,0)</f>
        <v>0</v>
      </c>
      <c r="N14" s="58" t="str">
        <f>LOOKUP(M14,'②提成标准-B-a-①-增加'!$M$1:$M$4,'②提成标准-B-a-①-增加'!$O$1:$O$4)</f>
        <v>同老店</v>
      </c>
      <c r="O14" s="57">
        <f>_xlfn.XLOOKUP(E14,'③新店考核-B-a-②呈现-业绩明细表-③'!B:B,'③新店考核-B-a-②呈现-业绩明细表-③'!H:H,0)</f>
        <v>0</v>
      </c>
      <c r="P14" s="57">
        <f t="shared" si="3"/>
        <v>44516.5</v>
      </c>
      <c r="Q14" s="53">
        <f>_xlfn.XLOOKUP(E14,'④考勤-B-a-26考勤汇总表'!D:D,'④考勤-B-a-26考勤汇总表'!AP:AP,0)</f>
        <v>31</v>
      </c>
      <c r="R14" s="53" t="str">
        <f t="shared" si="9"/>
        <v/>
      </c>
      <c r="S14" s="53">
        <f t="shared" si="10"/>
        <v>50682.5</v>
      </c>
      <c r="T14" s="53">
        <v>44516.5</v>
      </c>
      <c r="U14" s="53">
        <v>5500</v>
      </c>
      <c r="V14" s="53">
        <v>666</v>
      </c>
      <c r="W14" s="53">
        <f>_xlfn.XLOOKUP(E14,'⑤项目数-B-a-③消耗明细表'!C:C,'⑤项目数-B-a-③消耗明细表'!E:E,0)</f>
        <v>48340.47</v>
      </c>
      <c r="X14" s="53">
        <f>_xlfn.XLOOKUP(E14,'⑤项目数-B-a-③消耗明细表'!C:C,'⑤项目数-B-a-③消耗明细表'!D:D,0)</f>
        <v>116</v>
      </c>
      <c r="Y14" s="53">
        <f>_xlfn.XLOOKUP(E14,'⑤项目数-B-a-③消耗明细表'!C:C,'⑤项目数-B-a-③消耗明细表'!F:F,0)</f>
        <v>1712</v>
      </c>
      <c r="Z14" s="53">
        <f>_xlfn.XLOOKUP(E14,'⑤项目数-B-a-③消耗明细表'!C:C,'⑤项目数-B-a-③消耗明细表'!G:G,0)</f>
        <v>170</v>
      </c>
      <c r="AA14" s="84">
        <f t="shared" si="4"/>
        <v>1</v>
      </c>
      <c r="AB14" s="84">
        <f t="shared" si="5"/>
        <v>1</v>
      </c>
      <c r="AC14" s="53">
        <f>_xlfn.XLOOKUP(F14,'⑥战队统计表-B-a-②呈现-业绩明细表④'!A:A,'⑥战队统计表-B-a-②呈现-业绩明细表④'!B:B,0)</f>
        <v>3</v>
      </c>
      <c r="AD14" s="53" t="str">
        <f t="shared" si="11"/>
        <v/>
      </c>
      <c r="AE14" s="59">
        <f>IF(AD14="",_xlfn.XLOOKUP(F14,'⑥战队统计表-B-a-②呈现-业绩明细表④'!A:A,'⑥战队统计表-B-a-②呈现-业绩明细表④'!D:D,0),0)</f>
        <v>0.05</v>
      </c>
      <c r="AF14" s="85">
        <f>IF(AND(E14="T区",E14="门店T区"),"",IF(AD14="",0,IF(R14="",LOOKUP(S14,'②提成标准-B-a-①-增加'!$B$16:$B$20,'②提成标准-B-a-①-增加'!$D$16:$D$20),LOOKUP(S14/Q14,'②提成标准-B-a-①-增加'!$B$23:$B$27,'②提成标准-B-a-①-增加'!$D$23:$D$27))))</f>
        <v>0</v>
      </c>
      <c r="AG14" s="85">
        <f t="shared" si="6"/>
        <v>0.05</v>
      </c>
      <c r="AH14" s="60">
        <f t="shared" si="12"/>
        <v>2114.5337500000001</v>
      </c>
      <c r="AI14" s="86">
        <f t="shared" si="13"/>
        <v>169.8125</v>
      </c>
      <c r="AJ14" s="60">
        <f>AI14+AH14</f>
        <v>2284.3462500000001</v>
      </c>
      <c r="AK14" s="87">
        <f>IF(AB14=1,IFERROR(S14/VLOOKUP(F14,'⑥战队统计表-B-a-②呈现-业绩明细表④'!A:C,3,0),0),0)</f>
        <v>0.51930280786743888</v>
      </c>
      <c r="AL14" s="85">
        <f t="shared" si="7"/>
        <v>0.48069719213256112</v>
      </c>
      <c r="AM14" s="53">
        <f>IF(D14="顾问",_xlfn.XLOOKUP(F14,'⑥战队统计表-B-a-②呈现-业绩明细表④'!A:A,'⑥战队统计表-B-a-②呈现-业绩明细表④'!H:H,0),"")</f>
        <v>780.78</v>
      </c>
      <c r="AN14" s="53" t="str">
        <f t="shared" si="8"/>
        <v>华润+战狼队</v>
      </c>
    </row>
    <row r="15" spans="1:40" hidden="1" x14ac:dyDescent="0.15">
      <c r="A15" s="79" t="s">
        <v>428</v>
      </c>
      <c r="B15" s="80" t="s">
        <v>41</v>
      </c>
      <c r="C15" s="81" t="s">
        <v>42</v>
      </c>
      <c r="D15" s="82" t="s">
        <v>6</v>
      </c>
      <c r="E15" s="82" t="s">
        <v>44</v>
      </c>
      <c r="F15" s="53" t="str">
        <f t="shared" si="1"/>
        <v>华润+战狼队</v>
      </c>
      <c r="G15" s="53">
        <f>IFERROR(_xlfn.XLOOKUP(B15,'①门店信息-A-a-①-增加'!B:B,'①门店信息-A-a-①-增加'!E:E,0),"")</f>
        <v>0</v>
      </c>
      <c r="H15" s="54">
        <f>_xlfn.XLOOKUP(B15,'①门店信息-A-a-①-增加'!B:B,'①门店信息-A-a-①-增加'!F:F,0)</f>
        <v>0</v>
      </c>
      <c r="I15" s="55">
        <f>_xlfn.XLOOKUP(E15,'③新店考核-B-a-②呈现-业绩明细表-③'!B:B,'③新店考核-B-a-②呈现-业绩明细表-③'!E:E,0)</f>
        <v>0</v>
      </c>
      <c r="J15" s="54">
        <f>_xlfn.XLOOKUP(E15,'③新店考核-B-a-②呈现-业绩明细表-③'!B:B,'③新店考核-B-a-②呈现-业绩明细表-③'!F:F,0)</f>
        <v>0</v>
      </c>
      <c r="K15" s="55">
        <f>IF(H15="新店一阶段",LOOKUP(I15,'②提成标准-B-a-①-增加'!$M$9:$M$12,'②提成标准-B-a-①-增加'!$O$9:$O$12),0)</f>
        <v>0</v>
      </c>
      <c r="L15" s="56">
        <f t="shared" si="2"/>
        <v>11021</v>
      </c>
      <c r="M15" s="57">
        <f>_xlfn.XLOOKUP(E15,'③新店考核-B-a-②呈现-业绩明细表-③'!B:B,'③新店考核-B-a-②呈现-业绩明细表-③'!G:G,0)</f>
        <v>0</v>
      </c>
      <c r="N15" s="58" t="str">
        <f>LOOKUP(M15,'②提成标准-B-a-①-增加'!$M$1:$M$4,'②提成标准-B-a-①-增加'!$O$1:$O$4)</f>
        <v>同老店</v>
      </c>
      <c r="O15" s="57">
        <f>_xlfn.XLOOKUP(E15,'③新店考核-B-a-②呈现-业绩明细表-③'!B:B,'③新店考核-B-a-②呈现-业绩明细表-③'!H:H,0)</f>
        <v>0</v>
      </c>
      <c r="P15" s="57">
        <f t="shared" si="3"/>
        <v>11021</v>
      </c>
      <c r="Q15" s="53">
        <f>_xlfn.XLOOKUP(E15,'④考勤-B-a-26考勤汇总表'!D:D,'④考勤-B-a-26考勤汇总表'!AP:AP,0)</f>
        <v>31</v>
      </c>
      <c r="R15" s="53" t="str">
        <f t="shared" si="9"/>
        <v/>
      </c>
      <c r="S15" s="53">
        <f t="shared" si="10"/>
        <v>11021</v>
      </c>
      <c r="T15" s="53">
        <v>11021</v>
      </c>
      <c r="U15" s="53">
        <v>0</v>
      </c>
      <c r="V15" s="53">
        <v>0</v>
      </c>
      <c r="W15" s="53">
        <f>_xlfn.XLOOKUP(E15,'⑤项目数-B-a-③消耗明细表'!C:C,'⑤项目数-B-a-③消耗明细表'!E:E,0)</f>
        <v>10407.49</v>
      </c>
      <c r="X15" s="53">
        <f>_xlfn.XLOOKUP(E15,'⑤项目数-B-a-③消耗明细表'!C:C,'⑤项目数-B-a-③消耗明细表'!D:D,0)</f>
        <v>77</v>
      </c>
      <c r="Y15" s="53">
        <f>_xlfn.XLOOKUP(E15,'⑤项目数-B-a-③消耗明细表'!C:C,'⑤项目数-B-a-③消耗明细表'!F:F,0)</f>
        <v>1094</v>
      </c>
      <c r="Z15" s="53">
        <f>_xlfn.XLOOKUP(E15,'⑤项目数-B-a-③消耗明细表'!C:C,'⑤项目数-B-a-③消耗明细表'!G:G,0)</f>
        <v>40</v>
      </c>
      <c r="AA15" s="84">
        <f t="shared" si="4"/>
        <v>1</v>
      </c>
      <c r="AB15" s="84">
        <f t="shared" si="5"/>
        <v>1</v>
      </c>
      <c r="AC15" s="53">
        <f>_xlfn.XLOOKUP(F15,'⑥战队统计表-B-a-②呈现-业绩明细表④'!A:A,'⑥战队统计表-B-a-②呈现-业绩明细表④'!B:B,0)</f>
        <v>3</v>
      </c>
      <c r="AD15" s="53" t="str">
        <f t="shared" si="11"/>
        <v/>
      </c>
      <c r="AE15" s="59">
        <f>IF(AD15="",_xlfn.XLOOKUP(F15,'⑥战队统计表-B-a-②呈现-业绩明细表④'!A:A,'⑥战队统计表-B-a-②呈现-业绩明细表④'!D:D,0),0)</f>
        <v>0.05</v>
      </c>
      <c r="AF15" s="85">
        <f>IF(AND(E15="T区",E15="门店T区"),"",IF(AD15="",0,IF(R15="",LOOKUP(S15,'②提成标准-B-a-①-增加'!$B$16:$B$20,'②提成标准-B-a-①-增加'!$D$16:$D$20),LOOKUP(S15/Q15,'②提成标准-B-a-①-增加'!$B$23:$B$27,'②提成标准-B-a-①-增加'!$D$23:$D$27))))</f>
        <v>0</v>
      </c>
      <c r="AG15" s="85">
        <f t="shared" si="6"/>
        <v>0.05</v>
      </c>
      <c r="AH15" s="60">
        <f t="shared" si="12"/>
        <v>523.49750000000006</v>
      </c>
      <c r="AI15" s="86">
        <f t="shared" si="13"/>
        <v>0</v>
      </c>
      <c r="AJ15" s="60">
        <f t="shared" si="14"/>
        <v>523.49750000000006</v>
      </c>
      <c r="AK15" s="87">
        <f>IF(AB15=1,IFERROR(S15/VLOOKUP(F15,'⑥战队统计表-B-a-②呈现-业绩明细表④'!A:C,3,0),0),0)</f>
        <v>0.1129233215707008</v>
      </c>
      <c r="AL15" s="85" t="str">
        <f t="shared" si="7"/>
        <v/>
      </c>
      <c r="AM15" s="53" t="str">
        <f>IF(D15="顾问",_xlfn.XLOOKUP(F15,'⑥战队统计表-B-a-②呈现-业绩明细表④'!A:A,'⑥战队统计表-B-a-②呈现-业绩明细表④'!H:H,0),"")</f>
        <v/>
      </c>
      <c r="AN15" s="53" t="str">
        <f t="shared" si="8"/>
        <v>华润+战狼队</v>
      </c>
    </row>
    <row r="16" spans="1:40" hidden="1" x14ac:dyDescent="0.15">
      <c r="A16" s="79" t="s">
        <v>428</v>
      </c>
      <c r="B16" s="80" t="s">
        <v>41</v>
      </c>
      <c r="C16" s="81" t="s">
        <v>42</v>
      </c>
      <c r="D16" s="82" t="s">
        <v>6</v>
      </c>
      <c r="E16" s="82" t="s">
        <v>45</v>
      </c>
      <c r="F16" s="53" t="str">
        <f t="shared" si="1"/>
        <v>华润+战狼队</v>
      </c>
      <c r="G16" s="53">
        <f>IFERROR(_xlfn.XLOOKUP(B16,'①门店信息-A-a-①-增加'!B:B,'①门店信息-A-a-①-增加'!E:E,0),"")</f>
        <v>0</v>
      </c>
      <c r="H16" s="54">
        <f>_xlfn.XLOOKUP(B16,'①门店信息-A-a-①-增加'!B:B,'①门店信息-A-a-①-增加'!F:F,0)</f>
        <v>0</v>
      </c>
      <c r="I16" s="55">
        <f>_xlfn.XLOOKUP(E16,'③新店考核-B-a-②呈现-业绩明细表-③'!B:B,'③新店考核-B-a-②呈现-业绩明细表-③'!E:E,0)</f>
        <v>0</v>
      </c>
      <c r="J16" s="54">
        <f>_xlfn.XLOOKUP(E16,'③新店考核-B-a-②呈现-业绩明细表-③'!B:B,'③新店考核-B-a-②呈现-业绩明细表-③'!F:F,0)</f>
        <v>0</v>
      </c>
      <c r="K16" s="55">
        <f>IF(H16="新店一阶段",LOOKUP(I16,'②提成标准-B-a-①-增加'!$M$9:$M$12,'②提成标准-B-a-①-增加'!$O$9:$O$12),0)</f>
        <v>0</v>
      </c>
      <c r="L16" s="56">
        <f t="shared" si="2"/>
        <v>34393.699999999997</v>
      </c>
      <c r="M16" s="57">
        <f>_xlfn.XLOOKUP(E16,'③新店考核-B-a-②呈现-业绩明细表-③'!B:B,'③新店考核-B-a-②呈现-业绩明细表-③'!G:G,0)</f>
        <v>0</v>
      </c>
      <c r="N16" s="58" t="str">
        <f>LOOKUP(M16,'②提成标准-B-a-①-增加'!$M$1:$M$4,'②提成标准-B-a-①-增加'!$O$1:$O$4)</f>
        <v>同老店</v>
      </c>
      <c r="O16" s="57">
        <f>_xlfn.XLOOKUP(E16,'③新店考核-B-a-②呈现-业绩明细表-③'!B:B,'③新店考核-B-a-②呈现-业绩明细表-③'!H:H,0)</f>
        <v>0</v>
      </c>
      <c r="P16" s="57">
        <f t="shared" si="3"/>
        <v>34393.699999999997</v>
      </c>
      <c r="Q16" s="53">
        <f>_xlfn.XLOOKUP(E16,'④考勤-B-a-26考勤汇总表'!D:D,'④考勤-B-a-26考勤汇总表'!AP:AP,0)</f>
        <v>31</v>
      </c>
      <c r="R16" s="53" t="str">
        <f t="shared" si="9"/>
        <v/>
      </c>
      <c r="S16" s="53">
        <f t="shared" si="10"/>
        <v>35893.699999999997</v>
      </c>
      <c r="T16" s="53">
        <v>34393.699999999997</v>
      </c>
      <c r="U16" s="53">
        <v>1500</v>
      </c>
      <c r="V16" s="53">
        <v>0</v>
      </c>
      <c r="W16" s="53">
        <f>_xlfn.XLOOKUP(E16,'⑤项目数-B-a-③消耗明细表'!C:C,'⑤项目数-B-a-③消耗明细表'!E:E,0)</f>
        <v>14652.31</v>
      </c>
      <c r="X16" s="53">
        <f>_xlfn.XLOOKUP(E16,'⑤项目数-B-a-③消耗明细表'!C:C,'⑤项目数-B-a-③消耗明细表'!D:D,0)</f>
        <v>82</v>
      </c>
      <c r="Y16" s="53">
        <f>_xlfn.XLOOKUP(E16,'⑤项目数-B-a-③消耗明细表'!C:C,'⑤项目数-B-a-③消耗明细表'!F:F,0)</f>
        <v>1006</v>
      </c>
      <c r="Z16" s="53">
        <f>_xlfn.XLOOKUP(E16,'⑤项目数-B-a-③消耗明细表'!C:C,'⑤项目数-B-a-③消耗明细表'!G:G,0)</f>
        <v>20</v>
      </c>
      <c r="AA16" s="84">
        <f t="shared" si="4"/>
        <v>1</v>
      </c>
      <c r="AB16" s="84">
        <f t="shared" si="5"/>
        <v>1</v>
      </c>
      <c r="AC16" s="53">
        <f>_xlfn.XLOOKUP(F16,'⑥战队统计表-B-a-②呈现-业绩明细表④'!A:A,'⑥战队统计表-B-a-②呈现-业绩明细表④'!B:B,0)</f>
        <v>3</v>
      </c>
      <c r="AD16" s="53" t="str">
        <f t="shared" si="11"/>
        <v/>
      </c>
      <c r="AE16" s="59">
        <f>IF(AD16="",_xlfn.XLOOKUP(F16,'⑥战队统计表-B-a-②呈现-业绩明细表④'!A:A,'⑥战队统计表-B-a-②呈现-业绩明细表④'!D:D,0),0)</f>
        <v>0.05</v>
      </c>
      <c r="AF16" s="85">
        <f>IF(AND(E16="T区",E16="门店T区"),"",IF(AD16="",0,IF(R16="",LOOKUP(S16,'②提成标准-B-a-①-增加'!$B$16:$B$20,'②提成标准-B-a-①-增加'!$D$16:$D$20),LOOKUP(S16/Q16,'②提成标准-B-a-①-增加'!$B$23:$B$27,'②提成标准-B-a-①-增加'!$D$23:$D$27))))</f>
        <v>0</v>
      </c>
      <c r="AG16" s="85">
        <f t="shared" si="6"/>
        <v>0.05</v>
      </c>
      <c r="AH16" s="60">
        <f t="shared" si="12"/>
        <v>1633.70075</v>
      </c>
      <c r="AI16" s="86">
        <f t="shared" si="13"/>
        <v>46.3125</v>
      </c>
      <c r="AJ16" s="60">
        <f t="shared" si="14"/>
        <v>1680.01325</v>
      </c>
      <c r="AK16" s="87">
        <f>IF(AB16=1,IFERROR(S16/VLOOKUP(F16,'⑥战队统计表-B-a-②呈现-业绩明细表④'!A:C,3,0),0),0)</f>
        <v>0.36777387056186034</v>
      </c>
      <c r="AL16" s="85" t="str">
        <f t="shared" si="7"/>
        <v/>
      </c>
      <c r="AM16" s="53" t="str">
        <f>IF(D16="顾问",_xlfn.XLOOKUP(F16,'⑥战队统计表-B-a-②呈现-业绩明细表④'!A:A,'⑥战队统计表-B-a-②呈现-业绩明细表④'!H:H,0),"")</f>
        <v/>
      </c>
      <c r="AN16" s="53" t="str">
        <f t="shared" si="8"/>
        <v>华润+战狼队</v>
      </c>
    </row>
    <row r="17" spans="1:40" hidden="1" x14ac:dyDescent="0.15">
      <c r="A17" s="79" t="s">
        <v>428</v>
      </c>
      <c r="B17" s="80" t="s">
        <v>41</v>
      </c>
      <c r="C17" s="81" t="s">
        <v>36</v>
      </c>
      <c r="D17" s="82" t="s">
        <v>36</v>
      </c>
      <c r="E17" s="82" t="s">
        <v>36</v>
      </c>
      <c r="F17" s="53" t="str">
        <f t="shared" si="1"/>
        <v>华润+T区</v>
      </c>
      <c r="G17" s="53">
        <f>IFERROR(_xlfn.XLOOKUP(B17,'①门店信息-A-a-①-增加'!B:B,'①门店信息-A-a-①-增加'!E:E,0),"")</f>
        <v>0</v>
      </c>
      <c r="H17" s="54">
        <f>_xlfn.XLOOKUP(B17,'①门店信息-A-a-①-增加'!B:B,'①门店信息-A-a-①-增加'!F:F,0)</f>
        <v>0</v>
      </c>
      <c r="I17" s="55">
        <f>_xlfn.XLOOKUP(E17,'③新店考核-B-a-②呈现-业绩明细表-③'!B:B,'③新店考核-B-a-②呈现-业绩明细表-③'!E:E,0)</f>
        <v>0</v>
      </c>
      <c r="J17" s="54">
        <f>_xlfn.XLOOKUP(E17,'③新店考核-B-a-②呈现-业绩明细表-③'!B:B,'③新店考核-B-a-②呈现-业绩明细表-③'!F:F,0)</f>
        <v>0</v>
      </c>
      <c r="K17" s="55">
        <f>IF(H17="新店一阶段",LOOKUP(I17,'②提成标准-B-a-①-增加'!$M$9:$M$12,'②提成标准-B-a-①-增加'!$O$9:$O$12),0)</f>
        <v>0</v>
      </c>
      <c r="L17" s="56">
        <f t="shared" si="2"/>
        <v>0</v>
      </c>
      <c r="M17" s="57">
        <f>_xlfn.XLOOKUP(E17,'③新店考核-B-a-②呈现-业绩明细表-③'!B:B,'③新店考核-B-a-②呈现-业绩明细表-③'!G:G,0)</f>
        <v>0</v>
      </c>
      <c r="N17" s="58" t="str">
        <f>LOOKUP(M17,'②提成标准-B-a-①-增加'!$M$1:$M$4,'②提成标准-B-a-①-增加'!$O$1:$O$4)</f>
        <v>同老店</v>
      </c>
      <c r="O17" s="57">
        <f>_xlfn.XLOOKUP(E17,'③新店考核-B-a-②呈现-业绩明细表-③'!B:B,'③新店考核-B-a-②呈现-业绩明细表-③'!H:H,0)</f>
        <v>0</v>
      </c>
      <c r="P17" s="57">
        <f t="shared" si="3"/>
        <v>0</v>
      </c>
      <c r="Q17" s="53">
        <f>_xlfn.XLOOKUP(E17,'④考勤-B-a-26考勤汇总表'!D:D,'④考勤-B-a-26考勤汇总表'!AP:AP,0)</f>
        <v>0</v>
      </c>
      <c r="R17" s="53" t="str">
        <f t="shared" si="9"/>
        <v/>
      </c>
      <c r="S17" s="53">
        <f t="shared" si="10"/>
        <v>0</v>
      </c>
      <c r="T17" s="53">
        <v>0</v>
      </c>
      <c r="U17" s="53">
        <v>0</v>
      </c>
      <c r="V17" s="53">
        <v>0</v>
      </c>
      <c r="W17" s="53">
        <f>_xlfn.XLOOKUP(E17,'⑤项目数-B-a-③消耗明细表'!C:C,'⑤项目数-B-a-③消耗明细表'!E:E,0)</f>
        <v>0</v>
      </c>
      <c r="X17" s="53">
        <f>_xlfn.XLOOKUP(E17,'⑤项目数-B-a-③消耗明细表'!C:C,'⑤项目数-B-a-③消耗明细表'!D:D,0)</f>
        <v>0</v>
      </c>
      <c r="Y17" s="53">
        <f>_xlfn.XLOOKUP(E17,'⑤项目数-B-a-③消耗明细表'!C:C,'⑤项目数-B-a-③消耗明细表'!F:F,0)</f>
        <v>0</v>
      </c>
      <c r="Z17" s="53">
        <f>_xlfn.XLOOKUP(E17,'⑤项目数-B-a-③消耗明细表'!C:C,'⑤项目数-B-a-③消耗明细表'!G:G,0)</f>
        <v>0</v>
      </c>
      <c r="AA17" s="84" t="str">
        <f t="shared" si="4"/>
        <v>不属于战队</v>
      </c>
      <c r="AB17" s="84">
        <f t="shared" si="5"/>
        <v>0</v>
      </c>
      <c r="AC17" s="53">
        <f>_xlfn.XLOOKUP(F17,'⑥战队统计表-B-a-②呈现-业绩明细表④'!A:A,'⑥战队统计表-B-a-②呈现-业绩明细表④'!B:B,0)</f>
        <v>0</v>
      </c>
      <c r="AD17" s="53">
        <f t="shared" si="11"/>
        <v>1</v>
      </c>
      <c r="AE17" s="59">
        <f>IF(AD17="",_xlfn.XLOOKUP(F17,'⑥战队统计表-B-a-②呈现-业绩明细表④'!A:A,'⑥战队统计表-B-a-②呈现-业绩明细表④'!D:D,0),0)</f>
        <v>0</v>
      </c>
      <c r="AF17" s="85">
        <f>IF(AND(E17="T区",E17="门店T区"),"",IF(AD17="",0,IF(R17="",LOOKUP(S17,'②提成标准-B-a-①-增加'!$B$16:$B$20,'②提成标准-B-a-①-增加'!$D$16:$D$20),LOOKUP(S17/Q17,'②提成标准-B-a-①-增加'!$B$23:$B$27,'②提成标准-B-a-①-增加'!$D$23:$D$27))))</f>
        <v>0</v>
      </c>
      <c r="AG17" s="85">
        <f t="shared" si="6"/>
        <v>0</v>
      </c>
      <c r="AH17" s="60">
        <f t="shared" si="12"/>
        <v>0</v>
      </c>
      <c r="AI17" s="86">
        <f t="shared" si="13"/>
        <v>0</v>
      </c>
      <c r="AJ17" s="60">
        <f t="shared" si="14"/>
        <v>0</v>
      </c>
      <c r="AK17" s="87">
        <f>IF(AB17=1,IFERROR(S17/VLOOKUP(F17,'⑥战队统计表-B-a-②呈现-业绩明细表④'!A:C,3,0),0),0)</f>
        <v>0</v>
      </c>
      <c r="AL17" s="85" t="str">
        <f t="shared" si="7"/>
        <v/>
      </c>
      <c r="AM17" s="53" t="str">
        <f>IF(D17="顾问",_xlfn.XLOOKUP(F17,'⑥战队统计表-B-a-②呈现-业绩明细表④'!A:A,'⑥战队统计表-B-a-②呈现-业绩明细表④'!H:H,0),"")</f>
        <v/>
      </c>
      <c r="AN17" s="53" t="str">
        <f t="shared" si="8"/>
        <v>单人</v>
      </c>
    </row>
    <row r="18" spans="1:40" hidden="1" x14ac:dyDescent="0.15">
      <c r="A18" s="79" t="s">
        <v>428</v>
      </c>
      <c r="B18" s="80" t="s">
        <v>41</v>
      </c>
      <c r="C18" s="81" t="s">
        <v>46</v>
      </c>
      <c r="D18" s="82" t="s">
        <v>32</v>
      </c>
      <c r="E18" s="82" t="s">
        <v>47</v>
      </c>
      <c r="F18" s="53" t="str">
        <f t="shared" si="1"/>
        <v>华润+飞跃队</v>
      </c>
      <c r="G18" s="53">
        <f>IFERROR(_xlfn.XLOOKUP(B18,'①门店信息-A-a-①-增加'!B:B,'①门店信息-A-a-①-增加'!E:E,0),"")</f>
        <v>0</v>
      </c>
      <c r="H18" s="54">
        <f>_xlfn.XLOOKUP(B18,'①门店信息-A-a-①-增加'!B:B,'①门店信息-A-a-①-增加'!F:F,0)</f>
        <v>0</v>
      </c>
      <c r="I18" s="55">
        <f>_xlfn.XLOOKUP(E18,'③新店考核-B-a-②呈现-业绩明细表-③'!B:B,'③新店考核-B-a-②呈现-业绩明细表-③'!E:E,0)</f>
        <v>0</v>
      </c>
      <c r="J18" s="54">
        <f>_xlfn.XLOOKUP(E18,'③新店考核-B-a-②呈现-业绩明细表-③'!B:B,'③新店考核-B-a-②呈现-业绩明细表-③'!F:F,0)</f>
        <v>0</v>
      </c>
      <c r="K18" s="55">
        <f>IF(H18="新店一阶段",LOOKUP(I18,'②提成标准-B-a-①-增加'!$M$9:$M$12,'②提成标准-B-a-①-增加'!$O$9:$O$12),0)</f>
        <v>0</v>
      </c>
      <c r="L18" s="56">
        <f t="shared" si="2"/>
        <v>66358.899999999994</v>
      </c>
      <c r="M18" s="57">
        <f>_xlfn.XLOOKUP(E18,'③新店考核-B-a-②呈现-业绩明细表-③'!B:B,'③新店考核-B-a-②呈现-业绩明细表-③'!G:G,0)</f>
        <v>0</v>
      </c>
      <c r="N18" s="58" t="str">
        <f>LOOKUP(M18,'②提成标准-B-a-①-增加'!$M$1:$M$4,'②提成标准-B-a-①-增加'!$O$1:$O$4)</f>
        <v>同老店</v>
      </c>
      <c r="O18" s="57">
        <f>_xlfn.XLOOKUP(E18,'③新店考核-B-a-②呈现-业绩明细表-③'!B:B,'③新店考核-B-a-②呈现-业绩明细表-③'!H:H,0)</f>
        <v>0</v>
      </c>
      <c r="P18" s="57">
        <f t="shared" si="3"/>
        <v>66358.899999999994</v>
      </c>
      <c r="Q18" s="53">
        <f>_xlfn.XLOOKUP(E18,'④考勤-B-a-26考勤汇总表'!D:D,'④考勤-B-a-26考勤汇总表'!AP:AP,0)</f>
        <v>31</v>
      </c>
      <c r="R18" s="53" t="str">
        <f t="shared" si="9"/>
        <v/>
      </c>
      <c r="S18" s="53">
        <f t="shared" si="10"/>
        <v>69858.899999999994</v>
      </c>
      <c r="T18" s="53">
        <v>66358.899999999994</v>
      </c>
      <c r="U18" s="53">
        <v>3500</v>
      </c>
      <c r="V18" s="53">
        <v>0</v>
      </c>
      <c r="W18" s="53">
        <f>_xlfn.XLOOKUP(E18,'⑤项目数-B-a-③消耗明细表'!C:C,'⑤项目数-B-a-③消耗明细表'!E:E,0)</f>
        <v>56864.800000000003</v>
      </c>
      <c r="X18" s="53">
        <f>_xlfn.XLOOKUP(E18,'⑤项目数-B-a-③消耗明细表'!C:C,'⑤项目数-B-a-③消耗明细表'!D:D,0)</f>
        <v>124</v>
      </c>
      <c r="Y18" s="53">
        <f>_xlfn.XLOOKUP(E18,'⑤项目数-B-a-③消耗明细表'!C:C,'⑤项目数-B-a-③消耗明细表'!F:F,0)</f>
        <v>1782.5</v>
      </c>
      <c r="Z18" s="53">
        <f>_xlfn.XLOOKUP(E18,'⑤项目数-B-a-③消耗明细表'!C:C,'⑤项目数-B-a-③消耗明细表'!G:G,0)</f>
        <v>220</v>
      </c>
      <c r="AA18" s="84">
        <f t="shared" si="4"/>
        <v>1</v>
      </c>
      <c r="AB18" s="84">
        <f t="shared" si="5"/>
        <v>1</v>
      </c>
      <c r="AC18" s="53">
        <f>_xlfn.XLOOKUP(F18,'⑥战队统计表-B-a-②呈现-业绩明细表④'!A:A,'⑥战队统计表-B-a-②呈现-业绩明细表④'!B:B,0)</f>
        <v>3</v>
      </c>
      <c r="AD18" s="53" t="str">
        <f t="shared" si="11"/>
        <v/>
      </c>
      <c r="AE18" s="59">
        <f>IF(AD18="",_xlfn.XLOOKUP(F18,'⑥战队统计表-B-a-②呈现-业绩明细表④'!A:A,'⑥战队统计表-B-a-②呈现-业绩明细表④'!D:D,0),0)</f>
        <v>0.05</v>
      </c>
      <c r="AF18" s="85">
        <f>IF(AND(E18="T区",E18="门店T区"),"",IF(AD18="",0,IF(R18="",LOOKUP(S18,'②提成标准-B-a-①-增加'!$B$16:$B$20,'②提成标准-B-a-①-增加'!$D$16:$D$20),LOOKUP(S18/Q18,'②提成标准-B-a-①-增加'!$B$23:$B$27,'②提成标准-B-a-①-增加'!$D$23:$D$27))))</f>
        <v>0</v>
      </c>
      <c r="AG18" s="85">
        <f t="shared" si="6"/>
        <v>0.05</v>
      </c>
      <c r="AH18" s="60">
        <f t="shared" si="12"/>
        <v>3152.0477499999997</v>
      </c>
      <c r="AI18" s="86">
        <f t="shared" si="13"/>
        <v>108.0625</v>
      </c>
      <c r="AJ18" s="60">
        <f t="shared" si="14"/>
        <v>3260.1102499999997</v>
      </c>
      <c r="AK18" s="87">
        <f>IF(AB18=1,IFERROR(S18/VLOOKUP(F18,'⑥战队统计表-B-a-②呈现-业绩明细表④'!A:C,3,0),0),0)</f>
        <v>0.66923693717254917</v>
      </c>
      <c r="AL18" s="85">
        <f t="shared" si="7"/>
        <v>0.33076306282745083</v>
      </c>
      <c r="AM18" s="53">
        <f>IF(D18="顾问",_xlfn.XLOOKUP(F18,'⑥战队统计表-B-a-②呈现-业绩明细表④'!A:A,'⑥战队统计表-B-a-②呈现-业绩明细表④'!H:H,0),"")</f>
        <v>0</v>
      </c>
      <c r="AN18" s="53" t="str">
        <f t="shared" si="8"/>
        <v>华润+飞跃队</v>
      </c>
    </row>
    <row r="19" spans="1:40" hidden="1" x14ac:dyDescent="0.15">
      <c r="A19" s="79" t="s">
        <v>428</v>
      </c>
      <c r="B19" s="80" t="s">
        <v>41</v>
      </c>
      <c r="C19" s="81" t="s">
        <v>46</v>
      </c>
      <c r="D19" s="82" t="s">
        <v>6</v>
      </c>
      <c r="E19" s="82" t="s">
        <v>48</v>
      </c>
      <c r="F19" s="53" t="str">
        <f t="shared" si="1"/>
        <v>华润+飞跃队</v>
      </c>
      <c r="G19" s="53">
        <f>IFERROR(_xlfn.XLOOKUP(B19,'①门店信息-A-a-①-增加'!B:B,'①门店信息-A-a-①-增加'!E:E,0),"")</f>
        <v>0</v>
      </c>
      <c r="H19" s="54">
        <f>_xlfn.XLOOKUP(B19,'①门店信息-A-a-①-增加'!B:B,'①门店信息-A-a-①-增加'!F:F,0)</f>
        <v>0</v>
      </c>
      <c r="I19" s="55">
        <f>_xlfn.XLOOKUP(E19,'③新店考核-B-a-②呈现-业绩明细表-③'!B:B,'③新店考核-B-a-②呈现-业绩明细表-③'!E:E,0)</f>
        <v>0</v>
      </c>
      <c r="J19" s="54">
        <f>_xlfn.XLOOKUP(E19,'③新店考核-B-a-②呈现-业绩明细表-③'!B:B,'③新店考核-B-a-②呈现-业绩明细表-③'!F:F,0)</f>
        <v>0</v>
      </c>
      <c r="K19" s="55">
        <f>IF(H19="新店一阶段",LOOKUP(I19,'②提成标准-B-a-①-增加'!$M$9:$M$12,'②提成标准-B-a-①-增加'!$O$9:$O$12),0)</f>
        <v>0</v>
      </c>
      <c r="L19" s="56">
        <f t="shared" si="2"/>
        <v>8206.2999999999993</v>
      </c>
      <c r="M19" s="57">
        <f>_xlfn.XLOOKUP(E19,'③新店考核-B-a-②呈现-业绩明细表-③'!B:B,'③新店考核-B-a-②呈现-业绩明细表-③'!G:G,0)</f>
        <v>0</v>
      </c>
      <c r="N19" s="58" t="str">
        <f>LOOKUP(M19,'②提成标准-B-a-①-增加'!$M$1:$M$4,'②提成标准-B-a-①-增加'!$O$1:$O$4)</f>
        <v>同老店</v>
      </c>
      <c r="O19" s="57">
        <f>_xlfn.XLOOKUP(E19,'③新店考核-B-a-②呈现-业绩明细表-③'!B:B,'③新店考核-B-a-②呈现-业绩明细表-③'!H:H,0)</f>
        <v>0</v>
      </c>
      <c r="P19" s="57">
        <f t="shared" si="3"/>
        <v>8206.2999999999993</v>
      </c>
      <c r="Q19" s="53">
        <f>_xlfn.XLOOKUP(E19,'④考勤-B-a-26考勤汇总表'!D:D,'④考勤-B-a-26考勤汇总表'!AP:AP,0)</f>
        <v>31</v>
      </c>
      <c r="R19" s="53" t="str">
        <f t="shared" si="9"/>
        <v/>
      </c>
      <c r="S19" s="53">
        <f t="shared" si="10"/>
        <v>12376.3</v>
      </c>
      <c r="T19" s="53">
        <v>8206.2999999999993</v>
      </c>
      <c r="U19" s="53">
        <v>4170</v>
      </c>
      <c r="V19" s="53">
        <v>0</v>
      </c>
      <c r="W19" s="53">
        <f>_xlfn.XLOOKUP(E19,'⑤项目数-B-a-③消耗明细表'!C:C,'⑤项目数-B-a-③消耗明细表'!E:E,0)</f>
        <v>15179.01</v>
      </c>
      <c r="X19" s="53">
        <f>_xlfn.XLOOKUP(E19,'⑤项目数-B-a-③消耗明细表'!C:C,'⑤项目数-B-a-③消耗明细表'!D:D,0)</f>
        <v>77</v>
      </c>
      <c r="Y19" s="53">
        <f>_xlfn.XLOOKUP(E19,'⑤项目数-B-a-③消耗明细表'!C:C,'⑤项目数-B-a-③消耗明细表'!F:F,0)</f>
        <v>1007</v>
      </c>
      <c r="Z19" s="53">
        <f>_xlfn.XLOOKUP(E19,'⑤项目数-B-a-③消耗明细表'!C:C,'⑤项目数-B-a-③消耗明细表'!G:G,0)</f>
        <v>0</v>
      </c>
      <c r="AA19" s="84">
        <f t="shared" si="4"/>
        <v>1</v>
      </c>
      <c r="AB19" s="84">
        <f t="shared" si="5"/>
        <v>1</v>
      </c>
      <c r="AC19" s="53">
        <f>_xlfn.XLOOKUP(F19,'⑥战队统计表-B-a-②呈现-业绩明细表④'!A:A,'⑥战队统计表-B-a-②呈现-业绩明细表④'!B:B,0)</f>
        <v>3</v>
      </c>
      <c r="AD19" s="53" t="str">
        <f t="shared" si="11"/>
        <v/>
      </c>
      <c r="AE19" s="59">
        <f>IF(AD19="",_xlfn.XLOOKUP(F19,'⑥战队统计表-B-a-②呈现-业绩明细表④'!A:A,'⑥战队统计表-B-a-②呈现-业绩明细表④'!D:D,0),0)</f>
        <v>0.05</v>
      </c>
      <c r="AF19" s="85">
        <f>IF(AND(E19="T区",E19="门店T区"),"",IF(AD19="",0,IF(R19="",LOOKUP(S19,'②提成标准-B-a-①-增加'!$B$16:$B$20,'②提成标准-B-a-①-增加'!$D$16:$D$20),LOOKUP(S19/Q19,'②提成标准-B-a-①-增加'!$B$23:$B$27,'②提成标准-B-a-①-增加'!$D$23:$D$27))))</f>
        <v>0</v>
      </c>
      <c r="AG19" s="85">
        <f t="shared" si="6"/>
        <v>0.05</v>
      </c>
      <c r="AH19" s="60">
        <f t="shared" si="12"/>
        <v>389.79924999999997</v>
      </c>
      <c r="AI19" s="86">
        <f t="shared" si="13"/>
        <v>128.74875</v>
      </c>
      <c r="AJ19" s="60">
        <f t="shared" si="14"/>
        <v>518.548</v>
      </c>
      <c r="AK19" s="87">
        <f>IF(AB19=1,IFERROR(S19/VLOOKUP(F19,'⑥战队统计表-B-a-②呈现-业绩明细表④'!A:C,3,0),0),0)</f>
        <v>0.1185629476777994</v>
      </c>
      <c r="AL19" s="85" t="str">
        <f t="shared" si="7"/>
        <v/>
      </c>
      <c r="AM19" s="53" t="str">
        <f>IF(D19="顾问",_xlfn.XLOOKUP(F19,'⑥战队统计表-B-a-②呈现-业绩明细表④'!A:A,'⑥战队统计表-B-a-②呈现-业绩明细表④'!H:H,0),"")</f>
        <v/>
      </c>
      <c r="AN19" s="53" t="str">
        <f t="shared" si="8"/>
        <v>华润+飞跃队</v>
      </c>
    </row>
    <row r="20" spans="1:40" hidden="1" x14ac:dyDescent="0.15">
      <c r="A20" s="91" t="s">
        <v>428</v>
      </c>
      <c r="B20" s="92" t="s">
        <v>41</v>
      </c>
      <c r="C20" s="93" t="s">
        <v>46</v>
      </c>
      <c r="D20" s="94" t="s">
        <v>6</v>
      </c>
      <c r="E20" s="94" t="s">
        <v>49</v>
      </c>
      <c r="F20" s="53" t="str">
        <f t="shared" si="1"/>
        <v>华润+飞跃队</v>
      </c>
      <c r="G20" s="53">
        <f>IFERROR(_xlfn.XLOOKUP(B20,'①门店信息-A-a-①-增加'!B:B,'①门店信息-A-a-①-增加'!E:E,0),"")</f>
        <v>0</v>
      </c>
      <c r="H20" s="54">
        <f>_xlfn.XLOOKUP(B20,'①门店信息-A-a-①-增加'!B:B,'①门店信息-A-a-①-增加'!F:F,0)</f>
        <v>0</v>
      </c>
      <c r="I20" s="55">
        <f>_xlfn.XLOOKUP(E20,'③新店考核-B-a-②呈现-业绩明细表-③'!B:B,'③新店考核-B-a-②呈现-业绩明细表-③'!E:E,0)</f>
        <v>0</v>
      </c>
      <c r="J20" s="54">
        <f>_xlfn.XLOOKUP(E20,'③新店考核-B-a-②呈现-业绩明细表-③'!B:B,'③新店考核-B-a-②呈现-业绩明细表-③'!F:F,0)</f>
        <v>0</v>
      </c>
      <c r="K20" s="55">
        <f>IF(H20="新店一阶段",LOOKUP(I20,'②提成标准-B-a-①-增加'!$M$9:$M$12,'②提成标准-B-a-①-增加'!$O$9:$O$12),0)</f>
        <v>0</v>
      </c>
      <c r="L20" s="56">
        <f t="shared" si="2"/>
        <v>21400.7</v>
      </c>
      <c r="M20" s="57">
        <f>_xlfn.XLOOKUP(E20,'③新店考核-B-a-②呈现-业绩明细表-③'!B:B,'③新店考核-B-a-②呈现-业绩明细表-③'!G:G,0)</f>
        <v>0</v>
      </c>
      <c r="N20" s="58" t="str">
        <f>LOOKUP(M20,'②提成标准-B-a-①-增加'!$M$1:$M$4,'②提成标准-B-a-①-增加'!$O$1:$O$4)</f>
        <v>同老店</v>
      </c>
      <c r="O20" s="57">
        <f>_xlfn.XLOOKUP(E20,'③新店考核-B-a-②呈现-业绩明细表-③'!B:B,'③新店考核-B-a-②呈现-业绩明细表-③'!H:H,0)</f>
        <v>0</v>
      </c>
      <c r="P20" s="57">
        <f t="shared" si="3"/>
        <v>21400.7</v>
      </c>
      <c r="Q20" s="53">
        <f>_xlfn.XLOOKUP(E20,'④考勤-B-a-26考勤汇总表'!D:D,'④考勤-B-a-26考勤汇总表'!AP:AP,0)</f>
        <v>31</v>
      </c>
      <c r="R20" s="53" t="str">
        <f t="shared" si="9"/>
        <v/>
      </c>
      <c r="S20" s="53">
        <f t="shared" si="10"/>
        <v>22150.7</v>
      </c>
      <c r="T20" s="95">
        <v>21400.7</v>
      </c>
      <c r="U20" s="95">
        <v>750</v>
      </c>
      <c r="V20" s="95">
        <v>0</v>
      </c>
      <c r="W20" s="95">
        <f>_xlfn.XLOOKUP(E20,'⑤项目数-B-a-③消耗明细表'!C:C,'⑤项目数-B-a-③消耗明细表'!E:E,0)</f>
        <v>20974.32</v>
      </c>
      <c r="X20" s="53">
        <f>_xlfn.XLOOKUP(E20,'⑤项目数-B-a-③消耗明细表'!C:C,'⑤项目数-B-a-③消耗明细表'!D:D,0)</f>
        <v>102</v>
      </c>
      <c r="Y20" s="53">
        <f>_xlfn.XLOOKUP(E20,'⑤项目数-B-a-③消耗明细表'!C:C,'⑤项目数-B-a-③消耗明细表'!F:F,0)</f>
        <v>1223.5</v>
      </c>
      <c r="Z20" s="53">
        <f>_xlfn.XLOOKUP(E20,'⑤项目数-B-a-③消耗明细表'!C:C,'⑤项目数-B-a-③消耗明细表'!G:G,0)</f>
        <v>15</v>
      </c>
      <c r="AA20" s="84">
        <f t="shared" si="4"/>
        <v>1</v>
      </c>
      <c r="AB20" s="84">
        <f t="shared" si="5"/>
        <v>1</v>
      </c>
      <c r="AC20" s="53">
        <f>_xlfn.XLOOKUP(F20,'⑥战队统计表-B-a-②呈现-业绩明细表④'!A:A,'⑥战队统计表-B-a-②呈现-业绩明细表④'!B:B,0)</f>
        <v>3</v>
      </c>
      <c r="AD20" s="53" t="str">
        <f t="shared" si="11"/>
        <v/>
      </c>
      <c r="AE20" s="59">
        <f>IF(AD20="",_xlfn.XLOOKUP(F20,'⑥战队统计表-B-a-②呈现-业绩明细表④'!A:A,'⑥战队统计表-B-a-②呈现-业绩明细表④'!D:D,0),0)</f>
        <v>0.05</v>
      </c>
      <c r="AF20" s="85">
        <f>IF(AND(E20="T区",E20="门店T区"),"",IF(AD20="",0,IF(R20="",LOOKUP(S20,'②提成标准-B-a-①-增加'!$B$16:$B$20,'②提成标准-B-a-①-增加'!$D$16:$D$20),LOOKUP(S20/Q20,'②提成标准-B-a-①-增加'!$B$23:$B$27,'②提成标准-B-a-①-增加'!$D$23:$D$27))))</f>
        <v>0</v>
      </c>
      <c r="AG20" s="85">
        <f t="shared" si="6"/>
        <v>0.05</v>
      </c>
      <c r="AH20" s="60">
        <f t="shared" si="12"/>
        <v>1016.5332500000001</v>
      </c>
      <c r="AI20" s="86">
        <f t="shared" si="13"/>
        <v>23.15625</v>
      </c>
      <c r="AJ20" s="60">
        <f t="shared" si="14"/>
        <v>1039.6895</v>
      </c>
      <c r="AK20" s="87">
        <f>IF(AB20=1,IFERROR(S20/VLOOKUP(F20,'⑥战队统计表-B-a-②呈现-业绩明细表④'!A:C,3,0),0),0)</f>
        <v>0.21220011514965145</v>
      </c>
      <c r="AL20" s="85" t="str">
        <f t="shared" si="7"/>
        <v/>
      </c>
      <c r="AM20" s="53" t="str">
        <f>IF(D20="顾问",_xlfn.XLOOKUP(F20,'⑥战队统计表-B-a-②呈现-业绩明细表④'!A:A,'⑥战队统计表-B-a-②呈现-业绩明细表④'!H:H,0),"")</f>
        <v/>
      </c>
      <c r="AN20" s="53" t="str">
        <f t="shared" si="8"/>
        <v>华润+飞跃队</v>
      </c>
    </row>
    <row r="21" spans="1:40" hidden="1" x14ac:dyDescent="0.15">
      <c r="A21" s="79" t="s">
        <v>428</v>
      </c>
      <c r="B21" s="80" t="s">
        <v>41</v>
      </c>
      <c r="C21" s="96" t="s">
        <v>36</v>
      </c>
      <c r="D21" s="97" t="s">
        <v>36</v>
      </c>
      <c r="E21" s="97" t="s">
        <v>36</v>
      </c>
      <c r="F21" s="53" t="str">
        <f t="shared" si="1"/>
        <v>华润+T区</v>
      </c>
      <c r="G21" s="53">
        <f>IFERROR(_xlfn.XLOOKUP(B21,'①门店信息-A-a-①-增加'!B:B,'①门店信息-A-a-①-增加'!E:E,0),"")</f>
        <v>0</v>
      </c>
      <c r="H21" s="54">
        <f>_xlfn.XLOOKUP(B21,'①门店信息-A-a-①-增加'!B:B,'①门店信息-A-a-①-增加'!F:F,0)</f>
        <v>0</v>
      </c>
      <c r="I21" s="55">
        <f>_xlfn.XLOOKUP(E21,'③新店考核-B-a-②呈现-业绩明细表-③'!B:B,'③新店考核-B-a-②呈现-业绩明细表-③'!E:E,0)</f>
        <v>0</v>
      </c>
      <c r="J21" s="54">
        <f>_xlfn.XLOOKUP(E21,'③新店考核-B-a-②呈现-业绩明细表-③'!B:B,'③新店考核-B-a-②呈现-业绩明细表-③'!F:F,0)</f>
        <v>0</v>
      </c>
      <c r="K21" s="55">
        <f>IF(H21="新店一阶段",LOOKUP(I21,'②提成标准-B-a-①-增加'!$M$9:$M$12,'②提成标准-B-a-①-增加'!$O$9:$O$12),0)</f>
        <v>0</v>
      </c>
      <c r="L21" s="56">
        <f t="shared" si="2"/>
        <v>0</v>
      </c>
      <c r="M21" s="57">
        <f>_xlfn.XLOOKUP(E21,'③新店考核-B-a-②呈现-业绩明细表-③'!B:B,'③新店考核-B-a-②呈现-业绩明细表-③'!G:G,0)</f>
        <v>0</v>
      </c>
      <c r="N21" s="58" t="str">
        <f>LOOKUP(M21,'②提成标准-B-a-①-增加'!$M$1:$M$4,'②提成标准-B-a-①-增加'!$O$1:$O$4)</f>
        <v>同老店</v>
      </c>
      <c r="O21" s="57">
        <f>_xlfn.XLOOKUP(E21,'③新店考核-B-a-②呈现-业绩明细表-③'!B:B,'③新店考核-B-a-②呈现-业绩明细表-③'!H:H,0)</f>
        <v>0</v>
      </c>
      <c r="P21" s="57">
        <f t="shared" si="3"/>
        <v>0</v>
      </c>
      <c r="Q21" s="53">
        <f>_xlfn.XLOOKUP(E21,'④考勤-B-a-26考勤汇总表'!D:D,'④考勤-B-a-26考勤汇总表'!AP:AP,0)</f>
        <v>0</v>
      </c>
      <c r="R21" s="53" t="str">
        <f t="shared" si="9"/>
        <v/>
      </c>
      <c r="S21" s="53">
        <f t="shared" si="10"/>
        <v>0</v>
      </c>
      <c r="T21" s="53">
        <v>0</v>
      </c>
      <c r="U21" s="53">
        <v>0</v>
      </c>
      <c r="V21" s="53">
        <v>0</v>
      </c>
      <c r="W21" s="53">
        <f>_xlfn.XLOOKUP(E21,'⑤项目数-B-a-③消耗明细表'!C:C,'⑤项目数-B-a-③消耗明细表'!E:E,0)</f>
        <v>0</v>
      </c>
      <c r="X21" s="53">
        <f>_xlfn.XLOOKUP(E21,'⑤项目数-B-a-③消耗明细表'!C:C,'⑤项目数-B-a-③消耗明细表'!D:D,0)</f>
        <v>0</v>
      </c>
      <c r="Y21" s="53">
        <f>_xlfn.XLOOKUP(E21,'⑤项目数-B-a-③消耗明细表'!C:C,'⑤项目数-B-a-③消耗明细表'!F:F,0)</f>
        <v>0</v>
      </c>
      <c r="Z21" s="53">
        <f>_xlfn.XLOOKUP(E21,'⑤项目数-B-a-③消耗明细表'!C:C,'⑤项目数-B-a-③消耗明细表'!G:G,0)</f>
        <v>0</v>
      </c>
      <c r="AA21" s="84" t="str">
        <f t="shared" si="4"/>
        <v>不属于战队</v>
      </c>
      <c r="AB21" s="84">
        <f t="shared" si="5"/>
        <v>0</v>
      </c>
      <c r="AC21" s="53">
        <f>_xlfn.XLOOKUP(F21,'⑥战队统计表-B-a-②呈现-业绩明细表④'!A:A,'⑥战队统计表-B-a-②呈现-业绩明细表④'!B:B,0)</f>
        <v>0</v>
      </c>
      <c r="AD21" s="53">
        <f t="shared" si="11"/>
        <v>1</v>
      </c>
      <c r="AE21" s="59">
        <f>IF(AD21="",_xlfn.XLOOKUP(F21,'⑥战队统计表-B-a-②呈现-业绩明细表④'!A:A,'⑥战队统计表-B-a-②呈现-业绩明细表④'!D:D,0),0)</f>
        <v>0</v>
      </c>
      <c r="AF21" s="85">
        <f>IF(AND(E21="T区",E21="门店T区"),"",IF(AD21="",0,IF(R21="",LOOKUP(S21,'②提成标准-B-a-①-增加'!$B$16:$B$20,'②提成标准-B-a-①-增加'!$D$16:$D$20),LOOKUP(S21/Q21,'②提成标准-B-a-①-增加'!$B$23:$B$27,'②提成标准-B-a-①-增加'!$D$23:$D$27))))</f>
        <v>0</v>
      </c>
      <c r="AG21" s="85">
        <f t="shared" si="6"/>
        <v>0</v>
      </c>
      <c r="AH21" s="60">
        <f t="shared" si="12"/>
        <v>0</v>
      </c>
      <c r="AI21" s="86">
        <f t="shared" si="13"/>
        <v>0</v>
      </c>
      <c r="AJ21" s="60">
        <f t="shared" si="14"/>
        <v>0</v>
      </c>
      <c r="AK21" s="87">
        <f>IF(AB21=1,IFERROR(S21/VLOOKUP(F21,'⑥战队统计表-B-a-②呈现-业绩明细表④'!A:C,3,0),0),0)</f>
        <v>0</v>
      </c>
      <c r="AL21" s="85" t="str">
        <f t="shared" si="7"/>
        <v/>
      </c>
      <c r="AM21" s="53" t="str">
        <f>IF(D21="顾问",_xlfn.XLOOKUP(F21,'⑥战队统计表-B-a-②呈现-业绩明细表④'!A:A,'⑥战队统计表-B-a-②呈现-业绩明细表④'!H:H,0),"")</f>
        <v/>
      </c>
      <c r="AN21" s="53" t="str">
        <f t="shared" si="8"/>
        <v>单人</v>
      </c>
    </row>
    <row r="22" spans="1:40" hidden="1" x14ac:dyDescent="0.15">
      <c r="A22" s="79" t="s">
        <v>428</v>
      </c>
      <c r="B22" s="80" t="s">
        <v>41</v>
      </c>
      <c r="C22" s="81" t="s">
        <v>40</v>
      </c>
      <c r="D22" s="82" t="s">
        <v>40</v>
      </c>
      <c r="E22" s="88" t="str">
        <f>F22</f>
        <v>华润+门店T区</v>
      </c>
      <c r="F22" s="53" t="str">
        <f t="shared" si="1"/>
        <v>华润+门店T区</v>
      </c>
      <c r="G22" s="53">
        <f>IFERROR(_xlfn.XLOOKUP(B22,'①门店信息-A-a-①-增加'!B:B,'①门店信息-A-a-①-增加'!E:E,0),"")</f>
        <v>0</v>
      </c>
      <c r="H22" s="54">
        <f>_xlfn.XLOOKUP(B22,'①门店信息-A-a-①-增加'!B:B,'①门店信息-A-a-①-增加'!F:F,0)</f>
        <v>0</v>
      </c>
      <c r="I22" s="55">
        <f>_xlfn.XLOOKUP(E22,'③新店考核-B-a-②呈现-业绩明细表-③'!B:B,'③新店考核-B-a-②呈现-业绩明细表-③'!E:E,0)</f>
        <v>0</v>
      </c>
      <c r="J22" s="54">
        <f>_xlfn.XLOOKUP(E22,'③新店考核-B-a-②呈现-业绩明细表-③'!B:B,'③新店考核-B-a-②呈现-业绩明细表-③'!F:F,0)</f>
        <v>0</v>
      </c>
      <c r="K22" s="55">
        <f>IF(H22="新店一阶段",LOOKUP(I22,'②提成标准-B-a-①-增加'!$M$9:$M$12,'②提成标准-B-a-①-增加'!$O$9:$O$12),0)</f>
        <v>0</v>
      </c>
      <c r="L22" s="56">
        <f t="shared" si="2"/>
        <v>-30.7</v>
      </c>
      <c r="M22" s="57">
        <f>_xlfn.XLOOKUP(E22,'③新店考核-B-a-②呈现-业绩明细表-③'!B:B,'③新店考核-B-a-②呈现-业绩明细表-③'!G:G,0)</f>
        <v>0</v>
      </c>
      <c r="N22" s="58" t="str">
        <f>LOOKUP(M22,'②提成标准-B-a-①-增加'!$M$1:$M$4,'②提成标准-B-a-①-增加'!$O$1:$O$4)</f>
        <v>同老店</v>
      </c>
      <c r="O22" s="57">
        <f>_xlfn.XLOOKUP(E22,'③新店考核-B-a-②呈现-业绩明细表-③'!B:B,'③新店考核-B-a-②呈现-业绩明细表-③'!H:H,0)</f>
        <v>0</v>
      </c>
      <c r="P22" s="57">
        <f t="shared" si="3"/>
        <v>-30.7</v>
      </c>
      <c r="Q22" s="53">
        <f>_xlfn.XLOOKUP(E22,'④考勤-B-a-26考勤汇总表'!D:D,'④考勤-B-a-26考勤汇总表'!AP:AP,0)</f>
        <v>0</v>
      </c>
      <c r="R22" s="53" t="str">
        <f t="shared" si="9"/>
        <v/>
      </c>
      <c r="S22" s="53">
        <f t="shared" si="10"/>
        <v>-30.7</v>
      </c>
      <c r="T22" s="53">
        <v>-30.7</v>
      </c>
      <c r="U22" s="53">
        <v>0</v>
      </c>
      <c r="V22" s="53">
        <v>0</v>
      </c>
      <c r="W22" s="53">
        <f>_xlfn.XLOOKUP(E22,'⑤项目数-B-a-③消耗明细表'!C:C,'⑤项目数-B-a-③消耗明细表'!E:E,0)</f>
        <v>0</v>
      </c>
      <c r="X22" s="53">
        <f>_xlfn.XLOOKUP(E22,'⑤项目数-B-a-③消耗明细表'!C:C,'⑤项目数-B-a-③消耗明细表'!D:D,0)</f>
        <v>0</v>
      </c>
      <c r="Y22" s="53">
        <f>_xlfn.XLOOKUP(E22,'⑤项目数-B-a-③消耗明细表'!C:C,'⑤项目数-B-a-③消耗明细表'!F:F,0)</f>
        <v>0</v>
      </c>
      <c r="Z22" s="53">
        <f>_xlfn.XLOOKUP(E22,'⑤项目数-B-a-③消耗明细表'!C:C,'⑤项目数-B-a-③消耗明细表'!G:G,0)</f>
        <v>0</v>
      </c>
      <c r="AA22" s="84">
        <f t="shared" si="4"/>
        <v>1</v>
      </c>
      <c r="AB22" s="84">
        <f t="shared" si="5"/>
        <v>0</v>
      </c>
      <c r="AC22" s="53">
        <f>_xlfn.XLOOKUP(F22,'⑥战队统计表-B-a-②呈现-业绩明细表④'!A:A,'⑥战队统计表-B-a-②呈现-业绩明细表④'!B:B,0)</f>
        <v>0</v>
      </c>
      <c r="AD22" s="53">
        <f t="shared" si="11"/>
        <v>1</v>
      </c>
      <c r="AE22" s="59">
        <f>IF(AD22="",_xlfn.XLOOKUP(F22,'⑥战队统计表-B-a-②呈现-业绩明细表④'!A:A,'⑥战队统计表-B-a-②呈现-业绩明细表④'!D:D,0),0)</f>
        <v>0</v>
      </c>
      <c r="AF22" s="85">
        <f>IF(AND(E22="T区",E22="门店T区"),"",IF(AD22="",0,IF(R22="",LOOKUP(S22,'②提成标准-B-a-①-增加'!$B$16:$B$20,'②提成标准-B-a-①-增加'!$D$16:$D$20),LOOKUP(S22/Q22,'②提成标准-B-a-①-增加'!$B$23:$B$27,'②提成标准-B-a-①-增加'!$D$23:$D$27))))</f>
        <v>0</v>
      </c>
      <c r="AG22" s="85">
        <f t="shared" si="6"/>
        <v>0</v>
      </c>
      <c r="AH22" s="60">
        <f t="shared" si="12"/>
        <v>0</v>
      </c>
      <c r="AI22" s="86">
        <f t="shared" si="13"/>
        <v>0</v>
      </c>
      <c r="AJ22" s="60">
        <f t="shared" si="14"/>
        <v>0</v>
      </c>
      <c r="AK22" s="87">
        <f>IF(AB22=1,IFERROR(S22/VLOOKUP(F22,'⑥战队统计表-B-a-②呈现-业绩明细表④'!A:C,3,0),0),0)</f>
        <v>0</v>
      </c>
      <c r="AL22" s="85" t="str">
        <f t="shared" si="7"/>
        <v/>
      </c>
      <c r="AM22" s="53" t="str">
        <f>IF(D22="顾问",_xlfn.XLOOKUP(F22,'⑥战队统计表-B-a-②呈现-业绩明细表④'!A:A,'⑥战队统计表-B-a-②呈现-业绩明细表④'!H:H,0),"")</f>
        <v/>
      </c>
      <c r="AN22" s="53" t="str">
        <f t="shared" si="8"/>
        <v>单人</v>
      </c>
    </row>
    <row r="23" spans="1:40" hidden="1" x14ac:dyDescent="0.15">
      <c r="A23" s="79" t="s">
        <v>428</v>
      </c>
      <c r="B23" s="80" t="s">
        <v>51</v>
      </c>
      <c r="C23" s="81" t="s">
        <v>52</v>
      </c>
      <c r="D23" s="82" t="s">
        <v>32</v>
      </c>
      <c r="E23" s="97" t="s">
        <v>53</v>
      </c>
      <c r="F23" s="53" t="str">
        <f t="shared" si="1"/>
        <v>静居寺+战神队</v>
      </c>
      <c r="G23" s="53">
        <f>IFERROR(_xlfn.XLOOKUP(B23,'①门店信息-A-a-①-增加'!B:B,'①门店信息-A-a-①-增加'!E:E,0),"")</f>
        <v>0</v>
      </c>
      <c r="H23" s="54">
        <f>_xlfn.XLOOKUP(B23,'①门店信息-A-a-①-增加'!B:B,'①门店信息-A-a-①-增加'!F:F,0)</f>
        <v>0</v>
      </c>
      <c r="I23" s="55">
        <f>_xlfn.XLOOKUP(E23,'③新店考核-B-a-②呈现-业绩明细表-③'!B:B,'③新店考核-B-a-②呈现-业绩明细表-③'!E:E,0)</f>
        <v>0</v>
      </c>
      <c r="J23" s="54">
        <f>_xlfn.XLOOKUP(E23,'③新店考核-B-a-②呈现-业绩明细表-③'!B:B,'③新店考核-B-a-②呈现-业绩明细表-③'!F:F,0)</f>
        <v>0</v>
      </c>
      <c r="K23" s="55">
        <f>IF(H23="新店一阶段",LOOKUP(I23,'②提成标准-B-a-①-增加'!$M$9:$M$12,'②提成标准-B-a-①-增加'!$O$9:$O$12),0)</f>
        <v>0</v>
      </c>
      <c r="L23" s="56">
        <f t="shared" si="2"/>
        <v>121987</v>
      </c>
      <c r="M23" s="57">
        <f>_xlfn.XLOOKUP(E23,'③新店考核-B-a-②呈现-业绩明细表-③'!B:B,'③新店考核-B-a-②呈现-业绩明细表-③'!G:G,0)</f>
        <v>0</v>
      </c>
      <c r="N23" s="58" t="str">
        <f>LOOKUP(M23,'②提成标准-B-a-①-增加'!$M$1:$M$4,'②提成标准-B-a-①-增加'!$O$1:$O$4)</f>
        <v>同老店</v>
      </c>
      <c r="O23" s="57">
        <f>_xlfn.XLOOKUP(E23,'③新店考核-B-a-②呈现-业绩明细表-③'!B:B,'③新店考核-B-a-②呈现-业绩明细表-③'!H:H,0)</f>
        <v>0</v>
      </c>
      <c r="P23" s="57">
        <f t="shared" si="3"/>
        <v>121987</v>
      </c>
      <c r="Q23" s="53">
        <f>_xlfn.XLOOKUP(E23,'④考勤-B-a-26考勤汇总表'!D:D,'④考勤-B-a-26考勤汇总表'!AP:AP,0)</f>
        <v>31</v>
      </c>
      <c r="R23" s="53" t="str">
        <f t="shared" si="9"/>
        <v/>
      </c>
      <c r="S23" s="53">
        <f t="shared" si="10"/>
        <v>182287</v>
      </c>
      <c r="T23" s="53">
        <v>121987</v>
      </c>
      <c r="U23" s="53">
        <v>60300</v>
      </c>
      <c r="V23" s="53">
        <v>0</v>
      </c>
      <c r="W23" s="53">
        <f>_xlfn.XLOOKUP(E23,'⑤项目数-B-a-③消耗明细表'!C:C,'⑤项目数-B-a-③消耗明细表'!E:E,0)</f>
        <v>86403.54</v>
      </c>
      <c r="X23" s="53">
        <f>_xlfn.XLOOKUP(E23,'⑤项目数-B-a-③消耗明细表'!C:C,'⑤项目数-B-a-③消耗明细表'!D:D,0)</f>
        <v>128</v>
      </c>
      <c r="Y23" s="53">
        <f>_xlfn.XLOOKUP(E23,'⑤项目数-B-a-③消耗明细表'!C:C,'⑤项目数-B-a-③消耗明细表'!F:F,0)</f>
        <v>1728</v>
      </c>
      <c r="Z23" s="53">
        <f>_xlfn.XLOOKUP(E23,'⑤项目数-B-a-③消耗明细表'!C:C,'⑤项目数-B-a-③消耗明细表'!G:G,0)</f>
        <v>220</v>
      </c>
      <c r="AA23" s="84">
        <f t="shared" si="4"/>
        <v>1</v>
      </c>
      <c r="AB23" s="84">
        <f t="shared" si="5"/>
        <v>1</v>
      </c>
      <c r="AC23" s="53">
        <f>_xlfn.XLOOKUP(F23,'⑥战队统计表-B-a-②呈现-业绩明细表④'!A:A,'⑥战队统计表-B-a-②呈现-业绩明细表④'!B:B,0)</f>
        <v>3</v>
      </c>
      <c r="AD23" s="53" t="str">
        <f t="shared" si="11"/>
        <v/>
      </c>
      <c r="AE23" s="59">
        <f>IF(AD23="",_xlfn.XLOOKUP(F23,'⑥战队统计表-B-a-②呈现-业绩明细表④'!A:A,'⑥战队统计表-B-a-②呈现-业绩明细表④'!D:D,0),0)</f>
        <v>7.0000000000000007E-2</v>
      </c>
      <c r="AF23" s="85">
        <f>IF(AND(E23="T区",E23="门店T区"),"",IF(AD23="",0,IF(R23="",LOOKUP(S23,'②提成标准-B-a-①-增加'!$B$16:$B$20,'②提成标准-B-a-①-增加'!$D$16:$D$20),LOOKUP(S23/Q23,'②提成标准-B-a-①-增加'!$B$23:$B$27,'②提成标准-B-a-①-增加'!$D$23:$D$27))))</f>
        <v>0</v>
      </c>
      <c r="AG23" s="85">
        <f t="shared" si="6"/>
        <v>7.0000000000000007E-2</v>
      </c>
      <c r="AH23" s="60">
        <f t="shared" si="12"/>
        <v>8112.1354999999994</v>
      </c>
      <c r="AI23" s="86">
        <f t="shared" si="13"/>
        <v>2606.4674999999997</v>
      </c>
      <c r="AJ23" s="60">
        <f t="shared" si="14"/>
        <v>10718.602999999999</v>
      </c>
      <c r="AK23" s="87">
        <f>IF(AB23=1,IFERROR(S23/VLOOKUP(F23,'⑥战队统计表-B-a-②呈现-业绩明细表④'!A:C,3,0),0),0)</f>
        <v>0.78542427784717217</v>
      </c>
      <c r="AL23" s="85">
        <f t="shared" si="7"/>
        <v>0.21457572215282783</v>
      </c>
      <c r="AM23" s="53">
        <f>IF(D23="顾问",_xlfn.XLOOKUP(F23,'⑥战队统计表-B-a-②呈现-业绩明细表④'!A:A,'⑥战队统计表-B-a-②呈现-业绩明细表④'!H:H,0),"")</f>
        <v>0</v>
      </c>
      <c r="AN23" s="53" t="str">
        <f t="shared" si="8"/>
        <v>静居寺+战神队</v>
      </c>
    </row>
    <row r="24" spans="1:40" hidden="1" x14ac:dyDescent="0.15">
      <c r="A24" s="79" t="s">
        <v>428</v>
      </c>
      <c r="B24" s="80" t="s">
        <v>51</v>
      </c>
      <c r="C24" s="81" t="s">
        <v>52</v>
      </c>
      <c r="D24" s="82" t="s">
        <v>6</v>
      </c>
      <c r="E24" s="97" t="s">
        <v>54</v>
      </c>
      <c r="F24" s="53" t="str">
        <f t="shared" si="1"/>
        <v>静居寺+战神队</v>
      </c>
      <c r="G24" s="53">
        <f>IFERROR(_xlfn.XLOOKUP(B24,'①门店信息-A-a-①-增加'!B:B,'①门店信息-A-a-①-增加'!E:E,0),"")</f>
        <v>0</v>
      </c>
      <c r="H24" s="54">
        <f>_xlfn.XLOOKUP(B24,'①门店信息-A-a-①-增加'!B:B,'①门店信息-A-a-①-增加'!F:F,0)</f>
        <v>0</v>
      </c>
      <c r="I24" s="55">
        <f>_xlfn.XLOOKUP(E24,'③新店考核-B-a-②呈现-业绩明细表-③'!B:B,'③新店考核-B-a-②呈现-业绩明细表-③'!E:E,0)</f>
        <v>0</v>
      </c>
      <c r="J24" s="54">
        <f>_xlfn.XLOOKUP(E24,'③新店考核-B-a-②呈现-业绩明细表-③'!B:B,'③新店考核-B-a-②呈现-业绩明细表-③'!F:F,0)</f>
        <v>0</v>
      </c>
      <c r="K24" s="55">
        <f>IF(H24="新店一阶段",LOOKUP(I24,'②提成标准-B-a-①-增加'!$M$9:$M$12,'②提成标准-B-a-①-增加'!$O$9:$O$12),0)</f>
        <v>0</v>
      </c>
      <c r="L24" s="56">
        <f t="shared" si="2"/>
        <v>16522.3</v>
      </c>
      <c r="M24" s="57">
        <f>_xlfn.XLOOKUP(E24,'③新店考核-B-a-②呈现-业绩明细表-③'!B:B,'③新店考核-B-a-②呈现-业绩明细表-③'!G:G,0)</f>
        <v>0</v>
      </c>
      <c r="N24" s="58" t="str">
        <f>LOOKUP(M24,'②提成标准-B-a-①-增加'!$M$1:$M$4,'②提成标准-B-a-①-增加'!$O$1:$O$4)</f>
        <v>同老店</v>
      </c>
      <c r="O24" s="57">
        <f>_xlfn.XLOOKUP(E24,'③新店考核-B-a-②呈现-业绩明细表-③'!B:B,'③新店考核-B-a-②呈现-业绩明细表-③'!H:H,0)</f>
        <v>0</v>
      </c>
      <c r="P24" s="57">
        <f t="shared" si="3"/>
        <v>16522.3</v>
      </c>
      <c r="Q24" s="53">
        <f>_xlfn.XLOOKUP(E24,'④考勤-B-a-26考勤汇总表'!D:D,'④考勤-B-a-26考勤汇总表'!AP:AP,0)</f>
        <v>31</v>
      </c>
      <c r="R24" s="53" t="str">
        <f t="shared" si="9"/>
        <v/>
      </c>
      <c r="S24" s="53">
        <f t="shared" si="10"/>
        <v>16522.3</v>
      </c>
      <c r="T24" s="53">
        <v>16522.3</v>
      </c>
      <c r="U24" s="53">
        <v>0</v>
      </c>
      <c r="V24" s="53">
        <v>0</v>
      </c>
      <c r="W24" s="53">
        <f>_xlfn.XLOOKUP(E24,'⑤项目数-B-a-③消耗明细表'!C:C,'⑤项目数-B-a-③消耗明细表'!E:E,0)</f>
        <v>32374.69</v>
      </c>
      <c r="X24" s="53">
        <f>_xlfn.XLOOKUP(E24,'⑤项目数-B-a-③消耗明细表'!C:C,'⑤项目数-B-a-③消耗明细表'!D:D,0)</f>
        <v>119</v>
      </c>
      <c r="Y24" s="53">
        <f>_xlfn.XLOOKUP(E24,'⑤项目数-B-a-③消耗明细表'!C:C,'⑤项目数-B-a-③消耗明细表'!F:F,0)</f>
        <v>1254</v>
      </c>
      <c r="Z24" s="53">
        <f>_xlfn.XLOOKUP(E24,'⑤项目数-B-a-③消耗明细表'!C:C,'⑤项目数-B-a-③消耗明细表'!G:G,0)</f>
        <v>0</v>
      </c>
      <c r="AA24" s="84">
        <f t="shared" si="4"/>
        <v>1</v>
      </c>
      <c r="AB24" s="84">
        <f t="shared" si="5"/>
        <v>1</v>
      </c>
      <c r="AC24" s="53">
        <f>_xlfn.XLOOKUP(F24,'⑥战队统计表-B-a-②呈现-业绩明细表④'!A:A,'⑥战队统计表-B-a-②呈现-业绩明细表④'!B:B,0)</f>
        <v>3</v>
      </c>
      <c r="AD24" s="53" t="str">
        <f t="shared" si="11"/>
        <v/>
      </c>
      <c r="AE24" s="59">
        <f>IF(AD24="",_xlfn.XLOOKUP(F24,'⑥战队统计表-B-a-②呈现-业绩明细表④'!A:A,'⑥战队统计表-B-a-②呈现-业绩明细表④'!D:D,0),0)</f>
        <v>7.0000000000000007E-2</v>
      </c>
      <c r="AF24" s="85">
        <f>IF(AND(E24="T区",E24="门店T区"),"",IF(AD24="",0,IF(R24="",LOOKUP(S24,'②提成标准-B-a-①-增加'!$B$16:$B$20,'②提成标准-B-a-①-增加'!$D$16:$D$20),LOOKUP(S24/Q24,'②提成标准-B-a-①-增加'!$B$23:$B$27,'②提成标准-B-a-①-增加'!$D$23:$D$27))))</f>
        <v>0</v>
      </c>
      <c r="AG24" s="85">
        <f t="shared" si="6"/>
        <v>7.0000000000000007E-2</v>
      </c>
      <c r="AH24" s="60">
        <f t="shared" si="12"/>
        <v>1098.7329500000001</v>
      </c>
      <c r="AI24" s="86">
        <f t="shared" si="13"/>
        <v>0</v>
      </c>
      <c r="AJ24" s="60">
        <f t="shared" si="14"/>
        <v>1098.7329500000001</v>
      </c>
      <c r="AK24" s="87">
        <f>IF(AB24=1,IFERROR(S24/VLOOKUP(F24,'⑥战队统计表-B-a-②呈现-业绩明细表④'!A:C,3,0),0),0)</f>
        <v>7.1190022030503175E-2</v>
      </c>
      <c r="AL24" s="85" t="str">
        <f t="shared" si="7"/>
        <v/>
      </c>
      <c r="AM24" s="53" t="str">
        <f>IF(D24="顾问",_xlfn.XLOOKUP(F24,'⑥战队统计表-B-a-②呈现-业绩明细表④'!A:A,'⑥战队统计表-B-a-②呈现-业绩明细表④'!H:H,0),"")</f>
        <v/>
      </c>
      <c r="AN24" s="53" t="str">
        <f t="shared" si="8"/>
        <v>静居寺+战神队</v>
      </c>
    </row>
    <row r="25" spans="1:40" hidden="1" x14ac:dyDescent="0.15">
      <c r="A25" s="79" t="s">
        <v>428</v>
      </c>
      <c r="B25" s="80" t="s">
        <v>51</v>
      </c>
      <c r="C25" s="89" t="s">
        <v>52</v>
      </c>
      <c r="D25" s="90" t="s">
        <v>6</v>
      </c>
      <c r="E25" s="90" t="s">
        <v>55</v>
      </c>
      <c r="F25" s="53" t="str">
        <f t="shared" si="1"/>
        <v>静居寺+战神队</v>
      </c>
      <c r="G25" s="53">
        <f>IFERROR(_xlfn.XLOOKUP(B25,'①门店信息-A-a-①-增加'!B:B,'①门店信息-A-a-①-增加'!E:E,0),"")</f>
        <v>0</v>
      </c>
      <c r="H25" s="54">
        <f>_xlfn.XLOOKUP(B25,'①门店信息-A-a-①-增加'!B:B,'①门店信息-A-a-①-增加'!F:F,0)</f>
        <v>0</v>
      </c>
      <c r="I25" s="55">
        <f>_xlfn.XLOOKUP(E25,'③新店考核-B-a-②呈现-业绩明细表-③'!B:B,'③新店考核-B-a-②呈现-业绩明细表-③'!E:E,0)</f>
        <v>0</v>
      </c>
      <c r="J25" s="54">
        <f>_xlfn.XLOOKUP(E25,'③新店考核-B-a-②呈现-业绩明细表-③'!B:B,'③新店考核-B-a-②呈现-业绩明细表-③'!F:F,0)</f>
        <v>0</v>
      </c>
      <c r="K25" s="55">
        <f>IF(H25="新店一阶段",LOOKUP(I25,'②提成标准-B-a-①-增加'!$M$9:$M$12,'②提成标准-B-a-①-增加'!$O$9:$O$12),0)</f>
        <v>0</v>
      </c>
      <c r="L25" s="56">
        <f t="shared" si="2"/>
        <v>32390</v>
      </c>
      <c r="M25" s="57">
        <f>_xlfn.XLOOKUP(E25,'③新店考核-B-a-②呈现-业绩明细表-③'!B:B,'③新店考核-B-a-②呈现-业绩明细表-③'!G:G,0)</f>
        <v>0</v>
      </c>
      <c r="N25" s="58" t="str">
        <f>LOOKUP(M25,'②提成标准-B-a-①-增加'!$M$1:$M$4,'②提成标准-B-a-①-增加'!$O$1:$O$4)</f>
        <v>同老店</v>
      </c>
      <c r="O25" s="57">
        <f>_xlfn.XLOOKUP(E25,'③新店考核-B-a-②呈现-业绩明细表-③'!B:B,'③新店考核-B-a-②呈现-业绩明细表-③'!H:H,0)</f>
        <v>0</v>
      </c>
      <c r="P25" s="57">
        <f t="shared" si="3"/>
        <v>32390</v>
      </c>
      <c r="Q25" s="53">
        <f>_xlfn.XLOOKUP(E25,'④考勤-B-a-26考勤汇总表'!D:D,'④考勤-B-a-26考勤汇总表'!AP:AP,0)</f>
        <v>31</v>
      </c>
      <c r="R25" s="53" t="str">
        <f t="shared" si="9"/>
        <v/>
      </c>
      <c r="S25" s="53">
        <f t="shared" si="10"/>
        <v>33278</v>
      </c>
      <c r="T25" s="53">
        <v>32390</v>
      </c>
      <c r="U25" s="53">
        <v>0</v>
      </c>
      <c r="V25" s="53">
        <v>888</v>
      </c>
      <c r="W25" s="53">
        <f>_xlfn.XLOOKUP(E25,'⑤项目数-B-a-③消耗明细表'!C:C,'⑤项目数-B-a-③消耗明细表'!E:E,0)</f>
        <v>28777.7</v>
      </c>
      <c r="X25" s="53">
        <f>_xlfn.XLOOKUP(E25,'⑤项目数-B-a-③消耗明细表'!C:C,'⑤项目数-B-a-③消耗明细表'!D:D,0)</f>
        <v>138</v>
      </c>
      <c r="Y25" s="53">
        <f>_xlfn.XLOOKUP(E25,'⑤项目数-B-a-③消耗明细表'!C:C,'⑤项目数-B-a-③消耗明细表'!F:F,0)</f>
        <v>1622</v>
      </c>
      <c r="Z25" s="53">
        <f>_xlfn.XLOOKUP(E25,'⑤项目数-B-a-③消耗明细表'!C:C,'⑤项目数-B-a-③消耗明细表'!G:G,0)</f>
        <v>70</v>
      </c>
      <c r="AA25" s="84">
        <f t="shared" si="4"/>
        <v>1</v>
      </c>
      <c r="AB25" s="84">
        <f t="shared" si="5"/>
        <v>1</v>
      </c>
      <c r="AC25" s="53">
        <f>_xlfn.XLOOKUP(F25,'⑥战队统计表-B-a-②呈现-业绩明细表④'!A:A,'⑥战队统计表-B-a-②呈现-业绩明细表④'!B:B,0)</f>
        <v>3</v>
      </c>
      <c r="AD25" s="53" t="str">
        <f t="shared" si="11"/>
        <v/>
      </c>
      <c r="AE25" s="59">
        <f>IF(AD25="",_xlfn.XLOOKUP(F25,'⑥战队统计表-B-a-②呈现-业绩明细表④'!A:A,'⑥战队统计表-B-a-②呈现-业绩明细表④'!D:D,0),0)</f>
        <v>7.0000000000000007E-2</v>
      </c>
      <c r="AF25" s="85">
        <f>IF(AND(E25="T区",E25="门店T区"),"",IF(AD25="",0,IF(R25="",LOOKUP(S25,'②提成标准-B-a-①-增加'!$B$16:$B$20,'②提成标准-B-a-①-增加'!$D$16:$D$20),LOOKUP(S25/Q25,'②提成标准-B-a-①-增加'!$B$23:$B$27,'②提成标准-B-a-①-增加'!$D$23:$D$27))))</f>
        <v>0</v>
      </c>
      <c r="AG25" s="85">
        <f t="shared" si="6"/>
        <v>7.0000000000000007E-2</v>
      </c>
      <c r="AH25" s="60">
        <f t="shared" si="12"/>
        <v>2153.9349999999999</v>
      </c>
      <c r="AI25" s="86">
        <f t="shared" si="13"/>
        <v>0</v>
      </c>
      <c r="AJ25" s="60">
        <f t="shared" si="14"/>
        <v>2153.9349999999999</v>
      </c>
      <c r="AK25" s="87">
        <f>IF(AB25=1,IFERROR(S25/VLOOKUP(F25,'⑥战队统计表-B-a-②呈现-业绩明细表④'!A:C,3,0),0),0)</f>
        <v>0.14338570012232466</v>
      </c>
      <c r="AL25" s="85" t="str">
        <f t="shared" si="7"/>
        <v/>
      </c>
      <c r="AM25" s="53" t="str">
        <f>IF(D25="顾问",_xlfn.XLOOKUP(F25,'⑥战队统计表-B-a-②呈现-业绩明细表④'!A:A,'⑥战队统计表-B-a-②呈现-业绩明细表④'!H:H,0),"")</f>
        <v/>
      </c>
      <c r="AN25" s="53" t="str">
        <f t="shared" si="8"/>
        <v>静居寺+战神队</v>
      </c>
    </row>
    <row r="26" spans="1:40" hidden="1" x14ac:dyDescent="0.15">
      <c r="A26" s="79" t="s">
        <v>428</v>
      </c>
      <c r="B26" s="80" t="s">
        <v>51</v>
      </c>
      <c r="C26" s="81" t="s">
        <v>36</v>
      </c>
      <c r="D26" s="82" t="s">
        <v>36</v>
      </c>
      <c r="E26" s="82" t="s">
        <v>36</v>
      </c>
      <c r="F26" s="53" t="str">
        <f t="shared" si="1"/>
        <v>静居寺+T区</v>
      </c>
      <c r="G26" s="53">
        <f>IFERROR(_xlfn.XLOOKUP(B26,'①门店信息-A-a-①-增加'!B:B,'①门店信息-A-a-①-增加'!E:E,0),"")</f>
        <v>0</v>
      </c>
      <c r="H26" s="54">
        <f>_xlfn.XLOOKUP(B26,'①门店信息-A-a-①-增加'!B:B,'①门店信息-A-a-①-增加'!F:F,0)</f>
        <v>0</v>
      </c>
      <c r="I26" s="55">
        <f>_xlfn.XLOOKUP(E26,'③新店考核-B-a-②呈现-业绩明细表-③'!B:B,'③新店考核-B-a-②呈现-业绩明细表-③'!E:E,0)</f>
        <v>0</v>
      </c>
      <c r="J26" s="54">
        <f>_xlfn.XLOOKUP(E26,'③新店考核-B-a-②呈现-业绩明细表-③'!B:B,'③新店考核-B-a-②呈现-业绩明细表-③'!F:F,0)</f>
        <v>0</v>
      </c>
      <c r="K26" s="55">
        <f>IF(H26="新店一阶段",LOOKUP(I26,'②提成标准-B-a-①-增加'!$M$9:$M$12,'②提成标准-B-a-①-增加'!$O$9:$O$12),0)</f>
        <v>0</v>
      </c>
      <c r="L26" s="56">
        <f t="shared" si="2"/>
        <v>0</v>
      </c>
      <c r="M26" s="57">
        <f>_xlfn.XLOOKUP(E26,'③新店考核-B-a-②呈现-业绩明细表-③'!B:B,'③新店考核-B-a-②呈现-业绩明细表-③'!G:G,0)</f>
        <v>0</v>
      </c>
      <c r="N26" s="58" t="str">
        <f>LOOKUP(M26,'②提成标准-B-a-①-增加'!$M$1:$M$4,'②提成标准-B-a-①-增加'!$O$1:$O$4)</f>
        <v>同老店</v>
      </c>
      <c r="O26" s="57">
        <f>_xlfn.XLOOKUP(E26,'③新店考核-B-a-②呈现-业绩明细表-③'!B:B,'③新店考核-B-a-②呈现-业绩明细表-③'!H:H,0)</f>
        <v>0</v>
      </c>
      <c r="P26" s="57">
        <f t="shared" si="3"/>
        <v>0</v>
      </c>
      <c r="Q26" s="53">
        <f>_xlfn.XLOOKUP(E26,'④考勤-B-a-26考勤汇总表'!D:D,'④考勤-B-a-26考勤汇总表'!AP:AP,0)</f>
        <v>0</v>
      </c>
      <c r="R26" s="53" t="str">
        <f t="shared" si="9"/>
        <v/>
      </c>
      <c r="S26" s="53">
        <f t="shared" si="10"/>
        <v>0</v>
      </c>
      <c r="T26" s="53">
        <v>0</v>
      </c>
      <c r="U26" s="53">
        <v>0</v>
      </c>
      <c r="V26" s="53">
        <v>0</v>
      </c>
      <c r="W26" s="53">
        <f>_xlfn.XLOOKUP(E26,'⑤项目数-B-a-③消耗明细表'!C:C,'⑤项目数-B-a-③消耗明细表'!E:E,0)</f>
        <v>0</v>
      </c>
      <c r="X26" s="53">
        <f>_xlfn.XLOOKUP(E26,'⑤项目数-B-a-③消耗明细表'!C:C,'⑤项目数-B-a-③消耗明细表'!D:D,0)</f>
        <v>0</v>
      </c>
      <c r="Y26" s="53">
        <f>_xlfn.XLOOKUP(E26,'⑤项目数-B-a-③消耗明细表'!C:C,'⑤项目数-B-a-③消耗明细表'!F:F,0)</f>
        <v>0</v>
      </c>
      <c r="Z26" s="53">
        <f>_xlfn.XLOOKUP(E26,'⑤项目数-B-a-③消耗明细表'!C:C,'⑤项目数-B-a-③消耗明细表'!G:G,0)</f>
        <v>0</v>
      </c>
      <c r="AA26" s="84" t="str">
        <f t="shared" si="4"/>
        <v>不属于战队</v>
      </c>
      <c r="AB26" s="84">
        <f t="shared" si="5"/>
        <v>0</v>
      </c>
      <c r="AC26" s="53">
        <f>_xlfn.XLOOKUP(F26,'⑥战队统计表-B-a-②呈现-业绩明细表④'!A:A,'⑥战队统计表-B-a-②呈现-业绩明细表④'!B:B,0)</f>
        <v>0</v>
      </c>
      <c r="AD26" s="53">
        <f t="shared" si="11"/>
        <v>1</v>
      </c>
      <c r="AE26" s="59">
        <f>IF(AD26="",_xlfn.XLOOKUP(F26,'⑥战队统计表-B-a-②呈现-业绩明细表④'!A:A,'⑥战队统计表-B-a-②呈现-业绩明细表④'!D:D,0),0)</f>
        <v>0</v>
      </c>
      <c r="AF26" s="85">
        <f>IF(AND(E26="T区",E26="门店T区"),"",IF(AD26="",0,IF(R26="",LOOKUP(S26,'②提成标准-B-a-①-增加'!$B$16:$B$20,'②提成标准-B-a-①-增加'!$D$16:$D$20),LOOKUP(S26/Q26,'②提成标准-B-a-①-增加'!$B$23:$B$27,'②提成标准-B-a-①-增加'!$D$23:$D$27))))</f>
        <v>0</v>
      </c>
      <c r="AG26" s="85">
        <f t="shared" si="6"/>
        <v>0</v>
      </c>
      <c r="AH26" s="60">
        <f t="shared" si="12"/>
        <v>0</v>
      </c>
      <c r="AI26" s="86">
        <f t="shared" si="13"/>
        <v>0</v>
      </c>
      <c r="AJ26" s="60">
        <f t="shared" si="14"/>
        <v>0</v>
      </c>
      <c r="AK26" s="87">
        <f>IF(AB26=1,IFERROR(S26/VLOOKUP(F26,'⑥战队统计表-B-a-②呈现-业绩明细表④'!A:C,3,0),0),0)</f>
        <v>0</v>
      </c>
      <c r="AL26" s="85" t="str">
        <f t="shared" si="7"/>
        <v/>
      </c>
      <c r="AM26" s="53" t="str">
        <f>IF(D26="顾问",_xlfn.XLOOKUP(F26,'⑥战队统计表-B-a-②呈现-业绩明细表④'!A:A,'⑥战队统计表-B-a-②呈现-业绩明细表④'!H:H,0),"")</f>
        <v/>
      </c>
      <c r="AN26" s="53" t="str">
        <f t="shared" si="8"/>
        <v>单人</v>
      </c>
    </row>
    <row r="27" spans="1:40" hidden="1" x14ac:dyDescent="0.15">
      <c r="A27" s="79" t="s">
        <v>428</v>
      </c>
      <c r="B27" s="80" t="s">
        <v>51</v>
      </c>
      <c r="C27" s="81" t="s">
        <v>56</v>
      </c>
      <c r="D27" s="82" t="s">
        <v>32</v>
      </c>
      <c r="E27" s="82" t="s">
        <v>57</v>
      </c>
      <c r="F27" s="53" t="str">
        <f t="shared" si="1"/>
        <v>静居寺+亮剑队</v>
      </c>
      <c r="G27" s="53">
        <f>IFERROR(_xlfn.XLOOKUP(B27,'①门店信息-A-a-①-增加'!B:B,'①门店信息-A-a-①-增加'!E:E,0),"")</f>
        <v>0</v>
      </c>
      <c r="H27" s="54">
        <f>_xlfn.XLOOKUP(B27,'①门店信息-A-a-①-增加'!B:B,'①门店信息-A-a-①-增加'!F:F,0)</f>
        <v>0</v>
      </c>
      <c r="I27" s="55">
        <f>_xlfn.XLOOKUP(E27,'③新店考核-B-a-②呈现-业绩明细表-③'!B:B,'③新店考核-B-a-②呈现-业绩明细表-③'!E:E,0)</f>
        <v>0</v>
      </c>
      <c r="J27" s="54">
        <f>_xlfn.XLOOKUP(E27,'③新店考核-B-a-②呈现-业绩明细表-③'!B:B,'③新店考核-B-a-②呈现-业绩明细表-③'!F:F,0)</f>
        <v>0</v>
      </c>
      <c r="K27" s="55">
        <f>IF(H27="新店一阶段",LOOKUP(I27,'②提成标准-B-a-①-增加'!$M$9:$M$12,'②提成标准-B-a-①-增加'!$O$9:$O$12),0)</f>
        <v>0</v>
      </c>
      <c r="L27" s="56">
        <f t="shared" si="2"/>
        <v>61766.6</v>
      </c>
      <c r="M27" s="57">
        <f>_xlfn.XLOOKUP(E27,'③新店考核-B-a-②呈现-业绩明细表-③'!B:B,'③新店考核-B-a-②呈现-业绩明细表-③'!G:G,0)</f>
        <v>0</v>
      </c>
      <c r="N27" s="58" t="str">
        <f>LOOKUP(M27,'②提成标准-B-a-①-增加'!$M$1:$M$4,'②提成标准-B-a-①-增加'!$O$1:$O$4)</f>
        <v>同老店</v>
      </c>
      <c r="O27" s="57">
        <f>_xlfn.XLOOKUP(E27,'③新店考核-B-a-②呈现-业绩明细表-③'!B:B,'③新店考核-B-a-②呈现-业绩明细表-③'!H:H,0)</f>
        <v>0</v>
      </c>
      <c r="P27" s="57">
        <f t="shared" si="3"/>
        <v>61766.6</v>
      </c>
      <c r="Q27" s="53">
        <f>_xlfn.XLOOKUP(E27,'④考勤-B-a-26考勤汇总表'!D:D,'④考勤-B-a-26考勤汇总表'!AP:AP,0)</f>
        <v>31</v>
      </c>
      <c r="R27" s="53" t="str">
        <f t="shared" si="9"/>
        <v/>
      </c>
      <c r="S27" s="53">
        <f t="shared" si="10"/>
        <v>116254.6</v>
      </c>
      <c r="T27" s="53">
        <v>61766.6</v>
      </c>
      <c r="U27" s="53">
        <v>53600</v>
      </c>
      <c r="V27" s="53">
        <v>888</v>
      </c>
      <c r="W27" s="53">
        <f>_xlfn.XLOOKUP(E27,'⑤项目数-B-a-③消耗明细表'!C:C,'⑤项目数-B-a-③消耗明细表'!E:E,0)</f>
        <v>86891.64</v>
      </c>
      <c r="X27" s="53">
        <f>_xlfn.XLOOKUP(E27,'⑤项目数-B-a-③消耗明细表'!C:C,'⑤项目数-B-a-③消耗明细表'!D:D,0)</f>
        <v>126</v>
      </c>
      <c r="Y27" s="53">
        <f>_xlfn.XLOOKUP(E27,'⑤项目数-B-a-③消耗明细表'!C:C,'⑤项目数-B-a-③消耗明细表'!F:F,0)</f>
        <v>1593</v>
      </c>
      <c r="Z27" s="53">
        <f>_xlfn.XLOOKUP(E27,'⑤项目数-B-a-③消耗明细表'!C:C,'⑤项目数-B-a-③消耗明细表'!G:G,0)</f>
        <v>175</v>
      </c>
      <c r="AA27" s="84">
        <f t="shared" si="4"/>
        <v>1</v>
      </c>
      <c r="AB27" s="84">
        <f t="shared" si="5"/>
        <v>1</v>
      </c>
      <c r="AC27" s="53">
        <f>_xlfn.XLOOKUP(F27,'⑥战队统计表-B-a-②呈现-业绩明细表④'!A:A,'⑥战队统计表-B-a-②呈现-业绩明细表④'!B:B,0)</f>
        <v>3</v>
      </c>
      <c r="AD27" s="53" t="str">
        <f t="shared" si="11"/>
        <v/>
      </c>
      <c r="AE27" s="59">
        <f>IF(AD27="",_xlfn.XLOOKUP(F27,'⑥战队统计表-B-a-②呈现-业绩明细表④'!A:A,'⑥战队统计表-B-a-②呈现-业绩明细表④'!D:D,0),0)</f>
        <v>7.0000000000000007E-2</v>
      </c>
      <c r="AF27" s="85">
        <f>IF(AND(E27="T区",E27="门店T区"),"",IF(AD27="",0,IF(R27="",LOOKUP(S27,'②提成标准-B-a-①-增加'!$B$16:$B$20,'②提成标准-B-a-①-增加'!$D$16:$D$20),LOOKUP(S27/Q27,'②提成标准-B-a-①-增加'!$B$23:$B$27,'②提成标准-B-a-①-增加'!$D$23:$D$27))))</f>
        <v>0</v>
      </c>
      <c r="AG27" s="85">
        <f t="shared" si="6"/>
        <v>7.0000000000000007E-2</v>
      </c>
      <c r="AH27" s="60">
        <f t="shared" si="12"/>
        <v>4107.4789000000001</v>
      </c>
      <c r="AI27" s="86">
        <f t="shared" si="13"/>
        <v>2316.86</v>
      </c>
      <c r="AJ27" s="60">
        <f t="shared" si="14"/>
        <v>6424.3389000000006</v>
      </c>
      <c r="AK27" s="87">
        <f>IF(AB27=1,IFERROR(S27/VLOOKUP(F27,'⑥战队统计表-B-a-②呈现-业绩明细表④'!A:C,3,0),0),0)</f>
        <v>0.6627864549482676</v>
      </c>
      <c r="AL27" s="85">
        <f t="shared" si="7"/>
        <v>0.33721354505173229</v>
      </c>
      <c r="AM27" s="53">
        <f>IF(D27="顾问",_xlfn.XLOOKUP(F27,'⑥战队统计表-B-a-②呈现-业绩明细表④'!A:A,'⑥战队统计表-B-a-②呈现-业绩明细表④'!H:H,0),"")</f>
        <v>0</v>
      </c>
      <c r="AN27" s="53" t="str">
        <f t="shared" si="8"/>
        <v>静居寺+亮剑队</v>
      </c>
    </row>
    <row r="28" spans="1:40" hidden="1" x14ac:dyDescent="0.15">
      <c r="A28" s="79" t="s">
        <v>428</v>
      </c>
      <c r="B28" s="80" t="s">
        <v>51</v>
      </c>
      <c r="C28" s="81" t="s">
        <v>56</v>
      </c>
      <c r="D28" s="82" t="s">
        <v>6</v>
      </c>
      <c r="E28" s="82" t="s">
        <v>58</v>
      </c>
      <c r="F28" s="53" t="str">
        <f t="shared" si="1"/>
        <v>静居寺+亮剑队</v>
      </c>
      <c r="G28" s="53">
        <f>IFERROR(_xlfn.XLOOKUP(B28,'①门店信息-A-a-①-增加'!B:B,'①门店信息-A-a-①-增加'!E:E,0),"")</f>
        <v>0</v>
      </c>
      <c r="H28" s="54">
        <f>_xlfn.XLOOKUP(B28,'①门店信息-A-a-①-增加'!B:B,'①门店信息-A-a-①-增加'!F:F,0)</f>
        <v>0</v>
      </c>
      <c r="I28" s="55">
        <f>_xlfn.XLOOKUP(E28,'③新店考核-B-a-②呈现-业绩明细表-③'!B:B,'③新店考核-B-a-②呈现-业绩明细表-③'!E:E,0)</f>
        <v>0</v>
      </c>
      <c r="J28" s="54">
        <f>_xlfn.XLOOKUP(E28,'③新店考核-B-a-②呈现-业绩明细表-③'!B:B,'③新店考核-B-a-②呈现-业绩明细表-③'!F:F,0)</f>
        <v>0</v>
      </c>
      <c r="K28" s="55">
        <f>IF(H28="新店一阶段",LOOKUP(I28,'②提成标准-B-a-①-增加'!$M$9:$M$12,'②提成标准-B-a-①-增加'!$O$9:$O$12),0)</f>
        <v>0</v>
      </c>
      <c r="L28" s="56">
        <f t="shared" si="2"/>
        <v>36659.599999999999</v>
      </c>
      <c r="M28" s="57">
        <f>_xlfn.XLOOKUP(E28,'③新店考核-B-a-②呈现-业绩明细表-③'!B:B,'③新店考核-B-a-②呈现-业绩明细表-③'!G:G,0)</f>
        <v>0</v>
      </c>
      <c r="N28" s="58" t="str">
        <f>LOOKUP(M28,'②提成标准-B-a-①-增加'!$M$1:$M$4,'②提成标准-B-a-①-增加'!$O$1:$O$4)</f>
        <v>同老店</v>
      </c>
      <c r="O28" s="57">
        <f>_xlfn.XLOOKUP(E28,'③新店考核-B-a-②呈现-业绩明细表-③'!B:B,'③新店考核-B-a-②呈现-业绩明细表-③'!H:H,0)</f>
        <v>0</v>
      </c>
      <c r="P28" s="57">
        <f t="shared" si="3"/>
        <v>36659.599999999999</v>
      </c>
      <c r="Q28" s="53">
        <f>_xlfn.XLOOKUP(E28,'④考勤-B-a-26考勤汇总表'!D:D,'④考勤-B-a-26考勤汇总表'!AP:AP,0)</f>
        <v>31</v>
      </c>
      <c r="R28" s="53" t="str">
        <f t="shared" si="9"/>
        <v/>
      </c>
      <c r="S28" s="53">
        <f t="shared" si="10"/>
        <v>37547.599999999999</v>
      </c>
      <c r="T28" s="53">
        <v>36659.599999999999</v>
      </c>
      <c r="U28" s="53">
        <v>0</v>
      </c>
      <c r="V28" s="53">
        <v>888</v>
      </c>
      <c r="W28" s="53">
        <f>_xlfn.XLOOKUP(E28,'⑤项目数-B-a-③消耗明细表'!C:C,'⑤项目数-B-a-③消耗明细表'!E:E,0)</f>
        <v>55759.65</v>
      </c>
      <c r="X28" s="53">
        <f>_xlfn.XLOOKUP(E28,'⑤项目数-B-a-③消耗明细表'!C:C,'⑤项目数-B-a-③消耗明细表'!D:D,0)</f>
        <v>141</v>
      </c>
      <c r="Y28" s="53">
        <f>_xlfn.XLOOKUP(E28,'⑤项目数-B-a-③消耗明细表'!C:C,'⑤项目数-B-a-③消耗明细表'!F:F,0)</f>
        <v>1755</v>
      </c>
      <c r="Z28" s="53">
        <f>_xlfn.XLOOKUP(E28,'⑤项目数-B-a-③消耗明细表'!C:C,'⑤项目数-B-a-③消耗明细表'!G:G,0)</f>
        <v>50</v>
      </c>
      <c r="AA28" s="84">
        <f t="shared" si="4"/>
        <v>1</v>
      </c>
      <c r="AB28" s="84">
        <f t="shared" si="5"/>
        <v>1</v>
      </c>
      <c r="AC28" s="53">
        <f>_xlfn.XLOOKUP(F28,'⑥战队统计表-B-a-②呈现-业绩明细表④'!A:A,'⑥战队统计表-B-a-②呈现-业绩明细表④'!B:B,0)</f>
        <v>3</v>
      </c>
      <c r="AD28" s="53" t="str">
        <f t="shared" si="11"/>
        <v/>
      </c>
      <c r="AE28" s="59">
        <f>IF(AD28="",_xlfn.XLOOKUP(F28,'⑥战队统计表-B-a-②呈现-业绩明细表④'!A:A,'⑥战队统计表-B-a-②呈现-业绩明细表④'!D:D,0),0)</f>
        <v>7.0000000000000007E-2</v>
      </c>
      <c r="AF28" s="85">
        <f>IF(AND(E28="T区",E28="门店T区"),"",IF(AD28="",0,IF(R28="",LOOKUP(S28,'②提成标准-B-a-①-增加'!$B$16:$B$20,'②提成标准-B-a-①-增加'!$D$16:$D$20),LOOKUP(S28/Q28,'②提成标准-B-a-①-增加'!$B$23:$B$27,'②提成标准-B-a-①-增加'!$D$23:$D$27))))</f>
        <v>0</v>
      </c>
      <c r="AG28" s="85">
        <f t="shared" si="6"/>
        <v>7.0000000000000007E-2</v>
      </c>
      <c r="AH28" s="60">
        <f t="shared" si="12"/>
        <v>2437.8633999999997</v>
      </c>
      <c r="AI28" s="86">
        <f t="shared" si="13"/>
        <v>0</v>
      </c>
      <c r="AJ28" s="60">
        <f t="shared" si="14"/>
        <v>2437.8633999999997</v>
      </c>
      <c r="AK28" s="87">
        <f>IF(AB28=1,IFERROR(S28/VLOOKUP(F28,'⑥战队统计表-B-a-②呈现-业绩明细表④'!A:C,3,0),0),0)</f>
        <v>0.2140649978221556</v>
      </c>
      <c r="AL28" s="85" t="str">
        <f t="shared" si="7"/>
        <v/>
      </c>
      <c r="AM28" s="53" t="str">
        <f>IF(D28="顾问",_xlfn.XLOOKUP(F28,'⑥战队统计表-B-a-②呈现-业绩明细表④'!A:A,'⑥战队统计表-B-a-②呈现-业绩明细表④'!H:H,0),"")</f>
        <v/>
      </c>
      <c r="AN28" s="53" t="str">
        <f t="shared" si="8"/>
        <v>静居寺+亮剑队</v>
      </c>
    </row>
    <row r="29" spans="1:40" hidden="1" x14ac:dyDescent="0.15">
      <c r="A29" s="79" t="s">
        <v>428</v>
      </c>
      <c r="B29" s="80" t="s">
        <v>51</v>
      </c>
      <c r="C29" s="81" t="s">
        <v>56</v>
      </c>
      <c r="D29" s="82" t="s">
        <v>6</v>
      </c>
      <c r="E29" s="82" t="s">
        <v>59</v>
      </c>
      <c r="F29" s="53" t="str">
        <f t="shared" si="1"/>
        <v>静居寺+亮剑队</v>
      </c>
      <c r="G29" s="53">
        <f>IFERROR(_xlfn.XLOOKUP(B29,'①门店信息-A-a-①-增加'!B:B,'①门店信息-A-a-①-增加'!E:E,0),"")</f>
        <v>0</v>
      </c>
      <c r="H29" s="54">
        <f>_xlfn.XLOOKUP(B29,'①门店信息-A-a-①-增加'!B:B,'①门店信息-A-a-①-增加'!F:F,0)</f>
        <v>0</v>
      </c>
      <c r="I29" s="55">
        <f>_xlfn.XLOOKUP(E29,'③新店考核-B-a-②呈现-业绩明细表-③'!B:B,'③新店考核-B-a-②呈现-业绩明细表-③'!E:E,0)</f>
        <v>0</v>
      </c>
      <c r="J29" s="54">
        <f>_xlfn.XLOOKUP(E29,'③新店考核-B-a-②呈现-业绩明细表-③'!B:B,'③新店考核-B-a-②呈现-业绩明细表-③'!F:F,0)</f>
        <v>0</v>
      </c>
      <c r="K29" s="55">
        <f>IF(H29="新店一阶段",LOOKUP(I29,'②提成标准-B-a-①-增加'!$M$9:$M$12,'②提成标准-B-a-①-增加'!$O$9:$O$12),0)</f>
        <v>0</v>
      </c>
      <c r="L29" s="56">
        <f t="shared" si="2"/>
        <v>21600.6</v>
      </c>
      <c r="M29" s="57">
        <f>_xlfn.XLOOKUP(E29,'③新店考核-B-a-②呈现-业绩明细表-③'!B:B,'③新店考核-B-a-②呈现-业绩明细表-③'!G:G,0)</f>
        <v>0</v>
      </c>
      <c r="N29" s="58" t="str">
        <f>LOOKUP(M29,'②提成标准-B-a-①-增加'!$M$1:$M$4,'②提成标准-B-a-①-增加'!$O$1:$O$4)</f>
        <v>同老店</v>
      </c>
      <c r="O29" s="57">
        <f>_xlfn.XLOOKUP(E29,'③新店考核-B-a-②呈现-业绩明细表-③'!B:B,'③新店考核-B-a-②呈现-业绩明细表-③'!H:H,0)</f>
        <v>0</v>
      </c>
      <c r="P29" s="57">
        <f t="shared" si="3"/>
        <v>21600.6</v>
      </c>
      <c r="Q29" s="53">
        <f>_xlfn.XLOOKUP(E29,'④考勤-B-a-26考勤汇总表'!D:D,'④考勤-B-a-26考勤汇总表'!AP:AP,0)</f>
        <v>31</v>
      </c>
      <c r="R29" s="53" t="str">
        <f t="shared" si="9"/>
        <v/>
      </c>
      <c r="S29" s="53">
        <f t="shared" si="10"/>
        <v>21600.6</v>
      </c>
      <c r="T29" s="53">
        <v>21600.6</v>
      </c>
      <c r="U29" s="53">
        <v>0</v>
      </c>
      <c r="V29" s="53">
        <v>0</v>
      </c>
      <c r="W29" s="53">
        <f>_xlfn.XLOOKUP(E29,'⑤项目数-B-a-③消耗明细表'!C:C,'⑤项目数-B-a-③消耗明细表'!E:E,0)</f>
        <v>46794.41</v>
      </c>
      <c r="X29" s="53">
        <f>_xlfn.XLOOKUP(E29,'⑤项目数-B-a-③消耗明细表'!C:C,'⑤项目数-B-a-③消耗明细表'!D:D,0)</f>
        <v>141</v>
      </c>
      <c r="Y29" s="53">
        <f>_xlfn.XLOOKUP(E29,'⑤项目数-B-a-③消耗明细表'!C:C,'⑤项目数-B-a-③消耗明细表'!F:F,0)</f>
        <v>1846</v>
      </c>
      <c r="Z29" s="53">
        <f>_xlfn.XLOOKUP(E29,'⑤项目数-B-a-③消耗明细表'!C:C,'⑤项目数-B-a-③消耗明细表'!G:G,0)</f>
        <v>55</v>
      </c>
      <c r="AA29" s="84">
        <f t="shared" si="4"/>
        <v>1</v>
      </c>
      <c r="AB29" s="84">
        <f t="shared" si="5"/>
        <v>1</v>
      </c>
      <c r="AC29" s="53">
        <f>_xlfn.XLOOKUP(F29,'⑥战队统计表-B-a-②呈现-业绩明细表④'!A:A,'⑥战队统计表-B-a-②呈现-业绩明细表④'!B:B,0)</f>
        <v>3</v>
      </c>
      <c r="AD29" s="53" t="str">
        <f t="shared" si="11"/>
        <v/>
      </c>
      <c r="AE29" s="59">
        <f>IF(AD29="",_xlfn.XLOOKUP(F29,'⑥战队统计表-B-a-②呈现-业绩明细表④'!A:A,'⑥战队统计表-B-a-②呈现-业绩明细表④'!D:D,0),0)</f>
        <v>7.0000000000000007E-2</v>
      </c>
      <c r="AF29" s="85">
        <f>IF(AND(E29="T区",E29="门店T区"),"",IF(AD29="",0,IF(R29="",LOOKUP(S29,'②提成标准-B-a-①-增加'!$B$16:$B$20,'②提成标准-B-a-①-增加'!$D$16:$D$20),LOOKUP(S29/Q29,'②提成标准-B-a-①-增加'!$B$23:$B$27,'②提成标准-B-a-①-增加'!$D$23:$D$27))))</f>
        <v>0</v>
      </c>
      <c r="AG29" s="85">
        <f t="shared" si="6"/>
        <v>7.0000000000000007E-2</v>
      </c>
      <c r="AH29" s="60">
        <f t="shared" si="12"/>
        <v>1436.4399000000001</v>
      </c>
      <c r="AI29" s="86">
        <f t="shared" si="13"/>
        <v>0</v>
      </c>
      <c r="AJ29" s="60">
        <f t="shared" si="14"/>
        <v>1436.4399000000001</v>
      </c>
      <c r="AK29" s="87">
        <f>IF(AB29=1,IFERROR(S29/VLOOKUP(F29,'⑥战队统计表-B-a-②呈现-业绩明细表④'!A:C,3,0),0),0)</f>
        <v>0.1231485472295767</v>
      </c>
      <c r="AL29" s="85" t="str">
        <f t="shared" si="7"/>
        <v/>
      </c>
      <c r="AM29" s="53" t="str">
        <f>IF(D29="顾问",_xlfn.XLOOKUP(F29,'⑥战队统计表-B-a-②呈现-业绩明细表④'!A:A,'⑥战队统计表-B-a-②呈现-业绩明细表④'!H:H,0),"")</f>
        <v/>
      </c>
      <c r="AN29" s="53" t="str">
        <f t="shared" si="8"/>
        <v>静居寺+亮剑队</v>
      </c>
    </row>
    <row r="30" spans="1:40" hidden="1" x14ac:dyDescent="0.15">
      <c r="A30" s="79" t="s">
        <v>428</v>
      </c>
      <c r="B30" s="80" t="s">
        <v>51</v>
      </c>
      <c r="C30" s="81" t="s">
        <v>36</v>
      </c>
      <c r="D30" s="82" t="s">
        <v>36</v>
      </c>
      <c r="E30" s="82" t="s">
        <v>36</v>
      </c>
      <c r="F30" s="53" t="str">
        <f t="shared" si="1"/>
        <v>静居寺+T区</v>
      </c>
      <c r="G30" s="53">
        <f>IFERROR(_xlfn.XLOOKUP(B30,'①门店信息-A-a-①-增加'!B:B,'①门店信息-A-a-①-增加'!E:E,0),"")</f>
        <v>0</v>
      </c>
      <c r="H30" s="54">
        <f>_xlfn.XLOOKUP(B30,'①门店信息-A-a-①-增加'!B:B,'①门店信息-A-a-①-增加'!F:F,0)</f>
        <v>0</v>
      </c>
      <c r="I30" s="55">
        <f>_xlfn.XLOOKUP(E30,'③新店考核-B-a-②呈现-业绩明细表-③'!B:B,'③新店考核-B-a-②呈现-业绩明细表-③'!E:E,0)</f>
        <v>0</v>
      </c>
      <c r="J30" s="54">
        <f>_xlfn.XLOOKUP(E30,'③新店考核-B-a-②呈现-业绩明细表-③'!B:B,'③新店考核-B-a-②呈现-业绩明细表-③'!F:F,0)</f>
        <v>0</v>
      </c>
      <c r="K30" s="55">
        <f>IF(H30="新店一阶段",LOOKUP(I30,'②提成标准-B-a-①-增加'!$M$9:$M$12,'②提成标准-B-a-①-增加'!$O$9:$O$12),0)</f>
        <v>0</v>
      </c>
      <c r="L30" s="56">
        <f t="shared" si="2"/>
        <v>0</v>
      </c>
      <c r="M30" s="57">
        <f>_xlfn.XLOOKUP(E30,'③新店考核-B-a-②呈现-业绩明细表-③'!B:B,'③新店考核-B-a-②呈现-业绩明细表-③'!G:G,0)</f>
        <v>0</v>
      </c>
      <c r="N30" s="58" t="str">
        <f>LOOKUP(M30,'②提成标准-B-a-①-增加'!$M$1:$M$4,'②提成标准-B-a-①-增加'!$O$1:$O$4)</f>
        <v>同老店</v>
      </c>
      <c r="O30" s="57">
        <f>_xlfn.XLOOKUP(E30,'③新店考核-B-a-②呈现-业绩明细表-③'!B:B,'③新店考核-B-a-②呈现-业绩明细表-③'!H:H,0)</f>
        <v>0</v>
      </c>
      <c r="P30" s="57">
        <f t="shared" si="3"/>
        <v>0</v>
      </c>
      <c r="Q30" s="53">
        <f>_xlfn.XLOOKUP(E30,'④考勤-B-a-26考勤汇总表'!D:D,'④考勤-B-a-26考勤汇总表'!AP:AP,0)</f>
        <v>0</v>
      </c>
      <c r="R30" s="53" t="str">
        <f t="shared" si="9"/>
        <v/>
      </c>
      <c r="S30" s="53">
        <f t="shared" si="10"/>
        <v>0</v>
      </c>
      <c r="T30" s="53">
        <v>0</v>
      </c>
      <c r="U30" s="53">
        <v>0</v>
      </c>
      <c r="V30" s="53">
        <v>0</v>
      </c>
      <c r="W30" s="53">
        <f>_xlfn.XLOOKUP(E30,'⑤项目数-B-a-③消耗明细表'!C:C,'⑤项目数-B-a-③消耗明细表'!E:E,0)</f>
        <v>0</v>
      </c>
      <c r="X30" s="53">
        <f>_xlfn.XLOOKUP(E30,'⑤项目数-B-a-③消耗明细表'!C:C,'⑤项目数-B-a-③消耗明细表'!D:D,0)</f>
        <v>0</v>
      </c>
      <c r="Y30" s="53">
        <f>_xlfn.XLOOKUP(E30,'⑤项目数-B-a-③消耗明细表'!C:C,'⑤项目数-B-a-③消耗明细表'!F:F,0)</f>
        <v>0</v>
      </c>
      <c r="Z30" s="53">
        <f>_xlfn.XLOOKUP(E30,'⑤项目数-B-a-③消耗明细表'!C:C,'⑤项目数-B-a-③消耗明细表'!G:G,0)</f>
        <v>0</v>
      </c>
      <c r="AA30" s="84" t="str">
        <f t="shared" si="4"/>
        <v>不属于战队</v>
      </c>
      <c r="AB30" s="84">
        <f t="shared" si="5"/>
        <v>0</v>
      </c>
      <c r="AC30" s="53">
        <f>_xlfn.XLOOKUP(F30,'⑥战队统计表-B-a-②呈现-业绩明细表④'!A:A,'⑥战队统计表-B-a-②呈现-业绩明细表④'!B:B,0)</f>
        <v>0</v>
      </c>
      <c r="AD30" s="53">
        <f t="shared" si="11"/>
        <v>1</v>
      </c>
      <c r="AE30" s="59">
        <f>IF(AD30="",_xlfn.XLOOKUP(F30,'⑥战队统计表-B-a-②呈现-业绩明细表④'!A:A,'⑥战队统计表-B-a-②呈现-业绩明细表④'!D:D,0),0)</f>
        <v>0</v>
      </c>
      <c r="AF30" s="85">
        <f>IF(AND(E30="T区",E30="门店T区"),"",IF(AD30="",0,IF(R30="",LOOKUP(S30,'②提成标准-B-a-①-增加'!$B$16:$B$20,'②提成标准-B-a-①-增加'!$D$16:$D$20),LOOKUP(S30/Q30,'②提成标准-B-a-①-增加'!$B$23:$B$27,'②提成标准-B-a-①-增加'!$D$23:$D$27))))</f>
        <v>0</v>
      </c>
      <c r="AG30" s="85">
        <f t="shared" si="6"/>
        <v>0</v>
      </c>
      <c r="AH30" s="60">
        <f t="shared" si="12"/>
        <v>0</v>
      </c>
      <c r="AI30" s="86">
        <f t="shared" si="13"/>
        <v>0</v>
      </c>
      <c r="AJ30" s="60">
        <f t="shared" si="14"/>
        <v>0</v>
      </c>
      <c r="AK30" s="87">
        <f>IF(AB30=1,IFERROR(S30/VLOOKUP(F30,'⑥战队统计表-B-a-②呈现-业绩明细表④'!A:C,3,0),0),0)</f>
        <v>0</v>
      </c>
      <c r="AL30" s="85" t="str">
        <f t="shared" si="7"/>
        <v/>
      </c>
      <c r="AM30" s="53" t="str">
        <f>IF(D30="顾问",_xlfn.XLOOKUP(F30,'⑥战队统计表-B-a-②呈现-业绩明细表④'!A:A,'⑥战队统计表-B-a-②呈现-业绩明细表④'!H:H,0),"")</f>
        <v/>
      </c>
      <c r="AN30" s="53" t="str">
        <f t="shared" si="8"/>
        <v>单人</v>
      </c>
    </row>
    <row r="31" spans="1:40" hidden="1" x14ac:dyDescent="0.15">
      <c r="A31" s="79" t="s">
        <v>428</v>
      </c>
      <c r="B31" s="80" t="s">
        <v>51</v>
      </c>
      <c r="C31" s="81" t="s">
        <v>40</v>
      </c>
      <c r="D31" s="82" t="s">
        <v>40</v>
      </c>
      <c r="E31" s="88" t="str">
        <f>F31</f>
        <v>静居寺+门店T区</v>
      </c>
      <c r="F31" s="53" t="str">
        <f t="shared" si="1"/>
        <v>静居寺+门店T区</v>
      </c>
      <c r="G31" s="53">
        <f>IFERROR(_xlfn.XLOOKUP(B31,'①门店信息-A-a-①-增加'!B:B,'①门店信息-A-a-①-增加'!E:E,0),"")</f>
        <v>0</v>
      </c>
      <c r="H31" s="54">
        <f>_xlfn.XLOOKUP(B31,'①门店信息-A-a-①-增加'!B:B,'①门店信息-A-a-①-增加'!F:F,0)</f>
        <v>0</v>
      </c>
      <c r="I31" s="55">
        <f>_xlfn.XLOOKUP(E31,'③新店考核-B-a-②呈现-业绩明细表-③'!B:B,'③新店考核-B-a-②呈现-业绩明细表-③'!E:E,0)</f>
        <v>0</v>
      </c>
      <c r="J31" s="54">
        <f>_xlfn.XLOOKUP(E31,'③新店考核-B-a-②呈现-业绩明细表-③'!B:B,'③新店考核-B-a-②呈现-业绩明细表-③'!F:F,0)</f>
        <v>0</v>
      </c>
      <c r="K31" s="55">
        <f>IF(H31="新店一阶段",LOOKUP(I31,'②提成标准-B-a-①-增加'!$M$9:$M$12,'②提成标准-B-a-①-增加'!$O$9:$O$12),0)</f>
        <v>0</v>
      </c>
      <c r="L31" s="56">
        <f t="shared" si="2"/>
        <v>0</v>
      </c>
      <c r="M31" s="57">
        <f>_xlfn.XLOOKUP(E31,'③新店考核-B-a-②呈现-业绩明细表-③'!B:B,'③新店考核-B-a-②呈现-业绩明细表-③'!G:G,0)</f>
        <v>0</v>
      </c>
      <c r="N31" s="58" t="str">
        <f>LOOKUP(M31,'②提成标准-B-a-①-增加'!$M$1:$M$4,'②提成标准-B-a-①-增加'!$O$1:$O$4)</f>
        <v>同老店</v>
      </c>
      <c r="O31" s="57">
        <f>_xlfn.XLOOKUP(E31,'③新店考核-B-a-②呈现-业绩明细表-③'!B:B,'③新店考核-B-a-②呈现-业绩明细表-③'!H:H,0)</f>
        <v>0</v>
      </c>
      <c r="P31" s="57">
        <f t="shared" si="3"/>
        <v>0</v>
      </c>
      <c r="Q31" s="53">
        <f>_xlfn.XLOOKUP(E31,'④考勤-B-a-26考勤汇总表'!D:D,'④考勤-B-a-26考勤汇总表'!AP:AP,0)</f>
        <v>0</v>
      </c>
      <c r="R31" s="53" t="str">
        <f t="shared" si="9"/>
        <v/>
      </c>
      <c r="S31" s="53">
        <f t="shared" si="10"/>
        <v>0</v>
      </c>
      <c r="T31" s="53">
        <v>0</v>
      </c>
      <c r="U31" s="53">
        <v>0</v>
      </c>
      <c r="V31" s="53">
        <v>0</v>
      </c>
      <c r="W31" s="53">
        <f>_xlfn.XLOOKUP(E31,'⑤项目数-B-a-③消耗明细表'!C:C,'⑤项目数-B-a-③消耗明细表'!E:E,0)</f>
        <v>0</v>
      </c>
      <c r="X31" s="53">
        <f>_xlfn.XLOOKUP(E31,'⑤项目数-B-a-③消耗明细表'!C:C,'⑤项目数-B-a-③消耗明细表'!D:D,0)</f>
        <v>0</v>
      </c>
      <c r="Y31" s="53">
        <f>_xlfn.XLOOKUP(E31,'⑤项目数-B-a-③消耗明细表'!C:C,'⑤项目数-B-a-③消耗明细表'!F:F,0)</f>
        <v>0</v>
      </c>
      <c r="Z31" s="53">
        <f>_xlfn.XLOOKUP(E31,'⑤项目数-B-a-③消耗明细表'!C:C,'⑤项目数-B-a-③消耗明细表'!G:G,0)</f>
        <v>0</v>
      </c>
      <c r="AA31" s="84">
        <f t="shared" si="4"/>
        <v>1</v>
      </c>
      <c r="AB31" s="84">
        <f t="shared" si="5"/>
        <v>0</v>
      </c>
      <c r="AC31" s="53">
        <f>_xlfn.XLOOKUP(F31,'⑥战队统计表-B-a-②呈现-业绩明细表④'!A:A,'⑥战队统计表-B-a-②呈现-业绩明细表④'!B:B,0)</f>
        <v>0</v>
      </c>
      <c r="AD31" s="53">
        <f t="shared" si="11"/>
        <v>1</v>
      </c>
      <c r="AE31" s="59">
        <f>IF(AD31="",_xlfn.XLOOKUP(F31,'⑥战队统计表-B-a-②呈现-业绩明细表④'!A:A,'⑥战队统计表-B-a-②呈现-业绩明细表④'!D:D,0),0)</f>
        <v>0</v>
      </c>
      <c r="AF31" s="85">
        <f>IF(AND(E31="T区",E31="门店T区"),"",IF(AD31="",0,IF(R31="",LOOKUP(S31,'②提成标准-B-a-①-增加'!$B$16:$B$20,'②提成标准-B-a-①-增加'!$D$16:$D$20),LOOKUP(S31/Q31,'②提成标准-B-a-①-增加'!$B$23:$B$27,'②提成标准-B-a-①-增加'!$D$23:$D$27))))</f>
        <v>0</v>
      </c>
      <c r="AG31" s="85">
        <f t="shared" si="6"/>
        <v>0</v>
      </c>
      <c r="AH31" s="60">
        <f t="shared" si="12"/>
        <v>0</v>
      </c>
      <c r="AI31" s="86">
        <f t="shared" si="13"/>
        <v>0</v>
      </c>
      <c r="AJ31" s="60">
        <f t="shared" si="14"/>
        <v>0</v>
      </c>
      <c r="AK31" s="87">
        <f>IF(AB31=1,IFERROR(S31/VLOOKUP(F31,'⑥战队统计表-B-a-②呈现-业绩明细表④'!A:C,3,0),0),0)</f>
        <v>0</v>
      </c>
      <c r="AL31" s="85" t="str">
        <f t="shared" si="7"/>
        <v/>
      </c>
      <c r="AM31" s="53" t="str">
        <f>IF(D31="顾问",_xlfn.XLOOKUP(F31,'⑥战队统计表-B-a-②呈现-业绩明细表④'!A:A,'⑥战队统计表-B-a-②呈现-业绩明细表④'!H:H,0),"")</f>
        <v/>
      </c>
      <c r="AN31" s="53" t="str">
        <f t="shared" si="8"/>
        <v>单人</v>
      </c>
    </row>
    <row r="32" spans="1:40" hidden="1" x14ac:dyDescent="0.15">
      <c r="A32" s="79" t="s">
        <v>428</v>
      </c>
      <c r="B32" s="80" t="s">
        <v>60</v>
      </c>
      <c r="C32" s="81" t="s">
        <v>429</v>
      </c>
      <c r="D32" s="82" t="s">
        <v>32</v>
      </c>
      <c r="E32" s="82" t="s">
        <v>63</v>
      </c>
      <c r="F32" s="53" t="str">
        <f t="shared" si="1"/>
        <v>红光+逐梦队</v>
      </c>
      <c r="G32" s="53">
        <f>IFERROR(_xlfn.XLOOKUP(B32,'①门店信息-A-a-①-增加'!B:B,'①门店信息-A-a-①-增加'!E:E,0),"")</f>
        <v>0</v>
      </c>
      <c r="H32" s="54">
        <f>_xlfn.XLOOKUP(B32,'①门店信息-A-a-①-增加'!B:B,'①门店信息-A-a-①-增加'!F:F,0)</f>
        <v>0</v>
      </c>
      <c r="I32" s="55">
        <f>_xlfn.XLOOKUP(E32,'③新店考核-B-a-②呈现-业绩明细表-③'!B:B,'③新店考核-B-a-②呈现-业绩明细表-③'!E:E,0)</f>
        <v>0</v>
      </c>
      <c r="J32" s="54">
        <f>_xlfn.XLOOKUP(E32,'③新店考核-B-a-②呈现-业绩明细表-③'!B:B,'③新店考核-B-a-②呈现-业绩明细表-③'!F:F,0)</f>
        <v>0</v>
      </c>
      <c r="K32" s="55">
        <f>IF(H32="新店一阶段",LOOKUP(I32,'②提成标准-B-a-①-增加'!$M$9:$M$12,'②提成标准-B-a-①-增加'!$O$9:$O$12),0)</f>
        <v>0</v>
      </c>
      <c r="L32" s="56">
        <f t="shared" si="2"/>
        <v>31981.22</v>
      </c>
      <c r="M32" s="57">
        <f>_xlfn.XLOOKUP(E32,'③新店考核-B-a-②呈现-业绩明细表-③'!B:B,'③新店考核-B-a-②呈现-业绩明细表-③'!G:G,0)</f>
        <v>0</v>
      </c>
      <c r="N32" s="58" t="str">
        <f>LOOKUP(M32,'②提成标准-B-a-①-增加'!$M$1:$M$4,'②提成标准-B-a-①-增加'!$O$1:$O$4)</f>
        <v>同老店</v>
      </c>
      <c r="O32" s="57">
        <f>_xlfn.XLOOKUP(E32,'③新店考核-B-a-②呈现-业绩明细表-③'!B:B,'③新店考核-B-a-②呈现-业绩明细表-③'!H:H,0)</f>
        <v>0</v>
      </c>
      <c r="P32" s="57">
        <f t="shared" si="3"/>
        <v>31981.22</v>
      </c>
      <c r="Q32" s="53">
        <f>_xlfn.XLOOKUP(E32,'④考勤-B-a-26考勤汇总表'!D:D,'④考勤-B-a-26考勤汇总表'!AP:AP,0)</f>
        <v>25</v>
      </c>
      <c r="R32" s="53" t="str">
        <f t="shared" si="9"/>
        <v>不足月</v>
      </c>
      <c r="S32" s="53">
        <f t="shared" si="10"/>
        <v>97081.22</v>
      </c>
      <c r="T32" s="53">
        <v>31981.22</v>
      </c>
      <c r="U32" s="53">
        <v>65100</v>
      </c>
      <c r="V32" s="53">
        <v>0</v>
      </c>
      <c r="W32" s="53">
        <f>_xlfn.XLOOKUP(E32,'⑤项目数-B-a-③消耗明细表'!C:C,'⑤项目数-B-a-③消耗明细表'!E:E,0)</f>
        <v>15611.31</v>
      </c>
      <c r="X32" s="53">
        <f>_xlfn.XLOOKUP(E32,'⑤项目数-B-a-③消耗明细表'!C:C,'⑤项目数-B-a-③消耗明细表'!D:D,0)</f>
        <v>99</v>
      </c>
      <c r="Y32" s="53">
        <f>_xlfn.XLOOKUP(E32,'⑤项目数-B-a-③消耗明细表'!C:C,'⑤项目数-B-a-③消耗明细表'!F:F,0)</f>
        <v>1400</v>
      </c>
      <c r="Z32" s="53">
        <f>_xlfn.XLOOKUP(E32,'⑤项目数-B-a-③消耗明细表'!C:C,'⑤项目数-B-a-③消耗明细表'!G:G,0)</f>
        <v>165</v>
      </c>
      <c r="AA32" s="84">
        <f t="shared" si="4"/>
        <v>1</v>
      </c>
      <c r="AB32" s="84">
        <f t="shared" si="5"/>
        <v>1</v>
      </c>
      <c r="AC32" s="53">
        <f>_xlfn.XLOOKUP(F32,'⑥战队统计表-B-a-②呈现-业绩明细表④'!A:A,'⑥战队统计表-B-a-②呈现-业绩明细表④'!B:B,0)</f>
        <v>2</v>
      </c>
      <c r="AD32" s="53" t="str">
        <f t="shared" si="11"/>
        <v/>
      </c>
      <c r="AE32" s="59">
        <f>IF(AD32="",_xlfn.XLOOKUP(F32,'⑥战队统计表-B-a-②呈现-业绩明细表④'!A:A,'⑥战队统计表-B-a-②呈现-业绩明细表④'!D:D,0),0)</f>
        <v>0.06</v>
      </c>
      <c r="AF32" s="85">
        <f>IF(AND(E32="T区",E32="门店T区"),"",IF(AD32="",0,IF(R32="",LOOKUP(S32,'②提成标准-B-a-①-增加'!$B$16:$B$20,'②提成标准-B-a-①-增加'!$D$16:$D$20),LOOKUP(S32/Q32,'②提成标准-B-a-①-增加'!$B$23:$B$27,'②提成标准-B-a-①-增加'!$D$23:$D$27))))</f>
        <v>0</v>
      </c>
      <c r="AG32" s="85">
        <f t="shared" si="6"/>
        <v>0.06</v>
      </c>
      <c r="AH32" s="60">
        <f t="shared" si="12"/>
        <v>1822.9295399999999</v>
      </c>
      <c r="AI32" s="86">
        <f t="shared" si="13"/>
        <v>2411.9549999999999</v>
      </c>
      <c r="AJ32" s="60">
        <f t="shared" si="14"/>
        <v>4234.88454</v>
      </c>
      <c r="AK32" s="87">
        <f>IF(AB32=1,IFERROR(S32/VLOOKUP(F32,'⑥战队统计表-B-a-②呈现-业绩明细表④'!A:C,3,0),0),0)</f>
        <v>0.82639039628615907</v>
      </c>
      <c r="AL32" s="85">
        <f t="shared" si="7"/>
        <v>0.17360960371384099</v>
      </c>
      <c r="AM32" s="53">
        <f>IF(D32="顾问",_xlfn.XLOOKUP(F32,'⑥战队统计表-B-a-②呈现-业绩明细表④'!A:A,'⑥战队统计表-B-a-②呈现-业绩明细表④'!H:H,0),"")</f>
        <v>0</v>
      </c>
      <c r="AN32" s="53" t="str">
        <f t="shared" si="8"/>
        <v>红光+逐梦队</v>
      </c>
    </row>
    <row r="33" spans="1:40" hidden="1" x14ac:dyDescent="0.15">
      <c r="A33" s="79" t="s">
        <v>428</v>
      </c>
      <c r="B33" s="80" t="s">
        <v>60</v>
      </c>
      <c r="C33" s="81" t="s">
        <v>429</v>
      </c>
      <c r="D33" s="82" t="s">
        <v>6</v>
      </c>
      <c r="E33" s="82" t="s">
        <v>64</v>
      </c>
      <c r="F33" s="53" t="str">
        <f t="shared" si="1"/>
        <v>红光+逐梦队</v>
      </c>
      <c r="G33" s="53">
        <f>IFERROR(_xlfn.XLOOKUP(B33,'①门店信息-A-a-①-增加'!B:B,'①门店信息-A-a-①-增加'!E:E,0),"")</f>
        <v>0</v>
      </c>
      <c r="H33" s="54">
        <f>_xlfn.XLOOKUP(B33,'①门店信息-A-a-①-增加'!B:B,'①门店信息-A-a-①-增加'!F:F,0)</f>
        <v>0</v>
      </c>
      <c r="I33" s="55">
        <f>_xlfn.XLOOKUP(E33,'③新店考核-B-a-②呈现-业绩明细表-③'!B:B,'③新店考核-B-a-②呈现-业绩明细表-③'!E:E,0)</f>
        <v>0</v>
      </c>
      <c r="J33" s="54">
        <f>_xlfn.XLOOKUP(E33,'③新店考核-B-a-②呈现-业绩明细表-③'!B:B,'③新店考核-B-a-②呈现-业绩明细表-③'!F:F,0)</f>
        <v>0</v>
      </c>
      <c r="K33" s="55">
        <f>IF(H33="新店一阶段",LOOKUP(I33,'②提成标准-B-a-①-增加'!$M$9:$M$12,'②提成标准-B-a-①-增加'!$O$9:$O$12),0)</f>
        <v>0</v>
      </c>
      <c r="L33" s="56">
        <f t="shared" si="2"/>
        <v>19997</v>
      </c>
      <c r="M33" s="57">
        <f>_xlfn.XLOOKUP(E33,'③新店考核-B-a-②呈现-业绩明细表-③'!B:B,'③新店考核-B-a-②呈现-业绩明细表-③'!G:G,0)</f>
        <v>0</v>
      </c>
      <c r="N33" s="58" t="str">
        <f>LOOKUP(M33,'②提成标准-B-a-①-增加'!$M$1:$M$4,'②提成标准-B-a-①-增加'!$O$1:$O$4)</f>
        <v>同老店</v>
      </c>
      <c r="O33" s="57">
        <f>_xlfn.XLOOKUP(E33,'③新店考核-B-a-②呈现-业绩明细表-③'!B:B,'③新店考核-B-a-②呈现-业绩明细表-③'!H:H,0)</f>
        <v>0</v>
      </c>
      <c r="P33" s="57">
        <f t="shared" si="3"/>
        <v>19997</v>
      </c>
      <c r="Q33" s="53">
        <f>_xlfn.XLOOKUP(E33,'④考勤-B-a-26考勤汇总表'!D:D,'④考勤-B-a-26考勤汇总表'!AP:AP,0)</f>
        <v>31</v>
      </c>
      <c r="R33" s="53" t="str">
        <f t="shared" si="9"/>
        <v/>
      </c>
      <c r="S33" s="53">
        <f t="shared" si="10"/>
        <v>20395</v>
      </c>
      <c r="T33" s="53">
        <v>19997</v>
      </c>
      <c r="U33" s="53">
        <v>398</v>
      </c>
      <c r="V33" s="53">
        <v>0</v>
      </c>
      <c r="W33" s="53">
        <f>_xlfn.XLOOKUP(E33,'⑤项目数-B-a-③消耗明细表'!C:C,'⑤项目数-B-a-③消耗明细表'!E:E,0)</f>
        <v>3537.89</v>
      </c>
      <c r="X33" s="53">
        <f>_xlfn.XLOOKUP(E33,'⑤项目数-B-a-③消耗明细表'!C:C,'⑤项目数-B-a-③消耗明细表'!D:D,0)</f>
        <v>64</v>
      </c>
      <c r="Y33" s="53">
        <f>_xlfn.XLOOKUP(E33,'⑤项目数-B-a-③消耗明细表'!C:C,'⑤项目数-B-a-③消耗明细表'!F:F,0)</f>
        <v>860</v>
      </c>
      <c r="Z33" s="53">
        <f>_xlfn.XLOOKUP(E33,'⑤项目数-B-a-③消耗明细表'!C:C,'⑤项目数-B-a-③消耗明细表'!G:G,0)</f>
        <v>30</v>
      </c>
      <c r="AA33" s="84">
        <f t="shared" si="4"/>
        <v>1</v>
      </c>
      <c r="AB33" s="84">
        <f t="shared" si="5"/>
        <v>1</v>
      </c>
      <c r="AC33" s="53">
        <f>_xlfn.XLOOKUP(F33,'⑥战队统计表-B-a-②呈现-业绩明细表④'!A:A,'⑥战队统计表-B-a-②呈现-业绩明细表④'!B:B,0)</f>
        <v>2</v>
      </c>
      <c r="AD33" s="53" t="str">
        <f t="shared" si="11"/>
        <v/>
      </c>
      <c r="AE33" s="59">
        <f>IF(AD33="",_xlfn.XLOOKUP(F33,'⑥战队统计表-B-a-②呈现-业绩明细表④'!A:A,'⑥战队统计表-B-a-②呈现-业绩明细表④'!D:D,0),0)</f>
        <v>0.06</v>
      </c>
      <c r="AF33" s="85">
        <f>IF(AND(E33="T区",E33="门店T区"),"",IF(AD33="",0,IF(R33="",LOOKUP(S33,'②提成标准-B-a-①-增加'!$B$16:$B$20,'②提成标准-B-a-①-增加'!$D$16:$D$20),LOOKUP(S33/Q33,'②提成标准-B-a-①-增加'!$B$23:$B$27,'②提成标准-B-a-①-增加'!$D$23:$D$27))))</f>
        <v>0</v>
      </c>
      <c r="AG33" s="85">
        <f t="shared" si="6"/>
        <v>0.06</v>
      </c>
      <c r="AH33" s="60">
        <f t="shared" si="12"/>
        <v>1139.829</v>
      </c>
      <c r="AI33" s="86">
        <f t="shared" si="13"/>
        <v>14.745899999999999</v>
      </c>
      <c r="AJ33" s="60">
        <f t="shared" si="14"/>
        <v>1154.5748999999998</v>
      </c>
      <c r="AK33" s="87">
        <f>IF(AB33=1,IFERROR(S33/VLOOKUP(F33,'⑥战队统计表-B-a-②呈现-业绩明细表④'!A:C,3,0),0),0)</f>
        <v>0.17360960371384099</v>
      </c>
      <c r="AL33" s="85" t="str">
        <f t="shared" si="7"/>
        <v/>
      </c>
      <c r="AM33" s="53" t="str">
        <f>IF(D33="顾问",_xlfn.XLOOKUP(F33,'⑥战队统计表-B-a-②呈现-业绩明细表④'!A:A,'⑥战队统计表-B-a-②呈现-业绩明细表④'!H:H,0),"")</f>
        <v/>
      </c>
      <c r="AN33" s="53" t="str">
        <f t="shared" si="8"/>
        <v>红光+逐梦队</v>
      </c>
    </row>
    <row r="34" spans="1:40" hidden="1" x14ac:dyDescent="0.15">
      <c r="A34" s="79" t="s">
        <v>428</v>
      </c>
      <c r="B34" s="80" t="s">
        <v>60</v>
      </c>
      <c r="C34" s="89" t="s">
        <v>36</v>
      </c>
      <c r="D34" s="90" t="s">
        <v>36</v>
      </c>
      <c r="E34" s="90" t="s">
        <v>36</v>
      </c>
      <c r="F34" s="53" t="str">
        <f t="shared" si="1"/>
        <v>红光+T区</v>
      </c>
      <c r="G34" s="53">
        <f>IFERROR(_xlfn.XLOOKUP(B34,'①门店信息-A-a-①-增加'!B:B,'①门店信息-A-a-①-增加'!E:E,0),"")</f>
        <v>0</v>
      </c>
      <c r="H34" s="54">
        <f>_xlfn.XLOOKUP(B34,'①门店信息-A-a-①-增加'!B:B,'①门店信息-A-a-①-增加'!F:F,0)</f>
        <v>0</v>
      </c>
      <c r="I34" s="55">
        <f>_xlfn.XLOOKUP(E34,'③新店考核-B-a-②呈现-业绩明细表-③'!B:B,'③新店考核-B-a-②呈现-业绩明细表-③'!E:E,0)</f>
        <v>0</v>
      </c>
      <c r="J34" s="54">
        <f>_xlfn.XLOOKUP(E34,'③新店考核-B-a-②呈现-业绩明细表-③'!B:B,'③新店考核-B-a-②呈现-业绩明细表-③'!F:F,0)</f>
        <v>0</v>
      </c>
      <c r="K34" s="55">
        <f>IF(H34="新店一阶段",LOOKUP(I34,'②提成标准-B-a-①-增加'!$M$9:$M$12,'②提成标准-B-a-①-增加'!$O$9:$O$12),0)</f>
        <v>0</v>
      </c>
      <c r="L34" s="56">
        <f t="shared" si="2"/>
        <v>0</v>
      </c>
      <c r="M34" s="57">
        <f>_xlfn.XLOOKUP(E34,'③新店考核-B-a-②呈现-业绩明细表-③'!B:B,'③新店考核-B-a-②呈现-业绩明细表-③'!G:G,0)</f>
        <v>0</v>
      </c>
      <c r="N34" s="58" t="str">
        <f>LOOKUP(M34,'②提成标准-B-a-①-增加'!$M$1:$M$4,'②提成标准-B-a-①-增加'!$O$1:$O$4)</f>
        <v>同老店</v>
      </c>
      <c r="O34" s="57">
        <f>_xlfn.XLOOKUP(E34,'③新店考核-B-a-②呈现-业绩明细表-③'!B:B,'③新店考核-B-a-②呈现-业绩明细表-③'!H:H,0)</f>
        <v>0</v>
      </c>
      <c r="P34" s="57">
        <f t="shared" si="3"/>
        <v>0</v>
      </c>
      <c r="Q34" s="53">
        <f>_xlfn.XLOOKUP(E34,'④考勤-B-a-26考勤汇总表'!D:D,'④考勤-B-a-26考勤汇总表'!AP:AP,0)</f>
        <v>0</v>
      </c>
      <c r="R34" s="53" t="str">
        <f t="shared" si="9"/>
        <v/>
      </c>
      <c r="S34" s="53">
        <f t="shared" si="10"/>
        <v>0</v>
      </c>
      <c r="T34" s="53">
        <v>0</v>
      </c>
      <c r="U34" s="53">
        <v>0</v>
      </c>
      <c r="V34" s="53">
        <v>0</v>
      </c>
      <c r="W34" s="53">
        <f>_xlfn.XLOOKUP(E34,'⑤项目数-B-a-③消耗明细表'!C:C,'⑤项目数-B-a-③消耗明细表'!E:E,0)</f>
        <v>0</v>
      </c>
      <c r="X34" s="53">
        <f>_xlfn.XLOOKUP(E34,'⑤项目数-B-a-③消耗明细表'!C:C,'⑤项目数-B-a-③消耗明细表'!D:D,0)</f>
        <v>0</v>
      </c>
      <c r="Y34" s="53">
        <f>_xlfn.XLOOKUP(E34,'⑤项目数-B-a-③消耗明细表'!C:C,'⑤项目数-B-a-③消耗明细表'!F:F,0)</f>
        <v>0</v>
      </c>
      <c r="Z34" s="53">
        <f>_xlfn.XLOOKUP(E34,'⑤项目数-B-a-③消耗明细表'!C:C,'⑤项目数-B-a-③消耗明细表'!G:G,0)</f>
        <v>0</v>
      </c>
      <c r="AA34" s="84" t="str">
        <f t="shared" si="4"/>
        <v>不属于战队</v>
      </c>
      <c r="AB34" s="84">
        <f t="shared" si="5"/>
        <v>0</v>
      </c>
      <c r="AC34" s="53">
        <f>_xlfn.XLOOKUP(F34,'⑥战队统计表-B-a-②呈现-业绩明细表④'!A:A,'⑥战队统计表-B-a-②呈现-业绩明细表④'!B:B,0)</f>
        <v>0</v>
      </c>
      <c r="AD34" s="53">
        <f t="shared" si="11"/>
        <v>1</v>
      </c>
      <c r="AE34" s="59">
        <f>IF(AD34="",_xlfn.XLOOKUP(F34,'⑥战队统计表-B-a-②呈现-业绩明细表④'!A:A,'⑥战队统计表-B-a-②呈现-业绩明细表④'!D:D,0),0)</f>
        <v>0</v>
      </c>
      <c r="AF34" s="85">
        <f>IF(AND(E34="T区",E34="门店T区"),"",IF(AD34="",0,IF(R34="",LOOKUP(S34,'②提成标准-B-a-①-增加'!$B$16:$B$20,'②提成标准-B-a-①-增加'!$D$16:$D$20),LOOKUP(S34/Q34,'②提成标准-B-a-①-增加'!$B$23:$B$27,'②提成标准-B-a-①-增加'!$D$23:$D$27))))</f>
        <v>0</v>
      </c>
      <c r="AG34" s="85">
        <f t="shared" si="6"/>
        <v>0</v>
      </c>
      <c r="AH34" s="60">
        <f t="shared" si="12"/>
        <v>0</v>
      </c>
      <c r="AI34" s="86">
        <f t="shared" si="13"/>
        <v>0</v>
      </c>
      <c r="AJ34" s="60">
        <f t="shared" si="14"/>
        <v>0</v>
      </c>
      <c r="AK34" s="87">
        <f>IF(AB34=1,IFERROR(S34/VLOOKUP(F34,'⑥战队统计表-B-a-②呈现-业绩明细表④'!A:C,3,0),0),0)</f>
        <v>0</v>
      </c>
      <c r="AL34" s="85" t="str">
        <f t="shared" si="7"/>
        <v/>
      </c>
      <c r="AM34" s="53" t="str">
        <f>IF(D34="顾问",_xlfn.XLOOKUP(F34,'⑥战队统计表-B-a-②呈现-业绩明细表④'!A:A,'⑥战队统计表-B-a-②呈现-业绩明细表④'!H:H,0),"")</f>
        <v/>
      </c>
      <c r="AN34" s="53" t="str">
        <f t="shared" si="8"/>
        <v>单人</v>
      </c>
    </row>
    <row r="35" spans="1:40" hidden="1" x14ac:dyDescent="0.15">
      <c r="A35" s="79" t="s">
        <v>428</v>
      </c>
      <c r="B35" s="98" t="s">
        <v>60</v>
      </c>
      <c r="C35" s="81" t="s">
        <v>430</v>
      </c>
      <c r="D35" s="82" t="s">
        <v>32</v>
      </c>
      <c r="E35" s="82" t="s">
        <v>72</v>
      </c>
      <c r="F35" s="53" t="str">
        <f t="shared" si="1"/>
        <v>红光+飞鹰队</v>
      </c>
      <c r="G35" s="53">
        <f>IFERROR(_xlfn.XLOOKUP(B35,'①门店信息-A-a-①-增加'!B:B,'①门店信息-A-a-①-增加'!E:E,0),"")</f>
        <v>0</v>
      </c>
      <c r="H35" s="54">
        <f>_xlfn.XLOOKUP(B35,'①门店信息-A-a-①-增加'!B:B,'①门店信息-A-a-①-增加'!F:F,0)</f>
        <v>0</v>
      </c>
      <c r="I35" s="55">
        <f>_xlfn.XLOOKUP(E35,'③新店考核-B-a-②呈现-业绩明细表-③'!B:B,'③新店考核-B-a-②呈现-业绩明细表-③'!E:E,0)</f>
        <v>0</v>
      </c>
      <c r="J35" s="54">
        <f>_xlfn.XLOOKUP(E35,'③新店考核-B-a-②呈现-业绩明细表-③'!B:B,'③新店考核-B-a-②呈现-业绩明细表-③'!F:F,0)</f>
        <v>0</v>
      </c>
      <c r="K35" s="55">
        <f>IF(H35="新店一阶段",LOOKUP(I35,'②提成标准-B-a-①-增加'!$M$9:$M$12,'②提成标准-B-a-①-增加'!$O$9:$O$12),0)</f>
        <v>0</v>
      </c>
      <c r="L35" s="56">
        <f t="shared" si="2"/>
        <v>40081.599999999999</v>
      </c>
      <c r="M35" s="57">
        <f>_xlfn.XLOOKUP(E35,'③新店考核-B-a-②呈现-业绩明细表-③'!B:B,'③新店考核-B-a-②呈现-业绩明细表-③'!G:G,0)</f>
        <v>0</v>
      </c>
      <c r="N35" s="58" t="str">
        <f>LOOKUP(M35,'②提成标准-B-a-①-增加'!$M$1:$M$4,'②提成标准-B-a-①-增加'!$O$1:$O$4)</f>
        <v>同老店</v>
      </c>
      <c r="O35" s="57">
        <f>_xlfn.XLOOKUP(E35,'③新店考核-B-a-②呈现-业绩明细表-③'!B:B,'③新店考核-B-a-②呈现-业绩明细表-③'!H:H,0)</f>
        <v>0</v>
      </c>
      <c r="P35" s="57">
        <f t="shared" si="3"/>
        <v>40081.599999999999</v>
      </c>
      <c r="Q35" s="53">
        <f>_xlfn.XLOOKUP(E35,'④考勤-B-a-26考勤汇总表'!D:D,'④考勤-B-a-26考勤汇总表'!AP:AP,0)</f>
        <v>31</v>
      </c>
      <c r="R35" s="53" t="str">
        <f t="shared" si="9"/>
        <v/>
      </c>
      <c r="S35" s="53">
        <f t="shared" si="10"/>
        <v>67361.600000000006</v>
      </c>
      <c r="T35" s="53">
        <v>40081.599999999999</v>
      </c>
      <c r="U35" s="53">
        <v>26040</v>
      </c>
      <c r="V35" s="53">
        <v>1240</v>
      </c>
      <c r="W35" s="53">
        <f>_xlfn.XLOOKUP(E35,'⑤项目数-B-a-③消耗明细表'!C:C,'⑤项目数-B-a-③消耗明细表'!E:E,0)</f>
        <v>14051.89</v>
      </c>
      <c r="X35" s="53">
        <f>_xlfn.XLOOKUP(E35,'⑤项目数-B-a-③消耗明细表'!C:C,'⑤项目数-B-a-③消耗明细表'!D:D,0)</f>
        <v>124</v>
      </c>
      <c r="Y35" s="53">
        <f>_xlfn.XLOOKUP(E35,'⑤项目数-B-a-③消耗明细表'!C:C,'⑤项目数-B-a-③消耗明细表'!F:F,0)</f>
        <v>1917</v>
      </c>
      <c r="Z35" s="53">
        <f>_xlfn.XLOOKUP(E35,'⑤项目数-B-a-③消耗明细表'!C:C,'⑤项目数-B-a-③消耗明细表'!G:G,0)</f>
        <v>260</v>
      </c>
      <c r="AA35" s="84">
        <f t="shared" si="4"/>
        <v>1</v>
      </c>
      <c r="AB35" s="84">
        <f t="shared" si="5"/>
        <v>1</v>
      </c>
      <c r="AC35" s="53">
        <f>_xlfn.XLOOKUP(F35,'⑥战队统计表-B-a-②呈现-业绩明细表④'!A:A,'⑥战队统计表-B-a-②呈现-业绩明细表④'!B:B,0)</f>
        <v>3</v>
      </c>
      <c r="AD35" s="53" t="str">
        <f t="shared" si="11"/>
        <v/>
      </c>
      <c r="AE35" s="59">
        <f>IF(AD35="",_xlfn.XLOOKUP(F35,'⑥战队统计表-B-a-②呈现-业绩明细表④'!A:A,'⑥战队统计表-B-a-②呈现-业绩明细表④'!D:D,0),0)</f>
        <v>0.06</v>
      </c>
      <c r="AF35" s="85">
        <f>IF(AND(E35="T区",E35="门店T区"),"",IF(AD35="",0,IF(R35="",LOOKUP(S35,'②提成标准-B-a-①-增加'!$B$16:$B$20,'②提成标准-B-a-①-增加'!$D$16:$D$20),LOOKUP(S35/Q35,'②提成标准-B-a-①-增加'!$B$23:$B$27,'②提成标准-B-a-①-增加'!$D$23:$D$27))))</f>
        <v>0</v>
      </c>
      <c r="AG35" s="85">
        <f t="shared" si="6"/>
        <v>0.06</v>
      </c>
      <c r="AH35" s="60">
        <f t="shared" si="12"/>
        <v>2284.6511999999998</v>
      </c>
      <c r="AI35" s="86">
        <f t="shared" si="13"/>
        <v>964.78199999999981</v>
      </c>
      <c r="AJ35" s="60">
        <f t="shared" si="14"/>
        <v>3249.4331999999995</v>
      </c>
      <c r="AK35" s="87">
        <f>IF(AB35=1,IFERROR(S35/VLOOKUP(F35,'⑥战队统计表-B-a-②呈现-业绩明细表④'!A:C,3,0),0),0)</f>
        <v>0.53980545988714046</v>
      </c>
      <c r="AL35" s="85">
        <f t="shared" si="7"/>
        <v>0.46019454011285965</v>
      </c>
      <c r="AM35" s="53">
        <f>IF(D35="顾问",_xlfn.XLOOKUP(F35,'⑥战队统计表-B-a-②呈现-业绩明细表④'!A:A,'⑥战队统计表-B-a-②呈现-业绩明细表④'!H:H,0),"")</f>
        <v>0</v>
      </c>
      <c r="AN35" s="53" t="str">
        <f t="shared" si="8"/>
        <v>红光+飞鹰队</v>
      </c>
    </row>
    <row r="36" spans="1:40" hidden="1" x14ac:dyDescent="0.15">
      <c r="A36" s="79" t="s">
        <v>428</v>
      </c>
      <c r="B36" s="98" t="s">
        <v>60</v>
      </c>
      <c r="C36" s="81" t="s">
        <v>430</v>
      </c>
      <c r="D36" s="82" t="s">
        <v>6</v>
      </c>
      <c r="E36" s="82" t="s">
        <v>61</v>
      </c>
      <c r="F36" s="53" t="str">
        <f t="shared" si="1"/>
        <v>红光+飞鹰队</v>
      </c>
      <c r="G36" s="53">
        <f>IFERROR(_xlfn.XLOOKUP(B36,'①门店信息-A-a-①-增加'!B:B,'①门店信息-A-a-①-增加'!E:E,0),"")</f>
        <v>0</v>
      </c>
      <c r="H36" s="54">
        <f>_xlfn.XLOOKUP(B36,'①门店信息-A-a-①-增加'!B:B,'①门店信息-A-a-①-增加'!F:F,0)</f>
        <v>0</v>
      </c>
      <c r="I36" s="55">
        <f>_xlfn.XLOOKUP(E36,'③新店考核-B-a-②呈现-业绩明细表-③'!B:B,'③新店考核-B-a-②呈现-业绩明细表-③'!E:E,0)</f>
        <v>0</v>
      </c>
      <c r="J36" s="54">
        <f>_xlfn.XLOOKUP(E36,'③新店考核-B-a-②呈现-业绩明细表-③'!B:B,'③新店考核-B-a-②呈现-业绩明细表-③'!F:F,0)</f>
        <v>0</v>
      </c>
      <c r="K36" s="55">
        <f>IF(H36="新店一阶段",LOOKUP(I36,'②提成标准-B-a-①-增加'!$M$9:$M$12,'②提成标准-B-a-①-增加'!$O$9:$O$12),0)</f>
        <v>0</v>
      </c>
      <c r="L36" s="56">
        <f t="shared" si="2"/>
        <v>16392.66</v>
      </c>
      <c r="M36" s="57">
        <f>_xlfn.XLOOKUP(E36,'③新店考核-B-a-②呈现-业绩明细表-③'!B:B,'③新店考核-B-a-②呈现-业绩明细表-③'!G:G,0)</f>
        <v>0</v>
      </c>
      <c r="N36" s="58" t="str">
        <f>LOOKUP(M36,'②提成标准-B-a-①-增加'!$M$1:$M$4,'②提成标准-B-a-①-增加'!$O$1:$O$4)</f>
        <v>同老店</v>
      </c>
      <c r="O36" s="57">
        <f>_xlfn.XLOOKUP(E36,'③新店考核-B-a-②呈现-业绩明细表-③'!B:B,'③新店考核-B-a-②呈现-业绩明细表-③'!H:H,0)</f>
        <v>0</v>
      </c>
      <c r="P36" s="57">
        <f t="shared" si="3"/>
        <v>16392.66</v>
      </c>
      <c r="Q36" s="53">
        <f>_xlfn.XLOOKUP(E36,'④考勤-B-a-26考勤汇总表'!D:D,'④考勤-B-a-26考勤汇总表'!AP:AP,0)</f>
        <v>31</v>
      </c>
      <c r="R36" s="53" t="str">
        <f t="shared" si="9"/>
        <v/>
      </c>
      <c r="S36" s="53">
        <f t="shared" si="10"/>
        <v>43052.66</v>
      </c>
      <c r="T36" s="53">
        <v>16392.66</v>
      </c>
      <c r="U36" s="53">
        <v>26040</v>
      </c>
      <c r="V36" s="53">
        <v>620</v>
      </c>
      <c r="W36" s="53">
        <f>_xlfn.XLOOKUP(E36,'⑤项目数-B-a-③消耗明细表'!C:C,'⑤项目数-B-a-③消耗明细表'!E:E,0)</f>
        <v>10460.950000000001</v>
      </c>
      <c r="X36" s="53">
        <f>_xlfn.XLOOKUP(E36,'⑤项目数-B-a-③消耗明细表'!C:C,'⑤项目数-B-a-③消耗明细表'!D:D,0)</f>
        <v>96</v>
      </c>
      <c r="Y36" s="53">
        <f>_xlfn.XLOOKUP(E36,'⑤项目数-B-a-③消耗明细表'!C:C,'⑤项目数-B-a-③消耗明细表'!F:F,0)</f>
        <v>1139</v>
      </c>
      <c r="Z36" s="53">
        <f>_xlfn.XLOOKUP(E36,'⑤项目数-B-a-③消耗明细表'!C:C,'⑤项目数-B-a-③消耗明细表'!G:G,0)</f>
        <v>15</v>
      </c>
      <c r="AA36" s="84">
        <f t="shared" si="4"/>
        <v>1</v>
      </c>
      <c r="AB36" s="84">
        <f t="shared" si="5"/>
        <v>1</v>
      </c>
      <c r="AC36" s="53">
        <f>_xlfn.XLOOKUP(F36,'⑥战队统计表-B-a-②呈现-业绩明细表④'!A:A,'⑥战队统计表-B-a-②呈现-业绩明细表④'!B:B,0)</f>
        <v>3</v>
      </c>
      <c r="AD36" s="53" t="str">
        <f t="shared" si="11"/>
        <v/>
      </c>
      <c r="AE36" s="59">
        <f>IF(AD36="",_xlfn.XLOOKUP(F36,'⑥战队统计表-B-a-②呈现-业绩明细表④'!A:A,'⑥战队统计表-B-a-②呈现-业绩明细表④'!D:D,0),0)</f>
        <v>0.06</v>
      </c>
      <c r="AF36" s="85">
        <f>IF(AND(E36="T区",E36="门店T区"),"",IF(AD36="",0,IF(R36="",LOOKUP(S36,'②提成标准-B-a-①-增加'!$B$16:$B$20,'②提成标准-B-a-①-增加'!$D$16:$D$20),LOOKUP(S36/Q36,'②提成标准-B-a-①-增加'!$B$23:$B$27,'②提成标准-B-a-①-增加'!$D$23:$D$27))))</f>
        <v>0</v>
      </c>
      <c r="AG36" s="85">
        <f t="shared" si="6"/>
        <v>0.06</v>
      </c>
      <c r="AH36" s="60">
        <f t="shared" si="12"/>
        <v>934.38161999999988</v>
      </c>
      <c r="AI36" s="86">
        <f t="shared" si="13"/>
        <v>964.78199999999981</v>
      </c>
      <c r="AJ36" s="60">
        <f t="shared" si="14"/>
        <v>1899.1636199999998</v>
      </c>
      <c r="AK36" s="87">
        <f>IF(AB36=1,IFERROR(S36/VLOOKUP(F36,'⑥战队统计表-B-a-②呈现-业绩明细表④'!A:C,3,0),0),0)</f>
        <v>0.34500458615390217</v>
      </c>
      <c r="AL36" s="85" t="str">
        <f t="shared" si="7"/>
        <v/>
      </c>
      <c r="AM36" s="53" t="str">
        <f>IF(D36="顾问",_xlfn.XLOOKUP(F36,'⑥战队统计表-B-a-②呈现-业绩明细表④'!A:A,'⑥战队统计表-B-a-②呈现-业绩明细表④'!H:H,0),"")</f>
        <v/>
      </c>
      <c r="AN36" s="53" t="str">
        <f t="shared" si="8"/>
        <v>红光+飞鹰队</v>
      </c>
    </row>
    <row r="37" spans="1:40" hidden="1" x14ac:dyDescent="0.15">
      <c r="A37" s="79" t="s">
        <v>428</v>
      </c>
      <c r="B37" s="98" t="s">
        <v>60</v>
      </c>
      <c r="C37" s="81" t="s">
        <v>430</v>
      </c>
      <c r="D37" s="82" t="s">
        <v>6</v>
      </c>
      <c r="E37" s="82" t="s">
        <v>65</v>
      </c>
      <c r="F37" s="53" t="str">
        <f t="shared" si="1"/>
        <v>红光+飞鹰队</v>
      </c>
      <c r="G37" s="53">
        <f>IFERROR(_xlfn.XLOOKUP(B37,'①门店信息-A-a-①-增加'!B:B,'①门店信息-A-a-①-增加'!E:E,0),"")</f>
        <v>0</v>
      </c>
      <c r="H37" s="54">
        <f>_xlfn.XLOOKUP(B37,'①门店信息-A-a-①-增加'!B:B,'①门店信息-A-a-①-增加'!F:F,0)</f>
        <v>0</v>
      </c>
      <c r="I37" s="55">
        <f>_xlfn.XLOOKUP(E37,'③新店考核-B-a-②呈现-业绩明细表-③'!B:B,'③新店考核-B-a-②呈现-业绩明细表-③'!E:E,0)</f>
        <v>0</v>
      </c>
      <c r="J37" s="54">
        <f>_xlfn.XLOOKUP(E37,'③新店考核-B-a-②呈现-业绩明细表-③'!B:B,'③新店考核-B-a-②呈现-业绩明细表-③'!F:F,0)</f>
        <v>0</v>
      </c>
      <c r="K37" s="55">
        <f>IF(H37="新店一阶段",LOOKUP(I37,'②提成标准-B-a-①-增加'!$M$9:$M$12,'②提成标准-B-a-①-增加'!$O$9:$O$12),0)</f>
        <v>0</v>
      </c>
      <c r="L37" s="56">
        <f t="shared" si="2"/>
        <v>13754.4</v>
      </c>
      <c r="M37" s="57">
        <f>_xlfn.XLOOKUP(E37,'③新店考核-B-a-②呈现-业绩明细表-③'!B:B,'③新店考核-B-a-②呈现-业绩明细表-③'!G:G,0)</f>
        <v>0</v>
      </c>
      <c r="N37" s="58" t="str">
        <f>LOOKUP(M37,'②提成标准-B-a-①-增加'!$M$1:$M$4,'②提成标准-B-a-①-增加'!$O$1:$O$4)</f>
        <v>同老店</v>
      </c>
      <c r="O37" s="57">
        <f>_xlfn.XLOOKUP(E37,'③新店考核-B-a-②呈现-业绩明细表-③'!B:B,'③新店考核-B-a-②呈现-业绩明细表-③'!H:H,0)</f>
        <v>0</v>
      </c>
      <c r="P37" s="57">
        <f t="shared" si="3"/>
        <v>13754.4</v>
      </c>
      <c r="Q37" s="53">
        <f>_xlfn.XLOOKUP(E37,'④考勤-B-a-26考勤汇总表'!D:D,'④考勤-B-a-26考勤汇总表'!AP:AP,0)</f>
        <v>31</v>
      </c>
      <c r="R37" s="53" t="str">
        <f t="shared" si="9"/>
        <v/>
      </c>
      <c r="S37" s="53">
        <f t="shared" si="10"/>
        <v>14374.4</v>
      </c>
      <c r="T37" s="53">
        <v>13754.4</v>
      </c>
      <c r="U37" s="53">
        <v>0</v>
      </c>
      <c r="V37" s="53">
        <v>620</v>
      </c>
      <c r="W37" s="53">
        <f>_xlfn.XLOOKUP(E37,'⑤项目数-B-a-③消耗明细表'!C:C,'⑤项目数-B-a-③消耗明细表'!E:E,0)</f>
        <v>6609.12</v>
      </c>
      <c r="X37" s="53">
        <f>_xlfn.XLOOKUP(E37,'⑤项目数-B-a-③消耗明细表'!C:C,'⑤项目数-B-a-③消耗明细表'!D:D,0)</f>
        <v>77</v>
      </c>
      <c r="Y37" s="53">
        <f>_xlfn.XLOOKUP(E37,'⑤项目数-B-a-③消耗明细表'!C:C,'⑤项目数-B-a-③消耗明细表'!F:F,0)</f>
        <v>1027</v>
      </c>
      <c r="Z37" s="53">
        <f>_xlfn.XLOOKUP(E37,'⑤项目数-B-a-③消耗明细表'!C:C,'⑤项目数-B-a-③消耗明细表'!G:G,0)</f>
        <v>35</v>
      </c>
      <c r="AA37" s="84">
        <f t="shared" si="4"/>
        <v>1</v>
      </c>
      <c r="AB37" s="84">
        <f t="shared" si="5"/>
        <v>1</v>
      </c>
      <c r="AC37" s="53">
        <f>_xlfn.XLOOKUP(F37,'⑥战队统计表-B-a-②呈现-业绩明细表④'!A:A,'⑥战队统计表-B-a-②呈现-业绩明细表④'!B:B,0)</f>
        <v>3</v>
      </c>
      <c r="AD37" s="53" t="str">
        <f t="shared" si="11"/>
        <v/>
      </c>
      <c r="AE37" s="59">
        <f>IF(AD37="",_xlfn.XLOOKUP(F37,'⑥战队统计表-B-a-②呈现-业绩明细表④'!A:A,'⑥战队统计表-B-a-②呈现-业绩明细表④'!D:D,0),0)</f>
        <v>0.06</v>
      </c>
      <c r="AF37" s="85">
        <f>IF(AND(E37="T区",E37="门店T区"),"",IF(AD37="",0,IF(R37="",LOOKUP(S37,'②提成标准-B-a-①-增加'!$B$16:$B$20,'②提成标准-B-a-①-增加'!$D$16:$D$20),LOOKUP(S37/Q37,'②提成标准-B-a-①-增加'!$B$23:$B$27,'②提成标准-B-a-①-增加'!$D$23:$D$27))))</f>
        <v>0</v>
      </c>
      <c r="AG37" s="85">
        <f t="shared" si="6"/>
        <v>0.06</v>
      </c>
      <c r="AH37" s="60">
        <f t="shared" si="12"/>
        <v>784.00079999999991</v>
      </c>
      <c r="AI37" s="86">
        <f t="shared" si="13"/>
        <v>0</v>
      </c>
      <c r="AJ37" s="60">
        <f t="shared" si="14"/>
        <v>784.00079999999991</v>
      </c>
      <c r="AK37" s="87">
        <f>IF(AB37=1,IFERROR(S37/VLOOKUP(F37,'⑥战队统计表-B-a-②呈现-业绩明细表④'!A:C,3,0),0),0)</f>
        <v>0.11518995395895748</v>
      </c>
      <c r="AL37" s="85" t="str">
        <f t="shared" si="7"/>
        <v/>
      </c>
      <c r="AM37" s="53" t="str">
        <f>IF(D37="顾问",_xlfn.XLOOKUP(F37,'⑥战队统计表-B-a-②呈现-业绩明细表④'!A:A,'⑥战队统计表-B-a-②呈现-业绩明细表④'!H:H,0),"")</f>
        <v/>
      </c>
      <c r="AN37" s="53" t="str">
        <f t="shared" si="8"/>
        <v>红光+飞鹰队</v>
      </c>
    </row>
    <row r="38" spans="1:40" hidden="1" x14ac:dyDescent="0.15">
      <c r="A38" s="79" t="s">
        <v>428</v>
      </c>
      <c r="B38" s="98" t="s">
        <v>60</v>
      </c>
      <c r="C38" s="81" t="s">
        <v>36</v>
      </c>
      <c r="D38" s="82" t="s">
        <v>36</v>
      </c>
      <c r="E38" s="82" t="s">
        <v>36</v>
      </c>
      <c r="F38" s="53" t="str">
        <f t="shared" si="1"/>
        <v>红光+T区</v>
      </c>
      <c r="G38" s="53">
        <f>IFERROR(_xlfn.XLOOKUP(B38,'①门店信息-A-a-①-增加'!B:B,'①门店信息-A-a-①-增加'!E:E,0),"")</f>
        <v>0</v>
      </c>
      <c r="H38" s="54">
        <f>_xlfn.XLOOKUP(B38,'①门店信息-A-a-①-增加'!B:B,'①门店信息-A-a-①-增加'!F:F,0)</f>
        <v>0</v>
      </c>
      <c r="I38" s="55">
        <f>_xlfn.XLOOKUP(E38,'③新店考核-B-a-②呈现-业绩明细表-③'!B:B,'③新店考核-B-a-②呈现-业绩明细表-③'!E:E,0)</f>
        <v>0</v>
      </c>
      <c r="J38" s="54">
        <f>_xlfn.XLOOKUP(E38,'③新店考核-B-a-②呈现-业绩明细表-③'!B:B,'③新店考核-B-a-②呈现-业绩明细表-③'!F:F,0)</f>
        <v>0</v>
      </c>
      <c r="K38" s="55">
        <f>IF(H38="新店一阶段",LOOKUP(I38,'②提成标准-B-a-①-增加'!$M$9:$M$12,'②提成标准-B-a-①-增加'!$O$9:$O$12),0)</f>
        <v>0</v>
      </c>
      <c r="L38" s="56">
        <f t="shared" si="2"/>
        <v>0</v>
      </c>
      <c r="M38" s="57">
        <f>_xlfn.XLOOKUP(E38,'③新店考核-B-a-②呈现-业绩明细表-③'!B:B,'③新店考核-B-a-②呈现-业绩明细表-③'!G:G,0)</f>
        <v>0</v>
      </c>
      <c r="N38" s="58" t="str">
        <f>LOOKUP(M38,'②提成标准-B-a-①-增加'!$M$1:$M$4,'②提成标准-B-a-①-增加'!$O$1:$O$4)</f>
        <v>同老店</v>
      </c>
      <c r="O38" s="57">
        <f>_xlfn.XLOOKUP(E38,'③新店考核-B-a-②呈现-业绩明细表-③'!B:B,'③新店考核-B-a-②呈现-业绩明细表-③'!H:H,0)</f>
        <v>0</v>
      </c>
      <c r="P38" s="57">
        <f t="shared" si="3"/>
        <v>0</v>
      </c>
      <c r="Q38" s="53">
        <f>_xlfn.XLOOKUP(E38,'④考勤-B-a-26考勤汇总表'!D:D,'④考勤-B-a-26考勤汇总表'!AP:AP,0)</f>
        <v>0</v>
      </c>
      <c r="R38" s="53" t="str">
        <f t="shared" si="9"/>
        <v/>
      </c>
      <c r="S38" s="53">
        <f t="shared" si="10"/>
        <v>0</v>
      </c>
      <c r="T38" s="53">
        <v>0</v>
      </c>
      <c r="U38" s="53">
        <v>0</v>
      </c>
      <c r="V38" s="53">
        <v>0</v>
      </c>
      <c r="W38" s="53">
        <f>_xlfn.XLOOKUP(E38,'⑤项目数-B-a-③消耗明细表'!C:C,'⑤项目数-B-a-③消耗明细表'!E:E,0)</f>
        <v>0</v>
      </c>
      <c r="X38" s="53">
        <f>_xlfn.XLOOKUP(E38,'⑤项目数-B-a-③消耗明细表'!C:C,'⑤项目数-B-a-③消耗明细表'!D:D,0)</f>
        <v>0</v>
      </c>
      <c r="Y38" s="53">
        <f>_xlfn.XLOOKUP(E38,'⑤项目数-B-a-③消耗明细表'!C:C,'⑤项目数-B-a-③消耗明细表'!F:F,0)</f>
        <v>0</v>
      </c>
      <c r="Z38" s="53">
        <f>_xlfn.XLOOKUP(E38,'⑤项目数-B-a-③消耗明细表'!C:C,'⑤项目数-B-a-③消耗明细表'!G:G,0)</f>
        <v>0</v>
      </c>
      <c r="AA38" s="84" t="str">
        <f t="shared" si="4"/>
        <v>不属于战队</v>
      </c>
      <c r="AB38" s="84">
        <f t="shared" si="5"/>
        <v>0</v>
      </c>
      <c r="AC38" s="53">
        <f>_xlfn.XLOOKUP(F38,'⑥战队统计表-B-a-②呈现-业绩明细表④'!A:A,'⑥战队统计表-B-a-②呈现-业绩明细表④'!B:B,0)</f>
        <v>0</v>
      </c>
      <c r="AD38" s="53">
        <f t="shared" si="11"/>
        <v>1</v>
      </c>
      <c r="AE38" s="59">
        <f>IF(AD38="",_xlfn.XLOOKUP(F38,'⑥战队统计表-B-a-②呈现-业绩明细表④'!A:A,'⑥战队统计表-B-a-②呈现-业绩明细表④'!D:D,0),0)</f>
        <v>0</v>
      </c>
      <c r="AF38" s="85">
        <f>IF(AND(E38="T区",E38="门店T区"),"",IF(AD38="",0,IF(R38="",LOOKUP(S38,'②提成标准-B-a-①-增加'!$B$16:$B$20,'②提成标准-B-a-①-增加'!$D$16:$D$20),LOOKUP(S38/Q38,'②提成标准-B-a-①-增加'!$B$23:$B$27,'②提成标准-B-a-①-增加'!$D$23:$D$27))))</f>
        <v>0</v>
      </c>
      <c r="AG38" s="85">
        <f t="shared" si="6"/>
        <v>0</v>
      </c>
      <c r="AH38" s="60">
        <f t="shared" si="12"/>
        <v>0</v>
      </c>
      <c r="AI38" s="86">
        <f t="shared" si="13"/>
        <v>0</v>
      </c>
      <c r="AJ38" s="60">
        <f t="shared" si="14"/>
        <v>0</v>
      </c>
      <c r="AK38" s="87">
        <f>IF(AB38=1,IFERROR(S38/VLOOKUP(F38,'⑥战队统计表-B-a-②呈现-业绩明细表④'!A:C,3,0),0),0)</f>
        <v>0</v>
      </c>
      <c r="AL38" s="85" t="str">
        <f t="shared" si="7"/>
        <v/>
      </c>
      <c r="AM38" s="53" t="str">
        <f>IF(D38="顾问",_xlfn.XLOOKUP(F38,'⑥战队统计表-B-a-②呈现-业绩明细表④'!A:A,'⑥战队统计表-B-a-②呈现-业绩明细表④'!H:H,0),"")</f>
        <v/>
      </c>
      <c r="AN38" s="53" t="str">
        <f t="shared" si="8"/>
        <v>单人</v>
      </c>
    </row>
    <row r="39" spans="1:40" hidden="1" x14ac:dyDescent="0.15">
      <c r="A39" s="79" t="s">
        <v>428</v>
      </c>
      <c r="B39" s="98" t="s">
        <v>60</v>
      </c>
      <c r="C39" s="81" t="s">
        <v>40</v>
      </c>
      <c r="D39" s="82" t="s">
        <v>40</v>
      </c>
      <c r="E39" s="88" t="str">
        <f>F39</f>
        <v>红光+门店T区</v>
      </c>
      <c r="F39" s="53" t="str">
        <f t="shared" si="1"/>
        <v>红光+门店T区</v>
      </c>
      <c r="G39" s="53">
        <f>IFERROR(_xlfn.XLOOKUP(B39,'①门店信息-A-a-①-增加'!B:B,'①门店信息-A-a-①-增加'!E:E,0),"")</f>
        <v>0</v>
      </c>
      <c r="H39" s="54">
        <f>_xlfn.XLOOKUP(B39,'①门店信息-A-a-①-增加'!B:B,'①门店信息-A-a-①-增加'!F:F,0)</f>
        <v>0</v>
      </c>
      <c r="I39" s="55">
        <f>_xlfn.XLOOKUP(E39,'③新店考核-B-a-②呈现-业绩明细表-③'!B:B,'③新店考核-B-a-②呈现-业绩明细表-③'!E:E,0)</f>
        <v>0</v>
      </c>
      <c r="J39" s="54">
        <f>_xlfn.XLOOKUP(E39,'③新店考核-B-a-②呈现-业绩明细表-③'!B:B,'③新店考核-B-a-②呈现-业绩明细表-③'!F:F,0)</f>
        <v>0</v>
      </c>
      <c r="K39" s="55">
        <f>IF(H39="新店一阶段",LOOKUP(I39,'②提成标准-B-a-①-增加'!$M$9:$M$12,'②提成标准-B-a-①-增加'!$O$9:$O$12),0)</f>
        <v>0</v>
      </c>
      <c r="L39" s="56">
        <f t="shared" si="2"/>
        <v>4460</v>
      </c>
      <c r="M39" s="57">
        <f>_xlfn.XLOOKUP(E39,'③新店考核-B-a-②呈现-业绩明细表-③'!B:B,'③新店考核-B-a-②呈现-业绩明细表-③'!G:G,0)</f>
        <v>0</v>
      </c>
      <c r="N39" s="58" t="str">
        <f>LOOKUP(M39,'②提成标准-B-a-①-增加'!$M$1:$M$4,'②提成标准-B-a-①-增加'!$O$1:$O$4)</f>
        <v>同老店</v>
      </c>
      <c r="O39" s="57">
        <f>_xlfn.XLOOKUP(E39,'③新店考核-B-a-②呈现-业绩明细表-③'!B:B,'③新店考核-B-a-②呈现-业绩明细表-③'!H:H,0)</f>
        <v>0</v>
      </c>
      <c r="P39" s="57">
        <f t="shared" si="3"/>
        <v>4460</v>
      </c>
      <c r="Q39" s="53">
        <f>_xlfn.XLOOKUP(E39,'④考勤-B-a-26考勤汇总表'!D:D,'④考勤-B-a-26考勤汇总表'!AP:AP,0)</f>
        <v>0</v>
      </c>
      <c r="R39" s="53" t="str">
        <f t="shared" si="9"/>
        <v/>
      </c>
      <c r="S39" s="53">
        <f t="shared" si="10"/>
        <v>17480</v>
      </c>
      <c r="T39" s="53">
        <v>4460</v>
      </c>
      <c r="U39" s="53">
        <v>13020</v>
      </c>
      <c r="V39" s="53">
        <v>0</v>
      </c>
      <c r="W39" s="53">
        <f>_xlfn.XLOOKUP(E39,'⑤项目数-B-a-③消耗明细表'!C:C,'⑤项目数-B-a-③消耗明细表'!E:E,0)</f>
        <v>0</v>
      </c>
      <c r="X39" s="53">
        <f>_xlfn.XLOOKUP(E39,'⑤项目数-B-a-③消耗明细表'!C:C,'⑤项目数-B-a-③消耗明细表'!D:D,0)</f>
        <v>0</v>
      </c>
      <c r="Y39" s="53">
        <f>_xlfn.XLOOKUP(E39,'⑤项目数-B-a-③消耗明细表'!C:C,'⑤项目数-B-a-③消耗明细表'!F:F,0)</f>
        <v>0</v>
      </c>
      <c r="Z39" s="53">
        <f>_xlfn.XLOOKUP(E39,'⑤项目数-B-a-③消耗明细表'!C:C,'⑤项目数-B-a-③消耗明细表'!G:G,0)</f>
        <v>0</v>
      </c>
      <c r="AA39" s="84">
        <f t="shared" si="4"/>
        <v>1</v>
      </c>
      <c r="AB39" s="84">
        <f t="shared" si="5"/>
        <v>0</v>
      </c>
      <c r="AC39" s="53">
        <f>_xlfn.XLOOKUP(F39,'⑥战队统计表-B-a-②呈现-业绩明细表④'!A:A,'⑥战队统计表-B-a-②呈现-业绩明细表④'!B:B,0)</f>
        <v>0</v>
      </c>
      <c r="AD39" s="53">
        <f t="shared" si="11"/>
        <v>1</v>
      </c>
      <c r="AE39" s="59">
        <f>IF(AD39="",_xlfn.XLOOKUP(F39,'⑥战队统计表-B-a-②呈现-业绩明细表④'!A:A,'⑥战队统计表-B-a-②呈现-业绩明细表④'!D:D,0),0)</f>
        <v>0</v>
      </c>
      <c r="AF39" s="85">
        <f>IF(AND(E39="T区",E39="门店T区"),"",IF(AD39="",0,IF(R39="",LOOKUP(S39,'②提成标准-B-a-①-增加'!$B$16:$B$20,'②提成标准-B-a-①-增加'!$D$16:$D$20),LOOKUP(S39/Q39,'②提成标准-B-a-①-增加'!$B$23:$B$27,'②提成标准-B-a-①-增加'!$D$23:$D$27))))</f>
        <v>0.03</v>
      </c>
      <c r="AG39" s="85">
        <f t="shared" si="6"/>
        <v>0.03</v>
      </c>
      <c r="AH39" s="60">
        <f t="shared" si="12"/>
        <v>0</v>
      </c>
      <c r="AI39" s="86">
        <f t="shared" si="13"/>
        <v>0</v>
      </c>
      <c r="AJ39" s="60">
        <f t="shared" si="14"/>
        <v>0</v>
      </c>
      <c r="AK39" s="87">
        <f>IF(AB39=1,IFERROR(S39/VLOOKUP(F39,'⑥战队统计表-B-a-②呈现-业绩明细表④'!A:C,3,0),0),0)</f>
        <v>0</v>
      </c>
      <c r="AL39" s="85" t="str">
        <f t="shared" si="7"/>
        <v/>
      </c>
      <c r="AM39" s="53" t="str">
        <f>IF(D39="顾问",_xlfn.XLOOKUP(F39,'⑥战队统计表-B-a-②呈现-业绩明细表④'!A:A,'⑥战队统计表-B-a-②呈现-业绩明细表④'!H:H,0),"")</f>
        <v/>
      </c>
      <c r="AN39" s="53" t="str">
        <f t="shared" si="8"/>
        <v>单人</v>
      </c>
    </row>
    <row r="40" spans="1:40" hidden="1" x14ac:dyDescent="0.15">
      <c r="A40" s="79" t="s">
        <v>428</v>
      </c>
      <c r="B40" s="98" t="s">
        <v>66</v>
      </c>
      <c r="C40" s="89" t="s">
        <v>67</v>
      </c>
      <c r="D40" s="90" t="s">
        <v>32</v>
      </c>
      <c r="E40" s="90" t="s">
        <v>68</v>
      </c>
      <c r="F40" s="53" t="str">
        <f t="shared" si="1"/>
        <v>犀浦+战胜队</v>
      </c>
      <c r="G40" s="53">
        <f>IFERROR(_xlfn.XLOOKUP(B40,'①门店信息-A-a-①-增加'!B:B,'①门店信息-A-a-①-增加'!E:E,0),"")</f>
        <v>0</v>
      </c>
      <c r="H40" s="54">
        <f>_xlfn.XLOOKUP(B40,'①门店信息-A-a-①-增加'!B:B,'①门店信息-A-a-①-增加'!F:F,0)</f>
        <v>0</v>
      </c>
      <c r="I40" s="55">
        <f>_xlfn.XLOOKUP(E40,'③新店考核-B-a-②呈现-业绩明细表-③'!B:B,'③新店考核-B-a-②呈现-业绩明细表-③'!E:E,0)</f>
        <v>0</v>
      </c>
      <c r="J40" s="54">
        <f>_xlfn.XLOOKUP(E40,'③新店考核-B-a-②呈现-业绩明细表-③'!B:B,'③新店考核-B-a-②呈现-业绩明细表-③'!F:F,0)</f>
        <v>0</v>
      </c>
      <c r="K40" s="55">
        <f>IF(H40="新店一阶段",LOOKUP(I40,'②提成标准-B-a-①-增加'!$M$9:$M$12,'②提成标准-B-a-①-增加'!$O$9:$O$12),0)</f>
        <v>0</v>
      </c>
      <c r="L40" s="56">
        <f t="shared" si="2"/>
        <v>33198</v>
      </c>
      <c r="M40" s="57">
        <f>_xlfn.XLOOKUP(E40,'③新店考核-B-a-②呈现-业绩明细表-③'!B:B,'③新店考核-B-a-②呈现-业绩明细表-③'!G:G,0)</f>
        <v>0</v>
      </c>
      <c r="N40" s="58" t="str">
        <f>LOOKUP(M40,'②提成标准-B-a-①-增加'!$M$1:$M$4,'②提成标准-B-a-①-增加'!$O$1:$O$4)</f>
        <v>同老店</v>
      </c>
      <c r="O40" s="57">
        <f>_xlfn.XLOOKUP(E40,'③新店考核-B-a-②呈现-业绩明细表-③'!B:B,'③新店考核-B-a-②呈现-业绩明细表-③'!H:H,0)</f>
        <v>0</v>
      </c>
      <c r="P40" s="57">
        <f t="shared" si="3"/>
        <v>33198</v>
      </c>
      <c r="Q40" s="53">
        <f>_xlfn.XLOOKUP(E40,'④考勤-B-a-26考勤汇总表'!D:D,'④考勤-B-a-26考勤汇总表'!AP:AP,0)</f>
        <v>31</v>
      </c>
      <c r="R40" s="53" t="str">
        <f t="shared" si="9"/>
        <v/>
      </c>
      <c r="S40" s="53">
        <f t="shared" si="10"/>
        <v>33786</v>
      </c>
      <c r="T40" s="53">
        <v>33198</v>
      </c>
      <c r="U40" s="53">
        <v>0</v>
      </c>
      <c r="V40" s="53">
        <v>588</v>
      </c>
      <c r="W40" s="53">
        <f>_xlfn.XLOOKUP(E40,'⑤项目数-B-a-③消耗明细表'!C:C,'⑤项目数-B-a-③消耗明细表'!E:E,0)</f>
        <v>48184.25</v>
      </c>
      <c r="X40" s="53">
        <f>_xlfn.XLOOKUP(E40,'⑤项目数-B-a-③消耗明细表'!C:C,'⑤项目数-B-a-③消耗明细表'!D:D,0)</f>
        <v>129</v>
      </c>
      <c r="Y40" s="53">
        <f>_xlfn.XLOOKUP(E40,'⑤项目数-B-a-③消耗明细表'!C:C,'⑤项目数-B-a-③消耗明细表'!F:F,0)</f>
        <v>1894</v>
      </c>
      <c r="Z40" s="53">
        <f>_xlfn.XLOOKUP(E40,'⑤项目数-B-a-③消耗明细表'!C:C,'⑤项目数-B-a-③消耗明细表'!G:G,0)</f>
        <v>270</v>
      </c>
      <c r="AA40" s="84">
        <f t="shared" si="4"/>
        <v>1</v>
      </c>
      <c r="AB40" s="84">
        <f t="shared" si="5"/>
        <v>1</v>
      </c>
      <c r="AC40" s="53">
        <f>_xlfn.XLOOKUP(F40,'⑥战队统计表-B-a-②呈现-业绩明细表④'!A:A,'⑥战队统计表-B-a-②呈现-业绩明细表④'!B:B,0)</f>
        <v>3</v>
      </c>
      <c r="AD40" s="53" t="str">
        <f t="shared" si="11"/>
        <v/>
      </c>
      <c r="AE40" s="59">
        <f>IF(AD40="",_xlfn.XLOOKUP(F40,'⑥战队统计表-B-a-②呈现-业绩明细表④'!A:A,'⑥战队统计表-B-a-②呈现-业绩明细表④'!D:D,0),0)</f>
        <v>0.03</v>
      </c>
      <c r="AF40" s="85">
        <f>IF(AND(E40="T区",E40="门店T区"),"",IF(AD40="",0,IF(R40="",LOOKUP(S40,'②提成标准-B-a-①-增加'!$B$16:$B$20,'②提成标准-B-a-①-增加'!$D$16:$D$20),LOOKUP(S40/Q40,'②提成标准-B-a-①-增加'!$B$23:$B$27,'②提成标准-B-a-①-增加'!$D$23:$D$27))))</f>
        <v>0</v>
      </c>
      <c r="AG40" s="85">
        <f t="shared" si="6"/>
        <v>0.03</v>
      </c>
      <c r="AH40" s="60">
        <f t="shared" si="12"/>
        <v>946.14299999999992</v>
      </c>
      <c r="AI40" s="86">
        <f t="shared" si="13"/>
        <v>0</v>
      </c>
      <c r="AJ40" s="60">
        <f t="shared" si="14"/>
        <v>946.14299999999992</v>
      </c>
      <c r="AK40" s="87">
        <f>IF(AB40=1,IFERROR(S40/VLOOKUP(F40,'⑥战队统计表-B-a-②呈现-业绩明细表④'!A:C,3,0),0),0)</f>
        <v>0.76072321167225809</v>
      </c>
      <c r="AL40" s="85">
        <f t="shared" si="7"/>
        <v>0.23927678832774191</v>
      </c>
      <c r="AM40" s="53">
        <f>IF(D40="顾问",_xlfn.XLOOKUP(F40,'⑥战队统计表-B-a-②呈现-业绩明细表④'!A:A,'⑥战队统计表-B-a-②呈现-业绩明细表④'!H:H,0),"")</f>
        <v>0</v>
      </c>
      <c r="AN40" s="53" t="str">
        <f t="shared" si="8"/>
        <v>犀浦+战胜队</v>
      </c>
    </row>
    <row r="41" spans="1:40" hidden="1" x14ac:dyDescent="0.15">
      <c r="A41" s="79" t="s">
        <v>428</v>
      </c>
      <c r="B41" s="80" t="s">
        <v>66</v>
      </c>
      <c r="C41" s="81" t="s">
        <v>67</v>
      </c>
      <c r="D41" s="82" t="s">
        <v>6</v>
      </c>
      <c r="E41" s="82" t="s">
        <v>74</v>
      </c>
      <c r="F41" s="53" t="str">
        <f t="shared" si="1"/>
        <v>犀浦+战胜队</v>
      </c>
      <c r="G41" s="53">
        <f>IFERROR(_xlfn.XLOOKUP(B41,'①门店信息-A-a-①-增加'!B:B,'①门店信息-A-a-①-增加'!E:E,0),"")</f>
        <v>0</v>
      </c>
      <c r="H41" s="54">
        <f>_xlfn.XLOOKUP(B41,'①门店信息-A-a-①-增加'!B:B,'①门店信息-A-a-①-增加'!F:F,0)</f>
        <v>0</v>
      </c>
      <c r="I41" s="55">
        <f>_xlfn.XLOOKUP(E41,'③新店考核-B-a-②呈现-业绩明细表-③'!B:B,'③新店考核-B-a-②呈现-业绩明细表-③'!E:E,0)</f>
        <v>0</v>
      </c>
      <c r="J41" s="54">
        <f>_xlfn.XLOOKUP(E41,'③新店考核-B-a-②呈现-业绩明细表-③'!B:B,'③新店考核-B-a-②呈现-业绩明细表-③'!F:F,0)</f>
        <v>0</v>
      </c>
      <c r="K41" s="55">
        <f>IF(H41="新店一阶段",LOOKUP(I41,'②提成标准-B-a-①-增加'!$M$9:$M$12,'②提成标准-B-a-①-增加'!$O$9:$O$12),0)</f>
        <v>0</v>
      </c>
      <c r="L41" s="56">
        <f t="shared" si="2"/>
        <v>7483</v>
      </c>
      <c r="M41" s="57">
        <f>_xlfn.XLOOKUP(E41,'③新店考核-B-a-②呈现-业绩明细表-③'!B:B,'③新店考核-B-a-②呈现-业绩明细表-③'!G:G,0)</f>
        <v>0</v>
      </c>
      <c r="N41" s="58" t="str">
        <f>LOOKUP(M41,'②提成标准-B-a-①-增加'!$M$1:$M$4,'②提成标准-B-a-①-增加'!$O$1:$O$4)</f>
        <v>同老店</v>
      </c>
      <c r="O41" s="57">
        <f>_xlfn.XLOOKUP(E41,'③新店考核-B-a-②呈现-业绩明细表-③'!B:B,'③新店考核-B-a-②呈现-业绩明细表-③'!H:H,0)</f>
        <v>0</v>
      </c>
      <c r="P41" s="57">
        <f t="shared" si="3"/>
        <v>7483</v>
      </c>
      <c r="Q41" s="53">
        <f>_xlfn.XLOOKUP(E41,'④考勤-B-a-26考勤汇总表'!D:D,'④考勤-B-a-26考勤汇总表'!AP:AP,0)</f>
        <v>31</v>
      </c>
      <c r="R41" s="53" t="str">
        <f t="shared" si="9"/>
        <v/>
      </c>
      <c r="S41" s="53">
        <f t="shared" si="10"/>
        <v>7483</v>
      </c>
      <c r="T41" s="53">
        <v>7483</v>
      </c>
      <c r="U41" s="53">
        <v>0</v>
      </c>
      <c r="V41" s="53">
        <v>0</v>
      </c>
      <c r="W41" s="53">
        <f>_xlfn.XLOOKUP(E41,'⑤项目数-B-a-③消耗明细表'!C:C,'⑤项目数-B-a-③消耗明细表'!E:E,0)</f>
        <v>15050.06</v>
      </c>
      <c r="X41" s="53">
        <f>_xlfn.XLOOKUP(E41,'⑤项目数-B-a-③消耗明细表'!C:C,'⑤项目数-B-a-③消耗明细表'!D:D,0)</f>
        <v>101</v>
      </c>
      <c r="Y41" s="53">
        <f>_xlfn.XLOOKUP(E41,'⑤项目数-B-a-③消耗明细表'!C:C,'⑤项目数-B-a-③消耗明细表'!F:F,0)</f>
        <v>1422</v>
      </c>
      <c r="Z41" s="53">
        <f>_xlfn.XLOOKUP(E41,'⑤项目数-B-a-③消耗明细表'!C:C,'⑤项目数-B-a-③消耗明细表'!G:G,0)</f>
        <v>90</v>
      </c>
      <c r="AA41" s="84">
        <f t="shared" si="4"/>
        <v>1</v>
      </c>
      <c r="AB41" s="84">
        <f t="shared" si="5"/>
        <v>1</v>
      </c>
      <c r="AC41" s="53">
        <f>_xlfn.XLOOKUP(F41,'⑥战队统计表-B-a-②呈现-业绩明细表④'!A:A,'⑥战队统计表-B-a-②呈现-业绩明细表④'!B:B,0)</f>
        <v>3</v>
      </c>
      <c r="AD41" s="53" t="str">
        <f t="shared" si="11"/>
        <v/>
      </c>
      <c r="AE41" s="59">
        <f>IF(AD41="",_xlfn.XLOOKUP(F41,'⑥战队统计表-B-a-②呈现-业绩明细表④'!A:A,'⑥战队统计表-B-a-②呈现-业绩明细表④'!D:D,0),0)</f>
        <v>0.03</v>
      </c>
      <c r="AF41" s="85">
        <f>IF(AND(E41="T区",E41="门店T区"),"",IF(AD41="",0,IF(R41="",LOOKUP(S41,'②提成标准-B-a-①-增加'!$B$16:$B$20,'②提成标准-B-a-①-增加'!$D$16:$D$20),LOOKUP(S41/Q41,'②提成标准-B-a-①-增加'!$B$23:$B$27,'②提成标准-B-a-①-增加'!$D$23:$D$27))))</f>
        <v>0</v>
      </c>
      <c r="AG41" s="85">
        <f t="shared" si="6"/>
        <v>0.03</v>
      </c>
      <c r="AH41" s="60">
        <f t="shared" si="12"/>
        <v>213.26549999999997</v>
      </c>
      <c r="AI41" s="86">
        <f t="shared" si="13"/>
        <v>0</v>
      </c>
      <c r="AJ41" s="60">
        <f t="shared" si="14"/>
        <v>213.26549999999997</v>
      </c>
      <c r="AK41" s="87">
        <f>IF(AB41=1,IFERROR(S41/VLOOKUP(F41,'⑥战队统计表-B-a-②呈现-业绩明细表④'!A:C,3,0),0),0)</f>
        <v>0.16848670434332291</v>
      </c>
      <c r="AL41" s="85" t="str">
        <f t="shared" si="7"/>
        <v/>
      </c>
      <c r="AM41" s="53" t="str">
        <f>IF(D41="顾问",_xlfn.XLOOKUP(F41,'⑥战队统计表-B-a-②呈现-业绩明细表④'!A:A,'⑥战队统计表-B-a-②呈现-业绩明细表④'!H:H,0),"")</f>
        <v/>
      </c>
      <c r="AN41" s="53" t="str">
        <f t="shared" si="8"/>
        <v>犀浦+战胜队</v>
      </c>
    </row>
    <row r="42" spans="1:40" hidden="1" x14ac:dyDescent="0.15">
      <c r="A42" s="79" t="s">
        <v>428</v>
      </c>
      <c r="B42" s="80" t="s">
        <v>66</v>
      </c>
      <c r="C42" s="81" t="s">
        <v>67</v>
      </c>
      <c r="D42" s="82" t="s">
        <v>6</v>
      </c>
      <c r="E42" s="82" t="s">
        <v>70</v>
      </c>
      <c r="F42" s="53" t="str">
        <f t="shared" si="1"/>
        <v>犀浦+战胜队</v>
      </c>
      <c r="G42" s="53">
        <f>IFERROR(_xlfn.XLOOKUP(B42,'①门店信息-A-a-①-增加'!B:B,'①门店信息-A-a-①-增加'!E:E,0),"")</f>
        <v>0</v>
      </c>
      <c r="H42" s="54">
        <f>_xlfn.XLOOKUP(B42,'①门店信息-A-a-①-增加'!B:B,'①门店信息-A-a-①-增加'!F:F,0)</f>
        <v>0</v>
      </c>
      <c r="I42" s="55">
        <f>_xlfn.XLOOKUP(E42,'③新店考核-B-a-②呈现-业绩明细表-③'!B:B,'③新店考核-B-a-②呈现-业绩明细表-③'!E:E,0)</f>
        <v>0</v>
      </c>
      <c r="J42" s="54">
        <f>_xlfn.XLOOKUP(E42,'③新店考核-B-a-②呈现-业绩明细表-③'!B:B,'③新店考核-B-a-②呈现-业绩明细表-③'!F:F,0)</f>
        <v>0</v>
      </c>
      <c r="K42" s="55">
        <f>IF(H42="新店一阶段",LOOKUP(I42,'②提成标准-B-a-①-增加'!$M$9:$M$12,'②提成标准-B-a-①-增加'!$O$9:$O$12),0)</f>
        <v>0</v>
      </c>
      <c r="L42" s="56">
        <f t="shared" si="2"/>
        <v>3144</v>
      </c>
      <c r="M42" s="57">
        <f>_xlfn.XLOOKUP(E42,'③新店考核-B-a-②呈现-业绩明细表-③'!B:B,'③新店考核-B-a-②呈现-业绩明细表-③'!G:G,0)</f>
        <v>0</v>
      </c>
      <c r="N42" s="58" t="str">
        <f>LOOKUP(M42,'②提成标准-B-a-①-增加'!$M$1:$M$4,'②提成标准-B-a-①-增加'!$O$1:$O$4)</f>
        <v>同老店</v>
      </c>
      <c r="O42" s="57">
        <f>_xlfn.XLOOKUP(E42,'③新店考核-B-a-②呈现-业绩明细表-③'!B:B,'③新店考核-B-a-②呈现-业绩明细表-③'!H:H,0)</f>
        <v>0</v>
      </c>
      <c r="P42" s="57">
        <f t="shared" si="3"/>
        <v>3144</v>
      </c>
      <c r="Q42" s="53">
        <f>_xlfn.XLOOKUP(E42,'④考勤-B-a-26考勤汇总表'!D:D,'④考勤-B-a-26考勤汇总表'!AP:AP,0)</f>
        <v>31</v>
      </c>
      <c r="R42" s="53" t="str">
        <f t="shared" si="9"/>
        <v/>
      </c>
      <c r="S42" s="53">
        <f t="shared" si="10"/>
        <v>3144</v>
      </c>
      <c r="T42" s="53">
        <v>3144</v>
      </c>
      <c r="U42" s="53">
        <v>0</v>
      </c>
      <c r="V42" s="53">
        <v>0</v>
      </c>
      <c r="W42" s="53">
        <f>_xlfn.XLOOKUP(E42,'⑤项目数-B-a-③消耗明细表'!C:C,'⑤项目数-B-a-③消耗明细表'!E:E,0)</f>
        <v>7445.38</v>
      </c>
      <c r="X42" s="53">
        <f>_xlfn.XLOOKUP(E42,'⑤项目数-B-a-③消耗明细表'!C:C,'⑤项目数-B-a-③消耗明细表'!D:D,0)</f>
        <v>104</v>
      </c>
      <c r="Y42" s="53">
        <f>_xlfn.XLOOKUP(E42,'⑤项目数-B-a-③消耗明细表'!C:C,'⑤项目数-B-a-③消耗明细表'!F:F,0)</f>
        <v>1252</v>
      </c>
      <c r="Z42" s="53">
        <f>_xlfn.XLOOKUP(E42,'⑤项目数-B-a-③消耗明细表'!C:C,'⑤项目数-B-a-③消耗明细表'!G:G,0)</f>
        <v>0</v>
      </c>
      <c r="AA42" s="84">
        <f t="shared" si="4"/>
        <v>1</v>
      </c>
      <c r="AB42" s="84">
        <f t="shared" si="5"/>
        <v>1</v>
      </c>
      <c r="AC42" s="53">
        <f>_xlfn.XLOOKUP(F42,'⑥战队统计表-B-a-②呈现-业绩明细表④'!A:A,'⑥战队统计表-B-a-②呈现-业绩明细表④'!B:B,0)</f>
        <v>3</v>
      </c>
      <c r="AD42" s="53" t="str">
        <f t="shared" si="11"/>
        <v/>
      </c>
      <c r="AE42" s="59">
        <f>IF(AD42="",_xlfn.XLOOKUP(F42,'⑥战队统计表-B-a-②呈现-业绩明细表④'!A:A,'⑥战队统计表-B-a-②呈现-业绩明细表④'!D:D,0),0)</f>
        <v>0.03</v>
      </c>
      <c r="AF42" s="85">
        <f>IF(AND(E42="T区",E42="门店T区"),"",IF(AD42="",0,IF(R42="",LOOKUP(S42,'②提成标准-B-a-①-增加'!$B$16:$B$20,'②提成标准-B-a-①-增加'!$D$16:$D$20),LOOKUP(S42/Q42,'②提成标准-B-a-①-增加'!$B$23:$B$27,'②提成标准-B-a-①-增加'!$D$23:$D$27))))</f>
        <v>0</v>
      </c>
      <c r="AG42" s="85">
        <f t="shared" si="6"/>
        <v>0.03</v>
      </c>
      <c r="AH42" s="60">
        <f t="shared" si="12"/>
        <v>89.603999999999985</v>
      </c>
      <c r="AI42" s="86">
        <f t="shared" si="13"/>
        <v>0</v>
      </c>
      <c r="AJ42" s="60">
        <f t="shared" si="14"/>
        <v>89.603999999999985</v>
      </c>
      <c r="AK42" s="87">
        <f>IF(AB42=1,IFERROR(S42/VLOOKUP(F42,'⑥战队统计表-B-a-②呈现-业绩明细表④'!A:C,3,0),0),0)</f>
        <v>7.0790083984418981E-2</v>
      </c>
      <c r="AL42" s="85" t="str">
        <f t="shared" si="7"/>
        <v/>
      </c>
      <c r="AM42" s="53" t="str">
        <f>IF(D42="顾问",_xlfn.XLOOKUP(F42,'⑥战队统计表-B-a-②呈现-业绩明细表④'!A:A,'⑥战队统计表-B-a-②呈现-业绩明细表④'!H:H,0),"")</f>
        <v/>
      </c>
      <c r="AN42" s="53" t="str">
        <f t="shared" si="8"/>
        <v>犀浦+战胜队</v>
      </c>
    </row>
    <row r="43" spans="1:40" hidden="1" x14ac:dyDescent="0.15">
      <c r="A43" s="79" t="s">
        <v>428</v>
      </c>
      <c r="B43" s="80" t="s">
        <v>66</v>
      </c>
      <c r="C43" s="81" t="s">
        <v>36</v>
      </c>
      <c r="D43" s="82" t="s">
        <v>36</v>
      </c>
      <c r="E43" s="82" t="s">
        <v>36</v>
      </c>
      <c r="F43" s="53" t="str">
        <f t="shared" si="1"/>
        <v>犀浦+T区</v>
      </c>
      <c r="G43" s="53">
        <f>IFERROR(_xlfn.XLOOKUP(B43,'①门店信息-A-a-①-增加'!B:B,'①门店信息-A-a-①-增加'!E:E,0),"")</f>
        <v>0</v>
      </c>
      <c r="H43" s="54">
        <f>_xlfn.XLOOKUP(B43,'①门店信息-A-a-①-增加'!B:B,'①门店信息-A-a-①-增加'!F:F,0)</f>
        <v>0</v>
      </c>
      <c r="I43" s="55">
        <f>_xlfn.XLOOKUP(E43,'③新店考核-B-a-②呈现-业绩明细表-③'!B:B,'③新店考核-B-a-②呈现-业绩明细表-③'!E:E,0)</f>
        <v>0</v>
      </c>
      <c r="J43" s="54">
        <f>_xlfn.XLOOKUP(E43,'③新店考核-B-a-②呈现-业绩明细表-③'!B:B,'③新店考核-B-a-②呈现-业绩明细表-③'!F:F,0)</f>
        <v>0</v>
      </c>
      <c r="K43" s="55">
        <f>IF(H43="新店一阶段",LOOKUP(I43,'②提成标准-B-a-①-增加'!$M$9:$M$12,'②提成标准-B-a-①-增加'!$O$9:$O$12),0)</f>
        <v>0</v>
      </c>
      <c r="L43" s="56">
        <f t="shared" si="2"/>
        <v>0</v>
      </c>
      <c r="M43" s="57">
        <f>_xlfn.XLOOKUP(E43,'③新店考核-B-a-②呈现-业绩明细表-③'!B:B,'③新店考核-B-a-②呈现-业绩明细表-③'!G:G,0)</f>
        <v>0</v>
      </c>
      <c r="N43" s="58" t="str">
        <f>LOOKUP(M43,'②提成标准-B-a-①-增加'!$M$1:$M$4,'②提成标准-B-a-①-增加'!$O$1:$O$4)</f>
        <v>同老店</v>
      </c>
      <c r="O43" s="57">
        <f>_xlfn.XLOOKUP(E43,'③新店考核-B-a-②呈现-业绩明细表-③'!B:B,'③新店考核-B-a-②呈现-业绩明细表-③'!H:H,0)</f>
        <v>0</v>
      </c>
      <c r="P43" s="57">
        <f t="shared" si="3"/>
        <v>0</v>
      </c>
      <c r="Q43" s="53">
        <f>_xlfn.XLOOKUP(E43,'④考勤-B-a-26考勤汇总表'!D:D,'④考勤-B-a-26考勤汇总表'!AP:AP,0)</f>
        <v>0</v>
      </c>
      <c r="R43" s="53" t="str">
        <f t="shared" si="9"/>
        <v/>
      </c>
      <c r="S43" s="53">
        <f t="shared" si="10"/>
        <v>0</v>
      </c>
      <c r="T43" s="53">
        <v>0</v>
      </c>
      <c r="U43" s="53">
        <v>0</v>
      </c>
      <c r="V43" s="53">
        <v>0</v>
      </c>
      <c r="W43" s="53">
        <f>_xlfn.XLOOKUP(E43,'⑤项目数-B-a-③消耗明细表'!C:C,'⑤项目数-B-a-③消耗明细表'!E:E,0)</f>
        <v>0</v>
      </c>
      <c r="X43" s="53">
        <f>_xlfn.XLOOKUP(E43,'⑤项目数-B-a-③消耗明细表'!C:C,'⑤项目数-B-a-③消耗明细表'!D:D,0)</f>
        <v>0</v>
      </c>
      <c r="Y43" s="53">
        <f>_xlfn.XLOOKUP(E43,'⑤项目数-B-a-③消耗明细表'!C:C,'⑤项目数-B-a-③消耗明细表'!F:F,0)</f>
        <v>0</v>
      </c>
      <c r="Z43" s="53">
        <f>_xlfn.XLOOKUP(E43,'⑤项目数-B-a-③消耗明细表'!C:C,'⑤项目数-B-a-③消耗明细表'!G:G,0)</f>
        <v>0</v>
      </c>
      <c r="AA43" s="84" t="str">
        <f t="shared" si="4"/>
        <v>不属于战队</v>
      </c>
      <c r="AB43" s="84">
        <f t="shared" si="5"/>
        <v>0</v>
      </c>
      <c r="AC43" s="53">
        <f>_xlfn.XLOOKUP(F43,'⑥战队统计表-B-a-②呈现-业绩明细表④'!A:A,'⑥战队统计表-B-a-②呈现-业绩明细表④'!B:B,0)</f>
        <v>0</v>
      </c>
      <c r="AD43" s="53">
        <f t="shared" si="11"/>
        <v>1</v>
      </c>
      <c r="AE43" s="59">
        <f>IF(AD43="",_xlfn.XLOOKUP(F43,'⑥战队统计表-B-a-②呈现-业绩明细表④'!A:A,'⑥战队统计表-B-a-②呈现-业绩明细表④'!D:D,0),0)</f>
        <v>0</v>
      </c>
      <c r="AF43" s="85">
        <f>IF(AND(E43="T区",E43="门店T区"),"",IF(AD43="",0,IF(R43="",LOOKUP(S43,'②提成标准-B-a-①-增加'!$B$16:$B$20,'②提成标准-B-a-①-增加'!$D$16:$D$20),LOOKUP(S43/Q43,'②提成标准-B-a-①-增加'!$B$23:$B$27,'②提成标准-B-a-①-增加'!$D$23:$D$27))))</f>
        <v>0</v>
      </c>
      <c r="AG43" s="85">
        <f t="shared" si="6"/>
        <v>0</v>
      </c>
      <c r="AH43" s="60">
        <f t="shared" si="12"/>
        <v>0</v>
      </c>
      <c r="AI43" s="86">
        <f t="shared" si="13"/>
        <v>0</v>
      </c>
      <c r="AJ43" s="60">
        <f t="shared" si="14"/>
        <v>0</v>
      </c>
      <c r="AK43" s="87">
        <f>IF(AB43=1,IFERROR(S43/VLOOKUP(F43,'⑥战队统计表-B-a-②呈现-业绩明细表④'!A:C,3,0),0),0)</f>
        <v>0</v>
      </c>
      <c r="AL43" s="85" t="str">
        <f t="shared" si="7"/>
        <v/>
      </c>
      <c r="AN43" s="53" t="str">
        <f t="shared" si="8"/>
        <v>单人</v>
      </c>
    </row>
    <row r="44" spans="1:40" hidden="1" x14ac:dyDescent="0.15">
      <c r="A44" s="79" t="s">
        <v>428</v>
      </c>
      <c r="B44" s="80" t="s">
        <v>66</v>
      </c>
      <c r="C44" s="81" t="s">
        <v>71</v>
      </c>
      <c r="D44" s="82" t="s">
        <v>32</v>
      </c>
      <c r="E44" s="82" t="s">
        <v>73</v>
      </c>
      <c r="F44" s="53" t="str">
        <f t="shared" si="1"/>
        <v>犀浦+旗胜队</v>
      </c>
      <c r="G44" s="53">
        <f>IFERROR(_xlfn.XLOOKUP(B44,'①门店信息-A-a-①-增加'!B:B,'①门店信息-A-a-①-增加'!E:E,0),"")</f>
        <v>0</v>
      </c>
      <c r="H44" s="54">
        <f>_xlfn.XLOOKUP(B44,'①门店信息-A-a-①-增加'!B:B,'①门店信息-A-a-①-增加'!F:F,0)</f>
        <v>0</v>
      </c>
      <c r="I44" s="55">
        <f>_xlfn.XLOOKUP(E44,'③新店考核-B-a-②呈现-业绩明细表-③'!B:B,'③新店考核-B-a-②呈现-业绩明细表-③'!E:E,0)</f>
        <v>0</v>
      </c>
      <c r="J44" s="54">
        <f>_xlfn.XLOOKUP(E44,'③新店考核-B-a-②呈现-业绩明细表-③'!B:B,'③新店考核-B-a-②呈现-业绩明细表-③'!F:F,0)</f>
        <v>0</v>
      </c>
      <c r="K44" s="55">
        <f>IF(H44="新店一阶段",LOOKUP(I44,'②提成标准-B-a-①-增加'!$M$9:$M$12,'②提成标准-B-a-①-增加'!$O$9:$O$12),0)</f>
        <v>0</v>
      </c>
      <c r="L44" s="56">
        <f t="shared" si="2"/>
        <v>26514.75</v>
      </c>
      <c r="M44" s="57">
        <f>_xlfn.XLOOKUP(E44,'③新店考核-B-a-②呈现-业绩明细表-③'!B:B,'③新店考核-B-a-②呈现-业绩明细表-③'!G:G,0)</f>
        <v>0</v>
      </c>
      <c r="N44" s="58" t="str">
        <f>LOOKUP(M44,'②提成标准-B-a-①-增加'!$M$1:$M$4,'②提成标准-B-a-①-增加'!$O$1:$O$4)</f>
        <v>同老店</v>
      </c>
      <c r="O44" s="57">
        <f>_xlfn.XLOOKUP(E44,'③新店考核-B-a-②呈现-业绩明细表-③'!B:B,'③新店考核-B-a-②呈现-业绩明细表-③'!H:H,0)</f>
        <v>0</v>
      </c>
      <c r="P44" s="57">
        <f t="shared" si="3"/>
        <v>26514.75</v>
      </c>
      <c r="Q44" s="53">
        <f>_xlfn.XLOOKUP(E44,'④考勤-B-a-26考勤汇总表'!D:D,'④考勤-B-a-26考勤汇总表'!AP:AP,0)</f>
        <v>31</v>
      </c>
      <c r="R44" s="53" t="str">
        <f t="shared" si="9"/>
        <v/>
      </c>
      <c r="S44" s="53">
        <f t="shared" si="10"/>
        <v>26514.75</v>
      </c>
      <c r="T44" s="53">
        <v>26514.75</v>
      </c>
      <c r="U44" s="53">
        <v>0</v>
      </c>
      <c r="V44" s="53">
        <v>0</v>
      </c>
      <c r="W44" s="53">
        <f>_xlfn.XLOOKUP(E44,'⑤项目数-B-a-③消耗明细表'!C:C,'⑤项目数-B-a-③消耗明细表'!E:E,0)</f>
        <v>16872.439999999999</v>
      </c>
      <c r="X44" s="53">
        <f>_xlfn.XLOOKUP(E44,'⑤项目数-B-a-③消耗明细表'!C:C,'⑤项目数-B-a-③消耗明细表'!D:D,0)</f>
        <v>119</v>
      </c>
      <c r="Y44" s="53">
        <f>_xlfn.XLOOKUP(E44,'⑤项目数-B-a-③消耗明细表'!C:C,'⑤项目数-B-a-③消耗明细表'!F:F,0)</f>
        <v>1489</v>
      </c>
      <c r="Z44" s="53">
        <f>_xlfn.XLOOKUP(E44,'⑤项目数-B-a-③消耗明细表'!C:C,'⑤项目数-B-a-③消耗明细表'!G:G,0)</f>
        <v>95</v>
      </c>
      <c r="AA44" s="84">
        <f t="shared" si="4"/>
        <v>1</v>
      </c>
      <c r="AB44" s="84">
        <f t="shared" si="5"/>
        <v>1</v>
      </c>
      <c r="AC44" s="53">
        <f>_xlfn.XLOOKUP(F44,'⑥战队统计表-B-a-②呈现-业绩明细表④'!A:A,'⑥战队统计表-B-a-②呈现-业绩明细表④'!B:B,0)</f>
        <v>3</v>
      </c>
      <c r="AD44" s="53" t="str">
        <f t="shared" si="11"/>
        <v/>
      </c>
      <c r="AE44" s="59">
        <f>IF(AD44="",_xlfn.XLOOKUP(F44,'⑥战队统计表-B-a-②呈现-业绩明细表④'!A:A,'⑥战队统计表-B-a-②呈现-业绩明细表④'!D:D,0),0)</f>
        <v>0.04</v>
      </c>
      <c r="AF44" s="85">
        <f>IF(AND(E44="T区",E44="门店T区"),"",IF(AD44="",0,IF(R44="",LOOKUP(S44,'②提成标准-B-a-①-增加'!$B$16:$B$20,'②提成标准-B-a-①-增加'!$D$16:$D$20),LOOKUP(S44/Q44,'②提成标准-B-a-①-增加'!$B$23:$B$27,'②提成标准-B-a-①-增加'!$D$23:$D$27))))</f>
        <v>0</v>
      </c>
      <c r="AG44" s="85">
        <f t="shared" si="6"/>
        <v>0.04</v>
      </c>
      <c r="AH44" s="60">
        <f t="shared" si="12"/>
        <v>1007.5604999999998</v>
      </c>
      <c r="AI44" s="86">
        <f t="shared" si="13"/>
        <v>0</v>
      </c>
      <c r="AJ44" s="60">
        <f t="shared" si="14"/>
        <v>1007.5604999999998</v>
      </c>
      <c r="AK44" s="87">
        <f>IF(AB44=1,IFERROR(S44/VLOOKUP(F44,'⑥战队统计表-B-a-②呈现-业绩明细表④'!A:C,3,0),0),0)</f>
        <v>0.42902043590116984</v>
      </c>
      <c r="AL44" s="85">
        <f t="shared" si="7"/>
        <v>0.57097956409883022</v>
      </c>
      <c r="AM44" s="53">
        <f>IF(D44="顾问",_xlfn.XLOOKUP(F44,'⑥战队统计表-B-a-②呈现-业绩明细表④'!A:A,'⑥战队统计表-B-a-②呈现-业绩明细表④'!H:H,0),"")</f>
        <v>0</v>
      </c>
      <c r="AN44" s="53" t="str">
        <f t="shared" si="8"/>
        <v>犀浦+旗胜队</v>
      </c>
    </row>
    <row r="45" spans="1:40" hidden="1" x14ac:dyDescent="0.15">
      <c r="A45" s="91" t="s">
        <v>428</v>
      </c>
      <c r="B45" s="92" t="s">
        <v>66</v>
      </c>
      <c r="C45" s="99" t="s">
        <v>71</v>
      </c>
      <c r="D45" s="92" t="s">
        <v>6</v>
      </c>
      <c r="E45" s="92" t="s">
        <v>62</v>
      </c>
      <c r="F45" s="53" t="str">
        <f t="shared" si="1"/>
        <v>犀浦+旗胜队</v>
      </c>
      <c r="G45" s="53">
        <f>IFERROR(_xlfn.XLOOKUP(B45,'①门店信息-A-a-①-增加'!B:B,'①门店信息-A-a-①-增加'!E:E,0),"")</f>
        <v>0</v>
      </c>
      <c r="H45" s="54">
        <f>_xlfn.XLOOKUP(B45,'①门店信息-A-a-①-增加'!B:B,'①门店信息-A-a-①-增加'!F:F,0)</f>
        <v>0</v>
      </c>
      <c r="I45" s="55">
        <f>_xlfn.XLOOKUP(E45,'③新店考核-B-a-②呈现-业绩明细表-③'!B:B,'③新店考核-B-a-②呈现-业绩明细表-③'!E:E,0)</f>
        <v>0</v>
      </c>
      <c r="J45" s="54">
        <f>_xlfn.XLOOKUP(E45,'③新店考核-B-a-②呈现-业绩明细表-③'!B:B,'③新店考核-B-a-②呈现-业绩明细表-③'!F:F,0)</f>
        <v>0</v>
      </c>
      <c r="K45" s="55">
        <f>IF(H45="新店一阶段",LOOKUP(I45,'②提成标准-B-a-①-增加'!$M$9:$M$12,'②提成标准-B-a-①-增加'!$O$9:$O$12),0)</f>
        <v>0</v>
      </c>
      <c r="L45" s="56">
        <f t="shared" si="2"/>
        <v>19132.5</v>
      </c>
      <c r="M45" s="57">
        <f>_xlfn.XLOOKUP(E45,'③新店考核-B-a-②呈现-业绩明细表-③'!B:B,'③新店考核-B-a-②呈现-业绩明细表-③'!G:G,0)</f>
        <v>0</v>
      </c>
      <c r="N45" s="58" t="str">
        <f>LOOKUP(M45,'②提成标准-B-a-①-增加'!$M$1:$M$4,'②提成标准-B-a-①-增加'!$O$1:$O$4)</f>
        <v>同老店</v>
      </c>
      <c r="O45" s="57">
        <f>_xlfn.XLOOKUP(E45,'③新店考核-B-a-②呈现-业绩明细表-③'!B:B,'③新店考核-B-a-②呈现-业绩明细表-③'!H:H,0)</f>
        <v>0</v>
      </c>
      <c r="P45" s="57">
        <f t="shared" si="3"/>
        <v>19132.5</v>
      </c>
      <c r="Q45" s="53">
        <f>_xlfn.XLOOKUP(E45,'④考勤-B-a-26考勤汇总表'!D:D,'④考勤-B-a-26考勤汇总表'!AP:AP,0)</f>
        <v>31</v>
      </c>
      <c r="R45" s="53" t="str">
        <f t="shared" si="9"/>
        <v/>
      </c>
      <c r="S45" s="53">
        <f t="shared" si="10"/>
        <v>20020.5</v>
      </c>
      <c r="T45" s="95">
        <v>19132.5</v>
      </c>
      <c r="U45" s="95">
        <v>0</v>
      </c>
      <c r="V45" s="95">
        <v>888</v>
      </c>
      <c r="W45" s="95">
        <f>_xlfn.XLOOKUP(E45,'⑤项目数-B-a-③消耗明细表'!C:C,'⑤项目数-B-a-③消耗明细表'!E:E,0)</f>
        <v>12792.49</v>
      </c>
      <c r="X45" s="95">
        <f>_xlfn.XLOOKUP(E45,'⑤项目数-B-a-③消耗明细表'!C:C,'⑤项目数-B-a-③消耗明细表'!D:D,0)</f>
        <v>126</v>
      </c>
      <c r="Y45" s="95">
        <f>_xlfn.XLOOKUP(E45,'⑤项目数-B-a-③消耗明细表'!C:C,'⑤项目数-B-a-③消耗明细表'!F:F,0)</f>
        <v>1437</v>
      </c>
      <c r="Z45" s="53">
        <f>_xlfn.XLOOKUP(E45,'⑤项目数-B-a-③消耗明细表'!C:C,'⑤项目数-B-a-③消耗明细表'!G:G,0)</f>
        <v>55</v>
      </c>
      <c r="AA45" s="84">
        <f t="shared" si="4"/>
        <v>1</v>
      </c>
      <c r="AB45" s="84">
        <f t="shared" si="5"/>
        <v>1</v>
      </c>
      <c r="AC45" s="53">
        <f>_xlfn.XLOOKUP(F45,'⑥战队统计表-B-a-②呈现-业绩明细表④'!A:A,'⑥战队统计表-B-a-②呈现-业绩明细表④'!B:B,0)</f>
        <v>3</v>
      </c>
      <c r="AD45" s="53" t="str">
        <f t="shared" si="11"/>
        <v/>
      </c>
      <c r="AE45" s="59">
        <f>IF(AD45="",_xlfn.XLOOKUP(F45,'⑥战队统计表-B-a-②呈现-业绩明细表④'!A:A,'⑥战队统计表-B-a-②呈现-业绩明细表④'!D:D,0),0)</f>
        <v>0.04</v>
      </c>
      <c r="AF45" s="85">
        <f>IF(AND(E45="T区",E45="门店T区"),"",IF(AD45="",0,IF(R45="",LOOKUP(S45,'②提成标准-B-a-①-增加'!$B$16:$B$20,'②提成标准-B-a-①-增加'!$D$16:$D$20),LOOKUP(S45/Q45,'②提成标准-B-a-①-增加'!$B$23:$B$27,'②提成标准-B-a-①-增加'!$D$23:$D$27))))</f>
        <v>0</v>
      </c>
      <c r="AG45" s="85">
        <f t="shared" si="6"/>
        <v>0.04</v>
      </c>
      <c r="AH45" s="60">
        <f t="shared" si="12"/>
        <v>727.03500000000008</v>
      </c>
      <c r="AI45" s="86">
        <f t="shared" si="13"/>
        <v>0</v>
      </c>
      <c r="AJ45" s="60">
        <f t="shared" si="14"/>
        <v>727.03500000000008</v>
      </c>
      <c r="AK45" s="87">
        <f>IF(AB45=1,IFERROR(S45/VLOOKUP(F45,'⑥战队统计表-B-a-②呈现-业绩明细表④'!A:C,3,0),0),0)</f>
        <v>0.32394058540847531</v>
      </c>
      <c r="AL45" s="85" t="str">
        <f t="shared" si="7"/>
        <v/>
      </c>
      <c r="AM45" s="53" t="str">
        <f>IF(D45="顾问",_xlfn.XLOOKUP(F45,'⑥战队统计表-B-a-②呈现-业绩明细表④'!A:A,'⑥战队统计表-B-a-②呈现-业绩明细表④'!H:H,0),"")</f>
        <v/>
      </c>
      <c r="AN45" s="53" t="str">
        <f t="shared" si="8"/>
        <v>犀浦+旗胜队</v>
      </c>
    </row>
    <row r="46" spans="1:40" hidden="1" x14ac:dyDescent="0.15">
      <c r="A46" s="79" t="s">
        <v>428</v>
      </c>
      <c r="B46" s="80" t="s">
        <v>66</v>
      </c>
      <c r="C46" s="81" t="s">
        <v>71</v>
      </c>
      <c r="D46" s="82" t="s">
        <v>6</v>
      </c>
      <c r="E46" s="82" t="s">
        <v>69</v>
      </c>
      <c r="F46" s="53" t="str">
        <f t="shared" si="1"/>
        <v>犀浦+旗胜队</v>
      </c>
      <c r="G46" s="53">
        <f>IFERROR(_xlfn.XLOOKUP(B46,'①门店信息-A-a-①-增加'!B:B,'①门店信息-A-a-①-增加'!E:E,0),"")</f>
        <v>0</v>
      </c>
      <c r="H46" s="54">
        <f>_xlfn.XLOOKUP(B46,'①门店信息-A-a-①-增加'!B:B,'①门店信息-A-a-①-增加'!F:F,0)</f>
        <v>0</v>
      </c>
      <c r="I46" s="55">
        <f>_xlfn.XLOOKUP(E46,'③新店考核-B-a-②呈现-业绩明细表-③'!B:B,'③新店考核-B-a-②呈现-业绩明细表-③'!E:E,0)</f>
        <v>0</v>
      </c>
      <c r="J46" s="54">
        <f>_xlfn.XLOOKUP(E46,'③新店考核-B-a-②呈现-业绩明细表-③'!B:B,'③新店考核-B-a-②呈现-业绩明细表-③'!F:F,0)</f>
        <v>0</v>
      </c>
      <c r="K46" s="55">
        <f>IF(H46="新店一阶段",LOOKUP(I46,'②提成标准-B-a-①-增加'!$M$9:$M$12,'②提成标准-B-a-①-增加'!$O$9:$O$12),0)</f>
        <v>0</v>
      </c>
      <c r="L46" s="56">
        <f t="shared" si="2"/>
        <v>15787.75</v>
      </c>
      <c r="M46" s="57">
        <f>_xlfn.XLOOKUP(E46,'③新店考核-B-a-②呈现-业绩明细表-③'!B:B,'③新店考核-B-a-②呈现-业绩明细表-③'!G:G,0)</f>
        <v>0</v>
      </c>
      <c r="N46" s="58" t="str">
        <f>LOOKUP(M46,'②提成标准-B-a-①-增加'!$M$1:$M$4,'②提成标准-B-a-①-增加'!$O$1:$O$4)</f>
        <v>同老店</v>
      </c>
      <c r="O46" s="57">
        <f>_xlfn.XLOOKUP(E46,'③新店考核-B-a-②呈现-业绩明细表-③'!B:B,'③新店考核-B-a-②呈现-业绩明细表-③'!H:H,0)</f>
        <v>0</v>
      </c>
      <c r="P46" s="57">
        <f t="shared" si="3"/>
        <v>15787.75</v>
      </c>
      <c r="Q46" s="53">
        <f>_xlfn.XLOOKUP(E46,'④考勤-B-a-26考勤汇总表'!D:D,'④考勤-B-a-26考勤汇总表'!AP:AP,0)</f>
        <v>31</v>
      </c>
      <c r="R46" s="53" t="str">
        <f t="shared" si="9"/>
        <v/>
      </c>
      <c r="S46" s="53">
        <f t="shared" si="10"/>
        <v>15267.75</v>
      </c>
      <c r="T46" s="53">
        <v>15787.75</v>
      </c>
      <c r="U46" s="53">
        <v>-520</v>
      </c>
      <c r="V46" s="53">
        <v>0</v>
      </c>
      <c r="W46" s="53">
        <f>_xlfn.XLOOKUP(E46,'⑤项目数-B-a-③消耗明细表'!C:C,'⑤项目数-B-a-③消耗明细表'!E:E,0)</f>
        <v>19882.2</v>
      </c>
      <c r="X46" s="53">
        <f>_xlfn.XLOOKUP(E46,'⑤项目数-B-a-③消耗明细表'!C:C,'⑤项目数-B-a-③消耗明细表'!D:D,0)</f>
        <v>111</v>
      </c>
      <c r="Y46" s="53">
        <f>_xlfn.XLOOKUP(E46,'⑤项目数-B-a-③消耗明细表'!C:C,'⑤项目数-B-a-③消耗明细表'!F:F,0)</f>
        <v>1352</v>
      </c>
      <c r="Z46" s="53">
        <f>_xlfn.XLOOKUP(E46,'⑤项目数-B-a-③消耗明细表'!C:C,'⑤项目数-B-a-③消耗明细表'!G:G,0)</f>
        <v>50</v>
      </c>
      <c r="AA46" s="84">
        <f t="shared" si="4"/>
        <v>1</v>
      </c>
      <c r="AB46" s="84">
        <f t="shared" si="5"/>
        <v>1</v>
      </c>
      <c r="AC46" s="53">
        <f>_xlfn.XLOOKUP(F46,'⑥战队统计表-B-a-②呈现-业绩明细表④'!A:A,'⑥战队统计表-B-a-②呈现-业绩明细表④'!B:B,0)</f>
        <v>3</v>
      </c>
      <c r="AD46" s="53" t="str">
        <f t="shared" si="11"/>
        <v/>
      </c>
      <c r="AE46" s="59">
        <f>IF(AD46="",_xlfn.XLOOKUP(F46,'⑥战队统计表-B-a-②呈现-业绩明细表④'!A:A,'⑥战队统计表-B-a-②呈现-业绩明细表④'!D:D,0),0)</f>
        <v>0.04</v>
      </c>
      <c r="AF46" s="85">
        <f>IF(AND(E46="T区",E46="门店T区"),"",IF(AD46="",0,IF(R46="",LOOKUP(S46,'②提成标准-B-a-①-增加'!$B$16:$B$20,'②提成标准-B-a-①-增加'!$D$16:$D$20),LOOKUP(S46/Q46,'②提成标准-B-a-①-增加'!$B$23:$B$27,'②提成标准-B-a-①-增加'!$D$23:$D$27))))</f>
        <v>0</v>
      </c>
      <c r="AG46" s="85">
        <f t="shared" si="6"/>
        <v>0.04</v>
      </c>
      <c r="AH46" s="60">
        <f t="shared" si="12"/>
        <v>599.93449999999996</v>
      </c>
      <c r="AI46" s="86">
        <f t="shared" si="13"/>
        <v>-12.843999999999999</v>
      </c>
      <c r="AJ46" s="60">
        <f t="shared" si="14"/>
        <v>587.09049999999991</v>
      </c>
      <c r="AK46" s="87">
        <f>IF(AB46=1,IFERROR(S46/VLOOKUP(F46,'⑥战队统计表-B-a-②呈现-业绩明细表④'!A:C,3,0),0),0)</f>
        <v>0.24703897869035485</v>
      </c>
      <c r="AL46" s="85" t="str">
        <f t="shared" si="7"/>
        <v/>
      </c>
      <c r="AM46" s="53" t="str">
        <f>IF(D46="顾问",_xlfn.XLOOKUP(F46,'⑥战队统计表-B-a-②呈现-业绩明细表④'!A:A,'⑥战队统计表-B-a-②呈现-业绩明细表④'!H:H,0),"")</f>
        <v/>
      </c>
      <c r="AN46" s="53" t="str">
        <f t="shared" si="8"/>
        <v>犀浦+旗胜队</v>
      </c>
    </row>
    <row r="47" spans="1:40" hidden="1" x14ac:dyDescent="0.15">
      <c r="A47" s="79" t="s">
        <v>428</v>
      </c>
      <c r="B47" s="80" t="s">
        <v>66</v>
      </c>
      <c r="C47" s="81" t="s">
        <v>36</v>
      </c>
      <c r="D47" s="82" t="s">
        <v>36</v>
      </c>
      <c r="E47" s="82" t="s">
        <v>36</v>
      </c>
      <c r="F47" s="53" t="str">
        <f t="shared" si="1"/>
        <v>犀浦+T区</v>
      </c>
      <c r="G47" s="53">
        <f>IFERROR(_xlfn.XLOOKUP(B47,'①门店信息-A-a-①-增加'!B:B,'①门店信息-A-a-①-增加'!E:E,0),"")</f>
        <v>0</v>
      </c>
      <c r="H47" s="54">
        <f>_xlfn.XLOOKUP(B47,'①门店信息-A-a-①-增加'!B:B,'①门店信息-A-a-①-增加'!F:F,0)</f>
        <v>0</v>
      </c>
      <c r="I47" s="55">
        <f>_xlfn.XLOOKUP(E47,'③新店考核-B-a-②呈现-业绩明细表-③'!B:B,'③新店考核-B-a-②呈现-业绩明细表-③'!E:E,0)</f>
        <v>0</v>
      </c>
      <c r="J47" s="54">
        <f>_xlfn.XLOOKUP(E47,'③新店考核-B-a-②呈现-业绩明细表-③'!B:B,'③新店考核-B-a-②呈现-业绩明细表-③'!F:F,0)</f>
        <v>0</v>
      </c>
      <c r="K47" s="55">
        <f>IF(H47="新店一阶段",LOOKUP(I47,'②提成标准-B-a-①-增加'!$M$9:$M$12,'②提成标准-B-a-①-增加'!$O$9:$O$12),0)</f>
        <v>0</v>
      </c>
      <c r="L47" s="56">
        <f t="shared" si="2"/>
        <v>0</v>
      </c>
      <c r="M47" s="57">
        <f>_xlfn.XLOOKUP(E47,'③新店考核-B-a-②呈现-业绩明细表-③'!B:B,'③新店考核-B-a-②呈现-业绩明细表-③'!G:G,0)</f>
        <v>0</v>
      </c>
      <c r="N47" s="58" t="str">
        <f>LOOKUP(M47,'②提成标准-B-a-①-增加'!$M$1:$M$4,'②提成标准-B-a-①-增加'!$O$1:$O$4)</f>
        <v>同老店</v>
      </c>
      <c r="O47" s="57">
        <f>_xlfn.XLOOKUP(E47,'③新店考核-B-a-②呈现-业绩明细表-③'!B:B,'③新店考核-B-a-②呈现-业绩明细表-③'!H:H,0)</f>
        <v>0</v>
      </c>
      <c r="P47" s="57">
        <f t="shared" si="3"/>
        <v>0</v>
      </c>
      <c r="Q47" s="53">
        <f>_xlfn.XLOOKUP(E47,'④考勤-B-a-26考勤汇总表'!D:D,'④考勤-B-a-26考勤汇总表'!AP:AP,0)</f>
        <v>0</v>
      </c>
      <c r="R47" s="53" t="str">
        <f t="shared" si="9"/>
        <v/>
      </c>
      <c r="S47" s="53">
        <f t="shared" si="10"/>
        <v>0</v>
      </c>
      <c r="T47" s="53">
        <v>0</v>
      </c>
      <c r="U47" s="53">
        <v>0</v>
      </c>
      <c r="V47" s="53">
        <v>0</v>
      </c>
      <c r="W47" s="53">
        <f>_xlfn.XLOOKUP(E47,'⑤项目数-B-a-③消耗明细表'!C:C,'⑤项目数-B-a-③消耗明细表'!E:E,0)</f>
        <v>0</v>
      </c>
      <c r="X47" s="53">
        <f>_xlfn.XLOOKUP(E47,'⑤项目数-B-a-③消耗明细表'!C:C,'⑤项目数-B-a-③消耗明细表'!D:D,0)</f>
        <v>0</v>
      </c>
      <c r="Y47" s="53">
        <f>_xlfn.XLOOKUP(E47,'⑤项目数-B-a-③消耗明细表'!C:C,'⑤项目数-B-a-③消耗明细表'!F:F,0)</f>
        <v>0</v>
      </c>
      <c r="Z47" s="53">
        <f>_xlfn.XLOOKUP(E47,'⑤项目数-B-a-③消耗明细表'!C:C,'⑤项目数-B-a-③消耗明细表'!G:G,0)</f>
        <v>0</v>
      </c>
      <c r="AA47" s="84" t="str">
        <f t="shared" si="4"/>
        <v>不属于战队</v>
      </c>
      <c r="AB47" s="84">
        <f t="shared" si="5"/>
        <v>0</v>
      </c>
      <c r="AC47" s="53">
        <f>_xlfn.XLOOKUP(F47,'⑥战队统计表-B-a-②呈现-业绩明细表④'!A:A,'⑥战队统计表-B-a-②呈现-业绩明细表④'!B:B,0)</f>
        <v>0</v>
      </c>
      <c r="AD47" s="53">
        <f t="shared" si="11"/>
        <v>1</v>
      </c>
      <c r="AE47" s="59">
        <f>IF(AD47="",_xlfn.XLOOKUP(F47,'⑥战队统计表-B-a-②呈现-业绩明细表④'!A:A,'⑥战队统计表-B-a-②呈现-业绩明细表④'!D:D,0),0)</f>
        <v>0</v>
      </c>
      <c r="AF47" s="85">
        <f>IF(AND(E47="T区",E47="门店T区"),"",IF(AD47="",0,IF(R47="",LOOKUP(S47,'②提成标准-B-a-①-增加'!$B$16:$B$20,'②提成标准-B-a-①-增加'!$D$16:$D$20),LOOKUP(S47/Q47,'②提成标准-B-a-①-增加'!$B$23:$B$27,'②提成标准-B-a-①-增加'!$D$23:$D$27))))</f>
        <v>0</v>
      </c>
      <c r="AG47" s="85">
        <f t="shared" si="6"/>
        <v>0</v>
      </c>
      <c r="AH47" s="60">
        <f t="shared" si="12"/>
        <v>0</v>
      </c>
      <c r="AI47" s="86">
        <f t="shared" si="13"/>
        <v>0</v>
      </c>
      <c r="AJ47" s="60">
        <f t="shared" si="14"/>
        <v>0</v>
      </c>
      <c r="AK47" s="87">
        <f>IF(AB47=1,IFERROR(S47/VLOOKUP(F47,'⑥战队统计表-B-a-②呈现-业绩明细表④'!A:C,3,0),0),0)</f>
        <v>0</v>
      </c>
      <c r="AL47" s="85" t="str">
        <f t="shared" si="7"/>
        <v/>
      </c>
      <c r="AM47" s="53" t="str">
        <f>IF(D47="顾问",_xlfn.XLOOKUP(F47,'⑥战队统计表-B-a-②呈现-业绩明细表④'!A:A,'⑥战队统计表-B-a-②呈现-业绩明细表④'!H:H,0),"")</f>
        <v/>
      </c>
      <c r="AN47" s="53" t="str">
        <f t="shared" si="8"/>
        <v>单人</v>
      </c>
    </row>
    <row r="48" spans="1:40" hidden="1" x14ac:dyDescent="0.15">
      <c r="A48" s="79" t="s">
        <v>428</v>
      </c>
      <c r="B48" s="80" t="s">
        <v>66</v>
      </c>
      <c r="C48" s="81" t="s">
        <v>40</v>
      </c>
      <c r="D48" s="82" t="s">
        <v>40</v>
      </c>
      <c r="E48" s="88" t="str">
        <f>F48</f>
        <v>犀浦+门店T区</v>
      </c>
      <c r="F48" s="53" t="str">
        <f t="shared" si="1"/>
        <v>犀浦+门店T区</v>
      </c>
      <c r="G48" s="53">
        <f>IFERROR(_xlfn.XLOOKUP(B48,'①门店信息-A-a-①-增加'!B:B,'①门店信息-A-a-①-增加'!E:E,0),"")</f>
        <v>0</v>
      </c>
      <c r="H48" s="54">
        <f>_xlfn.XLOOKUP(B48,'①门店信息-A-a-①-增加'!B:B,'①门店信息-A-a-①-增加'!F:F,0)</f>
        <v>0</v>
      </c>
      <c r="I48" s="55">
        <f>_xlfn.XLOOKUP(E48,'③新店考核-B-a-②呈现-业绩明细表-③'!B:B,'③新店考核-B-a-②呈现-业绩明细表-③'!E:E,0)</f>
        <v>0</v>
      </c>
      <c r="J48" s="54">
        <f>_xlfn.XLOOKUP(E48,'③新店考核-B-a-②呈现-业绩明细表-③'!B:B,'③新店考核-B-a-②呈现-业绩明细表-③'!F:F,0)</f>
        <v>0</v>
      </c>
      <c r="K48" s="55">
        <f>IF(H48="新店一阶段",LOOKUP(I48,'②提成标准-B-a-①-增加'!$M$9:$M$12,'②提成标准-B-a-①-增加'!$O$9:$O$12),0)</f>
        <v>0</v>
      </c>
      <c r="L48" s="56">
        <f t="shared" si="2"/>
        <v>-5282</v>
      </c>
      <c r="M48" s="57">
        <f>_xlfn.XLOOKUP(E48,'③新店考核-B-a-②呈现-业绩明细表-③'!B:B,'③新店考核-B-a-②呈现-业绩明细表-③'!G:G,0)</f>
        <v>0</v>
      </c>
      <c r="N48" s="58" t="str">
        <f>LOOKUP(M48,'②提成标准-B-a-①-增加'!$M$1:$M$4,'②提成标准-B-a-①-增加'!$O$1:$O$4)</f>
        <v>同老店</v>
      </c>
      <c r="O48" s="57">
        <f>_xlfn.XLOOKUP(E48,'③新店考核-B-a-②呈现-业绩明细表-③'!B:B,'③新店考核-B-a-②呈现-业绩明细表-③'!H:H,0)</f>
        <v>0</v>
      </c>
      <c r="P48" s="57">
        <f t="shared" si="3"/>
        <v>-5282</v>
      </c>
      <c r="Q48" s="53">
        <f>_xlfn.XLOOKUP(E48,'④考勤-B-a-26考勤汇总表'!D:D,'④考勤-B-a-26考勤汇总表'!AP:AP,0)</f>
        <v>0</v>
      </c>
      <c r="R48" s="53" t="str">
        <f t="shared" si="9"/>
        <v/>
      </c>
      <c r="S48" s="53">
        <f t="shared" si="10"/>
        <v>-5282</v>
      </c>
      <c r="T48" s="53">
        <v>-5282</v>
      </c>
      <c r="U48" s="53">
        <v>0</v>
      </c>
      <c r="V48" s="53">
        <v>0</v>
      </c>
      <c r="W48" s="53">
        <f>_xlfn.XLOOKUP(E48,'⑤项目数-B-a-③消耗明细表'!C:C,'⑤项目数-B-a-③消耗明细表'!E:E,0)</f>
        <v>0</v>
      </c>
      <c r="X48" s="53">
        <f>_xlfn.XLOOKUP(E48,'⑤项目数-B-a-③消耗明细表'!C:C,'⑤项目数-B-a-③消耗明细表'!D:D,0)</f>
        <v>0</v>
      </c>
      <c r="Y48" s="53">
        <f>_xlfn.XLOOKUP(E48,'⑤项目数-B-a-③消耗明细表'!C:C,'⑤项目数-B-a-③消耗明细表'!F:F,0)</f>
        <v>0</v>
      </c>
      <c r="Z48" s="53">
        <f>_xlfn.XLOOKUP(E48,'⑤项目数-B-a-③消耗明细表'!C:C,'⑤项目数-B-a-③消耗明细表'!G:G,0)</f>
        <v>0</v>
      </c>
      <c r="AA48" s="84">
        <f t="shared" si="4"/>
        <v>1</v>
      </c>
      <c r="AB48" s="84">
        <f t="shared" si="5"/>
        <v>0</v>
      </c>
      <c r="AC48" s="53">
        <f>_xlfn.XLOOKUP(F48,'⑥战队统计表-B-a-②呈现-业绩明细表④'!A:A,'⑥战队统计表-B-a-②呈现-业绩明细表④'!B:B,0)</f>
        <v>0</v>
      </c>
      <c r="AD48" s="53">
        <f t="shared" si="11"/>
        <v>1</v>
      </c>
      <c r="AE48" s="59">
        <f>IF(AD48="",_xlfn.XLOOKUP(F48,'⑥战队统计表-B-a-②呈现-业绩明细表④'!A:A,'⑥战队统计表-B-a-②呈现-业绩明细表④'!D:D,0),0)</f>
        <v>0</v>
      </c>
      <c r="AF48" s="85">
        <f>IF(AND(E48="T区",E48="门店T区"),"",IF(AD48="",0,IF(R48="",LOOKUP(S48,'②提成标准-B-a-①-增加'!$B$16:$B$20,'②提成标准-B-a-①-增加'!$D$16:$D$20),LOOKUP(S48/Q48,'②提成标准-B-a-①-增加'!$B$23:$B$27,'②提成标准-B-a-①-增加'!$D$23:$D$27))))</f>
        <v>0</v>
      </c>
      <c r="AG48" s="85">
        <f t="shared" si="6"/>
        <v>0</v>
      </c>
      <c r="AH48" s="60">
        <f t="shared" si="12"/>
        <v>0</v>
      </c>
      <c r="AI48" s="86">
        <f t="shared" si="13"/>
        <v>0</v>
      </c>
      <c r="AJ48" s="60">
        <f t="shared" si="14"/>
        <v>0</v>
      </c>
      <c r="AK48" s="87">
        <f>IF(AB48=1,IFERROR(S48/VLOOKUP(F48,'⑥战队统计表-B-a-②呈现-业绩明细表④'!A:C,3,0),0),0)</f>
        <v>0</v>
      </c>
      <c r="AL48" s="85" t="str">
        <f t="shared" si="7"/>
        <v/>
      </c>
      <c r="AM48" s="53" t="str">
        <f>IF(D48="顾问",_xlfn.XLOOKUP(F48,'⑥战队统计表-B-a-②呈现-业绩明细表④'!A:A,'⑥战队统计表-B-a-②呈现-业绩明细表④'!H:H,0),"")</f>
        <v/>
      </c>
      <c r="AN48" s="53" t="str">
        <f t="shared" si="8"/>
        <v>单人</v>
      </c>
    </row>
    <row r="49" spans="1:40" x14ac:dyDescent="0.15">
      <c r="A49" s="91" t="s">
        <v>428</v>
      </c>
      <c r="B49" s="92" t="s">
        <v>75</v>
      </c>
      <c r="C49" s="99" t="s">
        <v>50</v>
      </c>
      <c r="D49" s="92" t="s">
        <v>6</v>
      </c>
      <c r="E49" s="92" t="s">
        <v>76</v>
      </c>
      <c r="F49" s="53" t="str">
        <f t="shared" si="1"/>
        <v>龙城国际+单人</v>
      </c>
      <c r="G49" s="53" t="str">
        <f>IFERROR(_xlfn.XLOOKUP(B49,'①门店信息-A-a-①-增加'!B:B,'①门店信息-A-a-①-增加'!E:E,0),"")</f>
        <v>新店</v>
      </c>
      <c r="H49" s="54" t="str">
        <f>_xlfn.XLOOKUP(B49,'①门店信息-A-a-①-增加'!B:B,'①门店信息-A-a-①-增加'!F:F,0)</f>
        <v>新店二阶段</v>
      </c>
      <c r="I49" s="55">
        <f>_xlfn.XLOOKUP(E49,'③新店考核-B-a-②呈现-业绩明细表-③'!B:B,'③新店考核-B-a-②呈现-业绩明细表-③'!E:E,0)</f>
        <v>0.33</v>
      </c>
      <c r="J49" s="54">
        <f>_xlfn.XLOOKUP(E49,'③新店考核-B-a-②呈现-业绩明细表-③'!B:B,'③新店考核-B-a-②呈现-业绩明细表-③'!F:F,0)</f>
        <v>4990</v>
      </c>
      <c r="K49" s="55">
        <f>IF(H49="新店一阶段",LOOKUP(I49,'②提成标准-B-a-①-增加'!$M$9:$M$12,'②提成标准-B-a-①-增加'!$O$9:$O$12),0)</f>
        <v>0</v>
      </c>
      <c r="L49" s="56">
        <f t="shared" si="2"/>
        <v>13716</v>
      </c>
      <c r="M49" s="57">
        <f>_xlfn.XLOOKUP(E49,'③新店考核-B-a-②呈现-业绩明细表-③'!B:B,'③新店考核-B-a-②呈现-业绩明细表-③'!G:G,0)</f>
        <v>4</v>
      </c>
      <c r="N49" s="58">
        <f>LOOKUP(M49,'②提成标准-B-a-①-增加'!$M$1:$M$4,'②提成标准-B-a-①-增加'!$O$1:$O$4)</f>
        <v>7.0000000000000007E-2</v>
      </c>
      <c r="O49" s="57">
        <f>_xlfn.XLOOKUP(E49,'③新店考核-B-a-②呈现-业绩明细表-③'!B:B,'③新店考核-B-a-②呈现-业绩明细表-③'!H:H,0)</f>
        <v>5256</v>
      </c>
      <c r="P49" s="57">
        <f t="shared" si="3"/>
        <v>13450</v>
      </c>
      <c r="Q49" s="53">
        <f>_xlfn.XLOOKUP(E49,'④考勤-B-a-26考勤汇总表'!D:D,'④考勤-B-a-26考勤汇总表'!AP:AP,0)</f>
        <v>31</v>
      </c>
      <c r="R49" s="53" t="str">
        <f t="shared" si="9"/>
        <v/>
      </c>
      <c r="S49" s="53">
        <f t="shared" si="10"/>
        <v>41686</v>
      </c>
      <c r="T49" s="95">
        <v>18706</v>
      </c>
      <c r="U49" s="95">
        <v>22980</v>
      </c>
      <c r="V49" s="95">
        <v>0</v>
      </c>
      <c r="W49" s="53">
        <f>_xlfn.XLOOKUP(E49,'⑤项目数-B-a-③消耗明细表'!C:C,'⑤项目数-B-a-③消耗明细表'!E:E,0)</f>
        <v>7072.69</v>
      </c>
      <c r="X49" s="53">
        <f>_xlfn.XLOOKUP(E49,'⑤项目数-B-a-③消耗明细表'!C:C,'⑤项目数-B-a-③消耗明细表'!D:D,0)</f>
        <v>84</v>
      </c>
      <c r="Y49" s="53">
        <f>_xlfn.XLOOKUP(E49,'⑤项目数-B-a-③消耗明细表'!C:C,'⑤项目数-B-a-③消耗明细表'!F:F,0)</f>
        <v>1009</v>
      </c>
      <c r="Z49" s="53">
        <f>_xlfn.XLOOKUP(E49,'⑤项目数-B-a-③消耗明细表'!C:C,'⑤项目数-B-a-③消耗明细表'!G:G,0)</f>
        <v>45</v>
      </c>
      <c r="AA49" s="84" t="str">
        <f t="shared" si="4"/>
        <v>新店</v>
      </c>
      <c r="AB49" s="84">
        <f t="shared" si="5"/>
        <v>0</v>
      </c>
      <c r="AC49" s="53">
        <f>_xlfn.XLOOKUP(F49,'⑥战队统计表-B-a-②呈现-业绩明细表④'!A:A,'⑥战队统计表-B-a-②呈现-业绩明细表④'!B:B,0)</f>
        <v>0</v>
      </c>
      <c r="AD49" s="53">
        <f t="shared" si="11"/>
        <v>1</v>
      </c>
      <c r="AE49" s="59">
        <f>IF(AD49="",_xlfn.XLOOKUP(F49,'⑥战队统计表-B-a-②呈现-业绩明细表④'!A:A,'⑥战队统计表-B-a-②呈现-业绩明细表④'!D:D,0),0)</f>
        <v>0</v>
      </c>
      <c r="AF49" s="85">
        <f>IF(AND(E49="T区",E49="门店T区"),"",IF(AD49="",0,IF(R49="",LOOKUP(S49,'②提成标准-B-a-①-增加'!$B$16:$B$20,'②提成标准-B-a-①-增加'!$D$16:$D$20),LOOKUP(S49/Q49,'②提成标准-B-a-①-增加'!$B$23:$B$27,'②提成标准-B-a-①-增加'!$D$23:$D$27))))</f>
        <v>0.05</v>
      </c>
      <c r="AG49" s="85">
        <f t="shared" si="6"/>
        <v>0.05</v>
      </c>
      <c r="AH49" s="60">
        <f t="shared" si="12"/>
        <v>988.399</v>
      </c>
      <c r="AI49" s="86">
        <f t="shared" si="13"/>
        <v>709.50750000000005</v>
      </c>
      <c r="AJ49" s="60">
        <f t="shared" si="14"/>
        <v>1697.9065000000001</v>
      </c>
      <c r="AK49" s="87">
        <f>IF(AB49=1,IFERROR(S49/VLOOKUP(F49,'⑥战队统计表-B-a-②呈现-业绩明细表④'!A:C,3,0),0),0)</f>
        <v>0</v>
      </c>
      <c r="AL49" s="85" t="str">
        <f t="shared" si="7"/>
        <v/>
      </c>
      <c r="AM49" s="53" t="str">
        <f>IF(D49="顾问",_xlfn.XLOOKUP(F49,'⑥战队统计表-B-a-②呈现-业绩明细表④'!A:A,'⑥战队统计表-B-a-②呈现-业绩明细表④'!H:H,0),"")</f>
        <v/>
      </c>
      <c r="AN49" s="53" t="str">
        <f t="shared" si="8"/>
        <v>单人</v>
      </c>
    </row>
    <row r="50" spans="1:40" x14ac:dyDescent="0.15">
      <c r="A50" s="79" t="s">
        <v>428</v>
      </c>
      <c r="B50" s="80" t="s">
        <v>75</v>
      </c>
      <c r="C50" s="89" t="s">
        <v>50</v>
      </c>
      <c r="D50" s="90" t="s">
        <v>6</v>
      </c>
      <c r="E50" s="90" t="s">
        <v>78</v>
      </c>
      <c r="F50" s="53" t="str">
        <f t="shared" si="1"/>
        <v>龙城国际+单人</v>
      </c>
      <c r="G50" s="53" t="str">
        <f>IFERROR(_xlfn.XLOOKUP(B50,'①门店信息-A-a-①-增加'!B:B,'①门店信息-A-a-①-增加'!E:E,0),"")</f>
        <v>新店</v>
      </c>
      <c r="H50" s="54" t="str">
        <f>_xlfn.XLOOKUP(B50,'①门店信息-A-a-①-增加'!B:B,'①门店信息-A-a-①-增加'!F:F,0)</f>
        <v>新店二阶段</v>
      </c>
      <c r="I50" s="55">
        <f>_xlfn.XLOOKUP(E50,'③新店考核-B-a-②呈现-业绩明细表-③'!B:B,'③新店考核-B-a-②呈现-业绩明细表-③'!E:E,0)</f>
        <v>0</v>
      </c>
      <c r="J50" s="54">
        <f>_xlfn.XLOOKUP(E50,'③新店考核-B-a-②呈现-业绩明细表-③'!B:B,'③新店考核-B-a-②呈现-业绩明细表-③'!F:F,0)</f>
        <v>0</v>
      </c>
      <c r="K50" s="55">
        <f>IF(H50="新店一阶段",LOOKUP(I50,'②提成标准-B-a-①-增加'!$M$9:$M$12,'②提成标准-B-a-①-增加'!$O$9:$O$12),0)</f>
        <v>0</v>
      </c>
      <c r="L50" s="56">
        <f t="shared" si="2"/>
        <v>2500</v>
      </c>
      <c r="M50" s="57">
        <f>_xlfn.XLOOKUP(E50,'③新店考核-B-a-②呈现-业绩明细表-③'!B:B,'③新店考核-B-a-②呈现-业绩明细表-③'!G:G,0)</f>
        <v>0.5</v>
      </c>
      <c r="N50" s="58" t="str">
        <f>LOOKUP(M50,'②提成标准-B-a-①-增加'!$M$1:$M$4,'②提成标准-B-a-①-增加'!$O$1:$O$4)</f>
        <v>同老店</v>
      </c>
      <c r="O50" s="57">
        <f>_xlfn.XLOOKUP(E50,'③新店考核-B-a-②呈现-业绩明细表-③'!B:B,'③新店考核-B-a-②呈现-业绩明细表-③'!H:H,0)</f>
        <v>2500</v>
      </c>
      <c r="P50" s="57">
        <f t="shared" si="3"/>
        <v>0</v>
      </c>
      <c r="Q50" s="53">
        <f>_xlfn.XLOOKUP(E50,'④考勤-B-a-26考勤汇总表'!D:D,'④考勤-B-a-26考勤汇总表'!AP:AP,0)</f>
        <v>10</v>
      </c>
      <c r="R50" s="53" t="str">
        <f t="shared" si="9"/>
        <v>不足月</v>
      </c>
      <c r="S50" s="53">
        <f t="shared" si="10"/>
        <v>2500</v>
      </c>
      <c r="T50" s="53">
        <v>2500</v>
      </c>
      <c r="U50" s="53">
        <v>0</v>
      </c>
      <c r="V50" s="53">
        <v>0</v>
      </c>
      <c r="W50" s="53">
        <f>_xlfn.XLOOKUP(E50,'⑤项目数-B-a-③消耗明细表'!C:C,'⑤项目数-B-a-③消耗明细表'!E:E,0)</f>
        <v>864.77</v>
      </c>
      <c r="X50" s="53">
        <f>_xlfn.XLOOKUP(E50,'⑤项目数-B-a-③消耗明细表'!C:C,'⑤项目数-B-a-③消耗明细表'!D:D,0)</f>
        <v>20</v>
      </c>
      <c r="Y50" s="53">
        <f>_xlfn.XLOOKUP(E50,'⑤项目数-B-a-③消耗明细表'!C:C,'⑤项目数-B-a-③消耗明细表'!F:F,0)</f>
        <v>210</v>
      </c>
      <c r="Z50" s="53">
        <f>_xlfn.XLOOKUP(E50,'⑤项目数-B-a-③消耗明细表'!C:C,'⑤项目数-B-a-③消耗明细表'!G:G,0)</f>
        <v>0</v>
      </c>
      <c r="AA50" s="84" t="str">
        <f t="shared" si="4"/>
        <v>新店</v>
      </c>
      <c r="AB50" s="84">
        <f t="shared" si="5"/>
        <v>0</v>
      </c>
      <c r="AC50" s="53">
        <f>_xlfn.XLOOKUP(F50,'⑥战队统计表-B-a-②呈现-业绩明细表④'!A:A,'⑥战队统计表-B-a-②呈现-业绩明细表④'!B:B,0)</f>
        <v>0</v>
      </c>
      <c r="AD50" s="53">
        <f t="shared" si="11"/>
        <v>1</v>
      </c>
      <c r="AE50" s="59">
        <f>IF(AD50="",_xlfn.XLOOKUP(F50,'⑥战队统计表-B-a-②呈现-业绩明细表④'!A:A,'⑥战队统计表-B-a-②呈现-业绩明细表④'!D:D,0),0)</f>
        <v>0</v>
      </c>
      <c r="AF50" s="85">
        <f>IF(AND(E50="T区",E50="门店T区"),"",IF(AD50="",0,IF(R50="",LOOKUP(S50,'②提成标准-B-a-①-增加'!$B$16:$B$20,'②提成标准-B-a-①-增加'!$D$16:$D$20),LOOKUP(S50/Q50,'②提成标准-B-a-①-增加'!$B$23:$B$27,'②提成标准-B-a-①-增加'!$D$23:$D$27))))</f>
        <v>0</v>
      </c>
      <c r="AG50" s="85">
        <f t="shared" si="6"/>
        <v>0</v>
      </c>
      <c r="AH50" s="60">
        <f t="shared" si="12"/>
        <v>0</v>
      </c>
      <c r="AI50" s="86">
        <f t="shared" si="13"/>
        <v>0</v>
      </c>
      <c r="AJ50" s="60">
        <f t="shared" si="14"/>
        <v>0</v>
      </c>
      <c r="AK50" s="87">
        <f>IF(AB50=1,IFERROR(S50/VLOOKUP(F50,'⑥战队统计表-B-a-②呈现-业绩明细表④'!A:C,3,0),0),0)</f>
        <v>0</v>
      </c>
      <c r="AL50" s="85" t="str">
        <f t="shared" si="7"/>
        <v/>
      </c>
      <c r="AM50" s="53" t="str">
        <f>IF(D50="顾问",_xlfn.XLOOKUP(F50,'⑥战队统计表-B-a-②呈现-业绩明细表④'!A:A,'⑥战队统计表-B-a-②呈现-业绩明细表④'!H:H,0),"")</f>
        <v/>
      </c>
      <c r="AN50" s="53" t="str">
        <f t="shared" si="8"/>
        <v>单人</v>
      </c>
    </row>
    <row r="51" spans="1:40" x14ac:dyDescent="0.15">
      <c r="A51" s="79" t="s">
        <v>428</v>
      </c>
      <c r="B51" s="100" t="s">
        <v>75</v>
      </c>
      <c r="C51" s="81" t="s">
        <v>50</v>
      </c>
      <c r="D51" s="82" t="s">
        <v>6</v>
      </c>
      <c r="E51" s="101" t="s">
        <v>77</v>
      </c>
      <c r="F51" s="53" t="str">
        <f t="shared" si="1"/>
        <v>龙城国际+单人</v>
      </c>
      <c r="G51" s="53" t="str">
        <f>IFERROR(_xlfn.XLOOKUP(B51,'①门店信息-A-a-①-增加'!B:B,'①门店信息-A-a-①-增加'!E:E,0),"")</f>
        <v>新店</v>
      </c>
      <c r="H51" s="54" t="str">
        <f>_xlfn.XLOOKUP(B51,'①门店信息-A-a-①-增加'!B:B,'①门店信息-A-a-①-增加'!F:F,0)</f>
        <v>新店二阶段</v>
      </c>
      <c r="I51" s="55">
        <f>_xlfn.XLOOKUP(E51,'③新店考核-B-a-②呈现-业绩明细表-③'!B:B,'③新店考核-B-a-②呈现-业绩明细表-③'!E:E,0)</f>
        <v>0</v>
      </c>
      <c r="J51" s="54">
        <f>_xlfn.XLOOKUP(E51,'③新店考核-B-a-②呈现-业绩明细表-③'!B:B,'③新店考核-B-a-②呈现-业绩明细表-③'!F:F,0)</f>
        <v>0</v>
      </c>
      <c r="K51" s="55">
        <f>IF(H51="新店一阶段",LOOKUP(I51,'②提成标准-B-a-①-增加'!$M$9:$M$12,'②提成标准-B-a-①-增加'!$O$9:$O$12),0)</f>
        <v>0</v>
      </c>
      <c r="L51" s="56">
        <f t="shared" si="2"/>
        <v>40530.44</v>
      </c>
      <c r="M51" s="57">
        <f>_xlfn.XLOOKUP(E51,'③新店考核-B-a-②呈现-业绩明细表-③'!B:B,'③新店考核-B-a-②呈现-业绩明细表-③'!G:G,0)</f>
        <v>4</v>
      </c>
      <c r="N51" s="58">
        <f>LOOKUP(M51,'②提成标准-B-a-①-增加'!$M$1:$M$4,'②提成标准-B-a-①-增加'!$O$1:$O$4)</f>
        <v>7.0000000000000007E-2</v>
      </c>
      <c r="O51" s="57">
        <f>_xlfn.XLOOKUP(E51,'③新店考核-B-a-②呈现-业绩明细表-③'!B:B,'③新店考核-B-a-②呈现-业绩明细表-③'!H:H,0)</f>
        <v>9844.44</v>
      </c>
      <c r="P51" s="57">
        <f t="shared" si="3"/>
        <v>30686</v>
      </c>
      <c r="Q51" s="53">
        <f>_xlfn.XLOOKUP(E51,'④考勤-B-a-26考勤汇总表'!D:D,'④考勤-B-a-26考勤汇总表'!AP:AP,0)</f>
        <v>31</v>
      </c>
      <c r="R51" s="53" t="str">
        <f t="shared" si="9"/>
        <v/>
      </c>
      <c r="S51" s="53">
        <f t="shared" si="10"/>
        <v>50770.44</v>
      </c>
      <c r="T51" s="53">
        <v>40530.44</v>
      </c>
      <c r="U51" s="53">
        <v>9000</v>
      </c>
      <c r="V51" s="53">
        <v>1240</v>
      </c>
      <c r="W51" s="53">
        <f>_xlfn.XLOOKUP(E51,'⑤项目数-B-a-③消耗明细表'!C:C,'⑤项目数-B-a-③消耗明细表'!E:E,0)</f>
        <v>25992.16</v>
      </c>
      <c r="X51" s="53">
        <f>_xlfn.XLOOKUP(E51,'⑤项目数-B-a-③消耗明细表'!C:C,'⑤项目数-B-a-③消耗明细表'!D:D,0)</f>
        <v>99.5</v>
      </c>
      <c r="Y51" s="53">
        <f>_xlfn.XLOOKUP(E51,'⑤项目数-B-a-③消耗明细表'!C:C,'⑤项目数-B-a-③消耗明细表'!F:F,0)</f>
        <v>1526</v>
      </c>
      <c r="Z51" s="53">
        <f>_xlfn.XLOOKUP(E51,'⑤项目数-B-a-③消耗明细表'!C:C,'⑤项目数-B-a-③消耗明细表'!G:G,0)</f>
        <v>157.5</v>
      </c>
      <c r="AA51" s="84" t="str">
        <f t="shared" si="4"/>
        <v>新店</v>
      </c>
      <c r="AB51" s="84">
        <f t="shared" si="5"/>
        <v>0</v>
      </c>
      <c r="AC51" s="53">
        <f>_xlfn.XLOOKUP(F51,'⑥战队统计表-B-a-②呈现-业绩明细表④'!A:A,'⑥战队统计表-B-a-②呈现-业绩明细表④'!B:B,0)</f>
        <v>0</v>
      </c>
      <c r="AD51" s="53">
        <f t="shared" si="11"/>
        <v>1</v>
      </c>
      <c r="AE51" s="59">
        <f>IF(AD51="",_xlfn.XLOOKUP(F51,'⑥战队统计表-B-a-②呈现-业绩明细表④'!A:A,'⑥战队统计表-B-a-②呈现-业绩明细表④'!D:D,0),0)</f>
        <v>0</v>
      </c>
      <c r="AF51" s="85">
        <f>IF(AND(E51="T区",E51="门店T区"),"",IF(AD51="",0,IF(R51="",LOOKUP(S51,'②提成标准-B-a-①-增加'!$B$16:$B$20,'②提成标准-B-a-①-增加'!$D$16:$D$20),LOOKUP(S51/Q51,'②提成标准-B-a-①-增加'!$B$23:$B$27,'②提成标准-B-a-①-增加'!$D$23:$D$27))))</f>
        <v>0.05</v>
      </c>
      <c r="AG51" s="85">
        <f t="shared" si="6"/>
        <v>0.05</v>
      </c>
      <c r="AH51" s="60">
        <f t="shared" si="12"/>
        <v>2112.24026</v>
      </c>
      <c r="AI51" s="86">
        <f t="shared" si="13"/>
        <v>277.875</v>
      </c>
      <c r="AJ51" s="60">
        <f t="shared" si="14"/>
        <v>2390.11526</v>
      </c>
      <c r="AK51" s="87">
        <f>IF(AB51=1,IFERROR(S51/VLOOKUP(F51,'⑥战队统计表-B-a-②呈现-业绩明细表④'!A:C,3,0),0),0)</f>
        <v>0</v>
      </c>
      <c r="AL51" s="85" t="str">
        <f t="shared" si="7"/>
        <v/>
      </c>
      <c r="AM51" s="53" t="str">
        <f>IF(D51="顾问",_xlfn.XLOOKUP(F51,'⑥战队统计表-B-a-②呈现-业绩明细表④'!A:A,'⑥战队统计表-B-a-②呈现-业绩明细表④'!H:H,0),"")</f>
        <v/>
      </c>
      <c r="AN51" s="53" t="str">
        <f t="shared" si="8"/>
        <v>单人</v>
      </c>
    </row>
    <row r="52" spans="1:40" x14ac:dyDescent="0.15">
      <c r="A52" s="79" t="s">
        <v>428</v>
      </c>
      <c r="B52" s="100" t="s">
        <v>75</v>
      </c>
      <c r="C52" s="81" t="s">
        <v>50</v>
      </c>
      <c r="D52" s="82" t="s">
        <v>6</v>
      </c>
      <c r="E52" s="101" t="s">
        <v>79</v>
      </c>
      <c r="F52" s="53" t="str">
        <f t="shared" si="1"/>
        <v>龙城国际+单人</v>
      </c>
      <c r="G52" s="53" t="str">
        <f>IFERROR(_xlfn.XLOOKUP(B52,'①门店信息-A-a-①-增加'!B:B,'①门店信息-A-a-①-增加'!E:E,0),"")</f>
        <v>新店</v>
      </c>
      <c r="H52" s="54" t="str">
        <f>_xlfn.XLOOKUP(B52,'①门店信息-A-a-①-增加'!B:B,'①门店信息-A-a-①-增加'!F:F,0)</f>
        <v>新店二阶段</v>
      </c>
      <c r="I52" s="55">
        <f>_xlfn.XLOOKUP(E52,'③新店考核-B-a-②呈现-业绩明细表-③'!B:B,'③新店考核-B-a-②呈现-业绩明细表-③'!E:E,0)</f>
        <v>0</v>
      </c>
      <c r="J52" s="54">
        <f>_xlfn.XLOOKUP(E52,'③新店考核-B-a-②呈现-业绩明细表-③'!B:B,'③新店考核-B-a-②呈现-业绩明细表-③'!F:F,0)</f>
        <v>0</v>
      </c>
      <c r="K52" s="55">
        <f>IF(H52="新店一阶段",LOOKUP(I52,'②提成标准-B-a-①-增加'!$M$9:$M$12,'②提成标准-B-a-①-增加'!$O$9:$O$12),0)</f>
        <v>0</v>
      </c>
      <c r="L52" s="56">
        <f t="shared" si="2"/>
        <v>4630</v>
      </c>
      <c r="M52" s="57">
        <f>_xlfn.XLOOKUP(E52,'③新店考核-B-a-②呈现-业绩明细表-③'!B:B,'③新店考核-B-a-②呈现-业绩明细表-③'!G:G,0)</f>
        <v>0.5</v>
      </c>
      <c r="N52" s="58" t="str">
        <f>LOOKUP(M52,'②提成标准-B-a-①-增加'!$M$1:$M$4,'②提成标准-B-a-①-增加'!$O$1:$O$4)</f>
        <v>同老店</v>
      </c>
      <c r="O52" s="57">
        <f>_xlfn.XLOOKUP(E52,'③新店考核-B-a-②呈现-业绩明细表-③'!B:B,'③新店考核-B-a-②呈现-业绩明细表-③'!H:H,0)</f>
        <v>400</v>
      </c>
      <c r="P52" s="57">
        <f t="shared" si="3"/>
        <v>4230</v>
      </c>
      <c r="Q52" s="53">
        <f>_xlfn.XLOOKUP(E52,'④考勤-B-a-26考勤汇总表'!D:D,'④考勤-B-a-26考勤汇总表'!AP:AP,0)</f>
        <v>14</v>
      </c>
      <c r="R52" s="53" t="str">
        <f t="shared" si="9"/>
        <v>不足月</v>
      </c>
      <c r="S52" s="53">
        <f t="shared" si="10"/>
        <v>4940</v>
      </c>
      <c r="T52" s="53">
        <v>4630</v>
      </c>
      <c r="U52" s="53">
        <v>0</v>
      </c>
      <c r="V52" s="53">
        <v>310</v>
      </c>
      <c r="W52" s="53">
        <f>_xlfn.XLOOKUP(E52,'⑤项目数-B-a-③消耗明细表'!C:C,'⑤项目数-B-a-③消耗明细表'!E:E,0)</f>
        <v>7196.53</v>
      </c>
      <c r="X52" s="53">
        <f>_xlfn.XLOOKUP(E52,'⑤项目数-B-a-③消耗明细表'!C:C,'⑤项目数-B-a-③消耗明细表'!D:D,0)</f>
        <v>39</v>
      </c>
      <c r="Y52" s="53">
        <f>_xlfn.XLOOKUP(E52,'⑤项目数-B-a-③消耗明细表'!C:C,'⑤项目数-B-a-③消耗明细表'!F:F,0)</f>
        <v>504.5</v>
      </c>
      <c r="Z52" s="53">
        <f>_xlfn.XLOOKUP(E52,'⑤项目数-B-a-③消耗明细表'!C:C,'⑤项目数-B-a-③消耗明细表'!G:G,0)</f>
        <v>0</v>
      </c>
      <c r="AA52" s="84" t="str">
        <f t="shared" si="4"/>
        <v>新店</v>
      </c>
      <c r="AB52" s="84">
        <f t="shared" si="5"/>
        <v>0</v>
      </c>
      <c r="AC52" s="53">
        <f>_xlfn.XLOOKUP(F52,'⑥战队统计表-B-a-②呈现-业绩明细表④'!A:A,'⑥战队统计表-B-a-②呈现-业绩明细表④'!B:B,0)</f>
        <v>0</v>
      </c>
      <c r="AD52" s="53">
        <f t="shared" si="11"/>
        <v>1</v>
      </c>
      <c r="AE52" s="59">
        <f>IF(AD52="",_xlfn.XLOOKUP(F52,'⑥战队统计表-B-a-②呈现-业绩明细表④'!A:A,'⑥战队统计表-B-a-②呈现-业绩明细表④'!D:D,0),0)</f>
        <v>0</v>
      </c>
      <c r="AF52" s="85">
        <f>IF(AND(E52="T区",E52="门店T区"),"",IF(AD52="",0,IF(R52="",LOOKUP(S52,'②提成标准-B-a-①-增加'!$B$16:$B$20,'②提成标准-B-a-①-增加'!$D$16:$D$20),LOOKUP(S52/Q52,'②提成标准-B-a-①-增加'!$B$23:$B$27,'②提成标准-B-a-①-增加'!$D$23:$D$27))))</f>
        <v>0.03</v>
      </c>
      <c r="AG52" s="85">
        <f t="shared" si="6"/>
        <v>0.03</v>
      </c>
      <c r="AH52" s="60">
        <f t="shared" si="12"/>
        <v>131.95500000000001</v>
      </c>
      <c r="AI52" s="86">
        <f t="shared" si="13"/>
        <v>0</v>
      </c>
      <c r="AJ52" s="60">
        <f t="shared" si="14"/>
        <v>131.95500000000001</v>
      </c>
      <c r="AK52" s="87">
        <f>IF(AB52=1,IFERROR(S52/VLOOKUP(F52,'⑥战队统计表-B-a-②呈现-业绩明细表④'!A:C,3,0),0),0)</f>
        <v>0</v>
      </c>
      <c r="AL52" s="85" t="str">
        <f t="shared" si="7"/>
        <v/>
      </c>
      <c r="AM52" s="53" t="str">
        <f>IF(D52="顾问",_xlfn.XLOOKUP(F52,'⑥战队统计表-B-a-②呈现-业绩明细表④'!A:A,'⑥战队统计表-B-a-②呈现-业绩明细表④'!H:H,0),"")</f>
        <v/>
      </c>
      <c r="AN52" s="53" t="str">
        <f t="shared" si="8"/>
        <v>单人</v>
      </c>
    </row>
    <row r="53" spans="1:40" x14ac:dyDescent="0.15">
      <c r="A53" s="79" t="s">
        <v>428</v>
      </c>
      <c r="B53" s="100" t="s">
        <v>75</v>
      </c>
      <c r="C53" s="81" t="s">
        <v>50</v>
      </c>
      <c r="D53" s="82" t="s">
        <v>6</v>
      </c>
      <c r="E53" s="101" t="s">
        <v>80</v>
      </c>
      <c r="F53" s="53" t="str">
        <f t="shared" si="1"/>
        <v>龙城国际+单人</v>
      </c>
      <c r="G53" s="53" t="str">
        <f>IFERROR(_xlfn.XLOOKUP(B53,'①门店信息-A-a-①-增加'!B:B,'①门店信息-A-a-①-增加'!E:E,0),"")</f>
        <v>新店</v>
      </c>
      <c r="H53" s="54" t="str">
        <f>_xlfn.XLOOKUP(B53,'①门店信息-A-a-①-增加'!B:B,'①门店信息-A-a-①-增加'!F:F,0)</f>
        <v>新店二阶段</v>
      </c>
      <c r="I53" s="55">
        <f>_xlfn.XLOOKUP(E53,'③新店考核-B-a-②呈现-业绩明细表-③'!B:B,'③新店考核-B-a-②呈现-业绩明细表-③'!E:E,0)</f>
        <v>0</v>
      </c>
      <c r="J53" s="54">
        <f>_xlfn.XLOOKUP(E53,'③新店考核-B-a-②呈现-业绩明细表-③'!B:B,'③新店考核-B-a-②呈现-业绩明细表-③'!F:F,0)</f>
        <v>0</v>
      </c>
      <c r="K53" s="55">
        <f>IF(H53="新店一阶段",LOOKUP(I53,'②提成标准-B-a-①-增加'!$M$9:$M$12,'②提成标准-B-a-①-增加'!$O$9:$O$12),0)</f>
        <v>0</v>
      </c>
      <c r="L53" s="56">
        <f t="shared" si="2"/>
        <v>20682.439999999999</v>
      </c>
      <c r="M53" s="57">
        <f>_xlfn.XLOOKUP(E53,'③新店考核-B-a-②呈现-业绩明细表-③'!B:B,'③新店考核-B-a-②呈现-业绩明细表-③'!G:G,0)</f>
        <v>3</v>
      </c>
      <c r="N53" s="58" t="str">
        <f>LOOKUP(M53,'②提成标准-B-a-①-增加'!$M$1:$M$4,'②提成标准-B-a-①-增加'!$O$1:$O$4)</f>
        <v>同老店</v>
      </c>
      <c r="O53" s="57">
        <f>_xlfn.XLOOKUP(E53,'③新店考核-B-a-②呈现-业绩明细表-③'!B:B,'③新店考核-B-a-②呈现-业绩明细表-③'!H:H,0)</f>
        <v>9182.44</v>
      </c>
      <c r="P53" s="57">
        <f t="shared" si="3"/>
        <v>11499.999999999998</v>
      </c>
      <c r="Q53" s="53">
        <f>_xlfn.XLOOKUP(E53,'④考勤-B-a-26考勤汇总表'!D:D,'④考勤-B-a-26考勤汇总表'!AP:AP,0)</f>
        <v>31</v>
      </c>
      <c r="R53" s="53" t="str">
        <f t="shared" si="9"/>
        <v/>
      </c>
      <c r="S53" s="53">
        <f t="shared" si="10"/>
        <v>22190.44</v>
      </c>
      <c r="T53" s="53">
        <v>20682.439999999999</v>
      </c>
      <c r="U53" s="53">
        <v>0</v>
      </c>
      <c r="V53" s="53">
        <v>1508</v>
      </c>
      <c r="W53" s="53">
        <f>_xlfn.XLOOKUP(E53,'⑤项目数-B-a-③消耗明细表'!C:C,'⑤项目数-B-a-③消耗明细表'!E:E,0)</f>
        <v>6857.83</v>
      </c>
      <c r="X53" s="53">
        <f>_xlfn.XLOOKUP(E53,'⑤项目数-B-a-③消耗明细表'!C:C,'⑤项目数-B-a-③消耗明细表'!D:D,0)</f>
        <v>73.5</v>
      </c>
      <c r="Y53" s="53">
        <f>_xlfn.XLOOKUP(E53,'⑤项目数-B-a-③消耗明细表'!C:C,'⑤项目数-B-a-③消耗明细表'!F:F,0)</f>
        <v>971.5</v>
      </c>
      <c r="Z53" s="53">
        <f>_xlfn.XLOOKUP(E53,'⑤项目数-B-a-③消耗明细表'!C:C,'⑤项目数-B-a-③消耗明细表'!G:G,0)</f>
        <v>20</v>
      </c>
      <c r="AA53" s="84" t="str">
        <f t="shared" si="4"/>
        <v>新店</v>
      </c>
      <c r="AB53" s="84">
        <f t="shared" si="5"/>
        <v>0</v>
      </c>
      <c r="AC53" s="53">
        <f>_xlfn.XLOOKUP(F53,'⑥战队统计表-B-a-②呈现-业绩明细表④'!A:A,'⑥战队统计表-B-a-②呈现-业绩明细表④'!B:B,0)</f>
        <v>0</v>
      </c>
      <c r="AD53" s="53">
        <f t="shared" si="11"/>
        <v>1</v>
      </c>
      <c r="AE53" s="59">
        <f>IF(AD53="",_xlfn.XLOOKUP(F53,'⑥战队统计表-B-a-②呈现-业绩明细表④'!A:A,'⑥战队统计表-B-a-②呈现-业绩明细表④'!D:D,0),0)</f>
        <v>0</v>
      </c>
      <c r="AF53" s="85">
        <f>IF(AND(E53="T区",E53="门店T区"),"",IF(AD53="",0,IF(R53="",LOOKUP(S53,'②提成标准-B-a-①-增加'!$B$16:$B$20,'②提成标准-B-a-①-增加'!$D$16:$D$20),LOOKUP(S53/Q53,'②提成标准-B-a-①-增加'!$B$23:$B$27,'②提成标准-B-a-①-增加'!$D$23:$D$27))))</f>
        <v>0.04</v>
      </c>
      <c r="AG53" s="85">
        <f t="shared" si="6"/>
        <v>0.04</v>
      </c>
      <c r="AH53" s="60">
        <f t="shared" si="12"/>
        <v>785.9327199999999</v>
      </c>
      <c r="AI53" s="86">
        <f t="shared" si="13"/>
        <v>0</v>
      </c>
      <c r="AJ53" s="60">
        <f t="shared" si="14"/>
        <v>785.9327199999999</v>
      </c>
      <c r="AK53" s="87">
        <f>IF(AB53=1,IFERROR(S53/VLOOKUP(F53,'⑥战队统计表-B-a-②呈现-业绩明细表④'!A:C,3,0),0),0)</f>
        <v>0</v>
      </c>
      <c r="AL53" s="85" t="str">
        <f t="shared" si="7"/>
        <v/>
      </c>
      <c r="AM53" s="53" t="str">
        <f>IF(D53="顾问",_xlfn.XLOOKUP(F53,'⑥战队统计表-B-a-②呈现-业绩明细表④'!A:A,'⑥战队统计表-B-a-②呈现-业绩明细表④'!H:H,0),"")</f>
        <v/>
      </c>
      <c r="AN53" s="53" t="str">
        <f t="shared" si="8"/>
        <v>单人</v>
      </c>
    </row>
    <row r="54" spans="1:40" x14ac:dyDescent="0.15">
      <c r="A54" s="79" t="s">
        <v>428</v>
      </c>
      <c r="B54" s="100" t="s">
        <v>75</v>
      </c>
      <c r="C54" s="81" t="s">
        <v>50</v>
      </c>
      <c r="D54" s="82" t="s">
        <v>6</v>
      </c>
      <c r="E54" s="101" t="s">
        <v>431</v>
      </c>
      <c r="F54" s="53" t="str">
        <f t="shared" si="1"/>
        <v>龙城国际+单人</v>
      </c>
      <c r="G54" s="53" t="str">
        <f>IFERROR(_xlfn.XLOOKUP(B54,'①门店信息-A-a-①-增加'!B:B,'①门店信息-A-a-①-增加'!E:E,0),"")</f>
        <v>新店</v>
      </c>
      <c r="H54" s="54" t="str">
        <f>_xlfn.XLOOKUP(B54,'①门店信息-A-a-①-增加'!B:B,'①门店信息-A-a-①-增加'!F:F,0)</f>
        <v>新店二阶段</v>
      </c>
      <c r="I54" s="55">
        <f>_xlfn.XLOOKUP(E54,'③新店考核-B-a-②呈现-业绩明细表-③'!B:B,'③新店考核-B-a-②呈现-业绩明细表-③'!E:E,0)</f>
        <v>0</v>
      </c>
      <c r="J54" s="54">
        <f>_xlfn.XLOOKUP(E54,'③新店考核-B-a-②呈现-业绩明细表-③'!B:B,'③新店考核-B-a-②呈现-业绩明细表-③'!F:F,0)</f>
        <v>0</v>
      </c>
      <c r="K54" s="55">
        <f>IF(H54="新店一阶段",LOOKUP(I54,'②提成标准-B-a-①-增加'!$M$9:$M$12,'②提成标准-B-a-①-增加'!$O$9:$O$12),0)</f>
        <v>0</v>
      </c>
      <c r="L54" s="56">
        <f t="shared" si="2"/>
        <v>250</v>
      </c>
      <c r="M54" s="57">
        <f>_xlfn.XLOOKUP(E54,'③新店考核-B-a-②呈现-业绩明细表-③'!B:B,'③新店考核-B-a-②呈现-业绩明细表-③'!G:G,0)</f>
        <v>0</v>
      </c>
      <c r="N54" s="58" t="str">
        <f>LOOKUP(M54,'②提成标准-B-a-①-增加'!$M$1:$M$4,'②提成标准-B-a-①-增加'!$O$1:$O$4)</f>
        <v>同老店</v>
      </c>
      <c r="O54" s="57">
        <f>_xlfn.XLOOKUP(E54,'③新店考核-B-a-②呈现-业绩明细表-③'!B:B,'③新店考核-B-a-②呈现-业绩明细表-③'!H:H,0)</f>
        <v>0</v>
      </c>
      <c r="P54" s="57">
        <f t="shared" si="3"/>
        <v>250</v>
      </c>
      <c r="Q54" s="53">
        <f>_xlfn.XLOOKUP(E54,'④考勤-B-a-26考勤汇总表'!D:D,'④考勤-B-a-26考勤汇总表'!AP:AP,0)</f>
        <v>0</v>
      </c>
      <c r="R54" s="53" t="str">
        <f t="shared" si="9"/>
        <v/>
      </c>
      <c r="S54" s="53">
        <f t="shared" si="10"/>
        <v>560</v>
      </c>
      <c r="T54" s="53">
        <v>250</v>
      </c>
      <c r="U54" s="53">
        <v>0</v>
      </c>
      <c r="V54" s="53">
        <v>310</v>
      </c>
      <c r="W54" s="53">
        <f>_xlfn.XLOOKUP(E54,'⑤项目数-B-a-③消耗明细表'!C:C,'⑤项目数-B-a-③消耗明细表'!E:E,0)</f>
        <v>270.95999999999998</v>
      </c>
      <c r="X54" s="53">
        <f>_xlfn.XLOOKUP(E54,'⑤项目数-B-a-③消耗明细表'!C:C,'⑤项目数-B-a-③消耗明细表'!D:D,0)</f>
        <v>5</v>
      </c>
      <c r="Y54" s="53">
        <f>_xlfn.XLOOKUP(E54,'⑤项目数-B-a-③消耗明细表'!C:C,'⑤项目数-B-a-③消耗明细表'!F:F,0)</f>
        <v>70</v>
      </c>
      <c r="Z54" s="53">
        <f>_xlfn.XLOOKUP(E54,'⑤项目数-B-a-③消耗明细表'!C:C,'⑤项目数-B-a-③消耗明细表'!G:G,0)</f>
        <v>0</v>
      </c>
      <c r="AA54" s="84" t="str">
        <f t="shared" si="4"/>
        <v>新店</v>
      </c>
      <c r="AB54" s="84">
        <f t="shared" si="5"/>
        <v>0</v>
      </c>
      <c r="AC54" s="53">
        <f>_xlfn.XLOOKUP(F54,'⑥战队统计表-B-a-②呈现-业绩明细表④'!A:A,'⑥战队统计表-B-a-②呈现-业绩明细表④'!B:B,0)</f>
        <v>0</v>
      </c>
      <c r="AD54" s="53">
        <f t="shared" si="11"/>
        <v>1</v>
      </c>
      <c r="AE54" s="59">
        <f>IF(AD54="",_xlfn.XLOOKUP(F54,'⑥战队统计表-B-a-②呈现-业绩明细表④'!A:A,'⑥战队统计表-B-a-②呈现-业绩明细表④'!D:D,0),0)</f>
        <v>0</v>
      </c>
      <c r="AF54" s="85">
        <f>IF(AND(E54="T区",E54="门店T区"),"",IF(AD54="",0,IF(R54="",LOOKUP(S54,'②提成标准-B-a-①-增加'!$B$16:$B$20,'②提成标准-B-a-①-增加'!$D$16:$D$20),LOOKUP(S54/Q54,'②提成标准-B-a-①-增加'!$B$23:$B$27,'②提成标准-B-a-①-增加'!$D$23:$D$27))))</f>
        <v>0</v>
      </c>
      <c r="AG54" s="85">
        <f t="shared" si="6"/>
        <v>0</v>
      </c>
      <c r="AH54" s="60">
        <f t="shared" si="12"/>
        <v>0</v>
      </c>
      <c r="AI54" s="86">
        <f t="shared" si="13"/>
        <v>0</v>
      </c>
      <c r="AJ54" s="60">
        <f t="shared" si="14"/>
        <v>0</v>
      </c>
      <c r="AK54" s="87">
        <f>IF(AB54=1,IFERROR(S54/VLOOKUP(F54,'⑥战队统计表-B-a-②呈现-业绩明细表④'!A:C,3,0),0),0)</f>
        <v>0</v>
      </c>
      <c r="AL54" s="85" t="str">
        <f t="shared" si="7"/>
        <v/>
      </c>
      <c r="AM54" s="53" t="str">
        <f>IF(D54="顾问",_xlfn.XLOOKUP(F54,'⑥战队统计表-B-a-②呈现-业绩明细表④'!A:A,'⑥战队统计表-B-a-②呈现-业绩明细表④'!H:H,0),"")</f>
        <v/>
      </c>
      <c r="AN54" s="53" t="str">
        <f t="shared" si="8"/>
        <v>单人</v>
      </c>
    </row>
    <row r="55" spans="1:40" x14ac:dyDescent="0.15">
      <c r="A55" s="79" t="s">
        <v>428</v>
      </c>
      <c r="B55" s="100" t="s">
        <v>75</v>
      </c>
      <c r="C55" s="81" t="s">
        <v>50</v>
      </c>
      <c r="D55" s="82" t="s">
        <v>6</v>
      </c>
      <c r="E55" s="101" t="s">
        <v>432</v>
      </c>
      <c r="F55" s="53" t="str">
        <f t="shared" si="1"/>
        <v>龙城国际+单人</v>
      </c>
      <c r="G55" s="53" t="str">
        <f>IFERROR(_xlfn.XLOOKUP(B55,'①门店信息-A-a-①-增加'!B:B,'①门店信息-A-a-①-增加'!E:E,0),"")</f>
        <v>新店</v>
      </c>
      <c r="H55" s="54" t="str">
        <f>_xlfn.XLOOKUP(B55,'①门店信息-A-a-①-增加'!B:B,'①门店信息-A-a-①-增加'!F:F,0)</f>
        <v>新店二阶段</v>
      </c>
      <c r="I55" s="55">
        <f>_xlfn.XLOOKUP(E55,'③新店考核-B-a-②呈现-业绩明细表-③'!B:B,'③新店考核-B-a-②呈现-业绩明细表-③'!E:E,0)</f>
        <v>0</v>
      </c>
      <c r="J55" s="54">
        <f>_xlfn.XLOOKUP(E55,'③新店考核-B-a-②呈现-业绩明细表-③'!B:B,'③新店考核-B-a-②呈现-业绩明细表-③'!F:F,0)</f>
        <v>0</v>
      </c>
      <c r="K55" s="55">
        <f>IF(H55="新店一阶段",LOOKUP(I55,'②提成标准-B-a-①-增加'!$M$9:$M$12,'②提成标准-B-a-①-增加'!$O$9:$O$12),0)</f>
        <v>0</v>
      </c>
      <c r="L55" s="56">
        <f t="shared" si="2"/>
        <v>600</v>
      </c>
      <c r="M55" s="57">
        <f>_xlfn.XLOOKUP(E55,'③新店考核-B-a-②呈现-业绩明细表-③'!B:B,'③新店考核-B-a-②呈现-业绩明细表-③'!G:G,0)</f>
        <v>0</v>
      </c>
      <c r="N55" s="58" t="str">
        <f>LOOKUP(M55,'②提成标准-B-a-①-增加'!$M$1:$M$4,'②提成标准-B-a-①-增加'!$O$1:$O$4)</f>
        <v>同老店</v>
      </c>
      <c r="O55" s="57">
        <f>_xlfn.XLOOKUP(E55,'③新店考核-B-a-②呈现-业绩明细表-③'!B:B,'③新店考核-B-a-②呈现-业绩明细表-③'!H:H,0)</f>
        <v>0</v>
      </c>
      <c r="P55" s="57">
        <f t="shared" si="3"/>
        <v>600</v>
      </c>
      <c r="Q55" s="53">
        <f>_xlfn.XLOOKUP(E55,'④考勤-B-a-26考勤汇总表'!D:D,'④考勤-B-a-26考勤汇总表'!AP:AP,0)</f>
        <v>10</v>
      </c>
      <c r="R55" s="53" t="str">
        <f t="shared" si="9"/>
        <v>不足月</v>
      </c>
      <c r="S55" s="53">
        <f t="shared" si="10"/>
        <v>600</v>
      </c>
      <c r="T55" s="53">
        <v>600</v>
      </c>
      <c r="U55" s="53">
        <v>0</v>
      </c>
      <c r="V55" s="53">
        <v>0</v>
      </c>
      <c r="W55" s="53">
        <f>_xlfn.XLOOKUP(E55,'⑤项目数-B-a-③消耗明细表'!C:C,'⑤项目数-B-a-③消耗明细表'!E:E,0)</f>
        <v>780.5</v>
      </c>
      <c r="X55" s="53">
        <f>_xlfn.XLOOKUP(E55,'⑤项目数-B-a-③消耗明细表'!C:C,'⑤项目数-B-a-③消耗明细表'!D:D,0)</f>
        <v>16</v>
      </c>
      <c r="Y55" s="53">
        <f>_xlfn.XLOOKUP(E55,'⑤项目数-B-a-③消耗明细表'!C:C,'⑤项目数-B-a-③消耗明细表'!F:F,0)</f>
        <v>211</v>
      </c>
      <c r="Z55" s="53">
        <f>_xlfn.XLOOKUP(E55,'⑤项目数-B-a-③消耗明细表'!C:C,'⑤项目数-B-a-③消耗明细表'!G:G,0)</f>
        <v>0</v>
      </c>
      <c r="AA55" s="84" t="str">
        <f t="shared" si="4"/>
        <v>新店</v>
      </c>
      <c r="AB55" s="84">
        <f t="shared" si="5"/>
        <v>0</v>
      </c>
      <c r="AC55" s="53">
        <f>_xlfn.XLOOKUP(F55,'⑥战队统计表-B-a-②呈现-业绩明细表④'!A:A,'⑥战队统计表-B-a-②呈现-业绩明细表④'!B:B,0)</f>
        <v>0</v>
      </c>
      <c r="AD55" s="53">
        <f t="shared" si="11"/>
        <v>1</v>
      </c>
      <c r="AE55" s="59">
        <f>IF(AD55="",_xlfn.XLOOKUP(F55,'⑥战队统计表-B-a-②呈现-业绩明细表④'!A:A,'⑥战队统计表-B-a-②呈现-业绩明细表④'!D:D,0),0)</f>
        <v>0</v>
      </c>
      <c r="AF55" s="85">
        <f>IF(AND(E55="T区",E55="门店T区"),"",IF(AD55="",0,IF(R55="",LOOKUP(S55,'②提成标准-B-a-①-增加'!$B$16:$B$20,'②提成标准-B-a-①-增加'!$D$16:$D$20),LOOKUP(S55/Q55,'②提成标准-B-a-①-增加'!$B$23:$B$27,'②提成标准-B-a-①-增加'!$D$23:$D$27))))</f>
        <v>0</v>
      </c>
      <c r="AG55" s="85">
        <f t="shared" si="6"/>
        <v>0</v>
      </c>
      <c r="AH55" s="60">
        <f t="shared" si="12"/>
        <v>0</v>
      </c>
      <c r="AI55" s="86">
        <f t="shared" si="13"/>
        <v>0</v>
      </c>
      <c r="AJ55" s="60">
        <f t="shared" si="14"/>
        <v>0</v>
      </c>
      <c r="AK55" s="87">
        <f>IF(AB55=1,IFERROR(S55/VLOOKUP(F55,'⑥战队统计表-B-a-②呈现-业绩明细表④'!A:C,3,0),0),0)</f>
        <v>0</v>
      </c>
      <c r="AL55" s="85" t="str">
        <f t="shared" si="7"/>
        <v/>
      </c>
      <c r="AM55" s="53" t="str">
        <f>IF(D55="顾问",_xlfn.XLOOKUP(F55,'⑥战队统计表-B-a-②呈现-业绩明细表④'!A:A,'⑥战队统计表-B-a-②呈现-业绩明细表④'!H:H,0),"")</f>
        <v/>
      </c>
      <c r="AN55" s="53" t="str">
        <f t="shared" si="8"/>
        <v>单人</v>
      </c>
    </row>
    <row r="56" spans="1:40" x14ac:dyDescent="0.15">
      <c r="A56" s="79" t="s">
        <v>428</v>
      </c>
      <c r="B56" s="100" t="s">
        <v>75</v>
      </c>
      <c r="C56" s="89" t="s">
        <v>40</v>
      </c>
      <c r="D56" s="90" t="s">
        <v>40</v>
      </c>
      <c r="E56" s="88" t="str">
        <f>F56</f>
        <v>龙城国际+门店T区</v>
      </c>
      <c r="F56" s="53" t="str">
        <f t="shared" si="1"/>
        <v>龙城国际+门店T区</v>
      </c>
      <c r="G56" s="53" t="str">
        <f>IFERROR(_xlfn.XLOOKUP(B56,'①门店信息-A-a-①-增加'!B:B,'①门店信息-A-a-①-增加'!E:E,0),"")</f>
        <v>新店</v>
      </c>
      <c r="H56" s="54" t="str">
        <f>_xlfn.XLOOKUP(B56,'①门店信息-A-a-①-增加'!B:B,'①门店信息-A-a-①-增加'!F:F,0)</f>
        <v>新店二阶段</v>
      </c>
      <c r="I56" s="55">
        <f>_xlfn.XLOOKUP(E56,'③新店考核-B-a-②呈现-业绩明细表-③'!B:B,'③新店考核-B-a-②呈现-业绩明细表-③'!E:E,0)</f>
        <v>0</v>
      </c>
      <c r="J56" s="54">
        <f>_xlfn.XLOOKUP(E56,'③新店考核-B-a-②呈现-业绩明细表-③'!B:B,'③新店考核-B-a-②呈现-业绩明细表-③'!F:F,0)</f>
        <v>0</v>
      </c>
      <c r="K56" s="55">
        <f>IF(H56="新店一阶段",LOOKUP(I56,'②提成标准-B-a-①-增加'!$M$9:$M$12,'②提成标准-B-a-①-增加'!$O$9:$O$12),0)</f>
        <v>0</v>
      </c>
      <c r="L56" s="56">
        <f t="shared" si="2"/>
        <v>10088</v>
      </c>
      <c r="M56" s="57">
        <f>_xlfn.XLOOKUP(E56,'③新店考核-B-a-②呈现-业绩明细表-③'!B:B,'③新店考核-B-a-②呈现-业绩明细表-③'!G:G,0)</f>
        <v>0</v>
      </c>
      <c r="N56" s="58" t="str">
        <f>LOOKUP(M56,'②提成标准-B-a-①-增加'!$M$1:$M$4,'②提成标准-B-a-①-增加'!$O$1:$O$4)</f>
        <v>同老店</v>
      </c>
      <c r="O56" s="57">
        <f>_xlfn.XLOOKUP(E56,'③新店考核-B-a-②呈现-业绩明细表-③'!B:B,'③新店考核-B-a-②呈现-业绩明细表-③'!H:H,0)</f>
        <v>0</v>
      </c>
      <c r="P56" s="57">
        <f t="shared" si="3"/>
        <v>10088</v>
      </c>
      <c r="Q56" s="53">
        <f>_xlfn.XLOOKUP(E56,'④考勤-B-a-26考勤汇总表'!D:D,'④考勤-B-a-26考勤汇总表'!AP:AP,0)</f>
        <v>0</v>
      </c>
      <c r="R56" s="53" t="str">
        <f t="shared" si="9"/>
        <v/>
      </c>
      <c r="S56" s="53">
        <f t="shared" si="10"/>
        <v>10088</v>
      </c>
      <c r="T56" s="53">
        <v>10088</v>
      </c>
      <c r="U56" s="53">
        <v>0</v>
      </c>
      <c r="V56" s="53">
        <v>0</v>
      </c>
      <c r="W56" s="53">
        <f>_xlfn.XLOOKUP(E56,'⑤项目数-B-a-③消耗明细表'!C:C,'⑤项目数-B-a-③消耗明细表'!E:E,0)</f>
        <v>0</v>
      </c>
      <c r="X56" s="53">
        <f>_xlfn.XLOOKUP(E56,'⑤项目数-B-a-③消耗明细表'!C:C,'⑤项目数-B-a-③消耗明细表'!D:D,0)</f>
        <v>0</v>
      </c>
      <c r="Y56" s="53">
        <f>_xlfn.XLOOKUP(E56,'⑤项目数-B-a-③消耗明细表'!C:C,'⑤项目数-B-a-③消耗明细表'!F:F,0)</f>
        <v>0</v>
      </c>
      <c r="Z56" s="53">
        <f>_xlfn.XLOOKUP(E56,'⑤项目数-B-a-③消耗明细表'!C:C,'⑤项目数-B-a-③消耗明细表'!G:G,0)</f>
        <v>0</v>
      </c>
      <c r="AA56" s="84" t="str">
        <f t="shared" si="4"/>
        <v>新店</v>
      </c>
      <c r="AB56" s="84">
        <f t="shared" si="5"/>
        <v>0</v>
      </c>
      <c r="AC56" s="53">
        <f>_xlfn.XLOOKUP(F56,'⑥战队统计表-B-a-②呈现-业绩明细表④'!A:A,'⑥战队统计表-B-a-②呈现-业绩明细表④'!B:B,0)</f>
        <v>0</v>
      </c>
      <c r="AD56" s="53">
        <f t="shared" si="11"/>
        <v>1</v>
      </c>
      <c r="AE56" s="59">
        <f>IF(AD56="",_xlfn.XLOOKUP(F56,'⑥战队统计表-B-a-②呈现-业绩明细表④'!A:A,'⑥战队统计表-B-a-②呈现-业绩明细表④'!D:D,0),0)</f>
        <v>0</v>
      </c>
      <c r="AF56" s="85">
        <f>IF(AND(E56="T区",E56="门店T区"),"",IF(AD56="",0,IF(R56="",LOOKUP(S56,'②提成标准-B-a-①-增加'!$B$16:$B$20,'②提成标准-B-a-①-增加'!$D$16:$D$20),LOOKUP(S56/Q56,'②提成标准-B-a-①-增加'!$B$23:$B$27,'②提成标准-B-a-①-增加'!$D$23:$D$27))))</f>
        <v>0.03</v>
      </c>
      <c r="AG56" s="85">
        <f t="shared" si="6"/>
        <v>0.03</v>
      </c>
      <c r="AH56" s="60">
        <f t="shared" si="12"/>
        <v>0</v>
      </c>
      <c r="AI56" s="86">
        <f t="shared" si="13"/>
        <v>0</v>
      </c>
      <c r="AJ56" s="60">
        <f t="shared" si="14"/>
        <v>0</v>
      </c>
      <c r="AK56" s="87">
        <f>IF(AB56=1,IFERROR(S56/VLOOKUP(F56,'⑥战队统计表-B-a-②呈现-业绩明细表④'!A:C,3,0),0),0)</f>
        <v>0</v>
      </c>
      <c r="AL56" s="85" t="str">
        <f t="shared" si="7"/>
        <v/>
      </c>
      <c r="AM56" s="53" t="str">
        <f>IF(D56="顾问",_xlfn.XLOOKUP(F56,'⑥战队统计表-B-a-②呈现-业绩明细表④'!A:A,'⑥战队统计表-B-a-②呈现-业绩明细表④'!H:H,0),"")</f>
        <v/>
      </c>
      <c r="AN56" s="53" t="str">
        <f t="shared" si="8"/>
        <v>单人</v>
      </c>
    </row>
    <row r="57" spans="1:40" hidden="1" x14ac:dyDescent="0.15">
      <c r="A57" s="79" t="s">
        <v>428</v>
      </c>
      <c r="B57" s="102" t="s">
        <v>81</v>
      </c>
      <c r="C57" s="103" t="s">
        <v>82</v>
      </c>
      <c r="D57" s="82" t="s">
        <v>32</v>
      </c>
      <c r="E57" s="104" t="s">
        <v>83</v>
      </c>
      <c r="F57" s="53" t="str">
        <f t="shared" si="1"/>
        <v>优品道+梦想队</v>
      </c>
      <c r="G57" s="53">
        <f>IFERROR(_xlfn.XLOOKUP(B57,'①门店信息-A-a-①-增加'!B:B,'①门店信息-A-a-①-增加'!E:E,0),"")</f>
        <v>0</v>
      </c>
      <c r="H57" s="54">
        <f>_xlfn.XLOOKUP(B57,'①门店信息-A-a-①-增加'!B:B,'①门店信息-A-a-①-增加'!F:F,0)</f>
        <v>0</v>
      </c>
      <c r="I57" s="55">
        <f>_xlfn.XLOOKUP(E57,'③新店考核-B-a-②呈现-业绩明细表-③'!B:B,'③新店考核-B-a-②呈现-业绩明细表-③'!E:E,0)</f>
        <v>0</v>
      </c>
      <c r="J57" s="54">
        <f>_xlfn.XLOOKUP(E57,'③新店考核-B-a-②呈现-业绩明细表-③'!B:B,'③新店考核-B-a-②呈现-业绩明细表-③'!F:F,0)</f>
        <v>0</v>
      </c>
      <c r="K57" s="55">
        <f>IF(H57="新店一阶段",LOOKUP(I57,'②提成标准-B-a-①-增加'!$M$9:$M$12,'②提成标准-B-a-①-增加'!$O$9:$O$12),0)</f>
        <v>0</v>
      </c>
      <c r="L57" s="56">
        <f t="shared" si="2"/>
        <v>45888.9</v>
      </c>
      <c r="M57" s="57">
        <f>_xlfn.XLOOKUP(E57,'③新店考核-B-a-②呈现-业绩明细表-③'!B:B,'③新店考核-B-a-②呈现-业绩明细表-③'!G:G,0)</f>
        <v>0</v>
      </c>
      <c r="N57" s="58" t="str">
        <f>LOOKUP(M57,'②提成标准-B-a-①-增加'!$M$1:$M$4,'②提成标准-B-a-①-增加'!$O$1:$O$4)</f>
        <v>同老店</v>
      </c>
      <c r="O57" s="57">
        <f>_xlfn.XLOOKUP(E57,'③新店考核-B-a-②呈现-业绩明细表-③'!B:B,'③新店考核-B-a-②呈现-业绩明细表-③'!H:H,0)</f>
        <v>0</v>
      </c>
      <c r="P57" s="57">
        <f t="shared" si="3"/>
        <v>45888.9</v>
      </c>
      <c r="Q57" s="53">
        <f>_xlfn.XLOOKUP(E57,'④考勤-B-a-26考勤汇总表'!D:D,'④考勤-B-a-26考勤汇总表'!AP:AP,0)</f>
        <v>31</v>
      </c>
      <c r="R57" s="53" t="str">
        <f t="shared" si="9"/>
        <v/>
      </c>
      <c r="S57" s="53">
        <f t="shared" si="10"/>
        <v>48088.9</v>
      </c>
      <c r="T57" s="53">
        <v>45888.9</v>
      </c>
      <c r="U57" s="53">
        <v>1000</v>
      </c>
      <c r="V57" s="53">
        <v>1200</v>
      </c>
      <c r="W57" s="53">
        <f>_xlfn.XLOOKUP(E57,'⑤项目数-B-a-③消耗明细表'!C:C,'⑤项目数-B-a-③消耗明细表'!E:E,0)</f>
        <v>36278.51</v>
      </c>
      <c r="X57" s="53">
        <f>_xlfn.XLOOKUP(E57,'⑤项目数-B-a-③消耗明细表'!C:C,'⑤项目数-B-a-③消耗明细表'!D:D,0)</f>
        <v>136</v>
      </c>
      <c r="Y57" s="53">
        <f>_xlfn.XLOOKUP(E57,'⑤项目数-B-a-③消耗明细表'!C:C,'⑤项目数-B-a-③消耗明细表'!F:F,0)</f>
        <v>1730</v>
      </c>
      <c r="Z57" s="53">
        <f>_xlfn.XLOOKUP(E57,'⑤项目数-B-a-③消耗明细表'!C:C,'⑤项目数-B-a-③消耗明细表'!G:G,0)</f>
        <v>220</v>
      </c>
      <c r="AA57" s="84">
        <f t="shared" si="4"/>
        <v>1</v>
      </c>
      <c r="AB57" s="84">
        <f t="shared" si="5"/>
        <v>1</v>
      </c>
      <c r="AC57" s="53">
        <f>_xlfn.XLOOKUP(F57,'⑥战队统计表-B-a-②呈现-业绩明细表④'!A:A,'⑥战队统计表-B-a-②呈现-业绩明细表④'!B:B,0)</f>
        <v>3</v>
      </c>
      <c r="AD57" s="53" t="str">
        <f t="shared" si="11"/>
        <v/>
      </c>
      <c r="AE57" s="59">
        <f>IF(AD57="",_xlfn.XLOOKUP(F57,'⑥战队统计表-B-a-②呈现-业绩明细表④'!A:A,'⑥战队统计表-B-a-②呈现-业绩明细表④'!D:D,0),0)</f>
        <v>0.04</v>
      </c>
      <c r="AF57" s="85">
        <f>IF(AND(E57="T区",E57="门店T区"),"",IF(AD57="",0,IF(R57="",LOOKUP(S57,'②提成标准-B-a-①-增加'!$B$16:$B$20,'②提成标准-B-a-①-增加'!$D$16:$D$20),LOOKUP(S57/Q57,'②提成标准-B-a-①-增加'!$B$23:$B$27,'②提成标准-B-a-①-增加'!$D$23:$D$27))))</f>
        <v>0</v>
      </c>
      <c r="AG57" s="85">
        <f t="shared" si="6"/>
        <v>0.04</v>
      </c>
      <c r="AH57" s="60">
        <f t="shared" si="12"/>
        <v>1743.7782</v>
      </c>
      <c r="AI57" s="86">
        <f t="shared" si="13"/>
        <v>24.7</v>
      </c>
      <c r="AJ57" s="60">
        <f t="shared" si="14"/>
        <v>1768.4782</v>
      </c>
      <c r="AK57" s="87">
        <f>IF(AB57=1,IFERROR(S57/VLOOKUP(F57,'⑥战队统计表-B-a-②呈现-业绩明细表④'!A:C,3,0),0),0)</f>
        <v>0.69267510648196839</v>
      </c>
      <c r="AL57" s="85">
        <f t="shared" si="7"/>
        <v>0.30732489351803172</v>
      </c>
      <c r="AM57" s="53">
        <f>IF(D57="顾问",_xlfn.XLOOKUP(F57,'⑥战队统计表-B-a-②呈现-业绩明细表④'!A:A,'⑥战队统计表-B-a-②呈现-业绩明细表④'!H:H,0),"")</f>
        <v>0</v>
      </c>
      <c r="AN57" s="53" t="str">
        <f t="shared" si="8"/>
        <v>优品道+梦想队</v>
      </c>
    </row>
    <row r="58" spans="1:40" hidden="1" x14ac:dyDescent="0.15">
      <c r="A58" s="79" t="s">
        <v>428</v>
      </c>
      <c r="B58" s="102" t="s">
        <v>81</v>
      </c>
      <c r="C58" s="103" t="s">
        <v>82</v>
      </c>
      <c r="D58" s="82" t="s">
        <v>6</v>
      </c>
      <c r="E58" s="101" t="s">
        <v>84</v>
      </c>
      <c r="F58" s="53" t="str">
        <f t="shared" si="1"/>
        <v>优品道+梦想队</v>
      </c>
      <c r="G58" s="53">
        <f>IFERROR(_xlfn.XLOOKUP(B58,'①门店信息-A-a-①-增加'!B:B,'①门店信息-A-a-①-增加'!E:E,0),"")</f>
        <v>0</v>
      </c>
      <c r="H58" s="54">
        <f>_xlfn.XLOOKUP(B58,'①门店信息-A-a-①-增加'!B:B,'①门店信息-A-a-①-增加'!F:F,0)</f>
        <v>0</v>
      </c>
      <c r="I58" s="55">
        <f>_xlfn.XLOOKUP(E58,'③新店考核-B-a-②呈现-业绩明细表-③'!B:B,'③新店考核-B-a-②呈现-业绩明细表-③'!E:E,0)</f>
        <v>0</v>
      </c>
      <c r="J58" s="54">
        <f>_xlfn.XLOOKUP(E58,'③新店考核-B-a-②呈现-业绩明细表-③'!B:B,'③新店考核-B-a-②呈现-业绩明细表-③'!F:F,0)</f>
        <v>0</v>
      </c>
      <c r="K58" s="55">
        <f>IF(H58="新店一阶段",LOOKUP(I58,'②提成标准-B-a-①-增加'!$M$9:$M$12,'②提成标准-B-a-①-增加'!$O$9:$O$12),0)</f>
        <v>0</v>
      </c>
      <c r="L58" s="56">
        <f t="shared" si="2"/>
        <v>15746</v>
      </c>
      <c r="M58" s="57">
        <f>_xlfn.XLOOKUP(E58,'③新店考核-B-a-②呈现-业绩明细表-③'!B:B,'③新店考核-B-a-②呈现-业绩明细表-③'!G:G,0)</f>
        <v>0</v>
      </c>
      <c r="N58" s="58" t="str">
        <f>LOOKUP(M58,'②提成标准-B-a-①-增加'!$M$1:$M$4,'②提成标准-B-a-①-增加'!$O$1:$O$4)</f>
        <v>同老店</v>
      </c>
      <c r="O58" s="57">
        <f>_xlfn.XLOOKUP(E58,'③新店考核-B-a-②呈现-业绩明细表-③'!B:B,'③新店考核-B-a-②呈现-业绩明细表-③'!H:H,0)</f>
        <v>0</v>
      </c>
      <c r="P58" s="57">
        <f t="shared" si="3"/>
        <v>15746</v>
      </c>
      <c r="Q58" s="53">
        <f>_xlfn.XLOOKUP(E58,'④考勤-B-a-26考勤汇总表'!D:D,'④考勤-B-a-26考勤汇总表'!AP:AP,0)</f>
        <v>31</v>
      </c>
      <c r="R58" s="53" t="str">
        <f t="shared" si="9"/>
        <v/>
      </c>
      <c r="S58" s="53">
        <f t="shared" si="10"/>
        <v>16834</v>
      </c>
      <c r="T58" s="53">
        <v>15746</v>
      </c>
      <c r="U58" s="53">
        <v>0</v>
      </c>
      <c r="V58" s="53">
        <v>1088</v>
      </c>
      <c r="W58" s="53">
        <f>_xlfn.XLOOKUP(E58,'⑤项目数-B-a-③消耗明细表'!C:C,'⑤项目数-B-a-③消耗明细表'!E:E,0)</f>
        <v>19040.330000000002</v>
      </c>
      <c r="X58" s="53">
        <f>_xlfn.XLOOKUP(E58,'⑤项目数-B-a-③消耗明细表'!C:C,'⑤项目数-B-a-③消耗明细表'!D:D,0)</f>
        <v>118</v>
      </c>
      <c r="Y58" s="53">
        <f>_xlfn.XLOOKUP(E58,'⑤项目数-B-a-③消耗明细表'!C:C,'⑤项目数-B-a-③消耗明细表'!F:F,0)</f>
        <v>1637</v>
      </c>
      <c r="Z58" s="53">
        <f>_xlfn.XLOOKUP(E58,'⑤项目数-B-a-③消耗明细表'!C:C,'⑤项目数-B-a-③消耗明细表'!G:G,0)</f>
        <v>195</v>
      </c>
      <c r="AA58" s="84">
        <f t="shared" si="4"/>
        <v>1</v>
      </c>
      <c r="AB58" s="84">
        <f t="shared" si="5"/>
        <v>1</v>
      </c>
      <c r="AC58" s="53">
        <f>_xlfn.XLOOKUP(F58,'⑥战队统计表-B-a-②呈现-业绩明细表④'!A:A,'⑥战队统计表-B-a-②呈现-业绩明细表④'!B:B,0)</f>
        <v>3</v>
      </c>
      <c r="AD58" s="53" t="str">
        <f t="shared" si="11"/>
        <v/>
      </c>
      <c r="AE58" s="59">
        <f>IF(AD58="",_xlfn.XLOOKUP(F58,'⑥战队统计表-B-a-②呈现-业绩明细表④'!A:A,'⑥战队统计表-B-a-②呈现-业绩明细表④'!D:D,0),0)</f>
        <v>0.04</v>
      </c>
      <c r="AF58" s="85">
        <f>IF(AND(E58="T区",E58="门店T区"),"",IF(AD58="",0,IF(R58="",LOOKUP(S58,'②提成标准-B-a-①-增加'!$B$16:$B$20,'②提成标准-B-a-①-增加'!$D$16:$D$20),LOOKUP(S58/Q58,'②提成标准-B-a-①-增加'!$B$23:$B$27,'②提成标准-B-a-①-增加'!$D$23:$D$27))))</f>
        <v>0</v>
      </c>
      <c r="AG58" s="85">
        <f t="shared" si="6"/>
        <v>0.04</v>
      </c>
      <c r="AH58" s="60">
        <f t="shared" si="12"/>
        <v>598.34799999999996</v>
      </c>
      <c r="AI58" s="86">
        <f t="shared" si="13"/>
        <v>0</v>
      </c>
      <c r="AJ58" s="60">
        <f t="shared" si="14"/>
        <v>598.34799999999996</v>
      </c>
      <c r="AK58" s="87">
        <f>IF(AB58=1,IFERROR(S58/VLOOKUP(F58,'⑥战队统计表-B-a-②呈现-业绩明细表④'!A:C,3,0),0),0)</f>
        <v>0.24247784296412384</v>
      </c>
      <c r="AL58" s="85" t="str">
        <f t="shared" si="7"/>
        <v/>
      </c>
      <c r="AM58" s="53" t="str">
        <f>IF(D58="顾问",_xlfn.XLOOKUP(F58,'⑥战队统计表-B-a-②呈现-业绩明细表④'!A:A,'⑥战队统计表-B-a-②呈现-业绩明细表④'!H:H,0),"")</f>
        <v/>
      </c>
      <c r="AN58" s="53" t="str">
        <f t="shared" si="8"/>
        <v>优品道+梦想队</v>
      </c>
    </row>
    <row r="59" spans="1:40" hidden="1" x14ac:dyDescent="0.15">
      <c r="A59" s="79" t="s">
        <v>428</v>
      </c>
      <c r="B59" s="102" t="s">
        <v>81</v>
      </c>
      <c r="C59" s="103" t="s">
        <v>82</v>
      </c>
      <c r="D59" s="82" t="s">
        <v>6</v>
      </c>
      <c r="E59" s="82" t="s">
        <v>85</v>
      </c>
      <c r="F59" s="53" t="str">
        <f t="shared" si="1"/>
        <v>优品道+梦想队</v>
      </c>
      <c r="G59" s="53">
        <f>IFERROR(_xlfn.XLOOKUP(B59,'①门店信息-A-a-①-增加'!B:B,'①门店信息-A-a-①-增加'!E:E,0),"")</f>
        <v>0</v>
      </c>
      <c r="H59" s="54">
        <f>_xlfn.XLOOKUP(B59,'①门店信息-A-a-①-增加'!B:B,'①门店信息-A-a-①-增加'!F:F,0)</f>
        <v>0</v>
      </c>
      <c r="I59" s="55">
        <f>_xlfn.XLOOKUP(E59,'③新店考核-B-a-②呈现-业绩明细表-③'!B:B,'③新店考核-B-a-②呈现-业绩明细表-③'!E:E,0)</f>
        <v>0</v>
      </c>
      <c r="J59" s="54">
        <f>_xlfn.XLOOKUP(E59,'③新店考核-B-a-②呈现-业绩明细表-③'!B:B,'③新店考核-B-a-②呈现-业绩明细表-③'!F:F,0)</f>
        <v>0</v>
      </c>
      <c r="K59" s="55">
        <f>IF(H59="新店一阶段",LOOKUP(I59,'②提成标准-B-a-①-增加'!$M$9:$M$12,'②提成标准-B-a-①-增加'!$O$9:$O$12),0)</f>
        <v>0</v>
      </c>
      <c r="L59" s="56">
        <f t="shared" si="2"/>
        <v>4502</v>
      </c>
      <c r="M59" s="57">
        <f>_xlfn.XLOOKUP(E59,'③新店考核-B-a-②呈现-业绩明细表-③'!B:B,'③新店考核-B-a-②呈现-业绩明细表-③'!G:G,0)</f>
        <v>0</v>
      </c>
      <c r="N59" s="58" t="str">
        <f>LOOKUP(M59,'②提成标准-B-a-①-增加'!$M$1:$M$4,'②提成标准-B-a-①-增加'!$O$1:$O$4)</f>
        <v>同老店</v>
      </c>
      <c r="O59" s="57">
        <f>_xlfn.XLOOKUP(E59,'③新店考核-B-a-②呈现-业绩明细表-③'!B:B,'③新店考核-B-a-②呈现-业绩明细表-③'!H:H,0)</f>
        <v>0</v>
      </c>
      <c r="P59" s="57">
        <f t="shared" si="3"/>
        <v>4502</v>
      </c>
      <c r="Q59" s="53">
        <f>_xlfn.XLOOKUP(E59,'④考勤-B-a-26考勤汇总表'!D:D,'④考勤-B-a-26考勤汇总表'!AP:AP,0)</f>
        <v>31</v>
      </c>
      <c r="R59" s="53" t="str">
        <f t="shared" si="9"/>
        <v/>
      </c>
      <c r="S59" s="53">
        <f t="shared" si="10"/>
        <v>4502</v>
      </c>
      <c r="T59" s="53">
        <v>4502</v>
      </c>
      <c r="U59" s="53">
        <v>0</v>
      </c>
      <c r="V59" s="53">
        <v>0</v>
      </c>
      <c r="W59" s="53">
        <f>_xlfn.XLOOKUP(E59,'⑤项目数-B-a-③消耗明细表'!C:C,'⑤项目数-B-a-③消耗明细表'!E:E,0)</f>
        <v>6417.83</v>
      </c>
      <c r="X59" s="53">
        <f>_xlfn.XLOOKUP(E59,'⑤项目数-B-a-③消耗明细表'!C:C,'⑤项目数-B-a-③消耗明细表'!D:D,0)</f>
        <v>102</v>
      </c>
      <c r="Y59" s="53">
        <f>_xlfn.XLOOKUP(E59,'⑤项目数-B-a-③消耗明细表'!C:C,'⑤项目数-B-a-③消耗明细表'!F:F,0)</f>
        <v>1229</v>
      </c>
      <c r="Z59" s="53">
        <f>_xlfn.XLOOKUP(E59,'⑤项目数-B-a-③消耗明细表'!C:C,'⑤项目数-B-a-③消耗明细表'!G:G,0)</f>
        <v>0</v>
      </c>
      <c r="AA59" s="84">
        <f t="shared" si="4"/>
        <v>1</v>
      </c>
      <c r="AB59" s="84">
        <f t="shared" si="5"/>
        <v>1</v>
      </c>
      <c r="AC59" s="53">
        <f>_xlfn.XLOOKUP(F59,'⑥战队统计表-B-a-②呈现-业绩明细表④'!A:A,'⑥战队统计表-B-a-②呈现-业绩明细表④'!B:B,0)</f>
        <v>3</v>
      </c>
      <c r="AD59" s="53" t="str">
        <f t="shared" si="11"/>
        <v/>
      </c>
      <c r="AE59" s="59">
        <f>IF(AD59="",_xlfn.XLOOKUP(F59,'⑥战队统计表-B-a-②呈现-业绩明细表④'!A:A,'⑥战队统计表-B-a-②呈现-业绩明细表④'!D:D,0),0)</f>
        <v>0.04</v>
      </c>
      <c r="AF59" s="85">
        <f>IF(AND(E59="T区",E59="门店T区"),"",IF(AD59="",0,IF(R59="",LOOKUP(S59,'②提成标准-B-a-①-增加'!$B$16:$B$20,'②提成标准-B-a-①-增加'!$D$16:$D$20),LOOKUP(S59/Q59,'②提成标准-B-a-①-增加'!$B$23:$B$27,'②提成标准-B-a-①-增加'!$D$23:$D$27))))</f>
        <v>0</v>
      </c>
      <c r="AG59" s="85">
        <f t="shared" si="6"/>
        <v>0.04</v>
      </c>
      <c r="AH59" s="60">
        <f t="shared" si="12"/>
        <v>171.07599999999999</v>
      </c>
      <c r="AI59" s="86">
        <f t="shared" si="13"/>
        <v>0</v>
      </c>
      <c r="AJ59" s="60">
        <f t="shared" si="14"/>
        <v>171.07599999999999</v>
      </c>
      <c r="AK59" s="87">
        <f>IF(AB59=1,IFERROR(S59/VLOOKUP(F59,'⑥战队统计表-B-a-②呈现-业绩明细表④'!A:C,3,0),0),0)</f>
        <v>6.4847050553907895E-2</v>
      </c>
      <c r="AL59" s="85" t="str">
        <f t="shared" si="7"/>
        <v/>
      </c>
      <c r="AM59" s="53" t="str">
        <f>IF(D59="顾问",_xlfn.XLOOKUP(F59,'⑥战队统计表-B-a-②呈现-业绩明细表④'!A:A,'⑥战队统计表-B-a-②呈现-业绩明细表④'!H:H,0),"")</f>
        <v/>
      </c>
      <c r="AN59" s="53" t="str">
        <f t="shared" si="8"/>
        <v>优品道+梦想队</v>
      </c>
    </row>
    <row r="60" spans="1:40" hidden="1" x14ac:dyDescent="0.15">
      <c r="A60" s="79" t="s">
        <v>428</v>
      </c>
      <c r="B60" s="102" t="s">
        <v>81</v>
      </c>
      <c r="C60" s="81" t="s">
        <v>36</v>
      </c>
      <c r="D60" s="82" t="s">
        <v>36</v>
      </c>
      <c r="E60" s="82" t="s">
        <v>36</v>
      </c>
      <c r="F60" s="53" t="str">
        <f t="shared" si="1"/>
        <v>优品道+T区</v>
      </c>
      <c r="G60" s="53">
        <f>IFERROR(_xlfn.XLOOKUP(B60,'①门店信息-A-a-①-增加'!B:B,'①门店信息-A-a-①-增加'!E:E,0),"")</f>
        <v>0</v>
      </c>
      <c r="H60" s="54">
        <f>_xlfn.XLOOKUP(B60,'①门店信息-A-a-①-增加'!B:B,'①门店信息-A-a-①-增加'!F:F,0)</f>
        <v>0</v>
      </c>
      <c r="I60" s="55">
        <f>_xlfn.XLOOKUP(E60,'③新店考核-B-a-②呈现-业绩明细表-③'!B:B,'③新店考核-B-a-②呈现-业绩明细表-③'!E:E,0)</f>
        <v>0</v>
      </c>
      <c r="J60" s="54">
        <f>_xlfn.XLOOKUP(E60,'③新店考核-B-a-②呈现-业绩明细表-③'!B:B,'③新店考核-B-a-②呈现-业绩明细表-③'!F:F,0)</f>
        <v>0</v>
      </c>
      <c r="K60" s="55">
        <f>IF(H60="新店一阶段",LOOKUP(I60,'②提成标准-B-a-①-增加'!$M$9:$M$12,'②提成标准-B-a-①-增加'!$O$9:$O$12),0)</f>
        <v>0</v>
      </c>
      <c r="L60" s="56">
        <f t="shared" si="2"/>
        <v>0</v>
      </c>
      <c r="M60" s="57">
        <f>_xlfn.XLOOKUP(E60,'③新店考核-B-a-②呈现-业绩明细表-③'!B:B,'③新店考核-B-a-②呈现-业绩明细表-③'!G:G,0)</f>
        <v>0</v>
      </c>
      <c r="N60" s="58" t="str">
        <f>LOOKUP(M60,'②提成标准-B-a-①-增加'!$M$1:$M$4,'②提成标准-B-a-①-增加'!$O$1:$O$4)</f>
        <v>同老店</v>
      </c>
      <c r="O60" s="57">
        <f>_xlfn.XLOOKUP(E60,'③新店考核-B-a-②呈现-业绩明细表-③'!B:B,'③新店考核-B-a-②呈现-业绩明细表-③'!H:H,0)</f>
        <v>0</v>
      </c>
      <c r="P60" s="57">
        <f t="shared" si="3"/>
        <v>0</v>
      </c>
      <c r="Q60" s="53">
        <f>_xlfn.XLOOKUP(E60,'④考勤-B-a-26考勤汇总表'!D:D,'④考勤-B-a-26考勤汇总表'!AP:AP,0)</f>
        <v>0</v>
      </c>
      <c r="R60" s="53" t="str">
        <f t="shared" si="9"/>
        <v/>
      </c>
      <c r="S60" s="53">
        <f t="shared" si="10"/>
        <v>0</v>
      </c>
      <c r="T60" s="53">
        <v>0</v>
      </c>
      <c r="U60" s="53">
        <v>0</v>
      </c>
      <c r="V60" s="53">
        <v>0</v>
      </c>
      <c r="W60" s="53">
        <f>_xlfn.XLOOKUP(E60,'⑤项目数-B-a-③消耗明细表'!C:C,'⑤项目数-B-a-③消耗明细表'!E:E,0)</f>
        <v>0</v>
      </c>
      <c r="X60" s="53">
        <f>_xlfn.XLOOKUP(E60,'⑤项目数-B-a-③消耗明细表'!C:C,'⑤项目数-B-a-③消耗明细表'!D:D,0)</f>
        <v>0</v>
      </c>
      <c r="Y60" s="53">
        <f>_xlfn.XLOOKUP(E60,'⑤项目数-B-a-③消耗明细表'!C:C,'⑤项目数-B-a-③消耗明细表'!F:F,0)</f>
        <v>0</v>
      </c>
      <c r="Z60" s="53">
        <f>_xlfn.XLOOKUP(E60,'⑤项目数-B-a-③消耗明细表'!C:C,'⑤项目数-B-a-③消耗明细表'!G:G,0)</f>
        <v>0</v>
      </c>
      <c r="AA60" s="84" t="str">
        <f t="shared" si="4"/>
        <v>不属于战队</v>
      </c>
      <c r="AB60" s="84">
        <f t="shared" si="5"/>
        <v>0</v>
      </c>
      <c r="AC60" s="53">
        <f>_xlfn.XLOOKUP(F60,'⑥战队统计表-B-a-②呈现-业绩明细表④'!A:A,'⑥战队统计表-B-a-②呈现-业绩明细表④'!B:B,0)</f>
        <v>0</v>
      </c>
      <c r="AD60" s="53">
        <f t="shared" si="11"/>
        <v>1</v>
      </c>
      <c r="AE60" s="59">
        <f>IF(AD60="",_xlfn.XLOOKUP(F60,'⑥战队统计表-B-a-②呈现-业绩明细表④'!A:A,'⑥战队统计表-B-a-②呈现-业绩明细表④'!D:D,0),0)</f>
        <v>0</v>
      </c>
      <c r="AF60" s="85">
        <f>IF(AND(E60="T区",E60="门店T区"),"",IF(AD60="",0,IF(R60="",LOOKUP(S60,'②提成标准-B-a-①-增加'!$B$16:$B$20,'②提成标准-B-a-①-增加'!$D$16:$D$20),LOOKUP(S60/Q60,'②提成标准-B-a-①-增加'!$B$23:$B$27,'②提成标准-B-a-①-增加'!$D$23:$D$27))))</f>
        <v>0</v>
      </c>
      <c r="AG60" s="85">
        <f t="shared" si="6"/>
        <v>0</v>
      </c>
      <c r="AH60" s="60">
        <f t="shared" si="12"/>
        <v>0</v>
      </c>
      <c r="AI60" s="86">
        <f t="shared" si="13"/>
        <v>0</v>
      </c>
      <c r="AJ60" s="60">
        <f t="shared" si="14"/>
        <v>0</v>
      </c>
      <c r="AK60" s="87">
        <f>IF(AB60=1,IFERROR(S60/VLOOKUP(F60,'⑥战队统计表-B-a-②呈现-业绩明细表④'!A:C,3,0),0),0)</f>
        <v>0</v>
      </c>
      <c r="AL60" s="85" t="str">
        <f t="shared" si="7"/>
        <v/>
      </c>
      <c r="AM60" s="53" t="str">
        <f>IF(D60="顾问",_xlfn.XLOOKUP(F60,'⑥战队统计表-B-a-②呈现-业绩明细表④'!A:A,'⑥战队统计表-B-a-②呈现-业绩明细表④'!H:H,0),"")</f>
        <v/>
      </c>
      <c r="AN60" s="53" t="str">
        <f t="shared" si="8"/>
        <v>单人</v>
      </c>
    </row>
    <row r="61" spans="1:40" hidden="1" x14ac:dyDescent="0.15">
      <c r="A61" s="79" t="s">
        <v>428</v>
      </c>
      <c r="B61" s="102" t="s">
        <v>81</v>
      </c>
      <c r="C61" s="79" t="s">
        <v>86</v>
      </c>
      <c r="D61" s="82" t="s">
        <v>32</v>
      </c>
      <c r="E61" s="101" t="s">
        <v>87</v>
      </c>
      <c r="F61" s="53" t="str">
        <f t="shared" si="1"/>
        <v>优品道+出奇队</v>
      </c>
      <c r="G61" s="53">
        <f>IFERROR(_xlfn.XLOOKUP(B61,'①门店信息-A-a-①-增加'!B:B,'①门店信息-A-a-①-增加'!E:E,0),"")</f>
        <v>0</v>
      </c>
      <c r="H61" s="54">
        <f>_xlfn.XLOOKUP(B61,'①门店信息-A-a-①-增加'!B:B,'①门店信息-A-a-①-增加'!F:F,0)</f>
        <v>0</v>
      </c>
      <c r="I61" s="55">
        <f>_xlfn.XLOOKUP(E61,'③新店考核-B-a-②呈现-业绩明细表-③'!B:B,'③新店考核-B-a-②呈现-业绩明细表-③'!E:E,0)</f>
        <v>0</v>
      </c>
      <c r="J61" s="54">
        <f>_xlfn.XLOOKUP(E61,'③新店考核-B-a-②呈现-业绩明细表-③'!B:B,'③新店考核-B-a-②呈现-业绩明细表-③'!F:F,0)</f>
        <v>0</v>
      </c>
      <c r="K61" s="55">
        <f>IF(H61="新店一阶段",LOOKUP(I61,'②提成标准-B-a-①-增加'!$M$9:$M$12,'②提成标准-B-a-①-增加'!$O$9:$O$12),0)</f>
        <v>0</v>
      </c>
      <c r="L61" s="56">
        <f t="shared" si="2"/>
        <v>27701</v>
      </c>
      <c r="M61" s="57">
        <f>_xlfn.XLOOKUP(E61,'③新店考核-B-a-②呈现-业绩明细表-③'!B:B,'③新店考核-B-a-②呈现-业绩明细表-③'!G:G,0)</f>
        <v>0</v>
      </c>
      <c r="N61" s="58" t="str">
        <f>LOOKUP(M61,'②提成标准-B-a-①-增加'!$M$1:$M$4,'②提成标准-B-a-①-增加'!$O$1:$O$4)</f>
        <v>同老店</v>
      </c>
      <c r="O61" s="57">
        <f>_xlfn.XLOOKUP(E61,'③新店考核-B-a-②呈现-业绩明细表-③'!B:B,'③新店考核-B-a-②呈现-业绩明细表-③'!H:H,0)</f>
        <v>0</v>
      </c>
      <c r="P61" s="57">
        <f t="shared" si="3"/>
        <v>27701</v>
      </c>
      <c r="Q61" s="53">
        <f>_xlfn.XLOOKUP(E61,'④考勤-B-a-26考勤汇总表'!D:D,'④考勤-B-a-26考勤汇总表'!AP:AP,0)</f>
        <v>31</v>
      </c>
      <c r="R61" s="53" t="str">
        <f t="shared" si="9"/>
        <v/>
      </c>
      <c r="S61" s="53">
        <f t="shared" si="10"/>
        <v>45081</v>
      </c>
      <c r="T61" s="53">
        <v>27701</v>
      </c>
      <c r="U61" s="53">
        <v>17180</v>
      </c>
      <c r="V61" s="53">
        <v>200</v>
      </c>
      <c r="W61" s="53">
        <f>_xlfn.XLOOKUP(E61,'⑤项目数-B-a-③消耗明细表'!C:C,'⑤项目数-B-a-③消耗明细表'!E:E,0)</f>
        <v>15154.56</v>
      </c>
      <c r="X61" s="53">
        <f>_xlfn.XLOOKUP(E61,'⑤项目数-B-a-③消耗明细表'!C:C,'⑤项目数-B-a-③消耗明细表'!D:D,0)</f>
        <v>108</v>
      </c>
      <c r="Y61" s="53">
        <f>_xlfn.XLOOKUP(E61,'⑤项目数-B-a-③消耗明细表'!C:C,'⑤项目数-B-a-③消耗明细表'!F:F,0)</f>
        <v>1498</v>
      </c>
      <c r="Z61" s="53">
        <f>_xlfn.XLOOKUP(E61,'⑤项目数-B-a-③消耗明细表'!C:C,'⑤项目数-B-a-③消耗明细表'!G:G,0)</f>
        <v>220</v>
      </c>
      <c r="AA61" s="84">
        <f t="shared" si="4"/>
        <v>1</v>
      </c>
      <c r="AB61" s="84">
        <f t="shared" si="5"/>
        <v>1</v>
      </c>
      <c r="AC61" s="53">
        <f>_xlfn.XLOOKUP(F61,'⑥战队统计表-B-a-②呈现-业绩明细表④'!A:A,'⑥战队统计表-B-a-②呈现-业绩明细表④'!B:B,0)</f>
        <v>3</v>
      </c>
      <c r="AD61" s="53" t="str">
        <f t="shared" si="11"/>
        <v/>
      </c>
      <c r="AE61" s="59">
        <f>IF(AD61="",_xlfn.XLOOKUP(F61,'⑥战队统计表-B-a-②呈现-业绩明细表④'!A:A,'⑥战队统计表-B-a-②呈现-业绩明细表④'!D:D,0),0)</f>
        <v>0.05</v>
      </c>
      <c r="AF61" s="85">
        <f>IF(AND(E61="T区",E61="门店T区"),"",IF(AD61="",0,IF(R61="",LOOKUP(S61,'②提成标准-B-a-①-增加'!$B$16:$B$20,'②提成标准-B-a-①-增加'!$D$16:$D$20),LOOKUP(S61/Q61,'②提成标准-B-a-①-增加'!$B$23:$B$27,'②提成标准-B-a-①-增加'!$D$23:$D$27))))</f>
        <v>0</v>
      </c>
      <c r="AG61" s="85">
        <f t="shared" si="6"/>
        <v>0.05</v>
      </c>
      <c r="AH61" s="60">
        <f t="shared" si="12"/>
        <v>1315.7975000000001</v>
      </c>
      <c r="AI61" s="86">
        <f t="shared" si="13"/>
        <v>530.4325</v>
      </c>
      <c r="AJ61" s="60">
        <f t="shared" si="14"/>
        <v>1846.23</v>
      </c>
      <c r="AK61" s="87">
        <f>IF(AB61=1,IFERROR(S61/VLOOKUP(F61,'⑥战队统计表-B-a-②呈现-业绩明细表④'!A:C,3,0),0),0)</f>
        <v>0.49329719402410183</v>
      </c>
      <c r="AL61" s="85">
        <f t="shared" si="7"/>
        <v>0.50670280597589812</v>
      </c>
      <c r="AM61" s="53">
        <f>IF(D61="顾问",_xlfn.XLOOKUP(F61,'⑥战队统计表-B-a-②呈现-业绩明细表④'!A:A,'⑥战队统计表-B-a-②呈现-业绩明细表④'!H:H,0),"")</f>
        <v>0</v>
      </c>
      <c r="AN61" s="53" t="str">
        <f t="shared" si="8"/>
        <v>优品道+出奇队</v>
      </c>
    </row>
    <row r="62" spans="1:40" hidden="1" x14ac:dyDescent="0.15">
      <c r="A62" s="79" t="s">
        <v>428</v>
      </c>
      <c r="B62" s="102" t="s">
        <v>81</v>
      </c>
      <c r="C62" s="79" t="s">
        <v>86</v>
      </c>
      <c r="D62" s="82" t="s">
        <v>6</v>
      </c>
      <c r="E62" s="101" t="s">
        <v>88</v>
      </c>
      <c r="F62" s="53" t="str">
        <f t="shared" si="1"/>
        <v>优品道+出奇队</v>
      </c>
      <c r="G62" s="53">
        <f>IFERROR(_xlfn.XLOOKUP(B62,'①门店信息-A-a-①-增加'!B:B,'①门店信息-A-a-①-增加'!E:E,0),"")</f>
        <v>0</v>
      </c>
      <c r="H62" s="54">
        <f>_xlfn.XLOOKUP(B62,'①门店信息-A-a-①-增加'!B:B,'①门店信息-A-a-①-增加'!F:F,0)</f>
        <v>0</v>
      </c>
      <c r="I62" s="55">
        <f>_xlfn.XLOOKUP(E62,'③新店考核-B-a-②呈现-业绩明细表-③'!B:B,'③新店考核-B-a-②呈现-业绩明细表-③'!E:E,0)</f>
        <v>0</v>
      </c>
      <c r="J62" s="54">
        <f>_xlfn.XLOOKUP(E62,'③新店考核-B-a-②呈现-业绩明细表-③'!B:B,'③新店考核-B-a-②呈现-业绩明细表-③'!F:F,0)</f>
        <v>0</v>
      </c>
      <c r="K62" s="55">
        <f>IF(H62="新店一阶段",LOOKUP(I62,'②提成标准-B-a-①-增加'!$M$9:$M$12,'②提成标准-B-a-①-增加'!$O$9:$O$12),0)</f>
        <v>0</v>
      </c>
      <c r="L62" s="56">
        <f t="shared" si="2"/>
        <v>33141.1</v>
      </c>
      <c r="M62" s="57">
        <f>_xlfn.XLOOKUP(E62,'③新店考核-B-a-②呈现-业绩明细表-③'!B:B,'③新店考核-B-a-②呈现-业绩明细表-③'!G:G,0)</f>
        <v>0</v>
      </c>
      <c r="N62" s="58" t="str">
        <f>LOOKUP(M62,'②提成标准-B-a-①-增加'!$M$1:$M$4,'②提成标准-B-a-①-增加'!$O$1:$O$4)</f>
        <v>同老店</v>
      </c>
      <c r="O62" s="57">
        <f>_xlfn.XLOOKUP(E62,'③新店考核-B-a-②呈现-业绩明细表-③'!B:B,'③新店考核-B-a-②呈现-业绩明细表-③'!H:H,0)</f>
        <v>0</v>
      </c>
      <c r="P62" s="57">
        <f t="shared" si="3"/>
        <v>33141.1</v>
      </c>
      <c r="Q62" s="53">
        <f>_xlfn.XLOOKUP(E62,'④考勤-B-a-26考勤汇总表'!D:D,'④考勤-B-a-26考勤汇总表'!AP:AP,0)</f>
        <v>31</v>
      </c>
      <c r="R62" s="53" t="str">
        <f t="shared" si="9"/>
        <v/>
      </c>
      <c r="S62" s="53">
        <f t="shared" si="10"/>
        <v>34917.1</v>
      </c>
      <c r="T62" s="53">
        <v>33141.1</v>
      </c>
      <c r="U62" s="53">
        <v>0</v>
      </c>
      <c r="V62" s="53">
        <v>1776</v>
      </c>
      <c r="W62" s="53">
        <f>_xlfn.XLOOKUP(E62,'⑤项目数-B-a-③消耗明细表'!C:C,'⑤项目数-B-a-③消耗明细表'!E:E,0)</f>
        <v>16263.86</v>
      </c>
      <c r="X62" s="53">
        <f>_xlfn.XLOOKUP(E62,'⑤项目数-B-a-③消耗明细表'!C:C,'⑤项目数-B-a-③消耗明细表'!D:D,0)</f>
        <v>104</v>
      </c>
      <c r="Y62" s="53">
        <f>_xlfn.XLOOKUP(E62,'⑤项目数-B-a-③消耗明细表'!C:C,'⑤项目数-B-a-③消耗明细表'!F:F,0)</f>
        <v>1159</v>
      </c>
      <c r="Z62" s="53">
        <f>_xlfn.XLOOKUP(E62,'⑤项目数-B-a-③消耗明细表'!C:C,'⑤项目数-B-a-③消耗明细表'!G:G,0)</f>
        <v>0</v>
      </c>
      <c r="AA62" s="84">
        <f t="shared" si="4"/>
        <v>1</v>
      </c>
      <c r="AB62" s="84">
        <f t="shared" si="5"/>
        <v>1</v>
      </c>
      <c r="AC62" s="53">
        <f>_xlfn.XLOOKUP(F62,'⑥战队统计表-B-a-②呈现-业绩明细表④'!A:A,'⑥战队统计表-B-a-②呈现-业绩明细表④'!B:B,0)</f>
        <v>3</v>
      </c>
      <c r="AD62" s="53" t="str">
        <f t="shared" si="11"/>
        <v/>
      </c>
      <c r="AE62" s="59">
        <f>IF(AD62="",_xlfn.XLOOKUP(F62,'⑥战队统计表-B-a-②呈现-业绩明细表④'!A:A,'⑥战队统计表-B-a-②呈现-业绩明细表④'!D:D,0),0)</f>
        <v>0.05</v>
      </c>
      <c r="AF62" s="85">
        <f>IF(AND(E62="T区",E62="门店T区"),"",IF(AD62="",0,IF(R62="",LOOKUP(S62,'②提成标准-B-a-①-增加'!$B$16:$B$20,'②提成标准-B-a-①-增加'!$D$16:$D$20),LOOKUP(S62/Q62,'②提成标准-B-a-①-增加'!$B$23:$B$27,'②提成标准-B-a-①-增加'!$D$23:$D$27))))</f>
        <v>0</v>
      </c>
      <c r="AG62" s="85">
        <f t="shared" si="6"/>
        <v>0.05</v>
      </c>
      <c r="AH62" s="60">
        <f t="shared" si="12"/>
        <v>1574.20225</v>
      </c>
      <c r="AI62" s="86">
        <f t="shared" si="13"/>
        <v>0</v>
      </c>
      <c r="AJ62" s="60">
        <f t="shared" si="14"/>
        <v>1574.20225</v>
      </c>
      <c r="AK62" s="87">
        <f>IF(AB62=1,IFERROR(S62/VLOOKUP(F62,'⑥战队统计表-B-a-②呈现-业绩明细表④'!A:C,3,0),0),0)</f>
        <v>0.38207908993720119</v>
      </c>
      <c r="AL62" s="85" t="str">
        <f t="shared" si="7"/>
        <v/>
      </c>
      <c r="AM62" s="53" t="str">
        <f>IF(D62="顾问",_xlfn.XLOOKUP(F62,'⑥战队统计表-B-a-②呈现-业绩明细表④'!A:A,'⑥战队统计表-B-a-②呈现-业绩明细表④'!H:H,0),"")</f>
        <v/>
      </c>
      <c r="AN62" s="53" t="str">
        <f t="shared" si="8"/>
        <v>优品道+出奇队</v>
      </c>
    </row>
    <row r="63" spans="1:40" hidden="1" x14ac:dyDescent="0.15">
      <c r="A63" s="79" t="s">
        <v>428</v>
      </c>
      <c r="B63" s="102" t="s">
        <v>81</v>
      </c>
      <c r="C63" s="79" t="s">
        <v>86</v>
      </c>
      <c r="D63" s="82" t="s">
        <v>6</v>
      </c>
      <c r="E63" s="101" t="s">
        <v>89</v>
      </c>
      <c r="F63" s="53" t="str">
        <f t="shared" si="1"/>
        <v>优品道+出奇队</v>
      </c>
      <c r="G63" s="53">
        <f>IFERROR(_xlfn.XLOOKUP(B63,'①门店信息-A-a-①-增加'!B:B,'①门店信息-A-a-①-增加'!E:E,0),"")</f>
        <v>0</v>
      </c>
      <c r="H63" s="54">
        <f>_xlfn.XLOOKUP(B63,'①门店信息-A-a-①-增加'!B:B,'①门店信息-A-a-①-增加'!F:F,0)</f>
        <v>0</v>
      </c>
      <c r="I63" s="55">
        <f>_xlfn.XLOOKUP(E63,'③新店考核-B-a-②呈现-业绩明细表-③'!B:B,'③新店考核-B-a-②呈现-业绩明细表-③'!E:E,0)</f>
        <v>0</v>
      </c>
      <c r="J63" s="54">
        <f>_xlfn.XLOOKUP(E63,'③新店考核-B-a-②呈现-业绩明细表-③'!B:B,'③新店考核-B-a-②呈现-业绩明细表-③'!F:F,0)</f>
        <v>0</v>
      </c>
      <c r="K63" s="55">
        <f>IF(H63="新店一阶段",LOOKUP(I63,'②提成标准-B-a-①-增加'!$M$9:$M$12,'②提成标准-B-a-①-增加'!$O$9:$O$12),0)</f>
        <v>0</v>
      </c>
      <c r="L63" s="56">
        <f t="shared" si="2"/>
        <v>10644</v>
      </c>
      <c r="M63" s="57">
        <f>_xlfn.XLOOKUP(E63,'③新店考核-B-a-②呈现-业绩明细表-③'!B:B,'③新店考核-B-a-②呈现-业绩明细表-③'!G:G,0)</f>
        <v>0</v>
      </c>
      <c r="N63" s="58" t="str">
        <f>LOOKUP(M63,'②提成标准-B-a-①-增加'!$M$1:$M$4,'②提成标准-B-a-①-增加'!$O$1:$O$4)</f>
        <v>同老店</v>
      </c>
      <c r="O63" s="57">
        <f>_xlfn.XLOOKUP(E63,'③新店考核-B-a-②呈现-业绩明细表-③'!B:B,'③新店考核-B-a-②呈现-业绩明细表-③'!H:H,0)</f>
        <v>0</v>
      </c>
      <c r="P63" s="57">
        <f t="shared" si="3"/>
        <v>10644</v>
      </c>
      <c r="Q63" s="53">
        <f>_xlfn.XLOOKUP(E63,'④考勤-B-a-26考勤汇总表'!D:D,'④考勤-B-a-26考勤汇总表'!AP:AP,0)</f>
        <v>31</v>
      </c>
      <c r="R63" s="53" t="str">
        <f t="shared" si="9"/>
        <v/>
      </c>
      <c r="S63" s="53">
        <f t="shared" si="10"/>
        <v>11389</v>
      </c>
      <c r="T63" s="53">
        <v>10644</v>
      </c>
      <c r="U63" s="53">
        <v>0</v>
      </c>
      <c r="V63" s="53">
        <v>745</v>
      </c>
      <c r="W63" s="53">
        <f>_xlfn.XLOOKUP(E63,'⑤项目数-B-a-③消耗明细表'!C:C,'⑤项目数-B-a-③消耗明细表'!E:E,0)</f>
        <v>13041.74</v>
      </c>
      <c r="X63" s="53">
        <f>_xlfn.XLOOKUP(E63,'⑤项目数-B-a-③消耗明细表'!C:C,'⑤项目数-B-a-③消耗明细表'!D:D,0)</f>
        <v>113</v>
      </c>
      <c r="Y63" s="53">
        <f>_xlfn.XLOOKUP(E63,'⑤项目数-B-a-③消耗明细表'!C:C,'⑤项目数-B-a-③消耗明细表'!F:F,0)</f>
        <v>1493</v>
      </c>
      <c r="Z63" s="53">
        <f>_xlfn.XLOOKUP(E63,'⑤项目数-B-a-③消耗明细表'!C:C,'⑤项目数-B-a-③消耗明细表'!G:G,0)</f>
        <v>115</v>
      </c>
      <c r="AA63" s="84">
        <f t="shared" si="4"/>
        <v>1</v>
      </c>
      <c r="AB63" s="84">
        <f t="shared" si="5"/>
        <v>1</v>
      </c>
      <c r="AC63" s="53">
        <f>_xlfn.XLOOKUP(F63,'⑥战队统计表-B-a-②呈现-业绩明细表④'!A:A,'⑥战队统计表-B-a-②呈现-业绩明细表④'!B:B,0)</f>
        <v>3</v>
      </c>
      <c r="AD63" s="53" t="str">
        <f t="shared" si="11"/>
        <v/>
      </c>
      <c r="AE63" s="59">
        <f>IF(AD63="",_xlfn.XLOOKUP(F63,'⑥战队统计表-B-a-②呈现-业绩明细表④'!A:A,'⑥战队统计表-B-a-②呈现-业绩明细表④'!D:D,0),0)</f>
        <v>0.05</v>
      </c>
      <c r="AF63" s="85">
        <f>IF(AND(E63="T区",E63="门店T区"),"",IF(AD63="",0,IF(R63="",LOOKUP(S63,'②提成标准-B-a-①-增加'!$B$16:$B$20,'②提成标准-B-a-①-增加'!$D$16:$D$20),LOOKUP(S63/Q63,'②提成标准-B-a-①-增加'!$B$23:$B$27,'②提成标准-B-a-①-增加'!$D$23:$D$27))))</f>
        <v>0</v>
      </c>
      <c r="AG63" s="85">
        <f t="shared" si="6"/>
        <v>0.05</v>
      </c>
      <c r="AH63" s="60">
        <f t="shared" si="12"/>
        <v>505.59000000000003</v>
      </c>
      <c r="AI63" s="86">
        <f t="shared" si="13"/>
        <v>0</v>
      </c>
      <c r="AJ63" s="60">
        <f t="shared" si="14"/>
        <v>505.59000000000003</v>
      </c>
      <c r="AK63" s="87">
        <f>IF(AB63=1,IFERROR(S63/VLOOKUP(F63,'⑥战队统计表-B-a-②呈现-业绩明细表④'!A:C,3,0),0),0)</f>
        <v>0.12462371603869692</v>
      </c>
      <c r="AL63" s="85" t="str">
        <f t="shared" si="7"/>
        <v/>
      </c>
      <c r="AM63" s="53" t="str">
        <f>IF(D63="顾问",_xlfn.XLOOKUP(F63,'⑥战队统计表-B-a-②呈现-业绩明细表④'!A:A,'⑥战队统计表-B-a-②呈现-业绩明细表④'!H:H,0),"")</f>
        <v/>
      </c>
      <c r="AN63" s="53" t="str">
        <f t="shared" si="8"/>
        <v>优品道+出奇队</v>
      </c>
    </row>
    <row r="64" spans="1:40" hidden="1" x14ac:dyDescent="0.15">
      <c r="A64" s="79" t="s">
        <v>428</v>
      </c>
      <c r="B64" s="102" t="s">
        <v>81</v>
      </c>
      <c r="C64" s="81" t="s">
        <v>36</v>
      </c>
      <c r="D64" s="82" t="s">
        <v>36</v>
      </c>
      <c r="E64" s="82" t="s">
        <v>36</v>
      </c>
      <c r="F64" s="53" t="str">
        <f t="shared" si="1"/>
        <v>优品道+T区</v>
      </c>
      <c r="G64" s="53">
        <f>IFERROR(_xlfn.XLOOKUP(B64,'①门店信息-A-a-①-增加'!B:B,'①门店信息-A-a-①-增加'!E:E,0),"")</f>
        <v>0</v>
      </c>
      <c r="H64" s="54">
        <f>_xlfn.XLOOKUP(B64,'①门店信息-A-a-①-增加'!B:B,'①门店信息-A-a-①-增加'!F:F,0)</f>
        <v>0</v>
      </c>
      <c r="I64" s="55">
        <f>_xlfn.XLOOKUP(E64,'③新店考核-B-a-②呈现-业绩明细表-③'!B:B,'③新店考核-B-a-②呈现-业绩明细表-③'!E:E,0)</f>
        <v>0</v>
      </c>
      <c r="J64" s="54">
        <f>_xlfn.XLOOKUP(E64,'③新店考核-B-a-②呈现-业绩明细表-③'!B:B,'③新店考核-B-a-②呈现-业绩明细表-③'!F:F,0)</f>
        <v>0</v>
      </c>
      <c r="K64" s="55">
        <f>IF(H64="新店一阶段",LOOKUP(I64,'②提成标准-B-a-①-增加'!$M$9:$M$12,'②提成标准-B-a-①-增加'!$O$9:$O$12),0)</f>
        <v>0</v>
      </c>
      <c r="L64" s="56">
        <f t="shared" si="2"/>
        <v>0</v>
      </c>
      <c r="M64" s="57">
        <f>_xlfn.XLOOKUP(E64,'③新店考核-B-a-②呈现-业绩明细表-③'!B:B,'③新店考核-B-a-②呈现-业绩明细表-③'!G:G,0)</f>
        <v>0</v>
      </c>
      <c r="N64" s="58" t="str">
        <f>LOOKUP(M64,'②提成标准-B-a-①-增加'!$M$1:$M$4,'②提成标准-B-a-①-增加'!$O$1:$O$4)</f>
        <v>同老店</v>
      </c>
      <c r="O64" s="57">
        <f>_xlfn.XLOOKUP(E64,'③新店考核-B-a-②呈现-业绩明细表-③'!B:B,'③新店考核-B-a-②呈现-业绩明细表-③'!H:H,0)</f>
        <v>0</v>
      </c>
      <c r="P64" s="57">
        <f t="shared" si="3"/>
        <v>0</v>
      </c>
      <c r="Q64" s="53">
        <f>_xlfn.XLOOKUP(E64,'④考勤-B-a-26考勤汇总表'!D:D,'④考勤-B-a-26考勤汇总表'!AP:AP,0)</f>
        <v>0</v>
      </c>
      <c r="R64" s="53" t="str">
        <f t="shared" si="9"/>
        <v/>
      </c>
      <c r="S64" s="53">
        <f t="shared" si="10"/>
        <v>0</v>
      </c>
      <c r="T64" s="53">
        <v>0</v>
      </c>
      <c r="U64" s="53">
        <v>0</v>
      </c>
      <c r="V64" s="53">
        <v>0</v>
      </c>
      <c r="W64" s="53">
        <f>_xlfn.XLOOKUP(E64,'⑤项目数-B-a-③消耗明细表'!C:C,'⑤项目数-B-a-③消耗明细表'!E:E,0)</f>
        <v>0</v>
      </c>
      <c r="X64" s="53">
        <f>_xlfn.XLOOKUP(E64,'⑤项目数-B-a-③消耗明细表'!C:C,'⑤项目数-B-a-③消耗明细表'!D:D,0)</f>
        <v>0</v>
      </c>
      <c r="Y64" s="53">
        <f>_xlfn.XLOOKUP(E64,'⑤项目数-B-a-③消耗明细表'!C:C,'⑤项目数-B-a-③消耗明细表'!F:F,0)</f>
        <v>0</v>
      </c>
      <c r="Z64" s="53">
        <f>_xlfn.XLOOKUP(E64,'⑤项目数-B-a-③消耗明细表'!C:C,'⑤项目数-B-a-③消耗明细表'!G:G,0)</f>
        <v>0</v>
      </c>
      <c r="AA64" s="84" t="str">
        <f t="shared" si="4"/>
        <v>不属于战队</v>
      </c>
      <c r="AB64" s="84">
        <f t="shared" si="5"/>
        <v>0</v>
      </c>
      <c r="AC64" s="53">
        <f>_xlfn.XLOOKUP(F64,'⑥战队统计表-B-a-②呈现-业绩明细表④'!A:A,'⑥战队统计表-B-a-②呈现-业绩明细表④'!B:B,0)</f>
        <v>0</v>
      </c>
      <c r="AD64" s="53">
        <f t="shared" si="11"/>
        <v>1</v>
      </c>
      <c r="AE64" s="59">
        <f>IF(AD64="",_xlfn.XLOOKUP(F64,'⑥战队统计表-B-a-②呈现-业绩明细表④'!A:A,'⑥战队统计表-B-a-②呈现-业绩明细表④'!D:D,0),0)</f>
        <v>0</v>
      </c>
      <c r="AF64" s="85">
        <f>IF(AND(E64="T区",E64="门店T区"),"",IF(AD64="",0,IF(R64="",LOOKUP(S64,'②提成标准-B-a-①-增加'!$B$16:$B$20,'②提成标准-B-a-①-增加'!$D$16:$D$20),LOOKUP(S64/Q64,'②提成标准-B-a-①-增加'!$B$23:$B$27,'②提成标准-B-a-①-增加'!$D$23:$D$27))))</f>
        <v>0</v>
      </c>
      <c r="AG64" s="85">
        <f t="shared" si="6"/>
        <v>0</v>
      </c>
      <c r="AH64" s="60">
        <f t="shared" si="12"/>
        <v>0</v>
      </c>
      <c r="AI64" s="86">
        <f t="shared" si="13"/>
        <v>0</v>
      </c>
      <c r="AJ64" s="60">
        <f t="shared" si="14"/>
        <v>0</v>
      </c>
      <c r="AK64" s="87">
        <f>IF(AB64=1,IFERROR(S64/VLOOKUP(F64,'⑥战队统计表-B-a-②呈现-业绩明细表④'!A:C,3,0),0),0)</f>
        <v>0</v>
      </c>
      <c r="AL64" s="85" t="str">
        <f t="shared" si="7"/>
        <v/>
      </c>
      <c r="AM64" s="53" t="str">
        <f>IF(D64="顾问",_xlfn.XLOOKUP(F64,'⑥战队统计表-B-a-②呈现-业绩明细表④'!A:A,'⑥战队统计表-B-a-②呈现-业绩明细表④'!H:H,0),"")</f>
        <v/>
      </c>
      <c r="AN64" s="53" t="str">
        <f t="shared" si="8"/>
        <v>单人</v>
      </c>
    </row>
    <row r="65" spans="1:40" hidden="1" x14ac:dyDescent="0.15">
      <c r="A65" s="79" t="s">
        <v>428</v>
      </c>
      <c r="B65" s="102" t="s">
        <v>81</v>
      </c>
      <c r="C65" s="89" t="s">
        <v>40</v>
      </c>
      <c r="D65" s="90" t="s">
        <v>40</v>
      </c>
      <c r="E65" s="88" t="str">
        <f>F65</f>
        <v>优品道+门店T区</v>
      </c>
      <c r="F65" s="53" t="str">
        <f t="shared" si="1"/>
        <v>优品道+门店T区</v>
      </c>
      <c r="G65" s="53">
        <f>IFERROR(_xlfn.XLOOKUP(B65,'①门店信息-A-a-①-增加'!B:B,'①门店信息-A-a-①-增加'!E:E,0),"")</f>
        <v>0</v>
      </c>
      <c r="H65" s="54">
        <f>_xlfn.XLOOKUP(B65,'①门店信息-A-a-①-增加'!B:B,'①门店信息-A-a-①-增加'!F:F,0)</f>
        <v>0</v>
      </c>
      <c r="I65" s="55">
        <f>_xlfn.XLOOKUP(E65,'③新店考核-B-a-②呈现-业绩明细表-③'!B:B,'③新店考核-B-a-②呈现-业绩明细表-③'!E:E,0)</f>
        <v>0</v>
      </c>
      <c r="J65" s="54">
        <f>_xlfn.XLOOKUP(E65,'③新店考核-B-a-②呈现-业绩明细表-③'!B:B,'③新店考核-B-a-②呈现-业绩明细表-③'!F:F,0)</f>
        <v>0</v>
      </c>
      <c r="K65" s="55">
        <f>IF(H65="新店一阶段",LOOKUP(I65,'②提成标准-B-a-①-增加'!$M$9:$M$12,'②提成标准-B-a-①-增加'!$O$9:$O$12),0)</f>
        <v>0</v>
      </c>
      <c r="L65" s="56">
        <f t="shared" si="2"/>
        <v>0</v>
      </c>
      <c r="M65" s="57">
        <f>_xlfn.XLOOKUP(E65,'③新店考核-B-a-②呈现-业绩明细表-③'!B:B,'③新店考核-B-a-②呈现-业绩明细表-③'!G:G,0)</f>
        <v>0</v>
      </c>
      <c r="N65" s="58" t="str">
        <f>LOOKUP(M65,'②提成标准-B-a-①-增加'!$M$1:$M$4,'②提成标准-B-a-①-增加'!$O$1:$O$4)</f>
        <v>同老店</v>
      </c>
      <c r="O65" s="57">
        <f>_xlfn.XLOOKUP(E65,'③新店考核-B-a-②呈现-业绩明细表-③'!B:B,'③新店考核-B-a-②呈现-业绩明细表-③'!H:H,0)</f>
        <v>0</v>
      </c>
      <c r="P65" s="57">
        <f t="shared" si="3"/>
        <v>0</v>
      </c>
      <c r="Q65" s="53">
        <f>_xlfn.XLOOKUP(E65,'④考勤-B-a-26考勤汇总表'!D:D,'④考勤-B-a-26考勤汇总表'!AP:AP,0)</f>
        <v>0</v>
      </c>
      <c r="R65" s="53" t="str">
        <f t="shared" si="9"/>
        <v/>
      </c>
      <c r="S65" s="53">
        <f t="shared" si="10"/>
        <v>0</v>
      </c>
      <c r="T65" s="53">
        <v>0</v>
      </c>
      <c r="U65" s="53">
        <v>0</v>
      </c>
      <c r="V65" s="53">
        <v>0</v>
      </c>
      <c r="W65" s="53">
        <f>_xlfn.XLOOKUP(E65,'⑤项目数-B-a-③消耗明细表'!C:C,'⑤项目数-B-a-③消耗明细表'!E:E,0)</f>
        <v>0</v>
      </c>
      <c r="X65" s="53">
        <f>_xlfn.XLOOKUP(E65,'⑤项目数-B-a-③消耗明细表'!C:C,'⑤项目数-B-a-③消耗明细表'!D:D,0)</f>
        <v>0</v>
      </c>
      <c r="Y65" s="53">
        <f>_xlfn.XLOOKUP(E65,'⑤项目数-B-a-③消耗明细表'!C:C,'⑤项目数-B-a-③消耗明细表'!F:F,0)</f>
        <v>0</v>
      </c>
      <c r="Z65" s="53">
        <f>_xlfn.XLOOKUP(E65,'⑤项目数-B-a-③消耗明细表'!C:C,'⑤项目数-B-a-③消耗明细表'!G:G,0)</f>
        <v>0</v>
      </c>
      <c r="AA65" s="84">
        <f t="shared" si="4"/>
        <v>1</v>
      </c>
      <c r="AB65" s="84">
        <f t="shared" si="5"/>
        <v>0</v>
      </c>
      <c r="AC65" s="53">
        <f>_xlfn.XLOOKUP(F65,'⑥战队统计表-B-a-②呈现-业绩明细表④'!A:A,'⑥战队统计表-B-a-②呈现-业绩明细表④'!B:B,0)</f>
        <v>0</v>
      </c>
      <c r="AD65" s="53">
        <f t="shared" si="11"/>
        <v>1</v>
      </c>
      <c r="AE65" s="59">
        <f>IF(AD65="",_xlfn.XLOOKUP(F65,'⑥战队统计表-B-a-②呈现-业绩明细表④'!A:A,'⑥战队统计表-B-a-②呈现-业绩明细表④'!D:D,0),0)</f>
        <v>0</v>
      </c>
      <c r="AF65" s="85">
        <f>IF(AND(E65="T区",E65="门店T区"),"",IF(AD65="",0,IF(R65="",LOOKUP(S65,'②提成标准-B-a-①-增加'!$B$16:$B$20,'②提成标准-B-a-①-增加'!$D$16:$D$20),LOOKUP(S65/Q65,'②提成标准-B-a-①-增加'!$B$23:$B$27,'②提成标准-B-a-①-增加'!$D$23:$D$27))))</f>
        <v>0</v>
      </c>
      <c r="AG65" s="85">
        <f t="shared" si="6"/>
        <v>0</v>
      </c>
      <c r="AH65" s="60">
        <f t="shared" si="12"/>
        <v>0</v>
      </c>
      <c r="AI65" s="86">
        <f t="shared" si="13"/>
        <v>0</v>
      </c>
      <c r="AJ65" s="60">
        <f t="shared" si="14"/>
        <v>0</v>
      </c>
      <c r="AK65" s="87">
        <f>IF(AB65=1,IFERROR(S65/VLOOKUP(F65,'⑥战队统计表-B-a-②呈现-业绩明细表④'!A:C,3,0),0),0)</f>
        <v>0</v>
      </c>
      <c r="AL65" s="85" t="str">
        <f t="shared" si="7"/>
        <v/>
      </c>
      <c r="AM65" s="53" t="str">
        <f>IF(D65="顾问",_xlfn.XLOOKUP(F65,'⑥战队统计表-B-a-②呈现-业绩明细表④'!A:A,'⑥战队统计表-B-a-②呈现-业绩明细表④'!H:H,0),"")</f>
        <v/>
      </c>
      <c r="AN65" s="53" t="str">
        <f t="shared" si="8"/>
        <v>单人</v>
      </c>
    </row>
    <row r="66" spans="1:40" hidden="1" x14ac:dyDescent="0.15">
      <c r="A66" s="79" t="s">
        <v>428</v>
      </c>
      <c r="B66" s="80" t="s">
        <v>90</v>
      </c>
      <c r="C66" s="81" t="s">
        <v>37</v>
      </c>
      <c r="D66" s="82" t="s">
        <v>32</v>
      </c>
      <c r="E66" s="82" t="s">
        <v>91</v>
      </c>
      <c r="F66" s="53" t="str">
        <f t="shared" si="1"/>
        <v>大源+冲锋队</v>
      </c>
      <c r="G66" s="53">
        <f>IFERROR(_xlfn.XLOOKUP(B66,'①门店信息-A-a-①-增加'!B:B,'①门店信息-A-a-①-增加'!E:E,0),"")</f>
        <v>0</v>
      </c>
      <c r="H66" s="54">
        <f>_xlfn.XLOOKUP(B66,'①门店信息-A-a-①-增加'!B:B,'①门店信息-A-a-①-增加'!F:F,0)</f>
        <v>0</v>
      </c>
      <c r="I66" s="55">
        <f>_xlfn.XLOOKUP(E66,'③新店考核-B-a-②呈现-业绩明细表-③'!B:B,'③新店考核-B-a-②呈现-业绩明细表-③'!E:E,0)</f>
        <v>0</v>
      </c>
      <c r="J66" s="54">
        <f>_xlfn.XLOOKUP(E66,'③新店考核-B-a-②呈现-业绩明细表-③'!B:B,'③新店考核-B-a-②呈现-业绩明细表-③'!F:F,0)</f>
        <v>0</v>
      </c>
      <c r="K66" s="55">
        <f>IF(H66="新店一阶段",LOOKUP(I66,'②提成标准-B-a-①-增加'!$M$9:$M$12,'②提成标准-B-a-①-增加'!$O$9:$O$12),0)</f>
        <v>0</v>
      </c>
      <c r="L66" s="56">
        <f t="shared" si="2"/>
        <v>4785.25</v>
      </c>
      <c r="M66" s="57">
        <f>_xlfn.XLOOKUP(E66,'③新店考核-B-a-②呈现-业绩明细表-③'!B:B,'③新店考核-B-a-②呈现-业绩明细表-③'!G:G,0)</f>
        <v>0</v>
      </c>
      <c r="N66" s="58" t="str">
        <f>LOOKUP(M66,'②提成标准-B-a-①-增加'!$M$1:$M$4,'②提成标准-B-a-①-增加'!$O$1:$O$4)</f>
        <v>同老店</v>
      </c>
      <c r="O66" s="57">
        <f>_xlfn.XLOOKUP(E66,'③新店考核-B-a-②呈现-业绩明细表-③'!B:B,'③新店考核-B-a-②呈现-业绩明细表-③'!H:H,0)</f>
        <v>0</v>
      </c>
      <c r="P66" s="57">
        <f t="shared" si="3"/>
        <v>4785.25</v>
      </c>
      <c r="Q66" s="53">
        <f>_xlfn.XLOOKUP(E66,'④考勤-B-a-26考勤汇总表'!D:D,'④考勤-B-a-26考勤汇总表'!AP:AP,0)</f>
        <v>31</v>
      </c>
      <c r="R66" s="53" t="str">
        <f t="shared" si="9"/>
        <v/>
      </c>
      <c r="S66" s="53">
        <f t="shared" si="10"/>
        <v>20697.650000000001</v>
      </c>
      <c r="T66" s="53">
        <v>4785.25</v>
      </c>
      <c r="U66" s="53">
        <v>15912.4</v>
      </c>
      <c r="V66" s="53">
        <v>0</v>
      </c>
      <c r="W66" s="53">
        <f>_xlfn.XLOOKUP(E66,'⑤项目数-B-a-③消耗明细表'!C:C,'⑤项目数-B-a-③消耗明细表'!E:E,0)</f>
        <v>20407.3</v>
      </c>
      <c r="X66" s="53">
        <f>_xlfn.XLOOKUP(E66,'⑤项目数-B-a-③消耗明细表'!C:C,'⑤项目数-B-a-③消耗明细表'!D:D,0)</f>
        <v>120</v>
      </c>
      <c r="Y66" s="53">
        <f>_xlfn.XLOOKUP(E66,'⑤项目数-B-a-③消耗明细表'!C:C,'⑤项目数-B-a-③消耗明细表'!F:F,0)</f>
        <v>2023</v>
      </c>
      <c r="Z66" s="53">
        <f>_xlfn.XLOOKUP(E66,'⑤项目数-B-a-③消耗明细表'!C:C,'⑤项目数-B-a-③消耗明细表'!G:G,0)</f>
        <v>240</v>
      </c>
      <c r="AA66" s="84">
        <f t="shared" si="4"/>
        <v>1</v>
      </c>
      <c r="AB66" s="84">
        <f t="shared" si="5"/>
        <v>1</v>
      </c>
      <c r="AC66" s="53">
        <f>_xlfn.XLOOKUP(F66,'⑥战队统计表-B-a-②呈现-业绩明细表④'!A:A,'⑥战队统计表-B-a-②呈现-业绩明细表④'!B:B,0)</f>
        <v>3</v>
      </c>
      <c r="AD66" s="53" t="str">
        <f t="shared" si="11"/>
        <v/>
      </c>
      <c r="AE66" s="59">
        <f>IF(AD66="",_xlfn.XLOOKUP(F66,'⑥战队统计表-B-a-②呈现-业绩明细表④'!A:A,'⑥战队统计表-B-a-②呈现-业绩明细表④'!D:D,0),0)</f>
        <v>0.04</v>
      </c>
      <c r="AF66" s="85">
        <f>IF(AND(E66="T区",E66="门店T区"),"",IF(AD66="",0,IF(R66="",LOOKUP(S66,'②提成标准-B-a-①-增加'!$B$16:$B$20,'②提成标准-B-a-①-增加'!$D$16:$D$20),LOOKUP(S66/Q66,'②提成标准-B-a-①-增加'!$B$23:$B$27,'②提成标准-B-a-①-增加'!$D$23:$D$27))))</f>
        <v>0</v>
      </c>
      <c r="AG66" s="85">
        <f t="shared" si="6"/>
        <v>0.04</v>
      </c>
      <c r="AH66" s="60">
        <f t="shared" si="12"/>
        <v>181.83949999999999</v>
      </c>
      <c r="AI66" s="86">
        <f t="shared" si="13"/>
        <v>393.03628000000003</v>
      </c>
      <c r="AJ66" s="60">
        <f t="shared" si="14"/>
        <v>574.87578000000008</v>
      </c>
      <c r="AK66" s="87">
        <f>IF(AB66=1,IFERROR(S66/VLOOKUP(F66,'⑥战队统计表-B-a-②呈现-业绩明细表④'!A:C,3,0),0),0)</f>
        <v>0.31975704974408808</v>
      </c>
      <c r="AL66" s="85">
        <f t="shared" si="7"/>
        <v>0.68024295025591197</v>
      </c>
      <c r="AM66" s="53">
        <f>IF(D66="顾问",_xlfn.XLOOKUP(F66,'⑥战队统计表-B-a-②呈现-业绩明细表④'!A:A,'⑥战队统计表-B-a-②呈现-业绩明细表④'!H:H,0),"")</f>
        <v>0</v>
      </c>
      <c r="AN66" s="53" t="str">
        <f t="shared" si="8"/>
        <v>大源+冲锋队</v>
      </c>
    </row>
    <row r="67" spans="1:40" hidden="1" x14ac:dyDescent="0.15">
      <c r="A67" s="79" t="s">
        <v>428</v>
      </c>
      <c r="B67" s="80" t="s">
        <v>90</v>
      </c>
      <c r="C67" s="81" t="s">
        <v>37</v>
      </c>
      <c r="D67" s="82" t="s">
        <v>6</v>
      </c>
      <c r="E67" s="82" t="s">
        <v>92</v>
      </c>
      <c r="F67" s="53" t="str">
        <f t="shared" si="1"/>
        <v>大源+冲锋队</v>
      </c>
      <c r="G67" s="53">
        <f>IFERROR(_xlfn.XLOOKUP(B67,'①门店信息-A-a-①-增加'!B:B,'①门店信息-A-a-①-增加'!E:E,0),"")</f>
        <v>0</v>
      </c>
      <c r="H67" s="54">
        <f>_xlfn.XLOOKUP(B67,'①门店信息-A-a-①-增加'!B:B,'①门店信息-A-a-①-增加'!F:F,0)</f>
        <v>0</v>
      </c>
      <c r="I67" s="55">
        <f>_xlfn.XLOOKUP(E67,'③新店考核-B-a-②呈现-业绩明细表-③'!B:B,'③新店考核-B-a-②呈现-业绩明细表-③'!E:E,0)</f>
        <v>0</v>
      </c>
      <c r="J67" s="54">
        <f>_xlfn.XLOOKUP(E67,'③新店考核-B-a-②呈现-业绩明细表-③'!B:B,'③新店考核-B-a-②呈现-业绩明细表-③'!F:F,0)</f>
        <v>0</v>
      </c>
      <c r="K67" s="55">
        <f>IF(H67="新店一阶段",LOOKUP(I67,'②提成标准-B-a-①-增加'!$M$9:$M$12,'②提成标准-B-a-①-增加'!$O$9:$O$12),0)</f>
        <v>0</v>
      </c>
      <c r="L67" s="56">
        <f t="shared" si="2"/>
        <v>11154.25</v>
      </c>
      <c r="M67" s="57">
        <f>_xlfn.XLOOKUP(E67,'③新店考核-B-a-②呈现-业绩明细表-③'!B:B,'③新店考核-B-a-②呈现-业绩明细表-③'!G:G,0)</f>
        <v>0</v>
      </c>
      <c r="N67" s="58" t="str">
        <f>LOOKUP(M67,'②提成标准-B-a-①-增加'!$M$1:$M$4,'②提成标准-B-a-①-增加'!$O$1:$O$4)</f>
        <v>同老店</v>
      </c>
      <c r="O67" s="57">
        <f>_xlfn.XLOOKUP(E67,'③新店考核-B-a-②呈现-业绩明细表-③'!B:B,'③新店考核-B-a-②呈现-业绩明细表-③'!H:H,0)</f>
        <v>0</v>
      </c>
      <c r="P67" s="57">
        <f t="shared" si="3"/>
        <v>11154.25</v>
      </c>
      <c r="Q67" s="53">
        <f>_xlfn.XLOOKUP(E67,'④考勤-B-a-26考勤汇总表'!D:D,'④考勤-B-a-26考勤汇总表'!AP:AP,0)</f>
        <v>31</v>
      </c>
      <c r="R67" s="53" t="str">
        <f t="shared" si="9"/>
        <v/>
      </c>
      <c r="S67" s="53">
        <f t="shared" si="10"/>
        <v>34659.15</v>
      </c>
      <c r="T67" s="53">
        <v>11154.25</v>
      </c>
      <c r="U67" s="53">
        <v>22504.9</v>
      </c>
      <c r="V67" s="53">
        <v>1000</v>
      </c>
      <c r="W67" s="53">
        <f>_xlfn.XLOOKUP(E67,'⑤项目数-B-a-③消耗明细表'!C:C,'⑤项目数-B-a-③消耗明细表'!E:E,0)</f>
        <v>5717.98</v>
      </c>
      <c r="X67" s="53">
        <f>_xlfn.XLOOKUP(E67,'⑤项目数-B-a-③消耗明细表'!C:C,'⑤项目数-B-a-③消耗明细表'!D:D,0)</f>
        <v>97</v>
      </c>
      <c r="Y67" s="53">
        <f>_xlfn.XLOOKUP(E67,'⑤项目数-B-a-③消耗明细表'!C:C,'⑤项目数-B-a-③消耗明细表'!F:F,0)</f>
        <v>1261</v>
      </c>
      <c r="Z67" s="53">
        <f>_xlfn.XLOOKUP(E67,'⑤项目数-B-a-③消耗明细表'!C:C,'⑤项目数-B-a-③消耗明细表'!G:G,0)</f>
        <v>45</v>
      </c>
      <c r="AA67" s="84">
        <f t="shared" si="4"/>
        <v>1</v>
      </c>
      <c r="AB67" s="84">
        <f t="shared" si="5"/>
        <v>1</v>
      </c>
      <c r="AC67" s="53">
        <f>_xlfn.XLOOKUP(F67,'⑥战队统计表-B-a-②呈现-业绩明细表④'!A:A,'⑥战队统计表-B-a-②呈现-业绩明细表④'!B:B,0)</f>
        <v>3</v>
      </c>
      <c r="AD67" s="53" t="str">
        <f t="shared" si="11"/>
        <v/>
      </c>
      <c r="AE67" s="59">
        <f>IF(AD67="",_xlfn.XLOOKUP(F67,'⑥战队统计表-B-a-②呈现-业绩明细表④'!A:A,'⑥战队统计表-B-a-②呈现-业绩明细表④'!D:D,0),0)</f>
        <v>0.04</v>
      </c>
      <c r="AF67" s="85">
        <f>IF(AND(E67="T区",E67="门店T区"),"",IF(AD67="",0,IF(R67="",LOOKUP(S67,'②提成标准-B-a-①-增加'!$B$16:$B$20,'②提成标准-B-a-①-增加'!$D$16:$D$20),LOOKUP(S67/Q67,'②提成标准-B-a-①-增加'!$B$23:$B$27,'②提成标准-B-a-①-增加'!$D$23:$D$27))))</f>
        <v>0</v>
      </c>
      <c r="AG67" s="85">
        <f t="shared" si="6"/>
        <v>0.04</v>
      </c>
      <c r="AH67" s="60">
        <f t="shared" si="12"/>
        <v>423.86149999999998</v>
      </c>
      <c r="AI67" s="86">
        <f t="shared" si="13"/>
        <v>555.87103000000002</v>
      </c>
      <c r="AJ67" s="60">
        <f t="shared" si="14"/>
        <v>979.73253</v>
      </c>
      <c r="AK67" s="87">
        <f>IF(AB67=1,IFERROR(S67/VLOOKUP(F67,'⑥战队统计表-B-a-②呈现-业绩明细表④'!A:C,3,0),0),0)</f>
        <v>0.53544762572745264</v>
      </c>
      <c r="AL67" s="85" t="str">
        <f t="shared" si="7"/>
        <v/>
      </c>
      <c r="AM67" s="53" t="str">
        <f>IF(D67="顾问",_xlfn.XLOOKUP(F67,'⑥战队统计表-B-a-②呈现-业绩明细表④'!A:A,'⑥战队统计表-B-a-②呈现-业绩明细表④'!H:H,0),"")</f>
        <v/>
      </c>
      <c r="AN67" s="53" t="str">
        <f t="shared" si="8"/>
        <v>大源+冲锋队</v>
      </c>
    </row>
    <row r="68" spans="1:40" hidden="1" x14ac:dyDescent="0.15">
      <c r="A68" s="79" t="s">
        <v>428</v>
      </c>
      <c r="B68" s="80" t="s">
        <v>90</v>
      </c>
      <c r="C68" s="81" t="s">
        <v>37</v>
      </c>
      <c r="D68" s="82" t="s">
        <v>6</v>
      </c>
      <c r="E68" s="82" t="s">
        <v>433</v>
      </c>
      <c r="F68" s="53" t="str">
        <f t="shared" si="1"/>
        <v>大源+冲锋队</v>
      </c>
      <c r="G68" s="53">
        <f>IFERROR(_xlfn.XLOOKUP(B68,'①门店信息-A-a-①-增加'!B:B,'①门店信息-A-a-①-增加'!E:E,0),"")</f>
        <v>0</v>
      </c>
      <c r="H68" s="54">
        <f>_xlfn.XLOOKUP(B68,'①门店信息-A-a-①-增加'!B:B,'①门店信息-A-a-①-增加'!F:F,0)</f>
        <v>0</v>
      </c>
      <c r="I68" s="55">
        <f>_xlfn.XLOOKUP(E68,'③新店考核-B-a-②呈现-业绩明细表-③'!B:B,'③新店考核-B-a-②呈现-业绩明细表-③'!E:E,0)</f>
        <v>0</v>
      </c>
      <c r="J68" s="54">
        <f>_xlfn.XLOOKUP(E68,'③新店考核-B-a-②呈现-业绩明细表-③'!B:B,'③新店考核-B-a-②呈现-业绩明细表-③'!F:F,0)</f>
        <v>0</v>
      </c>
      <c r="K68" s="55">
        <f>IF(H68="新店一阶段",LOOKUP(I68,'②提成标准-B-a-①-增加'!$M$9:$M$12,'②提成标准-B-a-①-增加'!$O$9:$O$12),0)</f>
        <v>0</v>
      </c>
      <c r="L68" s="56">
        <f t="shared" si="2"/>
        <v>7590</v>
      </c>
      <c r="M68" s="57">
        <f>_xlfn.XLOOKUP(E68,'③新店考核-B-a-②呈现-业绩明细表-③'!B:B,'③新店考核-B-a-②呈现-业绩明细表-③'!G:G,0)</f>
        <v>0</v>
      </c>
      <c r="N68" s="58" t="str">
        <f>LOOKUP(M68,'②提成标准-B-a-①-增加'!$M$1:$M$4,'②提成标准-B-a-①-增加'!$O$1:$O$4)</f>
        <v>同老店</v>
      </c>
      <c r="O68" s="57">
        <f>_xlfn.XLOOKUP(E68,'③新店考核-B-a-②呈现-业绩明细表-③'!B:B,'③新店考核-B-a-②呈现-业绩明细表-③'!H:H,0)</f>
        <v>0</v>
      </c>
      <c r="P68" s="57">
        <f t="shared" si="3"/>
        <v>7590</v>
      </c>
      <c r="Q68" s="53">
        <f>_xlfn.XLOOKUP(E68,'④考勤-B-a-26考勤汇总表'!D:D,'④考勤-B-a-26考勤汇总表'!AP:AP,0)</f>
        <v>22</v>
      </c>
      <c r="R68" s="53" t="str">
        <f t="shared" si="9"/>
        <v>不足月</v>
      </c>
      <c r="S68" s="53">
        <f t="shared" si="10"/>
        <v>9372.5</v>
      </c>
      <c r="T68" s="53">
        <v>7590</v>
      </c>
      <c r="U68" s="53">
        <v>1782.5</v>
      </c>
      <c r="V68" s="53">
        <v>0</v>
      </c>
      <c r="W68" s="53">
        <f>_xlfn.XLOOKUP(E68,'⑤项目数-B-a-③消耗明细表'!C:C,'⑤项目数-B-a-③消耗明细表'!E:E,0)</f>
        <v>1887.22</v>
      </c>
      <c r="X68" s="53">
        <f>_xlfn.XLOOKUP(E68,'⑤项目数-B-a-③消耗明细表'!C:C,'⑤项目数-B-a-③消耗明细表'!D:D,0)</f>
        <v>36</v>
      </c>
      <c r="Y68" s="53">
        <f>_xlfn.XLOOKUP(E68,'⑤项目数-B-a-③消耗明细表'!C:C,'⑤项目数-B-a-③消耗明细表'!F:F,0)</f>
        <v>508</v>
      </c>
      <c r="Z68" s="53">
        <f>_xlfn.XLOOKUP(E68,'⑤项目数-B-a-③消耗明细表'!C:C,'⑤项目数-B-a-③消耗明细表'!G:G,0)</f>
        <v>0</v>
      </c>
      <c r="AA68" s="84">
        <f t="shared" si="4"/>
        <v>1</v>
      </c>
      <c r="AB68" s="84">
        <f t="shared" si="5"/>
        <v>1</v>
      </c>
      <c r="AC68" s="53">
        <f>_xlfn.XLOOKUP(F68,'⑥战队统计表-B-a-②呈现-业绩明细表④'!A:A,'⑥战队统计表-B-a-②呈现-业绩明细表④'!B:B,0)</f>
        <v>3</v>
      </c>
      <c r="AD68" s="53" t="str">
        <f t="shared" si="11"/>
        <v/>
      </c>
      <c r="AE68" s="59">
        <f>IF(AD68="",_xlfn.XLOOKUP(F68,'⑥战队统计表-B-a-②呈现-业绩明细表④'!A:A,'⑥战队统计表-B-a-②呈现-业绩明细表④'!D:D,0),0)</f>
        <v>0.04</v>
      </c>
      <c r="AF68" s="85">
        <f>IF(AND(E68="T区",E68="门店T区"),"",IF(AD68="",0,IF(R68="",LOOKUP(S68,'②提成标准-B-a-①-增加'!$B$16:$B$20,'②提成标准-B-a-①-增加'!$D$16:$D$20),LOOKUP(S68/Q68,'②提成标准-B-a-①-增加'!$B$23:$B$27,'②提成标准-B-a-①-增加'!$D$23:$D$27))))</f>
        <v>0</v>
      </c>
      <c r="AG68" s="85">
        <f t="shared" si="6"/>
        <v>0.04</v>
      </c>
      <c r="AH68" s="60">
        <f t="shared" si="12"/>
        <v>288.42</v>
      </c>
      <c r="AI68" s="86">
        <f t="shared" si="13"/>
        <v>44.027750000000005</v>
      </c>
      <c r="AJ68" s="60">
        <f t="shared" si="14"/>
        <v>332.44775000000004</v>
      </c>
      <c r="AK68" s="87">
        <f>IF(AB68=1,IFERROR(S68/VLOOKUP(F68,'⑥战队统计表-B-a-②呈现-业绩明细表④'!A:C,3,0),0),0)</f>
        <v>0.14479532452845928</v>
      </c>
      <c r="AL68" s="85" t="str">
        <f t="shared" si="7"/>
        <v/>
      </c>
      <c r="AM68" s="53" t="str">
        <f>IF(D68="顾问",_xlfn.XLOOKUP(F68,'⑥战队统计表-B-a-②呈现-业绩明细表④'!A:A,'⑥战队统计表-B-a-②呈现-业绩明细表④'!H:H,0),"")</f>
        <v/>
      </c>
      <c r="AN68" s="53" t="str">
        <f t="shared" si="8"/>
        <v>大源+冲锋队</v>
      </c>
    </row>
    <row r="69" spans="1:40" hidden="1" x14ac:dyDescent="0.15">
      <c r="A69" s="79" t="s">
        <v>428</v>
      </c>
      <c r="B69" s="80" t="s">
        <v>90</v>
      </c>
      <c r="C69" s="81" t="s">
        <v>36</v>
      </c>
      <c r="D69" s="82" t="s">
        <v>36</v>
      </c>
      <c r="E69" s="82" t="s">
        <v>36</v>
      </c>
      <c r="F69" s="53" t="str">
        <f t="shared" si="1"/>
        <v>大源+T区</v>
      </c>
      <c r="G69" s="53">
        <f>IFERROR(_xlfn.XLOOKUP(B69,'①门店信息-A-a-①-增加'!B:B,'①门店信息-A-a-①-增加'!E:E,0),"")</f>
        <v>0</v>
      </c>
      <c r="H69" s="54">
        <f>_xlfn.XLOOKUP(B69,'①门店信息-A-a-①-增加'!B:B,'①门店信息-A-a-①-增加'!F:F,0)</f>
        <v>0</v>
      </c>
      <c r="I69" s="55">
        <f>_xlfn.XLOOKUP(E69,'③新店考核-B-a-②呈现-业绩明细表-③'!B:B,'③新店考核-B-a-②呈现-业绩明细表-③'!E:E,0)</f>
        <v>0</v>
      </c>
      <c r="J69" s="54">
        <f>_xlfn.XLOOKUP(E69,'③新店考核-B-a-②呈现-业绩明细表-③'!B:B,'③新店考核-B-a-②呈现-业绩明细表-③'!F:F,0)</f>
        <v>0</v>
      </c>
      <c r="K69" s="55">
        <f>IF(H69="新店一阶段",LOOKUP(I69,'②提成标准-B-a-①-增加'!$M$9:$M$12,'②提成标准-B-a-①-增加'!$O$9:$O$12),0)</f>
        <v>0</v>
      </c>
      <c r="L69" s="56">
        <f t="shared" si="2"/>
        <v>0</v>
      </c>
      <c r="M69" s="57">
        <f>_xlfn.XLOOKUP(E69,'③新店考核-B-a-②呈现-业绩明细表-③'!B:B,'③新店考核-B-a-②呈现-业绩明细表-③'!G:G,0)</f>
        <v>0</v>
      </c>
      <c r="N69" s="58" t="str">
        <f>LOOKUP(M69,'②提成标准-B-a-①-增加'!$M$1:$M$4,'②提成标准-B-a-①-增加'!$O$1:$O$4)</f>
        <v>同老店</v>
      </c>
      <c r="O69" s="57">
        <f>_xlfn.XLOOKUP(E69,'③新店考核-B-a-②呈现-业绩明细表-③'!B:B,'③新店考核-B-a-②呈现-业绩明细表-③'!H:H,0)</f>
        <v>0</v>
      </c>
      <c r="P69" s="57">
        <f t="shared" si="3"/>
        <v>0</v>
      </c>
      <c r="Q69" s="53">
        <f>_xlfn.XLOOKUP(E69,'④考勤-B-a-26考勤汇总表'!D:D,'④考勤-B-a-26考勤汇总表'!AP:AP,0)</f>
        <v>0</v>
      </c>
      <c r="R69" s="53" t="str">
        <f t="shared" si="9"/>
        <v/>
      </c>
      <c r="S69" s="53">
        <f t="shared" si="10"/>
        <v>0</v>
      </c>
      <c r="T69" s="53">
        <v>0</v>
      </c>
      <c r="U69" s="53">
        <v>0</v>
      </c>
      <c r="V69" s="53">
        <v>0</v>
      </c>
      <c r="W69" s="53">
        <f>_xlfn.XLOOKUP(E69,'⑤项目数-B-a-③消耗明细表'!C:C,'⑤项目数-B-a-③消耗明细表'!E:E,0)</f>
        <v>0</v>
      </c>
      <c r="X69" s="53">
        <f>_xlfn.XLOOKUP(E69,'⑤项目数-B-a-③消耗明细表'!C:C,'⑤项目数-B-a-③消耗明细表'!D:D,0)</f>
        <v>0</v>
      </c>
      <c r="Y69" s="53">
        <f>_xlfn.XLOOKUP(E69,'⑤项目数-B-a-③消耗明细表'!C:C,'⑤项目数-B-a-③消耗明细表'!F:F,0)</f>
        <v>0</v>
      </c>
      <c r="Z69" s="53">
        <f>_xlfn.XLOOKUP(E69,'⑤项目数-B-a-③消耗明细表'!C:C,'⑤项目数-B-a-③消耗明细表'!G:G,0)</f>
        <v>0</v>
      </c>
      <c r="AA69" s="84" t="str">
        <f t="shared" si="4"/>
        <v>不属于战队</v>
      </c>
      <c r="AB69" s="84">
        <f t="shared" si="5"/>
        <v>0</v>
      </c>
      <c r="AC69" s="53">
        <f>_xlfn.XLOOKUP(F69,'⑥战队统计表-B-a-②呈现-业绩明细表④'!A:A,'⑥战队统计表-B-a-②呈现-业绩明细表④'!B:B,0)</f>
        <v>0</v>
      </c>
      <c r="AD69" s="53">
        <f t="shared" si="11"/>
        <v>1</v>
      </c>
      <c r="AE69" s="59">
        <f>IF(AD69="",_xlfn.XLOOKUP(F69,'⑥战队统计表-B-a-②呈现-业绩明细表④'!A:A,'⑥战队统计表-B-a-②呈现-业绩明细表④'!D:D,0),0)</f>
        <v>0</v>
      </c>
      <c r="AF69" s="85">
        <f>IF(AND(E69="T区",E69="门店T区"),"",IF(AD69="",0,IF(R69="",LOOKUP(S69,'②提成标准-B-a-①-增加'!$B$16:$B$20,'②提成标准-B-a-①-增加'!$D$16:$D$20),LOOKUP(S69/Q69,'②提成标准-B-a-①-增加'!$B$23:$B$27,'②提成标准-B-a-①-增加'!$D$23:$D$27))))</f>
        <v>0</v>
      </c>
      <c r="AG69" s="85">
        <f t="shared" si="6"/>
        <v>0</v>
      </c>
      <c r="AH69" s="60">
        <f t="shared" si="12"/>
        <v>0</v>
      </c>
      <c r="AI69" s="86">
        <f t="shared" si="13"/>
        <v>0</v>
      </c>
      <c r="AJ69" s="60">
        <f t="shared" si="14"/>
        <v>0</v>
      </c>
      <c r="AK69" s="87">
        <f>IF(AB69=1,IFERROR(S69/VLOOKUP(F69,'⑥战队统计表-B-a-②呈现-业绩明细表④'!A:C,3,0),0),0)</f>
        <v>0</v>
      </c>
      <c r="AL69" s="85" t="str">
        <f t="shared" si="7"/>
        <v/>
      </c>
      <c r="AM69" s="53" t="str">
        <f>IF(D69="顾问",_xlfn.XLOOKUP(F69,'⑥战队统计表-B-a-②呈现-业绩明细表④'!A:A,'⑥战队统计表-B-a-②呈现-业绩明细表④'!H:H,0),"")</f>
        <v/>
      </c>
      <c r="AN69" s="53" t="str">
        <f t="shared" si="8"/>
        <v>单人</v>
      </c>
    </row>
    <row r="70" spans="1:40" hidden="1" x14ac:dyDescent="0.15">
      <c r="A70" s="79" t="s">
        <v>428</v>
      </c>
      <c r="B70" s="80" t="s">
        <v>90</v>
      </c>
      <c r="C70" s="81" t="s">
        <v>93</v>
      </c>
      <c r="D70" s="82" t="s">
        <v>32</v>
      </c>
      <c r="E70" s="82" t="s">
        <v>94</v>
      </c>
      <c r="F70" s="53" t="str">
        <f t="shared" ref="F70:F131" si="15">B70&amp;"+"&amp;C70</f>
        <v>大源+野狼队</v>
      </c>
      <c r="G70" s="53">
        <f>IFERROR(_xlfn.XLOOKUP(B70,'①门店信息-A-a-①-增加'!B:B,'①门店信息-A-a-①-增加'!E:E,0),"")</f>
        <v>0</v>
      </c>
      <c r="H70" s="54">
        <f>_xlfn.XLOOKUP(B70,'①门店信息-A-a-①-增加'!B:B,'①门店信息-A-a-①-增加'!F:F,0)</f>
        <v>0</v>
      </c>
      <c r="I70" s="55">
        <f>_xlfn.XLOOKUP(E70,'③新店考核-B-a-②呈现-业绩明细表-③'!B:B,'③新店考核-B-a-②呈现-业绩明细表-③'!E:E,0)</f>
        <v>0</v>
      </c>
      <c r="J70" s="54">
        <f>_xlfn.XLOOKUP(E70,'③新店考核-B-a-②呈现-业绩明细表-③'!B:B,'③新店考核-B-a-②呈现-业绩明细表-③'!F:F,0)</f>
        <v>0</v>
      </c>
      <c r="K70" s="55">
        <f>IF(H70="新店一阶段",LOOKUP(I70,'②提成标准-B-a-①-增加'!$M$9:$M$12,'②提成标准-B-a-①-增加'!$O$9:$O$12),0)</f>
        <v>0</v>
      </c>
      <c r="L70" s="56">
        <f t="shared" ref="L70:L131" si="16">T70-J70</f>
        <v>6188</v>
      </c>
      <c r="M70" s="57">
        <f>_xlfn.XLOOKUP(E70,'③新店考核-B-a-②呈现-业绩明细表-③'!B:B,'③新店考核-B-a-②呈现-业绩明细表-③'!G:G,0)</f>
        <v>0</v>
      </c>
      <c r="N70" s="58" t="str">
        <f>LOOKUP(M70,'②提成标准-B-a-①-增加'!$M$1:$M$4,'②提成标准-B-a-①-增加'!$O$1:$O$4)</f>
        <v>同老店</v>
      </c>
      <c r="O70" s="57">
        <f>_xlfn.XLOOKUP(E70,'③新店考核-B-a-②呈现-业绩明细表-③'!B:B,'③新店考核-B-a-②呈现-业绩明细表-③'!H:H,0)</f>
        <v>0</v>
      </c>
      <c r="P70" s="57">
        <f t="shared" ref="P70:P131" si="17">T70-O70</f>
        <v>6188</v>
      </c>
      <c r="Q70" s="53">
        <f>_xlfn.XLOOKUP(E70,'④考勤-B-a-26考勤汇总表'!D:D,'④考勤-B-a-26考勤汇总表'!AP:AP,0)</f>
        <v>31</v>
      </c>
      <c r="R70" s="53" t="str">
        <f t="shared" si="9"/>
        <v/>
      </c>
      <c r="S70" s="53">
        <f t="shared" si="10"/>
        <v>33524</v>
      </c>
      <c r="T70" s="53">
        <v>6188</v>
      </c>
      <c r="U70" s="53">
        <v>27336</v>
      </c>
      <c r="V70" s="53">
        <v>0</v>
      </c>
      <c r="W70" s="53">
        <f>_xlfn.XLOOKUP(E70,'⑤项目数-B-a-③消耗明细表'!C:C,'⑤项目数-B-a-③消耗明细表'!E:E,0)</f>
        <v>9214.99</v>
      </c>
      <c r="X70" s="53">
        <f>_xlfn.XLOOKUP(E70,'⑤项目数-B-a-③消耗明细表'!C:C,'⑤项目数-B-a-③消耗明细表'!D:D,0)</f>
        <v>96</v>
      </c>
      <c r="Y70" s="53">
        <f>_xlfn.XLOOKUP(E70,'⑤项目数-B-a-③消耗明细表'!C:C,'⑤项目数-B-a-③消耗明细表'!F:F,0)</f>
        <v>1186</v>
      </c>
      <c r="Z70" s="53">
        <f>_xlfn.XLOOKUP(E70,'⑤项目数-B-a-③消耗明细表'!C:C,'⑤项目数-B-a-③消耗明细表'!G:G,0)</f>
        <v>90</v>
      </c>
      <c r="AA70" s="84">
        <f t="shared" ref="AA70:AA101" si="18">IF(G70="新店","新店",IF(C70="单人","单人",IF(OR(C70="T区",C70="单人",G70="新店"),"不属于战队",1)))</f>
        <v>1</v>
      </c>
      <c r="AB70" s="84">
        <f t="shared" ref="AB70:AB101" si="19">IF(AA70=1,IF(Q70&gt;=20,1,0),0)</f>
        <v>1</v>
      </c>
      <c r="AC70" s="53">
        <f>_xlfn.XLOOKUP(F70,'⑥战队统计表-B-a-②呈现-业绩明细表④'!A:A,'⑥战队统计表-B-a-②呈现-业绩明细表④'!B:B,0)</f>
        <v>2</v>
      </c>
      <c r="AD70" s="53" t="str">
        <f t="shared" si="11"/>
        <v/>
      </c>
      <c r="AE70" s="59">
        <f>IF(AD70="",_xlfn.XLOOKUP(F70,'⑥战队统计表-B-a-②呈现-业绩明细表④'!A:A,'⑥战队统计表-B-a-②呈现-业绩明细表④'!D:D,0),0)</f>
        <v>0.04</v>
      </c>
      <c r="AF70" s="85">
        <f>IF(AND(E70="T区",E70="门店T区"),"",IF(AD70="",0,IF(R70="",LOOKUP(S70,'②提成标准-B-a-①-增加'!$B$16:$B$20,'②提成标准-B-a-①-增加'!$D$16:$D$20),LOOKUP(S70/Q70,'②提成标准-B-a-①-增加'!$B$23:$B$27,'②提成标准-B-a-①-增加'!$D$23:$D$27))))</f>
        <v>0</v>
      </c>
      <c r="AG70" s="85">
        <f t="shared" ref="AG70:AG131" si="20">AE70+AF70</f>
        <v>0.04</v>
      </c>
      <c r="AH70" s="60">
        <f t="shared" si="12"/>
        <v>235.14400000000001</v>
      </c>
      <c r="AI70" s="86">
        <f t="shared" si="13"/>
        <v>675.19920000000002</v>
      </c>
      <c r="AJ70" s="60">
        <f t="shared" si="14"/>
        <v>910.34320000000002</v>
      </c>
      <c r="AK70" s="87">
        <f>IF(AB70=1,IFERROR(S70/VLOOKUP(F70,'⑥战队统计表-B-a-②呈现-业绩明细表④'!A:C,3,0),0),0)</f>
        <v>0.59618147932108867</v>
      </c>
      <c r="AL70" s="85">
        <f t="shared" ref="AL70:AL133" si="21">IF(D70="顾问",SUMIFS(AK:AK,$F:$F,F70,$D:$D,"健康师"),"")</f>
        <v>0.40381852067891139</v>
      </c>
      <c r="AM70" s="53">
        <f>IF(D70="顾问",_xlfn.XLOOKUP(F70,'⑥战队统计表-B-a-②呈现-业绩明细表④'!A:A,'⑥战队统计表-B-a-②呈现-业绩明细表④'!H:H,0),"")</f>
        <v>0</v>
      </c>
      <c r="AN70" s="53" t="str">
        <f t="shared" ref="AN70:AN101" si="22">IF(AND(AB70=1,AD70&lt;&gt;1),F70,"单人")</f>
        <v>大源+野狼队</v>
      </c>
    </row>
    <row r="71" spans="1:40" hidden="1" x14ac:dyDescent="0.15">
      <c r="A71" s="79" t="s">
        <v>428</v>
      </c>
      <c r="B71" s="80" t="s">
        <v>90</v>
      </c>
      <c r="C71" s="81" t="s">
        <v>93</v>
      </c>
      <c r="D71" s="82" t="s">
        <v>6</v>
      </c>
      <c r="E71" s="82" t="s">
        <v>95</v>
      </c>
      <c r="F71" s="53" t="str">
        <f t="shared" si="15"/>
        <v>大源+野狼队</v>
      </c>
      <c r="G71" s="53">
        <f>IFERROR(_xlfn.XLOOKUP(B71,'①门店信息-A-a-①-增加'!B:B,'①门店信息-A-a-①-增加'!E:E,0),"")</f>
        <v>0</v>
      </c>
      <c r="H71" s="54">
        <f>_xlfn.XLOOKUP(B71,'①门店信息-A-a-①-增加'!B:B,'①门店信息-A-a-①-增加'!F:F,0)</f>
        <v>0</v>
      </c>
      <c r="I71" s="55">
        <f>_xlfn.XLOOKUP(E71,'③新店考核-B-a-②呈现-业绩明细表-③'!B:B,'③新店考核-B-a-②呈现-业绩明细表-③'!E:E,0)</f>
        <v>0</v>
      </c>
      <c r="J71" s="54">
        <f>_xlfn.XLOOKUP(E71,'③新店考核-B-a-②呈现-业绩明细表-③'!B:B,'③新店考核-B-a-②呈现-业绩明细表-③'!F:F,0)</f>
        <v>0</v>
      </c>
      <c r="K71" s="55">
        <f>IF(H71="新店一阶段",LOOKUP(I71,'②提成标准-B-a-①-增加'!$M$9:$M$12,'②提成标准-B-a-①-增加'!$O$9:$O$12),0)</f>
        <v>0</v>
      </c>
      <c r="L71" s="56">
        <f t="shared" si="16"/>
        <v>5727</v>
      </c>
      <c r="M71" s="57">
        <f>_xlfn.XLOOKUP(E71,'③新店考核-B-a-②呈现-业绩明细表-③'!B:B,'③新店考核-B-a-②呈现-业绩明细表-③'!G:G,0)</f>
        <v>0</v>
      </c>
      <c r="N71" s="58" t="str">
        <f>LOOKUP(M71,'②提成标准-B-a-①-增加'!$M$1:$M$4,'②提成标准-B-a-①-增加'!$O$1:$O$4)</f>
        <v>同老店</v>
      </c>
      <c r="O71" s="57">
        <f>_xlfn.XLOOKUP(E71,'③新店考核-B-a-②呈现-业绩明细表-③'!B:B,'③新店考核-B-a-②呈现-业绩明细表-③'!H:H,0)</f>
        <v>0</v>
      </c>
      <c r="P71" s="57">
        <f t="shared" si="17"/>
        <v>5727</v>
      </c>
      <c r="Q71" s="53">
        <f>_xlfn.XLOOKUP(E71,'④考勤-B-a-26考勤汇总表'!D:D,'④考勤-B-a-26考勤汇总表'!AP:AP,0)</f>
        <v>31</v>
      </c>
      <c r="R71" s="53" t="str">
        <f t="shared" ref="R71:R134" si="23">IF(Q71=0,"",IF(Q71&lt;$R$1,"不足月",""))</f>
        <v/>
      </c>
      <c r="S71" s="53">
        <f t="shared" ref="S71:S132" si="24">T71+U71+V71</f>
        <v>22707.200000000001</v>
      </c>
      <c r="T71" s="53">
        <v>5727</v>
      </c>
      <c r="U71" s="53">
        <v>15472.2</v>
      </c>
      <c r="V71" s="53">
        <v>1508</v>
      </c>
      <c r="W71" s="53">
        <f>_xlfn.XLOOKUP(E71,'⑤项目数-B-a-③消耗明细表'!C:C,'⑤项目数-B-a-③消耗明细表'!E:E,0)</f>
        <v>14187.07</v>
      </c>
      <c r="X71" s="53">
        <f>_xlfn.XLOOKUP(E71,'⑤项目数-B-a-③消耗明细表'!C:C,'⑤项目数-B-a-③消耗明细表'!D:D,0)</f>
        <v>122</v>
      </c>
      <c r="Y71" s="53">
        <f>_xlfn.XLOOKUP(E71,'⑤项目数-B-a-③消耗明细表'!C:C,'⑤项目数-B-a-③消耗明细表'!F:F,0)</f>
        <v>1615</v>
      </c>
      <c r="Z71" s="53">
        <f>_xlfn.XLOOKUP(E71,'⑤项目数-B-a-③消耗明细表'!C:C,'⑤项目数-B-a-③消耗明细表'!G:G,0)</f>
        <v>120</v>
      </c>
      <c r="AA71" s="84">
        <f t="shared" si="18"/>
        <v>1</v>
      </c>
      <c r="AB71" s="84">
        <f t="shared" si="19"/>
        <v>1</v>
      </c>
      <c r="AC71" s="53">
        <f>_xlfn.XLOOKUP(F71,'⑥战队统计表-B-a-②呈现-业绩明细表④'!A:A,'⑥战队统计表-B-a-②呈现-业绩明细表④'!B:B,0)</f>
        <v>2</v>
      </c>
      <c r="AD71" s="53" t="str">
        <f t="shared" ref="AD71:AD132" si="25">IF(OR(AA71="单人",AA71="新店",AC71&lt;=1,AB71=0),1,"")</f>
        <v/>
      </c>
      <c r="AE71" s="59">
        <f>IF(AD71="",_xlfn.XLOOKUP(F71,'⑥战队统计表-B-a-②呈现-业绩明细表④'!A:A,'⑥战队统计表-B-a-②呈现-业绩明细表④'!D:D,0),0)</f>
        <v>0.04</v>
      </c>
      <c r="AF71" s="85">
        <f>IF(AND(E71="T区",E71="门店T区"),"",IF(AD71="",0,IF(R71="",LOOKUP(S71,'②提成标准-B-a-①-增加'!$B$16:$B$20,'②提成标准-B-a-①-增加'!$D$16:$D$20),LOOKUP(S71/Q71,'②提成标准-B-a-①-增加'!$B$23:$B$27,'②提成标准-B-a-①-增加'!$D$23:$D$27))))</f>
        <v>0</v>
      </c>
      <c r="AG71" s="85">
        <f t="shared" si="20"/>
        <v>0.04</v>
      </c>
      <c r="AH71" s="60">
        <f t="shared" ref="AH71:AH134" si="26">IF(D71="门店T区",0,IF(H71="新店一阶段",J71*K71*0.95+L71*AF71*0.95,IF(N71="同老店",IF(AND($E$6="T区",$E$6="门店T区"),"",AG71*T71*0.95),O71*N71*0.95+P71*0.95*AG71)))</f>
        <v>217.626</v>
      </c>
      <c r="AI71" s="86">
        <f t="shared" ref="AI71:AI134" si="27">IF(D71="门店T区",0,IF(AND($E$6="T区",$E$6="门店T区"),"",AG71*U71*0.95*0.65))</f>
        <v>382.16334000000006</v>
      </c>
      <c r="AJ71" s="60">
        <f t="shared" ref="AJ71:AJ132" si="28">AI71+AH71</f>
        <v>599.78934000000004</v>
      </c>
      <c r="AK71" s="87">
        <f>IF(AB71=1,IFERROR(S71/VLOOKUP(F71,'⑥战队统计表-B-a-②呈现-业绩明细表④'!A:C,3,0),0),0)</f>
        <v>0.40381852067891139</v>
      </c>
      <c r="AL71" s="85" t="str">
        <f t="shared" si="21"/>
        <v/>
      </c>
      <c r="AM71" s="53" t="str">
        <f>IF(D71="顾问",_xlfn.XLOOKUP(F71,'⑥战队统计表-B-a-②呈现-业绩明细表④'!A:A,'⑥战队统计表-B-a-②呈现-业绩明细表④'!H:H,0),"")</f>
        <v/>
      </c>
      <c r="AN71" s="53" t="str">
        <f t="shared" si="22"/>
        <v>大源+野狼队</v>
      </c>
    </row>
    <row r="72" spans="1:40" hidden="1" x14ac:dyDescent="0.15">
      <c r="A72" s="79" t="s">
        <v>428</v>
      </c>
      <c r="B72" s="80" t="s">
        <v>90</v>
      </c>
      <c r="C72" s="81" t="s">
        <v>36</v>
      </c>
      <c r="D72" s="82" t="s">
        <v>36</v>
      </c>
      <c r="E72" s="82" t="s">
        <v>36</v>
      </c>
      <c r="F72" s="53" t="str">
        <f t="shared" si="15"/>
        <v>大源+T区</v>
      </c>
      <c r="G72" s="53">
        <f>IFERROR(_xlfn.XLOOKUP(B72,'①门店信息-A-a-①-增加'!B:B,'①门店信息-A-a-①-增加'!E:E,0),"")</f>
        <v>0</v>
      </c>
      <c r="H72" s="54">
        <f>_xlfn.XLOOKUP(B72,'①门店信息-A-a-①-增加'!B:B,'①门店信息-A-a-①-增加'!F:F,0)</f>
        <v>0</v>
      </c>
      <c r="I72" s="55">
        <f>_xlfn.XLOOKUP(E72,'③新店考核-B-a-②呈现-业绩明细表-③'!B:B,'③新店考核-B-a-②呈现-业绩明细表-③'!E:E,0)</f>
        <v>0</v>
      </c>
      <c r="J72" s="54">
        <f>_xlfn.XLOOKUP(E72,'③新店考核-B-a-②呈现-业绩明细表-③'!B:B,'③新店考核-B-a-②呈现-业绩明细表-③'!F:F,0)</f>
        <v>0</v>
      </c>
      <c r="K72" s="55">
        <f>IF(H72="新店一阶段",LOOKUP(I72,'②提成标准-B-a-①-增加'!$M$9:$M$12,'②提成标准-B-a-①-增加'!$O$9:$O$12),0)</f>
        <v>0</v>
      </c>
      <c r="L72" s="56">
        <f t="shared" si="16"/>
        <v>0</v>
      </c>
      <c r="M72" s="57">
        <f>_xlfn.XLOOKUP(E72,'③新店考核-B-a-②呈现-业绩明细表-③'!B:B,'③新店考核-B-a-②呈现-业绩明细表-③'!G:G,0)</f>
        <v>0</v>
      </c>
      <c r="N72" s="58" t="str">
        <f>LOOKUP(M72,'②提成标准-B-a-①-增加'!$M$1:$M$4,'②提成标准-B-a-①-增加'!$O$1:$O$4)</f>
        <v>同老店</v>
      </c>
      <c r="O72" s="57">
        <f>_xlfn.XLOOKUP(E72,'③新店考核-B-a-②呈现-业绩明细表-③'!B:B,'③新店考核-B-a-②呈现-业绩明细表-③'!H:H,0)</f>
        <v>0</v>
      </c>
      <c r="P72" s="57">
        <f t="shared" si="17"/>
        <v>0</v>
      </c>
      <c r="Q72" s="53">
        <f>_xlfn.XLOOKUP(E72,'④考勤-B-a-26考勤汇总表'!D:D,'④考勤-B-a-26考勤汇总表'!AP:AP,0)</f>
        <v>0</v>
      </c>
      <c r="R72" s="53" t="str">
        <f t="shared" si="23"/>
        <v/>
      </c>
      <c r="S72" s="53">
        <f t="shared" si="24"/>
        <v>0</v>
      </c>
      <c r="T72" s="53">
        <v>0</v>
      </c>
      <c r="U72" s="53">
        <v>0</v>
      </c>
      <c r="V72" s="53">
        <v>0</v>
      </c>
      <c r="W72" s="53">
        <f>_xlfn.XLOOKUP(E72,'⑤项目数-B-a-③消耗明细表'!C:C,'⑤项目数-B-a-③消耗明细表'!E:E,0)</f>
        <v>0</v>
      </c>
      <c r="X72" s="53">
        <f>_xlfn.XLOOKUP(E72,'⑤项目数-B-a-③消耗明细表'!C:C,'⑤项目数-B-a-③消耗明细表'!D:D,0)</f>
        <v>0</v>
      </c>
      <c r="Y72" s="53">
        <f>_xlfn.XLOOKUP(E72,'⑤项目数-B-a-③消耗明细表'!C:C,'⑤项目数-B-a-③消耗明细表'!F:F,0)</f>
        <v>0</v>
      </c>
      <c r="Z72" s="53">
        <f>_xlfn.XLOOKUP(E72,'⑤项目数-B-a-③消耗明细表'!C:C,'⑤项目数-B-a-③消耗明细表'!G:G,0)</f>
        <v>0</v>
      </c>
      <c r="AA72" s="84" t="str">
        <f t="shared" si="18"/>
        <v>不属于战队</v>
      </c>
      <c r="AB72" s="84">
        <f t="shared" si="19"/>
        <v>0</v>
      </c>
      <c r="AC72" s="53">
        <f>_xlfn.XLOOKUP(F72,'⑥战队统计表-B-a-②呈现-业绩明细表④'!A:A,'⑥战队统计表-B-a-②呈现-业绩明细表④'!B:B,0)</f>
        <v>0</v>
      </c>
      <c r="AD72" s="53">
        <f t="shared" si="25"/>
        <v>1</v>
      </c>
      <c r="AE72" s="59">
        <f>IF(AD72="",_xlfn.XLOOKUP(F72,'⑥战队统计表-B-a-②呈现-业绩明细表④'!A:A,'⑥战队统计表-B-a-②呈现-业绩明细表④'!D:D,0),0)</f>
        <v>0</v>
      </c>
      <c r="AF72" s="85">
        <f>IF(AND(E72="T区",E72="门店T区"),"",IF(AD72="",0,IF(R72="",LOOKUP(S72,'②提成标准-B-a-①-增加'!$B$16:$B$20,'②提成标准-B-a-①-增加'!$D$16:$D$20),LOOKUP(S72/Q72,'②提成标准-B-a-①-增加'!$B$23:$B$27,'②提成标准-B-a-①-增加'!$D$23:$D$27))))</f>
        <v>0</v>
      </c>
      <c r="AG72" s="85">
        <f t="shared" si="20"/>
        <v>0</v>
      </c>
      <c r="AH72" s="60">
        <f t="shared" si="26"/>
        <v>0</v>
      </c>
      <c r="AI72" s="86">
        <f t="shared" si="27"/>
        <v>0</v>
      </c>
      <c r="AJ72" s="60">
        <f t="shared" si="28"/>
        <v>0</v>
      </c>
      <c r="AK72" s="87">
        <f>IF(AB72=1,IFERROR(S72/VLOOKUP(F72,'⑥战队统计表-B-a-②呈现-业绩明细表④'!A:C,3,0),0),0)</f>
        <v>0</v>
      </c>
      <c r="AL72" s="85" t="str">
        <f t="shared" si="21"/>
        <v/>
      </c>
      <c r="AM72" s="53" t="str">
        <f>IF(D72="顾问",_xlfn.XLOOKUP(F72,'⑥战队统计表-B-a-②呈现-业绩明细表④'!A:A,'⑥战队统计表-B-a-②呈现-业绩明细表④'!H:H,0),"")</f>
        <v/>
      </c>
      <c r="AN72" s="53" t="str">
        <f t="shared" si="22"/>
        <v>单人</v>
      </c>
    </row>
    <row r="73" spans="1:40" hidden="1" x14ac:dyDescent="0.15">
      <c r="A73" s="79" t="s">
        <v>428</v>
      </c>
      <c r="B73" s="80" t="s">
        <v>90</v>
      </c>
      <c r="C73" s="89" t="s">
        <v>40</v>
      </c>
      <c r="D73" s="90" t="s">
        <v>40</v>
      </c>
      <c r="E73" s="88" t="str">
        <f>F73</f>
        <v>大源+门店T区</v>
      </c>
      <c r="F73" s="53" t="str">
        <f t="shared" si="15"/>
        <v>大源+门店T区</v>
      </c>
      <c r="G73" s="53">
        <f>IFERROR(_xlfn.XLOOKUP(B73,'①门店信息-A-a-①-增加'!B:B,'①门店信息-A-a-①-增加'!E:E,0),"")</f>
        <v>0</v>
      </c>
      <c r="H73" s="54">
        <f>_xlfn.XLOOKUP(B73,'①门店信息-A-a-①-增加'!B:B,'①门店信息-A-a-①-增加'!F:F,0)</f>
        <v>0</v>
      </c>
      <c r="I73" s="55">
        <f>_xlfn.XLOOKUP(E73,'③新店考核-B-a-②呈现-业绩明细表-③'!B:B,'③新店考核-B-a-②呈现-业绩明细表-③'!E:E,0)</f>
        <v>0</v>
      </c>
      <c r="J73" s="54">
        <f>_xlfn.XLOOKUP(E73,'③新店考核-B-a-②呈现-业绩明细表-③'!B:B,'③新店考核-B-a-②呈现-业绩明细表-③'!F:F,0)</f>
        <v>0</v>
      </c>
      <c r="K73" s="55">
        <f>IF(H73="新店一阶段",LOOKUP(I73,'②提成标准-B-a-①-增加'!$M$9:$M$12,'②提成标准-B-a-①-增加'!$O$9:$O$12),0)</f>
        <v>0</v>
      </c>
      <c r="L73" s="56">
        <f t="shared" si="16"/>
        <v>-10.9</v>
      </c>
      <c r="M73" s="57">
        <f>_xlfn.XLOOKUP(E73,'③新店考核-B-a-②呈现-业绩明细表-③'!B:B,'③新店考核-B-a-②呈现-业绩明细表-③'!G:G,0)</f>
        <v>0</v>
      </c>
      <c r="N73" s="58" t="str">
        <f>LOOKUP(M73,'②提成标准-B-a-①-增加'!$M$1:$M$4,'②提成标准-B-a-①-增加'!$O$1:$O$4)</f>
        <v>同老店</v>
      </c>
      <c r="O73" s="57">
        <f>_xlfn.XLOOKUP(E73,'③新店考核-B-a-②呈现-业绩明细表-③'!B:B,'③新店考核-B-a-②呈现-业绩明细表-③'!H:H,0)</f>
        <v>0</v>
      </c>
      <c r="P73" s="57">
        <f t="shared" si="17"/>
        <v>-10.9</v>
      </c>
      <c r="Q73" s="53">
        <f>_xlfn.XLOOKUP(E73,'④考勤-B-a-26考勤汇总表'!D:D,'④考勤-B-a-26考勤汇总表'!AP:AP,0)</f>
        <v>0</v>
      </c>
      <c r="R73" s="53" t="str">
        <f t="shared" si="23"/>
        <v/>
      </c>
      <c r="S73" s="53">
        <f t="shared" si="24"/>
        <v>-10.9</v>
      </c>
      <c r="T73" s="53">
        <v>-10.9</v>
      </c>
      <c r="U73" s="53">
        <v>0</v>
      </c>
      <c r="V73" s="53">
        <v>0</v>
      </c>
      <c r="W73" s="53">
        <f>_xlfn.XLOOKUP(E73,'⑤项目数-B-a-③消耗明细表'!C:C,'⑤项目数-B-a-③消耗明细表'!E:E,0)</f>
        <v>0</v>
      </c>
      <c r="X73" s="53">
        <f>_xlfn.XLOOKUP(E73,'⑤项目数-B-a-③消耗明细表'!C:C,'⑤项目数-B-a-③消耗明细表'!D:D,0)</f>
        <v>0</v>
      </c>
      <c r="Y73" s="53">
        <f>_xlfn.XLOOKUP(E73,'⑤项目数-B-a-③消耗明细表'!C:C,'⑤项目数-B-a-③消耗明细表'!F:F,0)</f>
        <v>0</v>
      </c>
      <c r="Z73" s="53">
        <f>_xlfn.XLOOKUP(E73,'⑤项目数-B-a-③消耗明细表'!C:C,'⑤项目数-B-a-③消耗明细表'!G:G,0)</f>
        <v>0</v>
      </c>
      <c r="AA73" s="84">
        <f t="shared" si="18"/>
        <v>1</v>
      </c>
      <c r="AB73" s="84">
        <f t="shared" si="19"/>
        <v>0</v>
      </c>
      <c r="AC73" s="53">
        <f>_xlfn.XLOOKUP(F73,'⑥战队统计表-B-a-②呈现-业绩明细表④'!A:A,'⑥战队统计表-B-a-②呈现-业绩明细表④'!B:B,0)</f>
        <v>0</v>
      </c>
      <c r="AD73" s="53">
        <f t="shared" si="25"/>
        <v>1</v>
      </c>
      <c r="AE73" s="59">
        <f>IF(AD73="",_xlfn.XLOOKUP(F73,'⑥战队统计表-B-a-②呈现-业绩明细表④'!A:A,'⑥战队统计表-B-a-②呈现-业绩明细表④'!D:D,0),0)</f>
        <v>0</v>
      </c>
      <c r="AF73" s="85">
        <f>IF(AND(E73="T区",E73="门店T区"),"",IF(AD73="",0,IF(R73="",LOOKUP(S73,'②提成标准-B-a-①-增加'!$B$16:$B$20,'②提成标准-B-a-①-增加'!$D$16:$D$20),LOOKUP(S73/Q73,'②提成标准-B-a-①-增加'!$B$23:$B$27,'②提成标准-B-a-①-增加'!$D$23:$D$27))))</f>
        <v>0</v>
      </c>
      <c r="AG73" s="85">
        <f t="shared" si="20"/>
        <v>0</v>
      </c>
      <c r="AH73" s="60">
        <f t="shared" si="26"/>
        <v>0</v>
      </c>
      <c r="AI73" s="86">
        <f t="shared" si="27"/>
        <v>0</v>
      </c>
      <c r="AJ73" s="60">
        <f t="shared" si="28"/>
        <v>0</v>
      </c>
      <c r="AK73" s="87">
        <f>IF(AB73=1,IFERROR(S73/VLOOKUP(F73,'⑥战队统计表-B-a-②呈现-业绩明细表④'!A:C,3,0),0),0)</f>
        <v>0</v>
      </c>
      <c r="AL73" s="85" t="str">
        <f t="shared" si="21"/>
        <v/>
      </c>
      <c r="AM73" s="53" t="str">
        <f>IF(D73="顾问",_xlfn.XLOOKUP(F73,'⑥战队统计表-B-a-②呈现-业绩明细表④'!A:A,'⑥战队统计表-B-a-②呈现-业绩明细表④'!H:H,0),"")</f>
        <v/>
      </c>
      <c r="AN73" s="53" t="str">
        <f t="shared" si="22"/>
        <v>单人</v>
      </c>
    </row>
    <row r="74" spans="1:40" hidden="1" x14ac:dyDescent="0.15">
      <c r="A74" s="79" t="s">
        <v>428</v>
      </c>
      <c r="B74" s="98" t="s">
        <v>97</v>
      </c>
      <c r="C74" s="81" t="s">
        <v>434</v>
      </c>
      <c r="D74" s="82" t="s">
        <v>32</v>
      </c>
      <c r="E74" s="82" t="s">
        <v>98</v>
      </c>
      <c r="F74" s="53" t="str">
        <f t="shared" si="15"/>
        <v>保利+霸天虎啸队</v>
      </c>
      <c r="G74" s="53">
        <f>IFERROR(_xlfn.XLOOKUP(B74,'①门店信息-A-a-①-增加'!B:B,'①门店信息-A-a-①-增加'!E:E,0),"")</f>
        <v>0</v>
      </c>
      <c r="H74" s="54">
        <f>_xlfn.XLOOKUP(B74,'①门店信息-A-a-①-增加'!B:B,'①门店信息-A-a-①-增加'!F:F,0)</f>
        <v>0</v>
      </c>
      <c r="I74" s="55">
        <f>_xlfn.XLOOKUP(E74,'③新店考核-B-a-②呈现-业绩明细表-③'!B:B,'③新店考核-B-a-②呈现-业绩明细表-③'!E:E,0)</f>
        <v>0</v>
      </c>
      <c r="J74" s="54">
        <f>_xlfn.XLOOKUP(E74,'③新店考核-B-a-②呈现-业绩明细表-③'!B:B,'③新店考核-B-a-②呈现-业绩明细表-③'!F:F,0)</f>
        <v>0</v>
      </c>
      <c r="K74" s="55">
        <f>IF(H74="新店一阶段",LOOKUP(I74,'②提成标准-B-a-①-增加'!$M$9:$M$12,'②提成标准-B-a-①-增加'!$O$9:$O$12),0)</f>
        <v>0</v>
      </c>
      <c r="L74" s="56">
        <f t="shared" si="16"/>
        <v>36070</v>
      </c>
      <c r="M74" s="57">
        <f>_xlfn.XLOOKUP(E74,'③新店考核-B-a-②呈现-业绩明细表-③'!B:B,'③新店考核-B-a-②呈现-业绩明细表-③'!G:G,0)</f>
        <v>0</v>
      </c>
      <c r="N74" s="58" t="str">
        <f>LOOKUP(M74,'②提成标准-B-a-①-增加'!$M$1:$M$4,'②提成标准-B-a-①-增加'!$O$1:$O$4)</f>
        <v>同老店</v>
      </c>
      <c r="O74" s="57">
        <f>_xlfn.XLOOKUP(E74,'③新店考核-B-a-②呈现-业绩明细表-③'!B:B,'③新店考核-B-a-②呈现-业绩明细表-③'!H:H,0)</f>
        <v>0</v>
      </c>
      <c r="P74" s="57">
        <f t="shared" si="17"/>
        <v>36070</v>
      </c>
      <c r="Q74" s="53">
        <f>_xlfn.XLOOKUP(E74,'④考勤-B-a-26考勤汇总表'!D:D,'④考勤-B-a-26考勤汇总表'!AP:AP,0)</f>
        <v>31</v>
      </c>
      <c r="R74" s="53" t="str">
        <f t="shared" si="23"/>
        <v/>
      </c>
      <c r="S74" s="53">
        <f t="shared" si="24"/>
        <v>55870</v>
      </c>
      <c r="T74" s="53">
        <v>36070</v>
      </c>
      <c r="U74" s="53">
        <v>19800</v>
      </c>
      <c r="V74" s="53">
        <v>0</v>
      </c>
      <c r="W74" s="53">
        <f>_xlfn.XLOOKUP(E74,'⑤项目数-B-a-③消耗明细表'!C:C,'⑤项目数-B-a-③消耗明细表'!E:E,0)</f>
        <v>14027.7</v>
      </c>
      <c r="X74" s="53">
        <f>_xlfn.XLOOKUP(E74,'⑤项目数-B-a-③消耗明细表'!C:C,'⑤项目数-B-a-③消耗明细表'!D:D,0)</f>
        <v>111</v>
      </c>
      <c r="Y74" s="53">
        <f>_xlfn.XLOOKUP(E74,'⑤项目数-B-a-③消耗明细表'!C:C,'⑤项目数-B-a-③消耗明细表'!F:F,0)</f>
        <v>1234</v>
      </c>
      <c r="Z74" s="53">
        <f>_xlfn.XLOOKUP(E74,'⑤项目数-B-a-③消耗明细表'!C:C,'⑤项目数-B-a-③消耗明细表'!G:G,0)</f>
        <v>15</v>
      </c>
      <c r="AA74" s="84">
        <f t="shared" si="18"/>
        <v>1</v>
      </c>
      <c r="AB74" s="84">
        <f t="shared" si="19"/>
        <v>1</v>
      </c>
      <c r="AC74" s="53">
        <f>_xlfn.XLOOKUP(F74,'⑥战队统计表-B-a-②呈现-业绩明细表④'!A:A,'⑥战队统计表-B-a-②呈现-业绩明细表④'!B:B,0)</f>
        <v>2</v>
      </c>
      <c r="AD74" s="53" t="str">
        <f t="shared" si="25"/>
        <v/>
      </c>
      <c r="AE74" s="59">
        <f>IF(AD74="",_xlfn.XLOOKUP(F74,'⑥战队统计表-B-a-②呈现-业绩明细表④'!A:A,'⑥战队统计表-B-a-②呈现-业绩明细表④'!D:D,0),0)</f>
        <v>0.06</v>
      </c>
      <c r="AF74" s="85">
        <f>IF(AND(E74="T区",E74="门店T区"),"",IF(AD74="",0,IF(R74="",LOOKUP(S74,'②提成标准-B-a-①-增加'!$B$16:$B$20,'②提成标准-B-a-①-增加'!$D$16:$D$20),LOOKUP(S74/Q74,'②提成标准-B-a-①-增加'!$B$23:$B$27,'②提成标准-B-a-①-增加'!$D$23:$D$27))))</f>
        <v>0</v>
      </c>
      <c r="AG74" s="85">
        <f t="shared" si="20"/>
        <v>0.06</v>
      </c>
      <c r="AH74" s="60">
        <f t="shared" si="26"/>
        <v>2055.9899999999998</v>
      </c>
      <c r="AI74" s="86">
        <f t="shared" si="27"/>
        <v>733.58999999999992</v>
      </c>
      <c r="AJ74" s="60">
        <f t="shared" si="28"/>
        <v>2789.58</v>
      </c>
      <c r="AK74" s="87">
        <f>IF(AB74=1,IFERROR(S74/VLOOKUP(F74,'⑥战队统计表-B-a-②呈现-业绩明细表④'!A:C,3,0),0),0)</f>
        <v>0.56528940905452585</v>
      </c>
      <c r="AL74" s="85">
        <f t="shared" si="21"/>
        <v>0.4347105909454741</v>
      </c>
      <c r="AM74" s="53">
        <f>IF(D74="顾问",_xlfn.XLOOKUP(F74,'⑥战队统计表-B-a-②呈现-业绩明细表④'!A:A,'⑥战队统计表-B-a-②呈现-业绩明细表④'!H:H,0),"")</f>
        <v>0</v>
      </c>
      <c r="AN74" s="53" t="str">
        <f t="shared" si="22"/>
        <v>保利+霸天虎啸队</v>
      </c>
    </row>
    <row r="75" spans="1:40" hidden="1" x14ac:dyDescent="0.15">
      <c r="A75" s="79" t="s">
        <v>428</v>
      </c>
      <c r="B75" s="98" t="s">
        <v>97</v>
      </c>
      <c r="C75" s="81" t="s">
        <v>434</v>
      </c>
      <c r="D75" s="82" t="s">
        <v>6</v>
      </c>
      <c r="E75" s="82" t="s">
        <v>101</v>
      </c>
      <c r="F75" s="53" t="str">
        <f t="shared" si="15"/>
        <v>保利+霸天虎啸队</v>
      </c>
      <c r="G75" s="53">
        <f>IFERROR(_xlfn.XLOOKUP(B75,'①门店信息-A-a-①-增加'!B:B,'①门店信息-A-a-①-增加'!E:E,0),"")</f>
        <v>0</v>
      </c>
      <c r="H75" s="54">
        <f>_xlfn.XLOOKUP(B75,'①门店信息-A-a-①-增加'!B:B,'①门店信息-A-a-①-增加'!F:F,0)</f>
        <v>0</v>
      </c>
      <c r="I75" s="55">
        <f>_xlfn.XLOOKUP(E75,'③新店考核-B-a-②呈现-业绩明细表-③'!B:B,'③新店考核-B-a-②呈现-业绩明细表-③'!E:E,0)</f>
        <v>0</v>
      </c>
      <c r="J75" s="54">
        <f>_xlfn.XLOOKUP(E75,'③新店考核-B-a-②呈现-业绩明细表-③'!B:B,'③新店考核-B-a-②呈现-业绩明细表-③'!F:F,0)</f>
        <v>0</v>
      </c>
      <c r="K75" s="55">
        <f>IF(H75="新店一阶段",LOOKUP(I75,'②提成标准-B-a-①-增加'!$M$9:$M$12,'②提成标准-B-a-①-增加'!$O$9:$O$12),0)</f>
        <v>0</v>
      </c>
      <c r="L75" s="56">
        <f t="shared" si="16"/>
        <v>42964.33</v>
      </c>
      <c r="M75" s="57">
        <f>_xlfn.XLOOKUP(E75,'③新店考核-B-a-②呈现-业绩明细表-③'!B:B,'③新店考核-B-a-②呈现-业绩明细表-③'!G:G,0)</f>
        <v>0</v>
      </c>
      <c r="N75" s="58" t="str">
        <f>LOOKUP(M75,'②提成标准-B-a-①-增加'!$M$1:$M$4,'②提成标准-B-a-①-增加'!$O$1:$O$4)</f>
        <v>同老店</v>
      </c>
      <c r="O75" s="57">
        <f>_xlfn.XLOOKUP(E75,'③新店考核-B-a-②呈现-业绩明细表-③'!B:B,'③新店考核-B-a-②呈现-业绩明细表-③'!H:H,0)</f>
        <v>0</v>
      </c>
      <c r="P75" s="57">
        <f t="shared" si="17"/>
        <v>42964.33</v>
      </c>
      <c r="Q75" s="53">
        <f>_xlfn.XLOOKUP(E75,'④考勤-B-a-26考勤汇总表'!D:D,'④考勤-B-a-26考勤汇总表'!AP:AP,0)</f>
        <v>31</v>
      </c>
      <c r="R75" s="53" t="str">
        <f t="shared" si="23"/>
        <v/>
      </c>
      <c r="S75" s="53">
        <f t="shared" si="24"/>
        <v>42964.33</v>
      </c>
      <c r="T75" s="53">
        <v>42964.33</v>
      </c>
      <c r="U75" s="53">
        <v>0</v>
      </c>
      <c r="V75" s="53">
        <v>0</v>
      </c>
      <c r="W75" s="53">
        <f>_xlfn.XLOOKUP(E75,'⑤项目数-B-a-③消耗明细表'!C:C,'⑤项目数-B-a-③消耗明细表'!E:E,0)</f>
        <v>11825.28</v>
      </c>
      <c r="X75" s="53">
        <f>_xlfn.XLOOKUP(E75,'⑤项目数-B-a-③消耗明细表'!C:C,'⑤项目数-B-a-③消耗明细表'!D:D,0)</f>
        <v>114</v>
      </c>
      <c r="Y75" s="53">
        <f>_xlfn.XLOOKUP(E75,'⑤项目数-B-a-③消耗明细表'!C:C,'⑤项目数-B-a-③消耗明细表'!F:F,0)</f>
        <v>1474</v>
      </c>
      <c r="Z75" s="53">
        <f>_xlfn.XLOOKUP(E75,'⑤项目数-B-a-③消耗明细表'!C:C,'⑤项目数-B-a-③消耗明细表'!G:G,0)</f>
        <v>125</v>
      </c>
      <c r="AA75" s="84">
        <f t="shared" si="18"/>
        <v>1</v>
      </c>
      <c r="AB75" s="84">
        <f t="shared" si="19"/>
        <v>1</v>
      </c>
      <c r="AC75" s="53">
        <f>_xlfn.XLOOKUP(F75,'⑥战队统计表-B-a-②呈现-业绩明细表④'!A:A,'⑥战队统计表-B-a-②呈现-业绩明细表④'!B:B,0)</f>
        <v>2</v>
      </c>
      <c r="AD75" s="53" t="str">
        <f t="shared" si="25"/>
        <v/>
      </c>
      <c r="AE75" s="59">
        <f>IF(AD75="",_xlfn.XLOOKUP(F75,'⑥战队统计表-B-a-②呈现-业绩明细表④'!A:A,'⑥战队统计表-B-a-②呈现-业绩明细表④'!D:D,0),0)</f>
        <v>0.06</v>
      </c>
      <c r="AF75" s="85">
        <f>IF(AND(E75="T区",E75="门店T区"),"",IF(AD75="",0,IF(R75="",LOOKUP(S75,'②提成标准-B-a-①-增加'!$B$16:$B$20,'②提成标准-B-a-①-增加'!$D$16:$D$20),LOOKUP(S75/Q75,'②提成标准-B-a-①-增加'!$B$23:$B$27,'②提成标准-B-a-①-增加'!$D$23:$D$27))))</f>
        <v>0</v>
      </c>
      <c r="AG75" s="85">
        <f t="shared" si="20"/>
        <v>0.06</v>
      </c>
      <c r="AH75" s="60">
        <f t="shared" si="26"/>
        <v>2448.9668099999999</v>
      </c>
      <c r="AI75" s="86">
        <f t="shared" si="27"/>
        <v>0</v>
      </c>
      <c r="AJ75" s="60">
        <f t="shared" si="28"/>
        <v>2448.9668099999999</v>
      </c>
      <c r="AK75" s="87">
        <f>IF(AB75=1,IFERROR(S75/VLOOKUP(F75,'⑥战队统计表-B-a-②呈现-业绩明细表④'!A:C,3,0),0),0)</f>
        <v>0.4347105909454741</v>
      </c>
      <c r="AL75" s="85" t="str">
        <f t="shared" si="21"/>
        <v/>
      </c>
      <c r="AM75" s="53" t="str">
        <f>IF(D75="顾问",_xlfn.XLOOKUP(F75,'⑥战队统计表-B-a-②呈现-业绩明细表④'!A:A,'⑥战队统计表-B-a-②呈现-业绩明细表④'!H:H,0),"")</f>
        <v/>
      </c>
      <c r="AN75" s="53" t="str">
        <f t="shared" si="22"/>
        <v>保利+霸天虎啸队</v>
      </c>
    </row>
    <row r="76" spans="1:40" hidden="1" x14ac:dyDescent="0.15">
      <c r="A76" s="79" t="s">
        <v>428</v>
      </c>
      <c r="B76" s="98" t="s">
        <v>97</v>
      </c>
      <c r="C76" s="81" t="s">
        <v>36</v>
      </c>
      <c r="D76" s="82" t="s">
        <v>36</v>
      </c>
      <c r="E76" s="82" t="s">
        <v>36</v>
      </c>
      <c r="F76" s="53" t="str">
        <f t="shared" si="15"/>
        <v>保利+T区</v>
      </c>
      <c r="G76" s="53">
        <f>IFERROR(_xlfn.XLOOKUP(B76,'①门店信息-A-a-①-增加'!B:B,'①门店信息-A-a-①-增加'!E:E,0),"")</f>
        <v>0</v>
      </c>
      <c r="H76" s="54">
        <f>_xlfn.XLOOKUP(B76,'①门店信息-A-a-①-增加'!B:B,'①门店信息-A-a-①-增加'!F:F,0)</f>
        <v>0</v>
      </c>
      <c r="I76" s="55">
        <f>_xlfn.XLOOKUP(E76,'③新店考核-B-a-②呈现-业绩明细表-③'!B:B,'③新店考核-B-a-②呈现-业绩明细表-③'!E:E,0)</f>
        <v>0</v>
      </c>
      <c r="J76" s="54">
        <f>_xlfn.XLOOKUP(E76,'③新店考核-B-a-②呈现-业绩明细表-③'!B:B,'③新店考核-B-a-②呈现-业绩明细表-③'!F:F,0)</f>
        <v>0</v>
      </c>
      <c r="K76" s="55">
        <f>IF(H76="新店一阶段",LOOKUP(I76,'②提成标准-B-a-①-增加'!$M$9:$M$12,'②提成标准-B-a-①-增加'!$O$9:$O$12),0)</f>
        <v>0</v>
      </c>
      <c r="L76" s="56">
        <f t="shared" si="16"/>
        <v>0</v>
      </c>
      <c r="M76" s="57">
        <f>_xlfn.XLOOKUP(E76,'③新店考核-B-a-②呈现-业绩明细表-③'!B:B,'③新店考核-B-a-②呈现-业绩明细表-③'!G:G,0)</f>
        <v>0</v>
      </c>
      <c r="N76" s="58" t="str">
        <f>LOOKUP(M76,'②提成标准-B-a-①-增加'!$M$1:$M$4,'②提成标准-B-a-①-增加'!$O$1:$O$4)</f>
        <v>同老店</v>
      </c>
      <c r="O76" s="57">
        <f>_xlfn.XLOOKUP(E76,'③新店考核-B-a-②呈现-业绩明细表-③'!B:B,'③新店考核-B-a-②呈现-业绩明细表-③'!H:H,0)</f>
        <v>0</v>
      </c>
      <c r="P76" s="57">
        <f t="shared" si="17"/>
        <v>0</v>
      </c>
      <c r="Q76" s="53">
        <f>_xlfn.XLOOKUP(E76,'④考勤-B-a-26考勤汇总表'!D:D,'④考勤-B-a-26考勤汇总表'!AP:AP,0)</f>
        <v>0</v>
      </c>
      <c r="R76" s="53" t="str">
        <f t="shared" si="23"/>
        <v/>
      </c>
      <c r="S76" s="53">
        <f t="shared" si="24"/>
        <v>0</v>
      </c>
      <c r="T76" s="53">
        <v>0</v>
      </c>
      <c r="U76" s="53">
        <v>0</v>
      </c>
      <c r="V76" s="53">
        <v>0</v>
      </c>
      <c r="W76" s="53">
        <f>_xlfn.XLOOKUP(E76,'⑤项目数-B-a-③消耗明细表'!C:C,'⑤项目数-B-a-③消耗明细表'!E:E,0)</f>
        <v>0</v>
      </c>
      <c r="X76" s="53">
        <f>_xlfn.XLOOKUP(E76,'⑤项目数-B-a-③消耗明细表'!C:C,'⑤项目数-B-a-③消耗明细表'!D:D,0)</f>
        <v>0</v>
      </c>
      <c r="Y76" s="53">
        <f>_xlfn.XLOOKUP(E76,'⑤项目数-B-a-③消耗明细表'!C:C,'⑤项目数-B-a-③消耗明细表'!F:F,0)</f>
        <v>0</v>
      </c>
      <c r="Z76" s="53">
        <f>_xlfn.XLOOKUP(E76,'⑤项目数-B-a-③消耗明细表'!C:C,'⑤项目数-B-a-③消耗明细表'!G:G,0)</f>
        <v>0</v>
      </c>
      <c r="AA76" s="84" t="str">
        <f t="shared" si="18"/>
        <v>不属于战队</v>
      </c>
      <c r="AB76" s="84">
        <f t="shared" si="19"/>
        <v>0</v>
      </c>
      <c r="AC76" s="53">
        <f>_xlfn.XLOOKUP(F76,'⑥战队统计表-B-a-②呈现-业绩明细表④'!A:A,'⑥战队统计表-B-a-②呈现-业绩明细表④'!B:B,0)</f>
        <v>0</v>
      </c>
      <c r="AD76" s="53">
        <f t="shared" si="25"/>
        <v>1</v>
      </c>
      <c r="AE76" s="59">
        <f>IF(AD76="",_xlfn.XLOOKUP(F76,'⑥战队统计表-B-a-②呈现-业绩明细表④'!A:A,'⑥战队统计表-B-a-②呈现-业绩明细表④'!D:D,0),0)</f>
        <v>0</v>
      </c>
      <c r="AF76" s="85">
        <f>IF(AND(E76="T区",E76="门店T区"),"",IF(AD76="",0,IF(R76="",LOOKUP(S76,'②提成标准-B-a-①-增加'!$B$16:$B$20,'②提成标准-B-a-①-增加'!$D$16:$D$20),LOOKUP(S76/Q76,'②提成标准-B-a-①-增加'!$B$23:$B$27,'②提成标准-B-a-①-增加'!$D$23:$D$27))))</f>
        <v>0</v>
      </c>
      <c r="AG76" s="85">
        <f t="shared" si="20"/>
        <v>0</v>
      </c>
      <c r="AH76" s="60">
        <f t="shared" si="26"/>
        <v>0</v>
      </c>
      <c r="AI76" s="86">
        <f t="shared" si="27"/>
        <v>0</v>
      </c>
      <c r="AJ76" s="60">
        <f t="shared" si="28"/>
        <v>0</v>
      </c>
      <c r="AK76" s="87">
        <f>IF(AB76=1,IFERROR(S76/VLOOKUP(F76,'⑥战队统计表-B-a-②呈现-业绩明细表④'!A:C,3,0),0),0)</f>
        <v>0</v>
      </c>
      <c r="AL76" s="85" t="str">
        <f t="shared" si="21"/>
        <v/>
      </c>
      <c r="AM76" s="53" t="str">
        <f>IF(D76="顾问",_xlfn.XLOOKUP(F76,'⑥战队统计表-B-a-②呈现-业绩明细表④'!A:A,'⑥战队统计表-B-a-②呈现-业绩明细表④'!H:H,0),"")</f>
        <v/>
      </c>
      <c r="AN76" s="53" t="str">
        <f t="shared" si="22"/>
        <v>单人</v>
      </c>
    </row>
    <row r="77" spans="1:40" hidden="1" x14ac:dyDescent="0.15">
      <c r="A77" s="79" t="s">
        <v>428</v>
      </c>
      <c r="B77" s="98" t="s">
        <v>97</v>
      </c>
      <c r="C77" s="81" t="s">
        <v>435</v>
      </c>
      <c r="D77" s="82" t="s">
        <v>32</v>
      </c>
      <c r="E77" s="82" t="s">
        <v>99</v>
      </c>
      <c r="F77" s="53" t="str">
        <f t="shared" si="15"/>
        <v>保利+爆棚队</v>
      </c>
      <c r="G77" s="53">
        <f>IFERROR(_xlfn.XLOOKUP(B77,'①门店信息-A-a-①-增加'!B:B,'①门店信息-A-a-①-增加'!E:E,0),"")</f>
        <v>0</v>
      </c>
      <c r="H77" s="54">
        <f>_xlfn.XLOOKUP(B77,'①门店信息-A-a-①-增加'!B:B,'①门店信息-A-a-①-增加'!F:F,0)</f>
        <v>0</v>
      </c>
      <c r="I77" s="55">
        <f>_xlfn.XLOOKUP(E77,'③新店考核-B-a-②呈现-业绩明细表-③'!B:B,'③新店考核-B-a-②呈现-业绩明细表-③'!E:E,0)</f>
        <v>0</v>
      </c>
      <c r="J77" s="54">
        <f>_xlfn.XLOOKUP(E77,'③新店考核-B-a-②呈现-业绩明细表-③'!B:B,'③新店考核-B-a-②呈现-业绩明细表-③'!F:F,0)</f>
        <v>0</v>
      </c>
      <c r="K77" s="55">
        <f>IF(H77="新店一阶段",LOOKUP(I77,'②提成标准-B-a-①-增加'!$M$9:$M$12,'②提成标准-B-a-①-增加'!$O$9:$O$12),0)</f>
        <v>0</v>
      </c>
      <c r="L77" s="56">
        <f t="shared" si="16"/>
        <v>42364.5</v>
      </c>
      <c r="M77" s="57">
        <f>_xlfn.XLOOKUP(E77,'③新店考核-B-a-②呈现-业绩明细表-③'!B:B,'③新店考核-B-a-②呈现-业绩明细表-③'!G:G,0)</f>
        <v>0</v>
      </c>
      <c r="N77" s="58" t="str">
        <f>LOOKUP(M77,'②提成标准-B-a-①-增加'!$M$1:$M$4,'②提成标准-B-a-①-增加'!$O$1:$O$4)</f>
        <v>同老店</v>
      </c>
      <c r="O77" s="57">
        <f>_xlfn.XLOOKUP(E77,'③新店考核-B-a-②呈现-业绩明细表-③'!B:B,'③新店考核-B-a-②呈现-业绩明细表-③'!H:H,0)</f>
        <v>0</v>
      </c>
      <c r="P77" s="57">
        <f t="shared" si="17"/>
        <v>42364.5</v>
      </c>
      <c r="Q77" s="53">
        <f>_xlfn.XLOOKUP(E77,'④考勤-B-a-26考勤汇总表'!D:D,'④考勤-B-a-26考勤汇总表'!AP:AP,0)</f>
        <v>31</v>
      </c>
      <c r="R77" s="53" t="str">
        <f t="shared" si="23"/>
        <v/>
      </c>
      <c r="S77" s="53">
        <f t="shared" si="24"/>
        <v>43252.5</v>
      </c>
      <c r="T77" s="53">
        <v>42364.5</v>
      </c>
      <c r="U77" s="53">
        <v>0</v>
      </c>
      <c r="V77" s="53">
        <v>888</v>
      </c>
      <c r="W77" s="53">
        <f>_xlfn.XLOOKUP(E77,'⑤项目数-B-a-③消耗明细表'!C:C,'⑤项目数-B-a-③消耗明细表'!E:E,0)</f>
        <v>7861.8</v>
      </c>
      <c r="X77" s="53">
        <f>_xlfn.XLOOKUP(E77,'⑤项目数-B-a-③消耗明细表'!C:C,'⑤项目数-B-a-③消耗明细表'!D:D,0)</f>
        <v>102</v>
      </c>
      <c r="Y77" s="53">
        <f>_xlfn.XLOOKUP(E77,'⑤项目数-B-a-③消耗明细表'!C:C,'⑤项目数-B-a-③消耗明细表'!F:F,0)</f>
        <v>1140</v>
      </c>
      <c r="Z77" s="53">
        <f>_xlfn.XLOOKUP(E77,'⑤项目数-B-a-③消耗明细表'!C:C,'⑤项目数-B-a-③消耗明细表'!G:G,0)</f>
        <v>15</v>
      </c>
      <c r="AA77" s="84">
        <f t="shared" si="18"/>
        <v>1</v>
      </c>
      <c r="AB77" s="84">
        <f t="shared" si="19"/>
        <v>1</v>
      </c>
      <c r="AC77" s="53">
        <f>_xlfn.XLOOKUP(F77,'⑥战队统计表-B-a-②呈现-业绩明细表④'!A:A,'⑥战队统计表-B-a-②呈现-业绩明细表④'!B:B,0)</f>
        <v>3</v>
      </c>
      <c r="AD77" s="53" t="str">
        <f t="shared" si="25"/>
        <v/>
      </c>
      <c r="AE77" s="59">
        <f>IF(AD77="",_xlfn.XLOOKUP(F77,'⑥战队统计表-B-a-②呈现-业绩明细表④'!A:A,'⑥战队统计表-B-a-②呈现-业绩明细表④'!D:D,0),0)</f>
        <v>0.03</v>
      </c>
      <c r="AF77" s="85">
        <f>IF(AND(E77="T区",E77="门店T区"),"",IF(AD77="",0,IF(R77="",LOOKUP(S77,'②提成标准-B-a-①-增加'!$B$16:$B$20,'②提成标准-B-a-①-增加'!$D$16:$D$20),LOOKUP(S77/Q77,'②提成标准-B-a-①-增加'!$B$23:$B$27,'②提成标准-B-a-①-增加'!$D$23:$D$27))))</f>
        <v>0</v>
      </c>
      <c r="AG77" s="85">
        <f t="shared" si="20"/>
        <v>0.03</v>
      </c>
      <c r="AH77" s="60">
        <f t="shared" si="26"/>
        <v>1207.38825</v>
      </c>
      <c r="AI77" s="86">
        <f t="shared" si="27"/>
        <v>0</v>
      </c>
      <c r="AJ77" s="60">
        <f t="shared" si="28"/>
        <v>1207.38825</v>
      </c>
      <c r="AK77" s="87">
        <f>IF(AB77=1,IFERROR(S77/VLOOKUP(F77,'⑥战队统计表-B-a-②呈现-业绩明细表④'!A:C,3,0),0),0)</f>
        <v>0.84482489208352052</v>
      </c>
      <c r="AL77" s="85">
        <f t="shared" si="21"/>
        <v>0.15517510791647948</v>
      </c>
      <c r="AM77" s="53">
        <f>IF(D77="顾问",_xlfn.XLOOKUP(F77,'⑥战队统计表-B-a-②呈现-业绩明细表④'!A:A,'⑥战队统计表-B-a-②呈现-业绩明细表④'!H:H,0),"")</f>
        <v>0</v>
      </c>
      <c r="AN77" s="53" t="str">
        <f t="shared" si="22"/>
        <v>保利+爆棚队</v>
      </c>
    </row>
    <row r="78" spans="1:40" hidden="1" x14ac:dyDescent="0.15">
      <c r="A78" s="79" t="s">
        <v>428</v>
      </c>
      <c r="B78" s="98" t="s">
        <v>97</v>
      </c>
      <c r="C78" s="81" t="s">
        <v>435</v>
      </c>
      <c r="D78" s="82" t="s">
        <v>6</v>
      </c>
      <c r="E78" s="82" t="s">
        <v>100</v>
      </c>
      <c r="F78" s="53" t="str">
        <f t="shared" si="15"/>
        <v>保利+爆棚队</v>
      </c>
      <c r="G78" s="53">
        <f>IFERROR(_xlfn.XLOOKUP(B78,'①门店信息-A-a-①-增加'!B:B,'①门店信息-A-a-①-增加'!E:E,0),"")</f>
        <v>0</v>
      </c>
      <c r="H78" s="54">
        <f>_xlfn.XLOOKUP(B78,'①门店信息-A-a-①-增加'!B:B,'①门店信息-A-a-①-增加'!F:F,0)</f>
        <v>0</v>
      </c>
      <c r="I78" s="55">
        <f>_xlfn.XLOOKUP(E78,'③新店考核-B-a-②呈现-业绩明细表-③'!B:B,'③新店考核-B-a-②呈现-业绩明细表-③'!E:E,0)</f>
        <v>0</v>
      </c>
      <c r="J78" s="54">
        <f>_xlfn.XLOOKUP(E78,'③新店考核-B-a-②呈现-业绩明细表-③'!B:B,'③新店考核-B-a-②呈现-业绩明细表-③'!F:F,0)</f>
        <v>0</v>
      </c>
      <c r="K78" s="55">
        <f>IF(H78="新店一阶段",LOOKUP(I78,'②提成标准-B-a-①-增加'!$M$9:$M$12,'②提成标准-B-a-①-增加'!$O$9:$O$12),0)</f>
        <v>0</v>
      </c>
      <c r="L78" s="56">
        <f t="shared" si="16"/>
        <v>6130.5</v>
      </c>
      <c r="M78" s="57">
        <f>_xlfn.XLOOKUP(E78,'③新店考核-B-a-②呈现-业绩明细表-③'!B:B,'③新店考核-B-a-②呈现-业绩明细表-③'!G:G,0)</f>
        <v>0</v>
      </c>
      <c r="N78" s="58" t="str">
        <f>LOOKUP(M78,'②提成标准-B-a-①-增加'!$M$1:$M$4,'②提成标准-B-a-①-增加'!$O$1:$O$4)</f>
        <v>同老店</v>
      </c>
      <c r="O78" s="57">
        <f>_xlfn.XLOOKUP(E78,'③新店考核-B-a-②呈现-业绩明细表-③'!B:B,'③新店考核-B-a-②呈现-业绩明细表-③'!H:H,0)</f>
        <v>0</v>
      </c>
      <c r="P78" s="57">
        <f t="shared" si="17"/>
        <v>6130.5</v>
      </c>
      <c r="Q78" s="53">
        <f>_xlfn.XLOOKUP(E78,'④考勤-B-a-26考勤汇总表'!D:D,'④考勤-B-a-26考勤汇总表'!AP:AP,0)</f>
        <v>31</v>
      </c>
      <c r="R78" s="53" t="str">
        <f t="shared" si="23"/>
        <v/>
      </c>
      <c r="S78" s="53">
        <f t="shared" si="24"/>
        <v>6130.5</v>
      </c>
      <c r="T78" s="53">
        <v>6130.5</v>
      </c>
      <c r="U78" s="53">
        <v>0</v>
      </c>
      <c r="V78" s="53">
        <v>0</v>
      </c>
      <c r="W78" s="53">
        <f>_xlfn.XLOOKUP(E78,'⑤项目数-B-a-③消耗明细表'!C:C,'⑤项目数-B-a-③消耗明细表'!E:E,0)</f>
        <v>6892.7</v>
      </c>
      <c r="X78" s="53">
        <f>_xlfn.XLOOKUP(E78,'⑤项目数-B-a-③消耗明细表'!C:C,'⑤项目数-B-a-③消耗明细表'!D:D,0)</f>
        <v>101</v>
      </c>
      <c r="Y78" s="53">
        <f>_xlfn.XLOOKUP(E78,'⑤项目数-B-a-③消耗明细表'!C:C,'⑤项目数-B-a-③消耗明细表'!F:F,0)</f>
        <v>1337</v>
      </c>
      <c r="Z78" s="53">
        <f>_xlfn.XLOOKUP(E78,'⑤项目数-B-a-③消耗明细表'!C:C,'⑤项目数-B-a-③消耗明细表'!G:G,0)</f>
        <v>0</v>
      </c>
      <c r="AA78" s="84">
        <f t="shared" si="18"/>
        <v>1</v>
      </c>
      <c r="AB78" s="84">
        <f t="shared" si="19"/>
        <v>1</v>
      </c>
      <c r="AC78" s="53">
        <f>_xlfn.XLOOKUP(F78,'⑥战队统计表-B-a-②呈现-业绩明细表④'!A:A,'⑥战队统计表-B-a-②呈现-业绩明细表④'!B:B,0)</f>
        <v>3</v>
      </c>
      <c r="AD78" s="53" t="str">
        <f t="shared" si="25"/>
        <v/>
      </c>
      <c r="AE78" s="59">
        <f>IF(AD78="",_xlfn.XLOOKUP(F78,'⑥战队统计表-B-a-②呈现-业绩明细表④'!A:A,'⑥战队统计表-B-a-②呈现-业绩明细表④'!D:D,0),0)</f>
        <v>0.03</v>
      </c>
      <c r="AF78" s="85">
        <f>IF(AND(E78="T区",E78="门店T区"),"",IF(AD78="",0,IF(R78="",LOOKUP(S78,'②提成标准-B-a-①-增加'!$B$16:$B$20,'②提成标准-B-a-①-增加'!$D$16:$D$20),LOOKUP(S78/Q78,'②提成标准-B-a-①-增加'!$B$23:$B$27,'②提成标准-B-a-①-增加'!$D$23:$D$27))))</f>
        <v>0</v>
      </c>
      <c r="AG78" s="85">
        <f t="shared" si="20"/>
        <v>0.03</v>
      </c>
      <c r="AH78" s="60">
        <f t="shared" si="26"/>
        <v>174.71924999999999</v>
      </c>
      <c r="AI78" s="86">
        <f t="shared" si="27"/>
        <v>0</v>
      </c>
      <c r="AJ78" s="60">
        <f t="shared" si="28"/>
        <v>174.71924999999999</v>
      </c>
      <c r="AK78" s="87">
        <f>IF(AB78=1,IFERROR(S78/VLOOKUP(F78,'⑥战队统计表-B-a-②呈现-业绩明细表④'!A:C,3,0),0),0)</f>
        <v>0.11974334433658222</v>
      </c>
      <c r="AL78" s="85" t="str">
        <f t="shared" si="21"/>
        <v/>
      </c>
      <c r="AM78" s="53" t="str">
        <f>IF(D78="顾问",_xlfn.XLOOKUP(F78,'⑥战队统计表-B-a-②呈现-业绩明细表④'!A:A,'⑥战队统计表-B-a-②呈现-业绩明细表④'!H:H,0),"")</f>
        <v/>
      </c>
      <c r="AN78" s="53" t="str">
        <f t="shared" si="22"/>
        <v>保利+爆棚队</v>
      </c>
    </row>
    <row r="79" spans="1:40" hidden="1" x14ac:dyDescent="0.15">
      <c r="A79" s="91" t="s">
        <v>428</v>
      </c>
      <c r="B79" s="105" t="s">
        <v>97</v>
      </c>
      <c r="C79" s="99" t="s">
        <v>435</v>
      </c>
      <c r="D79" s="92" t="s">
        <v>6</v>
      </c>
      <c r="E79" s="92" t="s">
        <v>362</v>
      </c>
      <c r="F79" s="53" t="str">
        <f t="shared" si="15"/>
        <v>保利+爆棚队</v>
      </c>
      <c r="G79" s="53">
        <f>IFERROR(_xlfn.XLOOKUP(B79,'①门店信息-A-a-①-增加'!B:B,'①门店信息-A-a-①-增加'!E:E,0),"")</f>
        <v>0</v>
      </c>
      <c r="H79" s="54">
        <f>_xlfn.XLOOKUP(B79,'①门店信息-A-a-①-增加'!B:B,'①门店信息-A-a-①-增加'!F:F,0)</f>
        <v>0</v>
      </c>
      <c r="I79" s="55">
        <f>_xlfn.XLOOKUP(E79,'③新店考核-B-a-②呈现-业绩明细表-③'!B:B,'③新店考核-B-a-②呈现-业绩明细表-③'!E:E,0)</f>
        <v>0</v>
      </c>
      <c r="J79" s="54">
        <f>_xlfn.XLOOKUP(E79,'③新店考核-B-a-②呈现-业绩明细表-③'!B:B,'③新店考核-B-a-②呈现-业绩明细表-③'!F:F,0)</f>
        <v>0</v>
      </c>
      <c r="K79" s="55">
        <f>IF(H79="新店一阶段",LOOKUP(I79,'②提成标准-B-a-①-增加'!$M$9:$M$12,'②提成标准-B-a-①-增加'!$O$9:$O$12),0)</f>
        <v>0</v>
      </c>
      <c r="L79" s="56">
        <f t="shared" si="16"/>
        <v>1814</v>
      </c>
      <c r="M79" s="57">
        <f>_xlfn.XLOOKUP(E79,'③新店考核-B-a-②呈现-业绩明细表-③'!B:B,'③新店考核-B-a-②呈现-业绩明细表-③'!G:G,0)</f>
        <v>0</v>
      </c>
      <c r="N79" s="58" t="str">
        <f>LOOKUP(M79,'②提成标准-B-a-①-增加'!$M$1:$M$4,'②提成标准-B-a-①-增加'!$O$1:$O$4)</f>
        <v>同老店</v>
      </c>
      <c r="O79" s="57">
        <f>_xlfn.XLOOKUP(E79,'③新店考核-B-a-②呈现-业绩明细表-③'!B:B,'③新店考核-B-a-②呈现-业绩明细表-③'!H:H,0)</f>
        <v>0</v>
      </c>
      <c r="P79" s="57">
        <f t="shared" si="17"/>
        <v>1814</v>
      </c>
      <c r="Q79" s="53">
        <f>_xlfn.XLOOKUP(E79,'④考勤-B-a-26考勤汇总表'!D:D,'④考勤-B-a-26考勤汇总表'!AP:AP,0)</f>
        <v>31</v>
      </c>
      <c r="R79" s="53" t="str">
        <f t="shared" si="23"/>
        <v/>
      </c>
      <c r="S79" s="53">
        <f t="shared" si="24"/>
        <v>1814</v>
      </c>
      <c r="T79" s="95">
        <v>1814</v>
      </c>
      <c r="U79" s="95">
        <v>0</v>
      </c>
      <c r="V79" s="95">
        <v>0</v>
      </c>
      <c r="W79" s="53">
        <f>_xlfn.XLOOKUP(E79,'⑤项目数-B-a-③消耗明细表'!C:C,'⑤项目数-B-a-③消耗明细表'!E:E,0)</f>
        <v>3721.76</v>
      </c>
      <c r="X79" s="53">
        <f>_xlfn.XLOOKUP(E79,'⑤项目数-B-a-③消耗明细表'!C:C,'⑤项目数-B-a-③消耗明细表'!D:D,0)</f>
        <v>68</v>
      </c>
      <c r="Y79" s="53">
        <f>_xlfn.XLOOKUP(E79,'⑤项目数-B-a-③消耗明细表'!C:C,'⑤项目数-B-a-③消耗明细表'!F:F,0)</f>
        <v>938</v>
      </c>
      <c r="Z79" s="53">
        <f>_xlfn.XLOOKUP(E79,'⑤项目数-B-a-③消耗明细表'!C:C,'⑤项目数-B-a-③消耗明细表'!G:G,0)</f>
        <v>0</v>
      </c>
      <c r="AA79" s="84">
        <f t="shared" si="18"/>
        <v>1</v>
      </c>
      <c r="AB79" s="84">
        <f t="shared" si="19"/>
        <v>1</v>
      </c>
      <c r="AC79" s="53">
        <f>_xlfn.XLOOKUP(F79,'⑥战队统计表-B-a-②呈现-业绩明细表④'!A:A,'⑥战队统计表-B-a-②呈现-业绩明细表④'!B:B,0)</f>
        <v>3</v>
      </c>
      <c r="AD79" s="53" t="str">
        <f t="shared" si="25"/>
        <v/>
      </c>
      <c r="AE79" s="59">
        <f>IF(AD79="",_xlfn.XLOOKUP(F79,'⑥战队统计表-B-a-②呈现-业绩明细表④'!A:A,'⑥战队统计表-B-a-②呈现-业绩明细表④'!D:D,0),0)</f>
        <v>0.03</v>
      </c>
      <c r="AF79" s="85">
        <f>IF(AND(E79="T区",E79="门店T区"),"",IF(AD79="",0,IF(R79="",LOOKUP(S79,'②提成标准-B-a-①-增加'!$B$16:$B$20,'②提成标准-B-a-①-增加'!$D$16:$D$20),LOOKUP(S79/Q79,'②提成标准-B-a-①-增加'!$B$23:$B$27,'②提成标准-B-a-①-增加'!$D$23:$D$27))))</f>
        <v>0</v>
      </c>
      <c r="AG79" s="85">
        <f t="shared" si="20"/>
        <v>0.03</v>
      </c>
      <c r="AH79" s="60">
        <f t="shared" si="26"/>
        <v>51.698999999999991</v>
      </c>
      <c r="AI79" s="86">
        <f t="shared" si="27"/>
        <v>0</v>
      </c>
      <c r="AJ79" s="60">
        <f t="shared" si="28"/>
        <v>51.698999999999991</v>
      </c>
      <c r="AK79" s="87">
        <f>IF(AB79=1,IFERROR(S79/VLOOKUP(F79,'⑥战队统计表-B-a-②呈现-业绩明细表④'!A:C,3,0),0),0)</f>
        <v>3.543176357989726E-2</v>
      </c>
      <c r="AL79" s="85" t="str">
        <f t="shared" si="21"/>
        <v/>
      </c>
      <c r="AM79" s="53" t="str">
        <f>IF(D79="顾问",_xlfn.XLOOKUP(F79,'⑥战队统计表-B-a-②呈现-业绩明细表④'!A:A,'⑥战队统计表-B-a-②呈现-业绩明细表④'!H:H,0),"")</f>
        <v/>
      </c>
      <c r="AN79" s="53" t="str">
        <f t="shared" si="22"/>
        <v>保利+爆棚队</v>
      </c>
    </row>
    <row r="80" spans="1:40" hidden="1" x14ac:dyDescent="0.15">
      <c r="A80" s="79" t="s">
        <v>428</v>
      </c>
      <c r="B80" s="98" t="s">
        <v>97</v>
      </c>
      <c r="C80" s="89" t="s">
        <v>36</v>
      </c>
      <c r="D80" s="90" t="s">
        <v>36</v>
      </c>
      <c r="E80" s="90" t="s">
        <v>36</v>
      </c>
      <c r="F80" s="53" t="str">
        <f t="shared" si="15"/>
        <v>保利+T区</v>
      </c>
      <c r="G80" s="53">
        <f>IFERROR(_xlfn.XLOOKUP(B80,'①门店信息-A-a-①-增加'!B:B,'①门店信息-A-a-①-增加'!E:E,0),"")</f>
        <v>0</v>
      </c>
      <c r="H80" s="54">
        <f>_xlfn.XLOOKUP(B80,'①门店信息-A-a-①-增加'!B:B,'①门店信息-A-a-①-增加'!F:F,0)</f>
        <v>0</v>
      </c>
      <c r="I80" s="55">
        <f>_xlfn.XLOOKUP(E80,'③新店考核-B-a-②呈现-业绩明细表-③'!B:B,'③新店考核-B-a-②呈现-业绩明细表-③'!E:E,0)</f>
        <v>0</v>
      </c>
      <c r="J80" s="54">
        <f>_xlfn.XLOOKUP(E80,'③新店考核-B-a-②呈现-业绩明细表-③'!B:B,'③新店考核-B-a-②呈现-业绩明细表-③'!F:F,0)</f>
        <v>0</v>
      </c>
      <c r="K80" s="55">
        <f>IF(H80="新店一阶段",LOOKUP(I80,'②提成标准-B-a-①-增加'!$M$9:$M$12,'②提成标准-B-a-①-增加'!$O$9:$O$12),0)</f>
        <v>0</v>
      </c>
      <c r="L80" s="56">
        <f t="shared" si="16"/>
        <v>0</v>
      </c>
      <c r="M80" s="57">
        <f>_xlfn.XLOOKUP(E80,'③新店考核-B-a-②呈现-业绩明细表-③'!B:B,'③新店考核-B-a-②呈现-业绩明细表-③'!G:G,0)</f>
        <v>0</v>
      </c>
      <c r="N80" s="58" t="str">
        <f>LOOKUP(M80,'②提成标准-B-a-①-增加'!$M$1:$M$4,'②提成标准-B-a-①-增加'!$O$1:$O$4)</f>
        <v>同老店</v>
      </c>
      <c r="O80" s="57">
        <f>_xlfn.XLOOKUP(E80,'③新店考核-B-a-②呈现-业绩明细表-③'!B:B,'③新店考核-B-a-②呈现-业绩明细表-③'!H:H,0)</f>
        <v>0</v>
      </c>
      <c r="P80" s="57">
        <f t="shared" si="17"/>
        <v>0</v>
      </c>
      <c r="Q80" s="53">
        <f>_xlfn.XLOOKUP(E80,'④考勤-B-a-26考勤汇总表'!D:D,'④考勤-B-a-26考勤汇总表'!AP:AP,0)</f>
        <v>0</v>
      </c>
      <c r="R80" s="53" t="str">
        <f t="shared" si="23"/>
        <v/>
      </c>
      <c r="S80" s="53">
        <f t="shared" si="24"/>
        <v>0</v>
      </c>
      <c r="T80" s="53">
        <v>0</v>
      </c>
      <c r="U80" s="53">
        <v>0</v>
      </c>
      <c r="V80" s="53">
        <v>0</v>
      </c>
      <c r="W80" s="53">
        <f>_xlfn.XLOOKUP(E80,'⑤项目数-B-a-③消耗明细表'!C:C,'⑤项目数-B-a-③消耗明细表'!E:E,0)</f>
        <v>0</v>
      </c>
      <c r="X80" s="53">
        <f>_xlfn.XLOOKUP(E80,'⑤项目数-B-a-③消耗明细表'!C:C,'⑤项目数-B-a-③消耗明细表'!D:D,0)</f>
        <v>0</v>
      </c>
      <c r="Y80" s="53">
        <f>_xlfn.XLOOKUP(E80,'⑤项目数-B-a-③消耗明细表'!C:C,'⑤项目数-B-a-③消耗明细表'!F:F,0)</f>
        <v>0</v>
      </c>
      <c r="Z80" s="53">
        <f>_xlfn.XLOOKUP(E80,'⑤项目数-B-a-③消耗明细表'!C:C,'⑤项目数-B-a-③消耗明细表'!G:G,0)</f>
        <v>0</v>
      </c>
      <c r="AA80" s="84" t="str">
        <f t="shared" si="18"/>
        <v>不属于战队</v>
      </c>
      <c r="AB80" s="84">
        <f t="shared" si="19"/>
        <v>0</v>
      </c>
      <c r="AC80" s="53">
        <f>_xlfn.XLOOKUP(F80,'⑥战队统计表-B-a-②呈现-业绩明细表④'!A:A,'⑥战队统计表-B-a-②呈现-业绩明细表④'!B:B,0)</f>
        <v>0</v>
      </c>
      <c r="AD80" s="53">
        <f t="shared" si="25"/>
        <v>1</v>
      </c>
      <c r="AE80" s="59">
        <f>IF(AD80="",_xlfn.XLOOKUP(F80,'⑥战队统计表-B-a-②呈现-业绩明细表④'!A:A,'⑥战队统计表-B-a-②呈现-业绩明细表④'!D:D,0),0)</f>
        <v>0</v>
      </c>
      <c r="AF80" s="85">
        <f>IF(AND(E80="T区",E80="门店T区"),"",IF(AD80="",0,IF(R80="",LOOKUP(S80,'②提成标准-B-a-①-增加'!$B$16:$B$20,'②提成标准-B-a-①-增加'!$D$16:$D$20),LOOKUP(S80/Q80,'②提成标准-B-a-①-增加'!$B$23:$B$27,'②提成标准-B-a-①-增加'!$D$23:$D$27))))</f>
        <v>0</v>
      </c>
      <c r="AG80" s="85">
        <f t="shared" si="20"/>
        <v>0</v>
      </c>
      <c r="AH80" s="60">
        <f t="shared" si="26"/>
        <v>0</v>
      </c>
      <c r="AI80" s="86">
        <f t="shared" si="27"/>
        <v>0</v>
      </c>
      <c r="AJ80" s="60">
        <f t="shared" si="28"/>
        <v>0</v>
      </c>
      <c r="AK80" s="87">
        <f>IF(AB80=1,IFERROR(S80/VLOOKUP(F80,'⑥战队统计表-B-a-②呈现-业绩明细表④'!A:C,3,0),0),0)</f>
        <v>0</v>
      </c>
      <c r="AL80" s="85" t="str">
        <f t="shared" si="21"/>
        <v/>
      </c>
      <c r="AM80" s="53" t="str">
        <f>IF(D80="顾问",_xlfn.XLOOKUP(F80,'⑥战队统计表-B-a-②呈现-业绩明细表④'!A:A,'⑥战队统计表-B-a-②呈现-业绩明细表④'!H:H,0),"")</f>
        <v/>
      </c>
      <c r="AN80" s="53" t="str">
        <f t="shared" si="22"/>
        <v>单人</v>
      </c>
    </row>
    <row r="81" spans="1:40" hidden="1" x14ac:dyDescent="0.15">
      <c r="A81" s="79" t="s">
        <v>428</v>
      </c>
      <c r="B81" s="80" t="s">
        <v>97</v>
      </c>
      <c r="C81" s="81" t="s">
        <v>40</v>
      </c>
      <c r="D81" s="82" t="s">
        <v>40</v>
      </c>
      <c r="E81" s="88" t="str">
        <f>F81</f>
        <v>保利+门店T区</v>
      </c>
      <c r="F81" s="53" t="str">
        <f t="shared" si="15"/>
        <v>保利+门店T区</v>
      </c>
      <c r="G81" s="53">
        <f>IFERROR(_xlfn.XLOOKUP(B81,'①门店信息-A-a-①-增加'!B:B,'①门店信息-A-a-①-增加'!E:E,0),"")</f>
        <v>0</v>
      </c>
      <c r="H81" s="54">
        <f>_xlfn.XLOOKUP(B81,'①门店信息-A-a-①-增加'!B:B,'①门店信息-A-a-①-增加'!F:F,0)</f>
        <v>0</v>
      </c>
      <c r="I81" s="55">
        <f>_xlfn.XLOOKUP(E81,'③新店考核-B-a-②呈现-业绩明细表-③'!B:B,'③新店考核-B-a-②呈现-业绩明细表-③'!E:E,0)</f>
        <v>0</v>
      </c>
      <c r="J81" s="54">
        <f>_xlfn.XLOOKUP(E81,'③新店考核-B-a-②呈现-业绩明细表-③'!B:B,'③新店考核-B-a-②呈现-业绩明细表-③'!F:F,0)</f>
        <v>0</v>
      </c>
      <c r="K81" s="55">
        <f>IF(H81="新店一阶段",LOOKUP(I81,'②提成标准-B-a-①-增加'!$M$9:$M$12,'②提成标准-B-a-①-增加'!$O$9:$O$12),0)</f>
        <v>0</v>
      </c>
      <c r="L81" s="56">
        <f t="shared" si="16"/>
        <v>0</v>
      </c>
      <c r="M81" s="57">
        <f>_xlfn.XLOOKUP(E81,'③新店考核-B-a-②呈现-业绩明细表-③'!B:B,'③新店考核-B-a-②呈现-业绩明细表-③'!G:G,0)</f>
        <v>0</v>
      </c>
      <c r="N81" s="58" t="str">
        <f>LOOKUP(M81,'②提成标准-B-a-①-增加'!$M$1:$M$4,'②提成标准-B-a-①-增加'!$O$1:$O$4)</f>
        <v>同老店</v>
      </c>
      <c r="O81" s="57">
        <f>_xlfn.XLOOKUP(E81,'③新店考核-B-a-②呈现-业绩明细表-③'!B:B,'③新店考核-B-a-②呈现-业绩明细表-③'!H:H,0)</f>
        <v>0</v>
      </c>
      <c r="P81" s="57">
        <f t="shared" si="17"/>
        <v>0</v>
      </c>
      <c r="Q81" s="53">
        <f>_xlfn.XLOOKUP(E81,'④考勤-B-a-26考勤汇总表'!D:D,'④考勤-B-a-26考勤汇总表'!AP:AP,0)</f>
        <v>0</v>
      </c>
      <c r="R81" s="53" t="str">
        <f t="shared" si="23"/>
        <v/>
      </c>
      <c r="S81" s="53">
        <f t="shared" si="24"/>
        <v>0</v>
      </c>
      <c r="T81" s="53">
        <v>0</v>
      </c>
      <c r="U81" s="53">
        <v>0</v>
      </c>
      <c r="V81" s="53">
        <v>0</v>
      </c>
      <c r="W81" s="53">
        <f>_xlfn.XLOOKUP(E81,'⑤项目数-B-a-③消耗明细表'!C:C,'⑤项目数-B-a-③消耗明细表'!E:E,0)</f>
        <v>0</v>
      </c>
      <c r="X81" s="53">
        <f>_xlfn.XLOOKUP(E81,'⑤项目数-B-a-③消耗明细表'!C:C,'⑤项目数-B-a-③消耗明细表'!D:D,0)</f>
        <v>0</v>
      </c>
      <c r="Y81" s="53">
        <f>_xlfn.XLOOKUP(E81,'⑤项目数-B-a-③消耗明细表'!C:C,'⑤项目数-B-a-③消耗明细表'!F:F,0)</f>
        <v>0</v>
      </c>
      <c r="Z81" s="53">
        <f>_xlfn.XLOOKUP(E81,'⑤项目数-B-a-③消耗明细表'!C:C,'⑤项目数-B-a-③消耗明细表'!G:G,0)</f>
        <v>0</v>
      </c>
      <c r="AA81" s="84">
        <f t="shared" si="18"/>
        <v>1</v>
      </c>
      <c r="AB81" s="84">
        <f t="shared" si="19"/>
        <v>0</v>
      </c>
      <c r="AC81" s="53">
        <f>_xlfn.XLOOKUP(F81,'⑥战队统计表-B-a-②呈现-业绩明细表④'!A:A,'⑥战队统计表-B-a-②呈现-业绩明细表④'!B:B,0)</f>
        <v>0</v>
      </c>
      <c r="AD81" s="53">
        <f t="shared" si="25"/>
        <v>1</v>
      </c>
      <c r="AE81" s="59">
        <f>IF(AD81="",_xlfn.XLOOKUP(F81,'⑥战队统计表-B-a-②呈现-业绩明细表④'!A:A,'⑥战队统计表-B-a-②呈现-业绩明细表④'!D:D,0),0)</f>
        <v>0</v>
      </c>
      <c r="AF81" s="85">
        <f>IF(AND(E81="T区",E81="门店T区"),"",IF(AD81="",0,IF(R81="",LOOKUP(S81,'②提成标准-B-a-①-增加'!$B$16:$B$20,'②提成标准-B-a-①-增加'!$D$16:$D$20),LOOKUP(S81/Q81,'②提成标准-B-a-①-增加'!$B$23:$B$27,'②提成标准-B-a-①-增加'!$D$23:$D$27))))</f>
        <v>0</v>
      </c>
      <c r="AG81" s="85">
        <f t="shared" si="20"/>
        <v>0</v>
      </c>
      <c r="AH81" s="60">
        <f t="shared" si="26"/>
        <v>0</v>
      </c>
      <c r="AI81" s="86">
        <f t="shared" si="27"/>
        <v>0</v>
      </c>
      <c r="AJ81" s="60">
        <f t="shared" si="28"/>
        <v>0</v>
      </c>
      <c r="AK81" s="87">
        <f>IF(AB81=1,IFERROR(S81/VLOOKUP(F81,'⑥战队统计表-B-a-②呈现-业绩明细表④'!A:C,3,0),0),0)</f>
        <v>0</v>
      </c>
      <c r="AL81" s="85" t="str">
        <f t="shared" si="21"/>
        <v/>
      </c>
      <c r="AM81" s="53" t="str">
        <f>IF(D81="顾问",_xlfn.XLOOKUP(F81,'⑥战队统计表-B-a-②呈现-业绩明细表④'!A:A,'⑥战队统计表-B-a-②呈现-业绩明细表④'!H:H,0),"")</f>
        <v/>
      </c>
      <c r="AN81" s="53" t="str">
        <f t="shared" si="22"/>
        <v>单人</v>
      </c>
    </row>
    <row r="82" spans="1:40" hidden="1" x14ac:dyDescent="0.15">
      <c r="A82" s="79" t="s">
        <v>428</v>
      </c>
      <c r="B82" s="80" t="s">
        <v>102</v>
      </c>
      <c r="C82" s="81" t="s">
        <v>103</v>
      </c>
      <c r="D82" s="82" t="s">
        <v>32</v>
      </c>
      <c r="E82" s="82" t="s">
        <v>105</v>
      </c>
      <c r="F82" s="53" t="str">
        <f t="shared" si="15"/>
        <v>骑士郡+天宇霸主队</v>
      </c>
      <c r="G82" s="53">
        <f>IFERROR(_xlfn.XLOOKUP(B82,'①门店信息-A-a-①-增加'!B:B,'①门店信息-A-a-①-增加'!E:E,0),"")</f>
        <v>0</v>
      </c>
      <c r="H82" s="54">
        <f>_xlfn.XLOOKUP(B82,'①门店信息-A-a-①-增加'!B:B,'①门店信息-A-a-①-增加'!F:F,0)</f>
        <v>0</v>
      </c>
      <c r="I82" s="55">
        <f>_xlfn.XLOOKUP(E82,'③新店考核-B-a-②呈现-业绩明细表-③'!B:B,'③新店考核-B-a-②呈现-业绩明细表-③'!E:E,0)</f>
        <v>0</v>
      </c>
      <c r="J82" s="54">
        <f>_xlfn.XLOOKUP(E82,'③新店考核-B-a-②呈现-业绩明细表-③'!B:B,'③新店考核-B-a-②呈现-业绩明细表-③'!F:F,0)</f>
        <v>0</v>
      </c>
      <c r="K82" s="55">
        <f>IF(H82="新店一阶段",LOOKUP(I82,'②提成标准-B-a-①-增加'!$M$9:$M$12,'②提成标准-B-a-①-增加'!$O$9:$O$12),0)</f>
        <v>0</v>
      </c>
      <c r="L82" s="56">
        <f t="shared" si="16"/>
        <v>32492</v>
      </c>
      <c r="M82" s="57">
        <f>_xlfn.XLOOKUP(E82,'③新店考核-B-a-②呈现-业绩明细表-③'!B:B,'③新店考核-B-a-②呈现-业绩明细表-③'!G:G,0)</f>
        <v>0</v>
      </c>
      <c r="N82" s="58" t="str">
        <f>LOOKUP(M82,'②提成标准-B-a-①-增加'!$M$1:$M$4,'②提成标准-B-a-①-增加'!$O$1:$O$4)</f>
        <v>同老店</v>
      </c>
      <c r="O82" s="57">
        <f>_xlfn.XLOOKUP(E82,'③新店考核-B-a-②呈现-业绩明细表-③'!B:B,'③新店考核-B-a-②呈现-业绩明细表-③'!H:H,0)</f>
        <v>0</v>
      </c>
      <c r="P82" s="57">
        <f t="shared" si="17"/>
        <v>32492</v>
      </c>
      <c r="Q82" s="53">
        <f>_xlfn.XLOOKUP(E82,'④考勤-B-a-26考勤汇总表'!D:D,'④考勤-B-a-26考勤汇总表'!AP:AP,0)</f>
        <v>31</v>
      </c>
      <c r="R82" s="53" t="str">
        <f t="shared" si="23"/>
        <v/>
      </c>
      <c r="S82" s="53">
        <f t="shared" si="24"/>
        <v>33492</v>
      </c>
      <c r="T82" s="53">
        <v>32492</v>
      </c>
      <c r="U82" s="53">
        <v>1000</v>
      </c>
      <c r="V82" s="53">
        <v>0</v>
      </c>
      <c r="W82" s="53">
        <f>_xlfn.XLOOKUP(E82,'⑤项目数-B-a-③消耗明细表'!C:C,'⑤项目数-B-a-③消耗明细表'!E:E,0)</f>
        <v>21310.35</v>
      </c>
      <c r="X82" s="53">
        <f>_xlfn.XLOOKUP(E82,'⑤项目数-B-a-③消耗明细表'!C:C,'⑤项目数-B-a-③消耗明细表'!D:D,0)</f>
        <v>101</v>
      </c>
      <c r="Y82" s="53">
        <f>_xlfn.XLOOKUP(E82,'⑤项目数-B-a-③消耗明细表'!C:C,'⑤项目数-B-a-③消耗明细表'!F:F,0)</f>
        <v>1292</v>
      </c>
      <c r="Z82" s="53">
        <f>_xlfn.XLOOKUP(E82,'⑤项目数-B-a-③消耗明细表'!C:C,'⑤项目数-B-a-③消耗明细表'!G:G,0)</f>
        <v>55</v>
      </c>
      <c r="AA82" s="84">
        <f t="shared" si="18"/>
        <v>1</v>
      </c>
      <c r="AB82" s="84">
        <f t="shared" si="19"/>
        <v>1</v>
      </c>
      <c r="AC82" s="53">
        <f>_xlfn.XLOOKUP(F82,'⑥战队统计表-B-a-②呈现-业绩明细表④'!A:A,'⑥战队统计表-B-a-②呈现-业绩明细表④'!B:B,0)</f>
        <v>3</v>
      </c>
      <c r="AD82" s="53" t="str">
        <f t="shared" si="25"/>
        <v/>
      </c>
      <c r="AE82" s="59">
        <f>IF(AD82="",_xlfn.XLOOKUP(F82,'⑥战队统计表-B-a-②呈现-业绩明细表④'!A:A,'⑥战队统计表-B-a-②呈现-业绩明细表④'!D:D,0),0)</f>
        <v>0.03</v>
      </c>
      <c r="AF82" s="85">
        <f>IF(AND(E82="T区",E82="门店T区"),"",IF(AD82="",0,IF(R82="",LOOKUP(S82,'②提成标准-B-a-①-增加'!$B$16:$B$20,'②提成标准-B-a-①-增加'!$D$16:$D$20),LOOKUP(S82/Q82,'②提成标准-B-a-①-增加'!$B$23:$B$27,'②提成标准-B-a-①-增加'!$D$23:$D$27))))</f>
        <v>0</v>
      </c>
      <c r="AG82" s="85">
        <f t="shared" si="20"/>
        <v>0.03</v>
      </c>
      <c r="AH82" s="60">
        <f t="shared" si="26"/>
        <v>926.02199999999993</v>
      </c>
      <c r="AI82" s="86">
        <f t="shared" si="27"/>
        <v>18.525000000000002</v>
      </c>
      <c r="AJ82" s="60">
        <f t="shared" si="28"/>
        <v>944.54699999999991</v>
      </c>
      <c r="AK82" s="87">
        <f>IF(AB82=1,IFERROR(S82/VLOOKUP(F82,'⑥战队统计表-B-a-②呈现-业绩明细表④'!A:C,3,0),0),0)</f>
        <v>0.59369715276374424</v>
      </c>
      <c r="AL82" s="85">
        <f t="shared" si="21"/>
        <v>0.40630284723625576</v>
      </c>
      <c r="AM82" s="53">
        <f>IF(D82="顾问",_xlfn.XLOOKUP(F82,'⑥战队统计表-B-a-②呈现-业绩明细表④'!A:A,'⑥战队统计表-B-a-②呈现-业绩明细表④'!H:H,0),"")</f>
        <v>0</v>
      </c>
      <c r="AN82" s="53" t="str">
        <f t="shared" si="22"/>
        <v>骑士郡+天宇霸主队</v>
      </c>
    </row>
    <row r="83" spans="1:40" hidden="1" x14ac:dyDescent="0.15">
      <c r="A83" s="79" t="s">
        <v>428</v>
      </c>
      <c r="B83" s="80" t="s">
        <v>102</v>
      </c>
      <c r="C83" s="81" t="s">
        <v>103</v>
      </c>
      <c r="D83" s="82" t="s">
        <v>6</v>
      </c>
      <c r="E83" s="82" t="s">
        <v>109</v>
      </c>
      <c r="F83" s="53" t="str">
        <f t="shared" si="15"/>
        <v>骑士郡+天宇霸主队</v>
      </c>
      <c r="G83" s="53">
        <f>IFERROR(_xlfn.XLOOKUP(B83,'①门店信息-A-a-①-增加'!B:B,'①门店信息-A-a-①-增加'!E:E,0),"")</f>
        <v>0</v>
      </c>
      <c r="H83" s="54">
        <f>_xlfn.XLOOKUP(B83,'①门店信息-A-a-①-增加'!B:B,'①门店信息-A-a-①-增加'!F:F,0)</f>
        <v>0</v>
      </c>
      <c r="I83" s="55">
        <f>_xlfn.XLOOKUP(E83,'③新店考核-B-a-②呈现-业绩明细表-③'!B:B,'③新店考核-B-a-②呈现-业绩明细表-③'!E:E,0)</f>
        <v>0</v>
      </c>
      <c r="J83" s="54">
        <f>_xlfn.XLOOKUP(E83,'③新店考核-B-a-②呈现-业绩明细表-③'!B:B,'③新店考核-B-a-②呈现-业绩明细表-③'!F:F,0)</f>
        <v>0</v>
      </c>
      <c r="K83" s="55">
        <f>IF(H83="新店一阶段",LOOKUP(I83,'②提成标准-B-a-①-增加'!$M$9:$M$12,'②提成标准-B-a-①-增加'!$O$9:$O$12),0)</f>
        <v>0</v>
      </c>
      <c r="L83" s="56">
        <f t="shared" si="16"/>
        <v>26250.400000000001</v>
      </c>
      <c r="M83" s="57">
        <f>_xlfn.XLOOKUP(E83,'③新店考核-B-a-②呈现-业绩明细表-③'!B:B,'③新店考核-B-a-②呈现-业绩明细表-③'!G:G,0)</f>
        <v>0</v>
      </c>
      <c r="N83" s="58" t="str">
        <f>LOOKUP(M83,'②提成标准-B-a-①-增加'!$M$1:$M$4,'②提成标准-B-a-①-增加'!$O$1:$O$4)</f>
        <v>同老店</v>
      </c>
      <c r="O83" s="57">
        <f>_xlfn.XLOOKUP(E83,'③新店考核-B-a-②呈现-业绩明细表-③'!B:B,'③新店考核-B-a-②呈现-业绩明细表-③'!H:H,0)</f>
        <v>0</v>
      </c>
      <c r="P83" s="57">
        <f t="shared" si="17"/>
        <v>26250.400000000001</v>
      </c>
      <c r="Q83" s="53">
        <f>_xlfn.XLOOKUP(E83,'④考勤-B-a-26考勤汇总表'!D:D,'④考勤-B-a-26考勤汇总表'!AP:AP,0)</f>
        <v>31</v>
      </c>
      <c r="R83" s="53" t="str">
        <f t="shared" si="23"/>
        <v/>
      </c>
      <c r="S83" s="53">
        <f t="shared" si="24"/>
        <v>17850.400000000001</v>
      </c>
      <c r="T83" s="53">
        <v>26250.400000000001</v>
      </c>
      <c r="U83" s="53">
        <v>-8400</v>
      </c>
      <c r="V83" s="53">
        <v>0</v>
      </c>
      <c r="W83" s="53">
        <f>_xlfn.XLOOKUP(E83,'⑤项目数-B-a-③消耗明细表'!C:C,'⑤项目数-B-a-③消耗明细表'!E:E,0)</f>
        <v>19482.240000000002</v>
      </c>
      <c r="X83" s="53">
        <f>_xlfn.XLOOKUP(E83,'⑤项目数-B-a-③消耗明细表'!C:C,'⑤项目数-B-a-③消耗明细表'!D:D,0)</f>
        <v>106</v>
      </c>
      <c r="Y83" s="53">
        <f>_xlfn.XLOOKUP(E83,'⑤项目数-B-a-③消耗明细表'!C:C,'⑤项目数-B-a-③消耗明细表'!F:F,0)</f>
        <v>1279</v>
      </c>
      <c r="Z83" s="53">
        <f>_xlfn.XLOOKUP(E83,'⑤项目数-B-a-③消耗明细表'!C:C,'⑤项目数-B-a-③消耗明细表'!G:G,0)</f>
        <v>75</v>
      </c>
      <c r="AA83" s="84">
        <f t="shared" si="18"/>
        <v>1</v>
      </c>
      <c r="AB83" s="84">
        <f t="shared" si="19"/>
        <v>1</v>
      </c>
      <c r="AC83" s="53">
        <f>_xlfn.XLOOKUP(F83,'⑥战队统计表-B-a-②呈现-业绩明细表④'!A:A,'⑥战队统计表-B-a-②呈现-业绩明细表④'!B:B,0)</f>
        <v>3</v>
      </c>
      <c r="AD83" s="53" t="str">
        <f t="shared" si="25"/>
        <v/>
      </c>
      <c r="AE83" s="59">
        <f>IF(AD83="",_xlfn.XLOOKUP(F83,'⑥战队统计表-B-a-②呈现-业绩明细表④'!A:A,'⑥战队统计表-B-a-②呈现-业绩明细表④'!D:D,0),0)</f>
        <v>0.03</v>
      </c>
      <c r="AF83" s="85">
        <f>IF(AND(E83="T区",E83="门店T区"),"",IF(AD83="",0,IF(R83="",LOOKUP(S83,'②提成标准-B-a-①-增加'!$B$16:$B$20,'②提成标准-B-a-①-增加'!$D$16:$D$20),LOOKUP(S83/Q83,'②提成标准-B-a-①-增加'!$B$23:$B$27,'②提成标准-B-a-①-增加'!$D$23:$D$27))))</f>
        <v>0</v>
      </c>
      <c r="AG83" s="85">
        <f t="shared" si="20"/>
        <v>0.03</v>
      </c>
      <c r="AH83" s="60">
        <f t="shared" si="26"/>
        <v>748.13639999999998</v>
      </c>
      <c r="AI83" s="86">
        <f t="shared" si="27"/>
        <v>-155.60999999999999</v>
      </c>
      <c r="AJ83" s="60">
        <f t="shared" si="28"/>
        <v>592.52639999999997</v>
      </c>
      <c r="AK83" s="87">
        <f>IF(AB83=1,IFERROR(S83/VLOOKUP(F83,'⑥战队统计表-B-a-②呈现-业绩明细表④'!A:C,3,0),0),0)</f>
        <v>0.3164257630387538</v>
      </c>
      <c r="AL83" s="85" t="str">
        <f t="shared" si="21"/>
        <v/>
      </c>
      <c r="AM83" s="53" t="str">
        <f>IF(D83="顾问",_xlfn.XLOOKUP(F83,'⑥战队统计表-B-a-②呈现-业绩明细表④'!A:A,'⑥战队统计表-B-a-②呈现-业绩明细表④'!H:H,0),"")</f>
        <v/>
      </c>
      <c r="AN83" s="53" t="str">
        <f t="shared" si="22"/>
        <v>骑士郡+天宇霸主队</v>
      </c>
    </row>
    <row r="84" spans="1:40" hidden="1" x14ac:dyDescent="0.15">
      <c r="A84" s="79" t="s">
        <v>428</v>
      </c>
      <c r="B84" s="80" t="s">
        <v>102</v>
      </c>
      <c r="C84" s="81" t="s">
        <v>103</v>
      </c>
      <c r="D84" s="82" t="s">
        <v>6</v>
      </c>
      <c r="E84" s="82" t="s">
        <v>111</v>
      </c>
      <c r="F84" s="53" t="str">
        <f t="shared" si="15"/>
        <v>骑士郡+天宇霸主队</v>
      </c>
      <c r="G84" s="53">
        <f>IFERROR(_xlfn.XLOOKUP(B84,'①门店信息-A-a-①-增加'!B:B,'①门店信息-A-a-①-增加'!E:E,0),"")</f>
        <v>0</v>
      </c>
      <c r="H84" s="54">
        <f>_xlfn.XLOOKUP(B84,'①门店信息-A-a-①-增加'!B:B,'①门店信息-A-a-①-增加'!F:F,0)</f>
        <v>0</v>
      </c>
      <c r="I84" s="55">
        <f>_xlfn.XLOOKUP(E84,'③新店考核-B-a-②呈现-业绩明细表-③'!B:B,'③新店考核-B-a-②呈现-业绩明细表-③'!E:E,0)</f>
        <v>0</v>
      </c>
      <c r="J84" s="54">
        <f>_xlfn.XLOOKUP(E84,'③新店考核-B-a-②呈现-业绩明细表-③'!B:B,'③新店考核-B-a-②呈现-业绩明细表-③'!F:F,0)</f>
        <v>0</v>
      </c>
      <c r="K84" s="55">
        <f>IF(H84="新店一阶段",LOOKUP(I84,'②提成标准-B-a-①-增加'!$M$9:$M$12,'②提成标准-B-a-①-增加'!$O$9:$O$12),0)</f>
        <v>0</v>
      </c>
      <c r="L84" s="56">
        <f t="shared" si="16"/>
        <v>5070.2</v>
      </c>
      <c r="M84" s="57">
        <f>_xlfn.XLOOKUP(E84,'③新店考核-B-a-②呈现-业绩明细表-③'!B:B,'③新店考核-B-a-②呈现-业绩明细表-③'!G:G,0)</f>
        <v>0</v>
      </c>
      <c r="N84" s="58" t="str">
        <f>LOOKUP(M84,'②提成标准-B-a-①-增加'!$M$1:$M$4,'②提成标准-B-a-①-增加'!$O$1:$O$4)</f>
        <v>同老店</v>
      </c>
      <c r="O84" s="57">
        <f>_xlfn.XLOOKUP(E84,'③新店考核-B-a-②呈现-业绩明细表-③'!B:B,'③新店考核-B-a-②呈现-业绩明细表-③'!H:H,0)</f>
        <v>0</v>
      </c>
      <c r="P84" s="57">
        <f t="shared" si="17"/>
        <v>5070.2</v>
      </c>
      <c r="Q84" s="53">
        <f>_xlfn.XLOOKUP(E84,'④考勤-B-a-26考勤汇总表'!D:D,'④考勤-B-a-26考勤汇总表'!AP:AP,0)</f>
        <v>31</v>
      </c>
      <c r="R84" s="53" t="str">
        <f t="shared" si="23"/>
        <v/>
      </c>
      <c r="S84" s="53">
        <f t="shared" si="24"/>
        <v>5070.2</v>
      </c>
      <c r="T84" s="53">
        <v>5070.2</v>
      </c>
      <c r="U84" s="53">
        <v>0</v>
      </c>
      <c r="V84" s="53">
        <v>0</v>
      </c>
      <c r="W84" s="53">
        <f>_xlfn.XLOOKUP(E84,'⑤项目数-B-a-③消耗明细表'!C:C,'⑤项目数-B-a-③消耗明细表'!E:E,0)</f>
        <v>7126.18</v>
      </c>
      <c r="X84" s="53">
        <f>_xlfn.XLOOKUP(E84,'⑤项目数-B-a-③消耗明细表'!C:C,'⑤项目数-B-a-③消耗明细表'!D:D,0)</f>
        <v>85</v>
      </c>
      <c r="Y84" s="53">
        <f>_xlfn.XLOOKUP(E84,'⑤项目数-B-a-③消耗明细表'!C:C,'⑤项目数-B-a-③消耗明细表'!F:F,0)</f>
        <v>1095</v>
      </c>
      <c r="Z84" s="53">
        <f>_xlfn.XLOOKUP(E84,'⑤项目数-B-a-③消耗明细表'!C:C,'⑤项目数-B-a-③消耗明细表'!G:G,0)</f>
        <v>0</v>
      </c>
      <c r="AA84" s="84">
        <f t="shared" si="18"/>
        <v>1</v>
      </c>
      <c r="AB84" s="84">
        <f t="shared" si="19"/>
        <v>1</v>
      </c>
      <c r="AC84" s="53">
        <f>_xlfn.XLOOKUP(F84,'⑥战队统计表-B-a-②呈现-业绩明细表④'!A:A,'⑥战队统计表-B-a-②呈现-业绩明细表④'!B:B,0)</f>
        <v>3</v>
      </c>
      <c r="AD84" s="53" t="str">
        <f t="shared" si="25"/>
        <v/>
      </c>
      <c r="AE84" s="59">
        <f>IF(AD84="",_xlfn.XLOOKUP(F84,'⑥战队统计表-B-a-②呈现-业绩明细表④'!A:A,'⑥战队统计表-B-a-②呈现-业绩明细表④'!D:D,0),0)</f>
        <v>0.03</v>
      </c>
      <c r="AF84" s="85">
        <f>IF(AND(E84="T区",E84="门店T区"),"",IF(AD84="",0,IF(R84="",LOOKUP(S84,'②提成标准-B-a-①-增加'!$B$16:$B$20,'②提成标准-B-a-①-增加'!$D$16:$D$20),LOOKUP(S84/Q84,'②提成标准-B-a-①-增加'!$B$23:$B$27,'②提成标准-B-a-①-增加'!$D$23:$D$27))))</f>
        <v>0</v>
      </c>
      <c r="AG84" s="85">
        <f t="shared" si="20"/>
        <v>0.03</v>
      </c>
      <c r="AH84" s="60">
        <f t="shared" si="26"/>
        <v>144.50069999999999</v>
      </c>
      <c r="AI84" s="86">
        <f t="shared" si="27"/>
        <v>0</v>
      </c>
      <c r="AJ84" s="60">
        <f t="shared" si="28"/>
        <v>144.50069999999999</v>
      </c>
      <c r="AK84" s="87">
        <f>IF(AB84=1,IFERROR(S84/VLOOKUP(F84,'⑥战队统计表-B-a-②呈现-业绩明细表④'!A:C,3,0),0),0)</f>
        <v>8.9877084197501969E-2</v>
      </c>
      <c r="AL84" s="85" t="str">
        <f t="shared" si="21"/>
        <v/>
      </c>
      <c r="AM84" s="53" t="str">
        <f>IF(D84="顾问",_xlfn.XLOOKUP(F84,'⑥战队统计表-B-a-②呈现-业绩明细表④'!A:A,'⑥战队统计表-B-a-②呈现-业绩明细表④'!H:H,0),"")</f>
        <v/>
      </c>
      <c r="AN84" s="53" t="str">
        <f t="shared" si="22"/>
        <v>骑士郡+天宇霸主队</v>
      </c>
    </row>
    <row r="85" spans="1:40" hidden="1" x14ac:dyDescent="0.15">
      <c r="A85" s="79" t="s">
        <v>428</v>
      </c>
      <c r="B85" s="80" t="s">
        <v>102</v>
      </c>
      <c r="C85" s="81" t="s">
        <v>36</v>
      </c>
      <c r="D85" s="82" t="s">
        <v>36</v>
      </c>
      <c r="E85" s="82" t="s">
        <v>36</v>
      </c>
      <c r="F85" s="53" t="str">
        <f t="shared" si="15"/>
        <v>骑士郡+T区</v>
      </c>
      <c r="G85" s="53">
        <f>IFERROR(_xlfn.XLOOKUP(B85,'①门店信息-A-a-①-增加'!B:B,'①门店信息-A-a-①-增加'!E:E,0),"")</f>
        <v>0</v>
      </c>
      <c r="H85" s="54">
        <f>_xlfn.XLOOKUP(B85,'①门店信息-A-a-①-增加'!B:B,'①门店信息-A-a-①-增加'!F:F,0)</f>
        <v>0</v>
      </c>
      <c r="I85" s="55">
        <f>_xlfn.XLOOKUP(E85,'③新店考核-B-a-②呈现-业绩明细表-③'!B:B,'③新店考核-B-a-②呈现-业绩明细表-③'!E:E,0)</f>
        <v>0</v>
      </c>
      <c r="J85" s="54">
        <f>_xlfn.XLOOKUP(E85,'③新店考核-B-a-②呈现-业绩明细表-③'!B:B,'③新店考核-B-a-②呈现-业绩明细表-③'!F:F,0)</f>
        <v>0</v>
      </c>
      <c r="K85" s="55">
        <f>IF(H85="新店一阶段",LOOKUP(I85,'②提成标准-B-a-①-增加'!$M$9:$M$12,'②提成标准-B-a-①-增加'!$O$9:$O$12),0)</f>
        <v>0</v>
      </c>
      <c r="L85" s="56">
        <f t="shared" si="16"/>
        <v>0</v>
      </c>
      <c r="M85" s="57">
        <f>_xlfn.XLOOKUP(E85,'③新店考核-B-a-②呈现-业绩明细表-③'!B:B,'③新店考核-B-a-②呈现-业绩明细表-③'!G:G,0)</f>
        <v>0</v>
      </c>
      <c r="N85" s="58" t="str">
        <f>LOOKUP(M85,'②提成标准-B-a-①-增加'!$M$1:$M$4,'②提成标准-B-a-①-增加'!$O$1:$O$4)</f>
        <v>同老店</v>
      </c>
      <c r="O85" s="57">
        <f>_xlfn.XLOOKUP(E85,'③新店考核-B-a-②呈现-业绩明细表-③'!B:B,'③新店考核-B-a-②呈现-业绩明细表-③'!H:H,0)</f>
        <v>0</v>
      </c>
      <c r="P85" s="57">
        <f t="shared" si="17"/>
        <v>0</v>
      </c>
      <c r="Q85" s="53">
        <f>_xlfn.XLOOKUP(E85,'④考勤-B-a-26考勤汇总表'!D:D,'④考勤-B-a-26考勤汇总表'!AP:AP,0)</f>
        <v>0</v>
      </c>
      <c r="R85" s="53" t="str">
        <f t="shared" si="23"/>
        <v/>
      </c>
      <c r="S85" s="53">
        <f t="shared" si="24"/>
        <v>0</v>
      </c>
      <c r="T85" s="53">
        <v>0</v>
      </c>
      <c r="U85" s="53">
        <v>0</v>
      </c>
      <c r="V85" s="53">
        <v>0</v>
      </c>
      <c r="W85" s="53">
        <f>_xlfn.XLOOKUP(E85,'⑤项目数-B-a-③消耗明细表'!C:C,'⑤项目数-B-a-③消耗明细表'!E:E,0)</f>
        <v>0</v>
      </c>
      <c r="X85" s="53">
        <f>_xlfn.XLOOKUP(E85,'⑤项目数-B-a-③消耗明细表'!C:C,'⑤项目数-B-a-③消耗明细表'!D:D,0)</f>
        <v>0</v>
      </c>
      <c r="Y85" s="53">
        <f>_xlfn.XLOOKUP(E85,'⑤项目数-B-a-③消耗明细表'!C:C,'⑤项目数-B-a-③消耗明细表'!F:F,0)</f>
        <v>0</v>
      </c>
      <c r="Z85" s="53">
        <f>_xlfn.XLOOKUP(E85,'⑤项目数-B-a-③消耗明细表'!C:C,'⑤项目数-B-a-③消耗明细表'!G:G,0)</f>
        <v>0</v>
      </c>
      <c r="AA85" s="84" t="str">
        <f t="shared" si="18"/>
        <v>不属于战队</v>
      </c>
      <c r="AB85" s="84">
        <f t="shared" si="19"/>
        <v>0</v>
      </c>
      <c r="AC85" s="53">
        <f>_xlfn.XLOOKUP(F85,'⑥战队统计表-B-a-②呈现-业绩明细表④'!A:A,'⑥战队统计表-B-a-②呈现-业绩明细表④'!B:B,0)</f>
        <v>0</v>
      </c>
      <c r="AD85" s="53">
        <f t="shared" si="25"/>
        <v>1</v>
      </c>
      <c r="AE85" s="59">
        <f>IF(AD85="",_xlfn.XLOOKUP(F85,'⑥战队统计表-B-a-②呈现-业绩明细表④'!A:A,'⑥战队统计表-B-a-②呈现-业绩明细表④'!D:D,0),0)</f>
        <v>0</v>
      </c>
      <c r="AF85" s="85">
        <f>IF(AND(E85="T区",E85="门店T区"),"",IF(AD85="",0,IF(R85="",LOOKUP(S85,'②提成标准-B-a-①-增加'!$B$16:$B$20,'②提成标准-B-a-①-增加'!$D$16:$D$20),LOOKUP(S85/Q85,'②提成标准-B-a-①-增加'!$B$23:$B$27,'②提成标准-B-a-①-增加'!$D$23:$D$27))))</f>
        <v>0</v>
      </c>
      <c r="AG85" s="85">
        <f t="shared" si="20"/>
        <v>0</v>
      </c>
      <c r="AH85" s="60">
        <f t="shared" si="26"/>
        <v>0</v>
      </c>
      <c r="AI85" s="86">
        <f t="shared" si="27"/>
        <v>0</v>
      </c>
      <c r="AJ85" s="60">
        <f t="shared" si="28"/>
        <v>0</v>
      </c>
      <c r="AK85" s="87">
        <f>IF(AB85=1,IFERROR(S85/VLOOKUP(F85,'⑥战队统计表-B-a-②呈现-业绩明细表④'!A:C,3,0),0),0)</f>
        <v>0</v>
      </c>
      <c r="AL85" s="85" t="str">
        <f t="shared" si="21"/>
        <v/>
      </c>
      <c r="AM85" s="53" t="str">
        <f>IF(D85="顾问",_xlfn.XLOOKUP(F85,'⑥战队统计表-B-a-②呈现-业绩明细表④'!A:A,'⑥战队统计表-B-a-②呈现-业绩明细表④'!H:H,0),"")</f>
        <v/>
      </c>
      <c r="AN85" s="53" t="str">
        <f t="shared" si="22"/>
        <v>单人</v>
      </c>
    </row>
    <row r="86" spans="1:40" hidden="1" x14ac:dyDescent="0.15">
      <c r="A86" s="79" t="s">
        <v>428</v>
      </c>
      <c r="B86" s="80" t="s">
        <v>102</v>
      </c>
      <c r="C86" s="81" t="s">
        <v>107</v>
      </c>
      <c r="D86" s="82" t="s">
        <v>32</v>
      </c>
      <c r="E86" s="82" t="s">
        <v>108</v>
      </c>
      <c r="F86" s="53" t="str">
        <f t="shared" si="15"/>
        <v>骑士郡+雄霸天下队</v>
      </c>
      <c r="G86" s="53">
        <f>IFERROR(_xlfn.XLOOKUP(B86,'①门店信息-A-a-①-增加'!B:B,'①门店信息-A-a-①-增加'!E:E,0),"")</f>
        <v>0</v>
      </c>
      <c r="H86" s="54">
        <f>_xlfn.XLOOKUP(B86,'①门店信息-A-a-①-增加'!B:B,'①门店信息-A-a-①-增加'!F:F,0)</f>
        <v>0</v>
      </c>
      <c r="I86" s="55">
        <f>_xlfn.XLOOKUP(E86,'③新店考核-B-a-②呈现-业绩明细表-③'!B:B,'③新店考核-B-a-②呈现-业绩明细表-③'!E:E,0)</f>
        <v>0</v>
      </c>
      <c r="J86" s="54">
        <f>_xlfn.XLOOKUP(E86,'③新店考核-B-a-②呈现-业绩明细表-③'!B:B,'③新店考核-B-a-②呈现-业绩明细表-③'!F:F,0)</f>
        <v>0</v>
      </c>
      <c r="K86" s="55">
        <f>IF(H86="新店一阶段",LOOKUP(I86,'②提成标准-B-a-①-增加'!$M$9:$M$12,'②提成标准-B-a-①-增加'!$O$9:$O$12),0)</f>
        <v>0</v>
      </c>
      <c r="L86" s="56">
        <f t="shared" si="16"/>
        <v>74548</v>
      </c>
      <c r="M86" s="57">
        <f>_xlfn.XLOOKUP(E86,'③新店考核-B-a-②呈现-业绩明细表-③'!B:B,'③新店考核-B-a-②呈现-业绩明细表-③'!G:G,0)</f>
        <v>0</v>
      </c>
      <c r="N86" s="58" t="str">
        <f>LOOKUP(M86,'②提成标准-B-a-①-增加'!$M$1:$M$4,'②提成标准-B-a-①-增加'!$O$1:$O$4)</f>
        <v>同老店</v>
      </c>
      <c r="O86" s="57">
        <f>_xlfn.XLOOKUP(E86,'③新店考核-B-a-②呈现-业绩明细表-③'!B:B,'③新店考核-B-a-②呈现-业绩明细表-③'!H:H,0)</f>
        <v>0</v>
      </c>
      <c r="P86" s="57">
        <f t="shared" si="17"/>
        <v>74548</v>
      </c>
      <c r="Q86" s="53">
        <f>_xlfn.XLOOKUP(E86,'④考勤-B-a-26考勤汇总表'!D:D,'④考勤-B-a-26考勤汇总表'!AP:AP,0)</f>
        <v>31</v>
      </c>
      <c r="R86" s="53" t="str">
        <f t="shared" si="23"/>
        <v/>
      </c>
      <c r="S86" s="53">
        <f t="shared" si="24"/>
        <v>73048</v>
      </c>
      <c r="T86" s="53">
        <v>74548</v>
      </c>
      <c r="U86" s="53">
        <v>-1500</v>
      </c>
      <c r="V86" s="53">
        <v>0</v>
      </c>
      <c r="W86" s="53">
        <f>_xlfn.XLOOKUP(E86,'⑤项目数-B-a-③消耗明细表'!C:C,'⑤项目数-B-a-③消耗明细表'!E:E,0)</f>
        <v>40016.480000000003</v>
      </c>
      <c r="X86" s="53">
        <f>_xlfn.XLOOKUP(E86,'⑤项目数-B-a-③消耗明细表'!C:C,'⑤项目数-B-a-③消耗明细表'!D:D,0)</f>
        <v>79</v>
      </c>
      <c r="Y86" s="53">
        <f>_xlfn.XLOOKUP(E86,'⑤项目数-B-a-③消耗明细表'!C:C,'⑤项目数-B-a-③消耗明细表'!F:F,0)</f>
        <v>1095</v>
      </c>
      <c r="Z86" s="53">
        <f>_xlfn.XLOOKUP(E86,'⑤项目数-B-a-③消耗明细表'!C:C,'⑤项目数-B-a-③消耗明细表'!G:G,0)</f>
        <v>140</v>
      </c>
      <c r="AA86" s="84">
        <f t="shared" si="18"/>
        <v>1</v>
      </c>
      <c r="AB86" s="84">
        <f t="shared" si="19"/>
        <v>1</v>
      </c>
      <c r="AC86" s="53">
        <f>_xlfn.XLOOKUP(F86,'⑥战队统计表-B-a-②呈现-业绩明细表④'!A:A,'⑥战队统计表-B-a-②呈现-业绩明细表④'!B:B,0)</f>
        <v>3</v>
      </c>
      <c r="AD86" s="53" t="str">
        <f t="shared" si="25"/>
        <v/>
      </c>
      <c r="AE86" s="59">
        <f>IF(AD86="",_xlfn.XLOOKUP(F86,'⑥战队统计表-B-a-②呈现-业绩明细表④'!A:A,'⑥战队统计表-B-a-②呈现-业绩明细表④'!D:D,0),0)</f>
        <v>0.05</v>
      </c>
      <c r="AF86" s="85">
        <f>IF(AND(E86="T区",E86="门店T区"),"",IF(AD86="",0,IF(R86="",LOOKUP(S86,'②提成标准-B-a-①-增加'!$B$16:$B$20,'②提成标准-B-a-①-增加'!$D$16:$D$20),LOOKUP(S86/Q86,'②提成标准-B-a-①-增加'!$B$23:$B$27,'②提成标准-B-a-①-增加'!$D$23:$D$27))))</f>
        <v>0</v>
      </c>
      <c r="AG86" s="85">
        <f t="shared" si="20"/>
        <v>0.05</v>
      </c>
      <c r="AH86" s="60">
        <f t="shared" si="26"/>
        <v>3541.0299999999997</v>
      </c>
      <c r="AI86" s="86">
        <f t="shared" si="27"/>
        <v>-46.3125</v>
      </c>
      <c r="AJ86" s="60">
        <f t="shared" si="28"/>
        <v>3494.7174999999997</v>
      </c>
      <c r="AK86" s="87">
        <f>IF(AB86=1,IFERROR(S86/VLOOKUP(F86,'⑥战队统计表-B-a-②呈现-业绩明细表④'!A:C,3,0),0),0)</f>
        <v>0.71461273874882125</v>
      </c>
      <c r="AL86" s="85">
        <f t="shared" si="21"/>
        <v>0.28538726125117886</v>
      </c>
      <c r="AM86" s="53">
        <f>IF(D86="顾问",_xlfn.XLOOKUP(F86,'⑥战队统计表-B-a-②呈现-业绩明细表④'!A:A,'⑥战队统计表-B-a-②呈现-业绩明细表④'!H:H,0),"")</f>
        <v>0</v>
      </c>
      <c r="AN86" s="53" t="str">
        <f t="shared" si="22"/>
        <v>骑士郡+雄霸天下队</v>
      </c>
    </row>
    <row r="87" spans="1:40" hidden="1" x14ac:dyDescent="0.15">
      <c r="A87" s="79" t="s">
        <v>428</v>
      </c>
      <c r="B87" s="80" t="s">
        <v>102</v>
      </c>
      <c r="C87" s="81" t="s">
        <v>107</v>
      </c>
      <c r="D87" s="82" t="s">
        <v>6</v>
      </c>
      <c r="E87" s="82" t="s">
        <v>110</v>
      </c>
      <c r="F87" s="53" t="str">
        <f t="shared" si="15"/>
        <v>骑士郡+雄霸天下队</v>
      </c>
      <c r="G87" s="53">
        <f>IFERROR(_xlfn.XLOOKUP(B87,'①门店信息-A-a-①-增加'!B:B,'①门店信息-A-a-①-增加'!E:E,0),"")</f>
        <v>0</v>
      </c>
      <c r="H87" s="54">
        <f>_xlfn.XLOOKUP(B87,'①门店信息-A-a-①-增加'!B:B,'①门店信息-A-a-①-增加'!F:F,0)</f>
        <v>0</v>
      </c>
      <c r="I87" s="55">
        <f>_xlfn.XLOOKUP(E87,'③新店考核-B-a-②呈现-业绩明细表-③'!B:B,'③新店考核-B-a-②呈现-业绩明细表-③'!E:E,0)</f>
        <v>0</v>
      </c>
      <c r="J87" s="54">
        <f>_xlfn.XLOOKUP(E87,'③新店考核-B-a-②呈现-业绩明细表-③'!B:B,'③新店考核-B-a-②呈现-业绩明细表-③'!F:F,0)</f>
        <v>0</v>
      </c>
      <c r="K87" s="55">
        <f>IF(H87="新店一阶段",LOOKUP(I87,'②提成标准-B-a-①-增加'!$M$9:$M$12,'②提成标准-B-a-①-增加'!$O$9:$O$12),0)</f>
        <v>0</v>
      </c>
      <c r="L87" s="56">
        <f t="shared" si="16"/>
        <v>21535.4</v>
      </c>
      <c r="M87" s="57">
        <f>_xlfn.XLOOKUP(E87,'③新店考核-B-a-②呈现-业绩明细表-③'!B:B,'③新店考核-B-a-②呈现-业绩明细表-③'!G:G,0)</f>
        <v>0</v>
      </c>
      <c r="N87" s="58" t="str">
        <f>LOOKUP(M87,'②提成标准-B-a-①-增加'!$M$1:$M$4,'②提成标准-B-a-①-增加'!$O$1:$O$4)</f>
        <v>同老店</v>
      </c>
      <c r="O87" s="57">
        <f>_xlfn.XLOOKUP(E87,'③新店考核-B-a-②呈现-业绩明细表-③'!B:B,'③新店考核-B-a-②呈现-业绩明细表-③'!H:H,0)</f>
        <v>0</v>
      </c>
      <c r="P87" s="57">
        <f t="shared" si="17"/>
        <v>21535.4</v>
      </c>
      <c r="Q87" s="53">
        <f>_xlfn.XLOOKUP(E87,'④考勤-B-a-26考勤汇总表'!D:D,'④考勤-B-a-26考勤汇总表'!AP:AP,0)</f>
        <v>31</v>
      </c>
      <c r="R87" s="53" t="str">
        <f t="shared" si="23"/>
        <v/>
      </c>
      <c r="S87" s="53">
        <f t="shared" si="24"/>
        <v>18034.400000000001</v>
      </c>
      <c r="T87" s="53">
        <v>21535.4</v>
      </c>
      <c r="U87" s="53">
        <v>-3501</v>
      </c>
      <c r="V87" s="53">
        <v>0</v>
      </c>
      <c r="W87" s="53">
        <f>_xlfn.XLOOKUP(E87,'⑤项目数-B-a-③消耗明细表'!C:C,'⑤项目数-B-a-③消耗明细表'!E:E,0)</f>
        <v>18303.84</v>
      </c>
      <c r="X87" s="53">
        <f>_xlfn.XLOOKUP(E87,'⑤项目数-B-a-③消耗明细表'!C:C,'⑤项目数-B-a-③消耗明细表'!D:D,0)</f>
        <v>101</v>
      </c>
      <c r="Y87" s="53">
        <f>_xlfn.XLOOKUP(E87,'⑤项目数-B-a-③消耗明细表'!C:C,'⑤项目数-B-a-③消耗明细表'!F:F,0)</f>
        <v>1155</v>
      </c>
      <c r="Z87" s="53">
        <f>_xlfn.XLOOKUP(E87,'⑤项目数-B-a-③消耗明细表'!C:C,'⑤项目数-B-a-③消耗明细表'!G:G,0)</f>
        <v>0</v>
      </c>
      <c r="AA87" s="84">
        <f t="shared" si="18"/>
        <v>1</v>
      </c>
      <c r="AB87" s="84">
        <f t="shared" si="19"/>
        <v>1</v>
      </c>
      <c r="AC87" s="53">
        <f>_xlfn.XLOOKUP(F87,'⑥战队统计表-B-a-②呈现-业绩明细表④'!A:A,'⑥战队统计表-B-a-②呈现-业绩明细表④'!B:B,0)</f>
        <v>3</v>
      </c>
      <c r="AD87" s="53" t="str">
        <f t="shared" si="25"/>
        <v/>
      </c>
      <c r="AE87" s="59">
        <f>IF(AD87="",_xlfn.XLOOKUP(F87,'⑥战队统计表-B-a-②呈现-业绩明细表④'!A:A,'⑥战队统计表-B-a-②呈现-业绩明细表④'!D:D,0),0)</f>
        <v>0.05</v>
      </c>
      <c r="AF87" s="85">
        <f>IF(AND(E87="T区",E87="门店T区"),"",IF(AD87="",0,IF(R87="",LOOKUP(S87,'②提成标准-B-a-①-增加'!$B$16:$B$20,'②提成标准-B-a-①-增加'!$D$16:$D$20),LOOKUP(S87/Q87,'②提成标准-B-a-①-增加'!$B$23:$B$27,'②提成标准-B-a-①-增加'!$D$23:$D$27))))</f>
        <v>0</v>
      </c>
      <c r="AG87" s="85">
        <f t="shared" si="20"/>
        <v>0.05</v>
      </c>
      <c r="AH87" s="60">
        <f t="shared" si="26"/>
        <v>1022.9315000000001</v>
      </c>
      <c r="AI87" s="86">
        <f t="shared" si="27"/>
        <v>-108.09337500000001</v>
      </c>
      <c r="AJ87" s="60">
        <f t="shared" si="28"/>
        <v>914.8381250000001</v>
      </c>
      <c r="AK87" s="87">
        <f>IF(AB87=1,IFERROR(S87/VLOOKUP(F87,'⑥战队统计表-B-a-②呈现-业绩明细表④'!A:C,3,0),0),0)</f>
        <v>0.17642662325719721</v>
      </c>
      <c r="AL87" s="85" t="str">
        <f t="shared" si="21"/>
        <v/>
      </c>
      <c r="AM87" s="53" t="str">
        <f>IF(D87="顾问",_xlfn.XLOOKUP(F87,'⑥战队统计表-B-a-②呈现-业绩明细表④'!A:A,'⑥战队统计表-B-a-②呈现-业绩明细表④'!H:H,0),"")</f>
        <v/>
      </c>
      <c r="AN87" s="53" t="str">
        <f t="shared" si="22"/>
        <v>骑士郡+雄霸天下队</v>
      </c>
    </row>
    <row r="88" spans="1:40" hidden="1" x14ac:dyDescent="0.15">
      <c r="A88" s="79" t="s">
        <v>428</v>
      </c>
      <c r="B88" s="80" t="s">
        <v>102</v>
      </c>
      <c r="C88" s="89" t="s">
        <v>107</v>
      </c>
      <c r="D88" s="90" t="s">
        <v>6</v>
      </c>
      <c r="E88" s="90" t="s">
        <v>106</v>
      </c>
      <c r="F88" s="53" t="str">
        <f t="shared" si="15"/>
        <v>骑士郡+雄霸天下队</v>
      </c>
      <c r="G88" s="53">
        <f>IFERROR(_xlfn.XLOOKUP(B88,'①门店信息-A-a-①-增加'!B:B,'①门店信息-A-a-①-增加'!E:E,0),"")</f>
        <v>0</v>
      </c>
      <c r="H88" s="54">
        <f>_xlfn.XLOOKUP(B88,'①门店信息-A-a-①-增加'!B:B,'①门店信息-A-a-①-增加'!F:F,0)</f>
        <v>0</v>
      </c>
      <c r="I88" s="55">
        <f>_xlfn.XLOOKUP(E88,'③新店考核-B-a-②呈现-业绩明细表-③'!B:B,'③新店考核-B-a-②呈现-业绩明细表-③'!E:E,0)</f>
        <v>0</v>
      </c>
      <c r="J88" s="54">
        <f>_xlfn.XLOOKUP(E88,'③新店考核-B-a-②呈现-业绩明细表-③'!B:B,'③新店考核-B-a-②呈现-业绩明细表-③'!F:F,0)</f>
        <v>0</v>
      </c>
      <c r="K88" s="55">
        <f>IF(H88="新店一阶段",LOOKUP(I88,'②提成标准-B-a-①-增加'!$M$9:$M$12,'②提成标准-B-a-①-增加'!$O$9:$O$12),0)</f>
        <v>0</v>
      </c>
      <c r="L88" s="56">
        <f t="shared" si="16"/>
        <v>12638</v>
      </c>
      <c r="M88" s="57">
        <f>_xlfn.XLOOKUP(E88,'③新店考核-B-a-②呈现-业绩明细表-③'!B:B,'③新店考核-B-a-②呈现-业绩明细表-③'!G:G,0)</f>
        <v>0</v>
      </c>
      <c r="N88" s="58" t="str">
        <f>LOOKUP(M88,'②提成标准-B-a-①-增加'!$M$1:$M$4,'②提成标准-B-a-①-增加'!$O$1:$O$4)</f>
        <v>同老店</v>
      </c>
      <c r="O88" s="57">
        <f>_xlfn.XLOOKUP(E88,'③新店考核-B-a-②呈现-业绩明细表-③'!B:B,'③新店考核-B-a-②呈现-业绩明细表-③'!H:H,0)</f>
        <v>0</v>
      </c>
      <c r="P88" s="57">
        <f t="shared" si="17"/>
        <v>12638</v>
      </c>
      <c r="Q88" s="53">
        <f>_xlfn.XLOOKUP(E88,'④考勤-B-a-26考勤汇总表'!D:D,'④考勤-B-a-26考勤汇总表'!AP:AP,0)</f>
        <v>31</v>
      </c>
      <c r="R88" s="53" t="str">
        <f t="shared" si="23"/>
        <v/>
      </c>
      <c r="S88" s="53">
        <f t="shared" si="24"/>
        <v>11138</v>
      </c>
      <c r="T88" s="53">
        <v>12638</v>
      </c>
      <c r="U88" s="53">
        <v>-1500</v>
      </c>
      <c r="V88" s="53">
        <v>0</v>
      </c>
      <c r="W88" s="53">
        <f>_xlfn.XLOOKUP(E88,'⑤项目数-B-a-③消耗明细表'!C:C,'⑤项目数-B-a-③消耗明细表'!E:E,0)</f>
        <v>12395.25</v>
      </c>
      <c r="X88" s="53">
        <f>_xlfn.XLOOKUP(E88,'⑤项目数-B-a-③消耗明细表'!C:C,'⑤项目数-B-a-③消耗明细表'!D:D,0)</f>
        <v>109</v>
      </c>
      <c r="Y88" s="53">
        <f>_xlfn.XLOOKUP(E88,'⑤项目数-B-a-③消耗明细表'!C:C,'⑤项目数-B-a-③消耗明细表'!F:F,0)</f>
        <v>1209</v>
      </c>
      <c r="Z88" s="53">
        <f>_xlfn.XLOOKUP(E88,'⑤项目数-B-a-③消耗明细表'!C:C,'⑤项目数-B-a-③消耗明细表'!G:G,0)</f>
        <v>0</v>
      </c>
      <c r="AA88" s="84">
        <f t="shared" si="18"/>
        <v>1</v>
      </c>
      <c r="AB88" s="84">
        <f t="shared" si="19"/>
        <v>1</v>
      </c>
      <c r="AC88" s="53">
        <f>_xlfn.XLOOKUP(F88,'⑥战队统计表-B-a-②呈现-业绩明细表④'!A:A,'⑥战队统计表-B-a-②呈现-业绩明细表④'!B:B,0)</f>
        <v>3</v>
      </c>
      <c r="AD88" s="53" t="str">
        <f t="shared" si="25"/>
        <v/>
      </c>
      <c r="AE88" s="59">
        <f>IF(AD88="",_xlfn.XLOOKUP(F88,'⑥战队统计表-B-a-②呈现-业绩明细表④'!A:A,'⑥战队统计表-B-a-②呈现-业绩明细表④'!D:D,0),0)</f>
        <v>0.05</v>
      </c>
      <c r="AF88" s="85">
        <f>IF(AND(E88="T区",E88="门店T区"),"",IF(AD88="",0,IF(R88="",LOOKUP(S88,'②提成标准-B-a-①-增加'!$B$16:$B$20,'②提成标准-B-a-①-增加'!$D$16:$D$20),LOOKUP(S88/Q88,'②提成标准-B-a-①-增加'!$B$23:$B$27,'②提成标准-B-a-①-增加'!$D$23:$D$27))))</f>
        <v>0</v>
      </c>
      <c r="AG88" s="85">
        <f t="shared" si="20"/>
        <v>0.05</v>
      </c>
      <c r="AH88" s="60">
        <f t="shared" si="26"/>
        <v>600.30500000000006</v>
      </c>
      <c r="AI88" s="86">
        <f t="shared" si="27"/>
        <v>-46.3125</v>
      </c>
      <c r="AJ88" s="60">
        <f t="shared" si="28"/>
        <v>553.99250000000006</v>
      </c>
      <c r="AK88" s="87">
        <f>IF(AB88=1,IFERROR(S88/VLOOKUP(F88,'⑥战队统计表-B-a-②呈现-业绩明细表④'!A:C,3,0),0),0)</f>
        <v>0.10896063799398163</v>
      </c>
      <c r="AL88" s="85" t="str">
        <f t="shared" si="21"/>
        <v/>
      </c>
      <c r="AM88" s="53" t="str">
        <f>IF(D88="顾问",_xlfn.XLOOKUP(F88,'⑥战队统计表-B-a-②呈现-业绩明细表④'!A:A,'⑥战队统计表-B-a-②呈现-业绩明细表④'!H:H,0),"")</f>
        <v/>
      </c>
      <c r="AN88" s="53" t="str">
        <f t="shared" si="22"/>
        <v>骑士郡+雄霸天下队</v>
      </c>
    </row>
    <row r="89" spans="1:40" hidden="1" x14ac:dyDescent="0.15">
      <c r="A89" s="79" t="s">
        <v>428</v>
      </c>
      <c r="B89" s="80" t="s">
        <v>102</v>
      </c>
      <c r="C89" s="81" t="s">
        <v>36</v>
      </c>
      <c r="D89" s="82" t="s">
        <v>36</v>
      </c>
      <c r="E89" s="82" t="s">
        <v>36</v>
      </c>
      <c r="F89" s="53" t="str">
        <f t="shared" si="15"/>
        <v>骑士郡+T区</v>
      </c>
      <c r="G89" s="53">
        <f>IFERROR(_xlfn.XLOOKUP(B89,'①门店信息-A-a-①-增加'!B:B,'①门店信息-A-a-①-增加'!E:E,0),"")</f>
        <v>0</v>
      </c>
      <c r="H89" s="54">
        <f>_xlfn.XLOOKUP(B89,'①门店信息-A-a-①-增加'!B:B,'①门店信息-A-a-①-增加'!F:F,0)</f>
        <v>0</v>
      </c>
      <c r="I89" s="55">
        <f>_xlfn.XLOOKUP(E89,'③新店考核-B-a-②呈现-业绩明细表-③'!B:B,'③新店考核-B-a-②呈现-业绩明细表-③'!E:E,0)</f>
        <v>0</v>
      </c>
      <c r="J89" s="54">
        <f>_xlfn.XLOOKUP(E89,'③新店考核-B-a-②呈现-业绩明细表-③'!B:B,'③新店考核-B-a-②呈现-业绩明细表-③'!F:F,0)</f>
        <v>0</v>
      </c>
      <c r="K89" s="55">
        <f>IF(H89="新店一阶段",LOOKUP(I89,'②提成标准-B-a-①-增加'!$M$9:$M$12,'②提成标准-B-a-①-增加'!$O$9:$O$12),0)</f>
        <v>0</v>
      </c>
      <c r="L89" s="56">
        <f t="shared" si="16"/>
        <v>0</v>
      </c>
      <c r="M89" s="57">
        <f>_xlfn.XLOOKUP(E89,'③新店考核-B-a-②呈现-业绩明细表-③'!B:B,'③新店考核-B-a-②呈现-业绩明细表-③'!G:G,0)</f>
        <v>0</v>
      </c>
      <c r="N89" s="58" t="str">
        <f>LOOKUP(M89,'②提成标准-B-a-①-增加'!$M$1:$M$4,'②提成标准-B-a-①-增加'!$O$1:$O$4)</f>
        <v>同老店</v>
      </c>
      <c r="O89" s="57">
        <f>_xlfn.XLOOKUP(E89,'③新店考核-B-a-②呈现-业绩明细表-③'!B:B,'③新店考核-B-a-②呈现-业绩明细表-③'!H:H,0)</f>
        <v>0</v>
      </c>
      <c r="P89" s="57">
        <f t="shared" si="17"/>
        <v>0</v>
      </c>
      <c r="Q89" s="53">
        <f>_xlfn.XLOOKUP(E89,'④考勤-B-a-26考勤汇总表'!D:D,'④考勤-B-a-26考勤汇总表'!AP:AP,0)</f>
        <v>0</v>
      </c>
      <c r="R89" s="53" t="str">
        <f t="shared" si="23"/>
        <v/>
      </c>
      <c r="S89" s="53">
        <f t="shared" si="24"/>
        <v>0</v>
      </c>
      <c r="T89" s="53">
        <v>0</v>
      </c>
      <c r="U89" s="53">
        <v>0</v>
      </c>
      <c r="V89" s="53">
        <v>0</v>
      </c>
      <c r="W89" s="53">
        <f>_xlfn.XLOOKUP(E89,'⑤项目数-B-a-③消耗明细表'!C:C,'⑤项目数-B-a-③消耗明细表'!E:E,0)</f>
        <v>0</v>
      </c>
      <c r="X89" s="53">
        <f>_xlfn.XLOOKUP(E89,'⑤项目数-B-a-③消耗明细表'!C:C,'⑤项目数-B-a-③消耗明细表'!D:D,0)</f>
        <v>0</v>
      </c>
      <c r="Y89" s="53">
        <f>_xlfn.XLOOKUP(E89,'⑤项目数-B-a-③消耗明细表'!C:C,'⑤项目数-B-a-③消耗明细表'!F:F,0)</f>
        <v>0</v>
      </c>
      <c r="Z89" s="53">
        <f>_xlfn.XLOOKUP(E89,'⑤项目数-B-a-③消耗明细表'!C:C,'⑤项目数-B-a-③消耗明细表'!G:G,0)</f>
        <v>0</v>
      </c>
      <c r="AA89" s="84" t="str">
        <f t="shared" si="18"/>
        <v>不属于战队</v>
      </c>
      <c r="AB89" s="84">
        <f t="shared" si="19"/>
        <v>0</v>
      </c>
      <c r="AC89" s="53">
        <f>_xlfn.XLOOKUP(F89,'⑥战队统计表-B-a-②呈现-业绩明细表④'!A:A,'⑥战队统计表-B-a-②呈现-业绩明细表④'!B:B,0)</f>
        <v>0</v>
      </c>
      <c r="AD89" s="53">
        <f t="shared" si="25"/>
        <v>1</v>
      </c>
      <c r="AE89" s="59">
        <f>IF(AD89="",_xlfn.XLOOKUP(F89,'⑥战队统计表-B-a-②呈现-业绩明细表④'!A:A,'⑥战队统计表-B-a-②呈现-业绩明细表④'!D:D,0),0)</f>
        <v>0</v>
      </c>
      <c r="AF89" s="85">
        <f>IF(AND(E89="T区",E89="门店T区"),"",IF(AD89="",0,IF(R89="",LOOKUP(S89,'②提成标准-B-a-①-增加'!$B$16:$B$20,'②提成标准-B-a-①-增加'!$D$16:$D$20),LOOKUP(S89/Q89,'②提成标准-B-a-①-增加'!$B$23:$B$27,'②提成标准-B-a-①-增加'!$D$23:$D$27))))</f>
        <v>0</v>
      </c>
      <c r="AG89" s="85">
        <f t="shared" si="20"/>
        <v>0</v>
      </c>
      <c r="AH89" s="60">
        <f t="shared" si="26"/>
        <v>0</v>
      </c>
      <c r="AI89" s="86">
        <f t="shared" si="27"/>
        <v>0</v>
      </c>
      <c r="AJ89" s="60">
        <f t="shared" si="28"/>
        <v>0</v>
      </c>
      <c r="AK89" s="87">
        <f>IF(AB89=1,IFERROR(S89/VLOOKUP(F89,'⑥战队统计表-B-a-②呈现-业绩明细表④'!A:C,3,0),0),0)</f>
        <v>0</v>
      </c>
      <c r="AL89" s="85" t="str">
        <f t="shared" si="21"/>
        <v/>
      </c>
      <c r="AM89" s="53" t="str">
        <f>IF(D89="顾问",_xlfn.XLOOKUP(F89,'⑥战队统计表-B-a-②呈现-业绩明细表④'!A:A,'⑥战队统计表-B-a-②呈现-业绩明细表④'!H:H,0),"")</f>
        <v/>
      </c>
      <c r="AN89" s="53" t="str">
        <f t="shared" si="22"/>
        <v>单人</v>
      </c>
    </row>
    <row r="90" spans="1:40" hidden="1" x14ac:dyDescent="0.15">
      <c r="A90" s="79" t="s">
        <v>428</v>
      </c>
      <c r="B90" s="80" t="s">
        <v>102</v>
      </c>
      <c r="C90" s="81" t="s">
        <v>40</v>
      </c>
      <c r="D90" s="82" t="s">
        <v>40</v>
      </c>
      <c r="E90" s="88" t="str">
        <f>F90</f>
        <v>骑士郡+门店T区</v>
      </c>
      <c r="F90" s="53" t="str">
        <f t="shared" si="15"/>
        <v>骑士郡+门店T区</v>
      </c>
      <c r="G90" s="53">
        <f>IFERROR(_xlfn.XLOOKUP(B90,'①门店信息-A-a-①-增加'!B:B,'①门店信息-A-a-①-增加'!E:E,0),"")</f>
        <v>0</v>
      </c>
      <c r="H90" s="54">
        <f>_xlfn.XLOOKUP(B90,'①门店信息-A-a-①-增加'!B:B,'①门店信息-A-a-①-增加'!F:F,0)</f>
        <v>0</v>
      </c>
      <c r="I90" s="55">
        <f>_xlfn.XLOOKUP(E90,'③新店考核-B-a-②呈现-业绩明细表-③'!B:B,'③新店考核-B-a-②呈现-业绩明细表-③'!E:E,0)</f>
        <v>0</v>
      </c>
      <c r="J90" s="54">
        <f>_xlfn.XLOOKUP(E90,'③新店考核-B-a-②呈现-业绩明细表-③'!B:B,'③新店考核-B-a-②呈现-业绩明细表-③'!F:F,0)</f>
        <v>0</v>
      </c>
      <c r="K90" s="55">
        <f>IF(H90="新店一阶段",LOOKUP(I90,'②提成标准-B-a-①-增加'!$M$9:$M$12,'②提成标准-B-a-①-增加'!$O$9:$O$12),0)</f>
        <v>0</v>
      </c>
      <c r="L90" s="56">
        <f t="shared" si="16"/>
        <v>0</v>
      </c>
      <c r="M90" s="57">
        <f>_xlfn.XLOOKUP(E90,'③新店考核-B-a-②呈现-业绩明细表-③'!B:B,'③新店考核-B-a-②呈现-业绩明细表-③'!G:G,0)</f>
        <v>0</v>
      </c>
      <c r="N90" s="58" t="str">
        <f>LOOKUP(M90,'②提成标准-B-a-①-增加'!$M$1:$M$4,'②提成标准-B-a-①-增加'!$O$1:$O$4)</f>
        <v>同老店</v>
      </c>
      <c r="O90" s="57">
        <f>_xlfn.XLOOKUP(E90,'③新店考核-B-a-②呈现-业绩明细表-③'!B:B,'③新店考核-B-a-②呈现-业绩明细表-③'!H:H,0)</f>
        <v>0</v>
      </c>
      <c r="P90" s="57">
        <f t="shared" si="17"/>
        <v>0</v>
      </c>
      <c r="Q90" s="53">
        <f>_xlfn.XLOOKUP(E90,'④考勤-B-a-26考勤汇总表'!D:D,'④考勤-B-a-26考勤汇总表'!AP:AP,0)</f>
        <v>0</v>
      </c>
      <c r="R90" s="53" t="str">
        <f t="shared" si="23"/>
        <v/>
      </c>
      <c r="S90" s="53">
        <f t="shared" si="24"/>
        <v>0</v>
      </c>
      <c r="T90" s="53">
        <v>0</v>
      </c>
      <c r="U90" s="53">
        <v>0</v>
      </c>
      <c r="V90" s="53">
        <v>0</v>
      </c>
      <c r="W90" s="53">
        <f>_xlfn.XLOOKUP(E90,'⑤项目数-B-a-③消耗明细表'!C:C,'⑤项目数-B-a-③消耗明细表'!E:E,0)</f>
        <v>0</v>
      </c>
      <c r="X90" s="53">
        <f>_xlfn.XLOOKUP(E90,'⑤项目数-B-a-③消耗明细表'!C:C,'⑤项目数-B-a-③消耗明细表'!D:D,0)</f>
        <v>0</v>
      </c>
      <c r="Y90" s="53">
        <f>_xlfn.XLOOKUP(E90,'⑤项目数-B-a-③消耗明细表'!C:C,'⑤项目数-B-a-③消耗明细表'!F:F,0)</f>
        <v>0</v>
      </c>
      <c r="Z90" s="53">
        <f>_xlfn.XLOOKUP(E90,'⑤项目数-B-a-③消耗明细表'!C:C,'⑤项目数-B-a-③消耗明细表'!G:G,0)</f>
        <v>0</v>
      </c>
      <c r="AA90" s="84">
        <f t="shared" si="18"/>
        <v>1</v>
      </c>
      <c r="AB90" s="84">
        <f t="shared" si="19"/>
        <v>0</v>
      </c>
      <c r="AC90" s="53">
        <f>_xlfn.XLOOKUP(F90,'⑥战队统计表-B-a-②呈现-业绩明细表④'!A:A,'⑥战队统计表-B-a-②呈现-业绩明细表④'!B:B,0)</f>
        <v>0</v>
      </c>
      <c r="AD90" s="53">
        <f t="shared" si="25"/>
        <v>1</v>
      </c>
      <c r="AE90" s="59">
        <f>IF(AD90="",_xlfn.XLOOKUP(F90,'⑥战队统计表-B-a-②呈现-业绩明细表④'!A:A,'⑥战队统计表-B-a-②呈现-业绩明细表④'!D:D,0),0)</f>
        <v>0</v>
      </c>
      <c r="AF90" s="85">
        <f>IF(AND(E90="T区",E90="门店T区"),"",IF(AD90="",0,IF(R90="",LOOKUP(S90,'②提成标准-B-a-①-增加'!$B$16:$B$20,'②提成标准-B-a-①-增加'!$D$16:$D$20),LOOKUP(S90/Q90,'②提成标准-B-a-①-增加'!$B$23:$B$27,'②提成标准-B-a-①-增加'!$D$23:$D$27))))</f>
        <v>0</v>
      </c>
      <c r="AG90" s="85">
        <f t="shared" si="20"/>
        <v>0</v>
      </c>
      <c r="AH90" s="60">
        <f t="shared" si="26"/>
        <v>0</v>
      </c>
      <c r="AI90" s="86">
        <f t="shared" si="27"/>
        <v>0</v>
      </c>
      <c r="AJ90" s="60">
        <f t="shared" si="28"/>
        <v>0</v>
      </c>
      <c r="AK90" s="87">
        <f>IF(AB90=1,IFERROR(S90/VLOOKUP(F90,'⑥战队统计表-B-a-②呈现-业绩明细表④'!A:C,3,0),0),0)</f>
        <v>0</v>
      </c>
      <c r="AL90" s="85" t="str">
        <f t="shared" si="21"/>
        <v/>
      </c>
      <c r="AM90" s="53" t="str">
        <f>IF(D90="顾问",_xlfn.XLOOKUP(F90,'⑥战队统计表-B-a-②呈现-业绩明细表④'!A:A,'⑥战队统计表-B-a-②呈现-业绩明细表④'!H:H,0),"")</f>
        <v/>
      </c>
      <c r="AN90" s="53" t="str">
        <f t="shared" si="22"/>
        <v>单人</v>
      </c>
    </row>
    <row r="91" spans="1:40" hidden="1" x14ac:dyDescent="0.15">
      <c r="A91" s="79" t="s">
        <v>428</v>
      </c>
      <c r="B91" s="80" t="s">
        <v>112</v>
      </c>
      <c r="C91" s="81" t="s">
        <v>113</v>
      </c>
      <c r="D91" s="82" t="s">
        <v>32</v>
      </c>
      <c r="E91" s="82" t="s">
        <v>114</v>
      </c>
      <c r="F91" s="53" t="str">
        <f t="shared" si="15"/>
        <v>荣华南路+销冠队</v>
      </c>
      <c r="G91" s="53">
        <f>IFERROR(_xlfn.XLOOKUP(B91,'①门店信息-A-a-①-增加'!B:B,'①门店信息-A-a-①-增加'!E:E,0),"")</f>
        <v>0</v>
      </c>
      <c r="H91" s="54">
        <f>_xlfn.XLOOKUP(B91,'①门店信息-A-a-①-增加'!B:B,'①门店信息-A-a-①-增加'!F:F,0)</f>
        <v>0</v>
      </c>
      <c r="I91" s="55">
        <f>_xlfn.XLOOKUP(E91,'③新店考核-B-a-②呈现-业绩明细表-③'!B:B,'③新店考核-B-a-②呈现-业绩明细表-③'!E:E,0)</f>
        <v>0</v>
      </c>
      <c r="J91" s="54">
        <f>_xlfn.XLOOKUP(E91,'③新店考核-B-a-②呈现-业绩明细表-③'!B:B,'③新店考核-B-a-②呈现-业绩明细表-③'!F:F,0)</f>
        <v>0</v>
      </c>
      <c r="K91" s="55">
        <f>IF(H91="新店一阶段",LOOKUP(I91,'②提成标准-B-a-①-增加'!$M$9:$M$12,'②提成标准-B-a-①-增加'!$O$9:$O$12),0)</f>
        <v>0</v>
      </c>
      <c r="L91" s="56">
        <f t="shared" si="16"/>
        <v>56309.2</v>
      </c>
      <c r="M91" s="57">
        <f>_xlfn.XLOOKUP(E91,'③新店考核-B-a-②呈现-业绩明细表-③'!B:B,'③新店考核-B-a-②呈现-业绩明细表-③'!G:G,0)</f>
        <v>0</v>
      </c>
      <c r="N91" s="58" t="str">
        <f>LOOKUP(M91,'②提成标准-B-a-①-增加'!$M$1:$M$4,'②提成标准-B-a-①-增加'!$O$1:$O$4)</f>
        <v>同老店</v>
      </c>
      <c r="O91" s="57">
        <f>_xlfn.XLOOKUP(E91,'③新店考核-B-a-②呈现-业绩明细表-③'!B:B,'③新店考核-B-a-②呈现-业绩明细表-③'!H:H,0)</f>
        <v>0</v>
      </c>
      <c r="P91" s="57">
        <f t="shared" si="17"/>
        <v>56309.2</v>
      </c>
      <c r="Q91" s="53">
        <f>_xlfn.XLOOKUP(E91,'④考勤-B-a-26考勤汇总表'!D:D,'④考勤-B-a-26考勤汇总表'!AP:AP,0)</f>
        <v>31</v>
      </c>
      <c r="R91" s="53" t="str">
        <f t="shared" si="23"/>
        <v/>
      </c>
      <c r="S91" s="53">
        <f t="shared" si="24"/>
        <v>56309.2</v>
      </c>
      <c r="T91" s="53">
        <v>56309.2</v>
      </c>
      <c r="U91" s="53">
        <v>0</v>
      </c>
      <c r="V91" s="53">
        <v>0</v>
      </c>
      <c r="W91" s="53">
        <f>_xlfn.XLOOKUP(E91,'⑤项目数-B-a-③消耗明细表'!C:C,'⑤项目数-B-a-③消耗明细表'!E:E,0)</f>
        <v>18058.03</v>
      </c>
      <c r="X91" s="53">
        <f>_xlfn.XLOOKUP(E91,'⑤项目数-B-a-③消耗明细表'!C:C,'⑤项目数-B-a-③消耗明细表'!D:D,0)</f>
        <v>104</v>
      </c>
      <c r="Y91" s="53">
        <f>_xlfn.XLOOKUP(E91,'⑤项目数-B-a-③消耗明细表'!C:C,'⑤项目数-B-a-③消耗明细表'!F:F,0)</f>
        <v>1533</v>
      </c>
      <c r="Z91" s="53">
        <f>_xlfn.XLOOKUP(E91,'⑤项目数-B-a-③消耗明细表'!C:C,'⑤项目数-B-a-③消耗明细表'!G:G,0)</f>
        <v>160</v>
      </c>
      <c r="AA91" s="84">
        <f t="shared" si="18"/>
        <v>1</v>
      </c>
      <c r="AB91" s="84">
        <f t="shared" si="19"/>
        <v>1</v>
      </c>
      <c r="AC91" s="53">
        <f>_xlfn.XLOOKUP(F91,'⑥战队统计表-B-a-②呈现-业绩明细表④'!A:A,'⑥战队统计表-B-a-②呈现-业绩明细表④'!B:B,0)</f>
        <v>2</v>
      </c>
      <c r="AD91" s="53" t="str">
        <f t="shared" si="25"/>
        <v/>
      </c>
      <c r="AE91" s="59">
        <f>IF(AD91="",_xlfn.XLOOKUP(F91,'⑥战队统计表-B-a-②呈现-业绩明细表④'!A:A,'⑥战队统计表-B-a-②呈现-业绩明细表④'!D:D,0),0)</f>
        <v>0.05</v>
      </c>
      <c r="AF91" s="85">
        <f>IF(AND(E91="T区",E91="门店T区"),"",IF(AD91="",0,IF(R91="",LOOKUP(S91,'②提成标准-B-a-①-增加'!$B$16:$B$20,'②提成标准-B-a-①-增加'!$D$16:$D$20),LOOKUP(S91/Q91,'②提成标准-B-a-①-增加'!$B$23:$B$27,'②提成标准-B-a-①-增加'!$D$23:$D$27))))</f>
        <v>0</v>
      </c>
      <c r="AG91" s="85">
        <f t="shared" si="20"/>
        <v>0.05</v>
      </c>
      <c r="AH91" s="60">
        <f t="shared" si="26"/>
        <v>2674.6869999999999</v>
      </c>
      <c r="AI91" s="86">
        <f t="shared" si="27"/>
        <v>0</v>
      </c>
      <c r="AJ91" s="60">
        <f t="shared" si="28"/>
        <v>2674.6869999999999</v>
      </c>
      <c r="AK91" s="87">
        <f>IF(AB91=1,IFERROR(S91/VLOOKUP(F91,'⑥战队统计表-B-a-②呈现-业绩明细表④'!A:C,3,0),0),0)</f>
        <v>0.78522402420828041</v>
      </c>
      <c r="AL91" s="85">
        <f t="shared" si="21"/>
        <v>0.21477597579171953</v>
      </c>
      <c r="AM91" s="53">
        <f>IF(D91="顾问",_xlfn.XLOOKUP(F91,'⑥战队统计表-B-a-②呈现-业绩明细表④'!A:A,'⑥战队统计表-B-a-②呈现-业绩明细表④'!H:H,0),"")</f>
        <v>0</v>
      </c>
      <c r="AN91" s="53" t="str">
        <f t="shared" si="22"/>
        <v>荣华南路+销冠队</v>
      </c>
    </row>
    <row r="92" spans="1:40" hidden="1" x14ac:dyDescent="0.15">
      <c r="A92" s="79" t="s">
        <v>428</v>
      </c>
      <c r="B92" s="80" t="s">
        <v>112</v>
      </c>
      <c r="C92" s="81" t="s">
        <v>113</v>
      </c>
      <c r="D92" s="82" t="s">
        <v>6</v>
      </c>
      <c r="E92" s="82" t="s">
        <v>115</v>
      </c>
      <c r="F92" s="53" t="str">
        <f t="shared" si="15"/>
        <v>荣华南路+销冠队</v>
      </c>
      <c r="G92" s="53">
        <f>IFERROR(_xlfn.XLOOKUP(B92,'①门店信息-A-a-①-增加'!B:B,'①门店信息-A-a-①-增加'!E:E,0),"")</f>
        <v>0</v>
      </c>
      <c r="H92" s="54">
        <f>_xlfn.XLOOKUP(B92,'①门店信息-A-a-①-增加'!B:B,'①门店信息-A-a-①-增加'!F:F,0)</f>
        <v>0</v>
      </c>
      <c r="I92" s="55">
        <f>_xlfn.XLOOKUP(E92,'③新店考核-B-a-②呈现-业绩明细表-③'!B:B,'③新店考核-B-a-②呈现-业绩明细表-③'!E:E,0)</f>
        <v>0</v>
      </c>
      <c r="J92" s="54">
        <f>_xlfn.XLOOKUP(E92,'③新店考核-B-a-②呈现-业绩明细表-③'!B:B,'③新店考核-B-a-②呈现-业绩明细表-③'!F:F,0)</f>
        <v>0</v>
      </c>
      <c r="K92" s="55">
        <f>IF(H92="新店一阶段",LOOKUP(I92,'②提成标准-B-a-①-增加'!$M$9:$M$12,'②提成标准-B-a-①-增加'!$O$9:$O$12),0)</f>
        <v>0</v>
      </c>
      <c r="L92" s="56">
        <f t="shared" si="16"/>
        <v>15401.8</v>
      </c>
      <c r="M92" s="57">
        <f>_xlfn.XLOOKUP(E92,'③新店考核-B-a-②呈现-业绩明细表-③'!B:B,'③新店考核-B-a-②呈现-业绩明细表-③'!G:G,0)</f>
        <v>0</v>
      </c>
      <c r="N92" s="58" t="str">
        <f>LOOKUP(M92,'②提成标准-B-a-①-增加'!$M$1:$M$4,'②提成标准-B-a-①-增加'!$O$1:$O$4)</f>
        <v>同老店</v>
      </c>
      <c r="O92" s="57">
        <f>_xlfn.XLOOKUP(E92,'③新店考核-B-a-②呈现-业绩明细表-③'!B:B,'③新店考核-B-a-②呈现-业绩明细表-③'!H:H,0)</f>
        <v>0</v>
      </c>
      <c r="P92" s="57">
        <f t="shared" si="17"/>
        <v>15401.8</v>
      </c>
      <c r="Q92" s="53">
        <f>_xlfn.XLOOKUP(E92,'④考勤-B-a-26考勤汇总表'!D:D,'④考勤-B-a-26考勤汇总表'!AP:AP,0)</f>
        <v>31</v>
      </c>
      <c r="R92" s="53" t="str">
        <f t="shared" si="23"/>
        <v/>
      </c>
      <c r="S92" s="53">
        <f t="shared" si="24"/>
        <v>15401.8</v>
      </c>
      <c r="T92" s="53">
        <v>15401.8</v>
      </c>
      <c r="U92" s="53">
        <v>0</v>
      </c>
      <c r="V92" s="53">
        <v>0</v>
      </c>
      <c r="W92" s="53">
        <f>_xlfn.XLOOKUP(E92,'⑤项目数-B-a-③消耗明细表'!C:C,'⑤项目数-B-a-③消耗明细表'!E:E,0)</f>
        <v>8043.96</v>
      </c>
      <c r="X92" s="53">
        <f>_xlfn.XLOOKUP(E92,'⑤项目数-B-a-③消耗明细表'!C:C,'⑤项目数-B-a-③消耗明细表'!D:D,0)</f>
        <v>82</v>
      </c>
      <c r="Y92" s="53">
        <f>_xlfn.XLOOKUP(E92,'⑤项目数-B-a-③消耗明细表'!C:C,'⑤项目数-B-a-③消耗明细表'!F:F,0)</f>
        <v>1185</v>
      </c>
      <c r="Z92" s="53">
        <f>_xlfn.XLOOKUP(E92,'⑤项目数-B-a-③消耗明细表'!C:C,'⑤项目数-B-a-③消耗明细表'!G:G,0)</f>
        <v>70</v>
      </c>
      <c r="AA92" s="84">
        <f t="shared" si="18"/>
        <v>1</v>
      </c>
      <c r="AB92" s="84">
        <f t="shared" si="19"/>
        <v>1</v>
      </c>
      <c r="AC92" s="53">
        <f>_xlfn.XLOOKUP(F92,'⑥战队统计表-B-a-②呈现-业绩明细表④'!A:A,'⑥战队统计表-B-a-②呈现-业绩明细表④'!B:B,0)</f>
        <v>2</v>
      </c>
      <c r="AD92" s="53" t="str">
        <f t="shared" si="25"/>
        <v/>
      </c>
      <c r="AE92" s="59">
        <f>IF(AD92="",_xlfn.XLOOKUP(F92,'⑥战队统计表-B-a-②呈现-业绩明细表④'!A:A,'⑥战队统计表-B-a-②呈现-业绩明细表④'!D:D,0),0)</f>
        <v>0.05</v>
      </c>
      <c r="AF92" s="85">
        <f>IF(AND(E92="T区",E92="门店T区"),"",IF(AD92="",0,IF(R92="",LOOKUP(S92,'②提成标准-B-a-①-增加'!$B$16:$B$20,'②提成标准-B-a-①-增加'!$D$16:$D$20),LOOKUP(S92/Q92,'②提成标准-B-a-①-增加'!$B$23:$B$27,'②提成标准-B-a-①-增加'!$D$23:$D$27))))</f>
        <v>0</v>
      </c>
      <c r="AG92" s="85">
        <f t="shared" si="20"/>
        <v>0.05</v>
      </c>
      <c r="AH92" s="60">
        <f t="shared" si="26"/>
        <v>731.58550000000002</v>
      </c>
      <c r="AI92" s="86">
        <f t="shared" si="27"/>
        <v>0</v>
      </c>
      <c r="AJ92" s="60">
        <f t="shared" si="28"/>
        <v>731.58550000000002</v>
      </c>
      <c r="AK92" s="87">
        <f>IF(AB92=1,IFERROR(S92/VLOOKUP(F92,'⑥战队统计表-B-a-②呈现-业绩明细表④'!A:C,3,0),0),0)</f>
        <v>0.21477597579171953</v>
      </c>
      <c r="AL92" s="85" t="str">
        <f t="shared" si="21"/>
        <v/>
      </c>
      <c r="AM92" s="53" t="str">
        <f>IF(D92="顾问",_xlfn.XLOOKUP(F92,'⑥战队统计表-B-a-②呈现-业绩明细表④'!A:A,'⑥战队统计表-B-a-②呈现-业绩明细表④'!H:H,0),"")</f>
        <v/>
      </c>
      <c r="AN92" s="53" t="str">
        <f t="shared" si="22"/>
        <v>荣华南路+销冠队</v>
      </c>
    </row>
    <row r="93" spans="1:40" hidden="1" x14ac:dyDescent="0.15">
      <c r="A93" s="79" t="s">
        <v>428</v>
      </c>
      <c r="B93" s="80" t="s">
        <v>112</v>
      </c>
      <c r="C93" s="81" t="s">
        <v>36</v>
      </c>
      <c r="D93" s="82" t="s">
        <v>36</v>
      </c>
      <c r="E93" s="82" t="s">
        <v>36</v>
      </c>
      <c r="F93" s="53" t="str">
        <f t="shared" si="15"/>
        <v>荣华南路+T区</v>
      </c>
      <c r="G93" s="53">
        <f>IFERROR(_xlfn.XLOOKUP(B93,'①门店信息-A-a-①-增加'!B:B,'①门店信息-A-a-①-增加'!E:E,0),"")</f>
        <v>0</v>
      </c>
      <c r="H93" s="54">
        <f>_xlfn.XLOOKUP(B93,'①门店信息-A-a-①-增加'!B:B,'①门店信息-A-a-①-增加'!F:F,0)</f>
        <v>0</v>
      </c>
      <c r="I93" s="55">
        <f>_xlfn.XLOOKUP(E93,'③新店考核-B-a-②呈现-业绩明细表-③'!B:B,'③新店考核-B-a-②呈现-业绩明细表-③'!E:E,0)</f>
        <v>0</v>
      </c>
      <c r="J93" s="54">
        <f>_xlfn.XLOOKUP(E93,'③新店考核-B-a-②呈现-业绩明细表-③'!B:B,'③新店考核-B-a-②呈现-业绩明细表-③'!F:F,0)</f>
        <v>0</v>
      </c>
      <c r="K93" s="55">
        <f>IF(H93="新店一阶段",LOOKUP(I93,'②提成标准-B-a-①-增加'!$M$9:$M$12,'②提成标准-B-a-①-增加'!$O$9:$O$12),0)</f>
        <v>0</v>
      </c>
      <c r="L93" s="56">
        <f t="shared" si="16"/>
        <v>0</v>
      </c>
      <c r="M93" s="57">
        <f>_xlfn.XLOOKUP(E93,'③新店考核-B-a-②呈现-业绩明细表-③'!B:B,'③新店考核-B-a-②呈现-业绩明细表-③'!G:G,0)</f>
        <v>0</v>
      </c>
      <c r="N93" s="58" t="str">
        <f>LOOKUP(M93,'②提成标准-B-a-①-增加'!$M$1:$M$4,'②提成标准-B-a-①-增加'!$O$1:$O$4)</f>
        <v>同老店</v>
      </c>
      <c r="O93" s="57">
        <f>_xlfn.XLOOKUP(E93,'③新店考核-B-a-②呈现-业绩明细表-③'!B:B,'③新店考核-B-a-②呈现-业绩明细表-③'!H:H,0)</f>
        <v>0</v>
      </c>
      <c r="P93" s="57">
        <f t="shared" si="17"/>
        <v>0</v>
      </c>
      <c r="Q93" s="53">
        <f>_xlfn.XLOOKUP(E93,'④考勤-B-a-26考勤汇总表'!D:D,'④考勤-B-a-26考勤汇总表'!AP:AP,0)</f>
        <v>0</v>
      </c>
      <c r="R93" s="53" t="str">
        <f t="shared" si="23"/>
        <v/>
      </c>
      <c r="S93" s="53">
        <f t="shared" si="24"/>
        <v>0</v>
      </c>
      <c r="T93" s="53">
        <v>0</v>
      </c>
      <c r="U93" s="53">
        <v>0</v>
      </c>
      <c r="V93" s="53">
        <v>0</v>
      </c>
      <c r="W93" s="53">
        <f>_xlfn.XLOOKUP(E93,'⑤项目数-B-a-③消耗明细表'!C:C,'⑤项目数-B-a-③消耗明细表'!E:E,0)</f>
        <v>0</v>
      </c>
      <c r="X93" s="53">
        <f>_xlfn.XLOOKUP(E93,'⑤项目数-B-a-③消耗明细表'!C:C,'⑤项目数-B-a-③消耗明细表'!D:D,0)</f>
        <v>0</v>
      </c>
      <c r="Y93" s="53">
        <f>_xlfn.XLOOKUP(E93,'⑤项目数-B-a-③消耗明细表'!C:C,'⑤项目数-B-a-③消耗明细表'!F:F,0)</f>
        <v>0</v>
      </c>
      <c r="Z93" s="53">
        <f>_xlfn.XLOOKUP(E93,'⑤项目数-B-a-③消耗明细表'!C:C,'⑤项目数-B-a-③消耗明细表'!G:G,0)</f>
        <v>0</v>
      </c>
      <c r="AA93" s="84" t="str">
        <f t="shared" si="18"/>
        <v>不属于战队</v>
      </c>
      <c r="AB93" s="84">
        <f t="shared" si="19"/>
        <v>0</v>
      </c>
      <c r="AC93" s="53">
        <f>_xlfn.XLOOKUP(F93,'⑥战队统计表-B-a-②呈现-业绩明细表④'!A:A,'⑥战队统计表-B-a-②呈现-业绩明细表④'!B:B,0)</f>
        <v>0</v>
      </c>
      <c r="AD93" s="53">
        <f t="shared" si="25"/>
        <v>1</v>
      </c>
      <c r="AE93" s="59">
        <f>IF(AD93="",_xlfn.XLOOKUP(F93,'⑥战队统计表-B-a-②呈现-业绩明细表④'!A:A,'⑥战队统计表-B-a-②呈现-业绩明细表④'!D:D,0),0)</f>
        <v>0</v>
      </c>
      <c r="AF93" s="85">
        <f>IF(AND(E93="T区",E93="门店T区"),"",IF(AD93="",0,IF(R93="",LOOKUP(S93,'②提成标准-B-a-①-增加'!$B$16:$B$20,'②提成标准-B-a-①-增加'!$D$16:$D$20),LOOKUP(S93/Q93,'②提成标准-B-a-①-增加'!$B$23:$B$27,'②提成标准-B-a-①-增加'!$D$23:$D$27))))</f>
        <v>0</v>
      </c>
      <c r="AG93" s="85">
        <f t="shared" si="20"/>
        <v>0</v>
      </c>
      <c r="AH93" s="60">
        <f t="shared" si="26"/>
        <v>0</v>
      </c>
      <c r="AI93" s="86">
        <f t="shared" si="27"/>
        <v>0</v>
      </c>
      <c r="AJ93" s="60">
        <f t="shared" si="28"/>
        <v>0</v>
      </c>
      <c r="AK93" s="87">
        <f>IF(AB93=1,IFERROR(S93/VLOOKUP(F93,'⑥战队统计表-B-a-②呈现-业绩明细表④'!A:C,3,0),0),0)</f>
        <v>0</v>
      </c>
      <c r="AL93" s="85" t="str">
        <f t="shared" si="21"/>
        <v/>
      </c>
      <c r="AM93" s="53" t="str">
        <f>IF(D93="顾问",_xlfn.XLOOKUP(F93,'⑥战队统计表-B-a-②呈现-业绩明细表④'!A:A,'⑥战队统计表-B-a-②呈现-业绩明细表④'!H:H,0),"")</f>
        <v/>
      </c>
      <c r="AN93" s="53" t="str">
        <f t="shared" si="22"/>
        <v>单人</v>
      </c>
    </row>
    <row r="94" spans="1:40" hidden="1" x14ac:dyDescent="0.15">
      <c r="A94" s="79" t="s">
        <v>428</v>
      </c>
      <c r="B94" s="80" t="s">
        <v>112</v>
      </c>
      <c r="C94" s="81" t="s">
        <v>116</v>
      </c>
      <c r="D94" s="82" t="s">
        <v>32</v>
      </c>
      <c r="E94" s="82" t="s">
        <v>117</v>
      </c>
      <c r="F94" s="53" t="str">
        <f t="shared" si="15"/>
        <v>荣华南路+赢销队</v>
      </c>
      <c r="G94" s="53">
        <f>IFERROR(_xlfn.XLOOKUP(B94,'①门店信息-A-a-①-增加'!B:B,'①门店信息-A-a-①-增加'!E:E,0),"")</f>
        <v>0</v>
      </c>
      <c r="H94" s="54">
        <f>_xlfn.XLOOKUP(B94,'①门店信息-A-a-①-增加'!B:B,'①门店信息-A-a-①-增加'!F:F,0)</f>
        <v>0</v>
      </c>
      <c r="I94" s="55">
        <f>_xlfn.XLOOKUP(E94,'③新店考核-B-a-②呈现-业绩明细表-③'!B:B,'③新店考核-B-a-②呈现-业绩明细表-③'!E:E,0)</f>
        <v>0</v>
      </c>
      <c r="J94" s="54">
        <f>_xlfn.XLOOKUP(E94,'③新店考核-B-a-②呈现-业绩明细表-③'!B:B,'③新店考核-B-a-②呈现-业绩明细表-③'!F:F,0)</f>
        <v>0</v>
      </c>
      <c r="K94" s="55">
        <f>IF(H94="新店一阶段",LOOKUP(I94,'②提成标准-B-a-①-增加'!$M$9:$M$12,'②提成标准-B-a-①-增加'!$O$9:$O$12),0)</f>
        <v>0</v>
      </c>
      <c r="L94" s="56">
        <f t="shared" si="16"/>
        <v>31830.2</v>
      </c>
      <c r="M94" s="57">
        <f>_xlfn.XLOOKUP(E94,'③新店考核-B-a-②呈现-业绩明细表-③'!B:B,'③新店考核-B-a-②呈现-业绩明细表-③'!G:G,0)</f>
        <v>0</v>
      </c>
      <c r="N94" s="58" t="str">
        <f>LOOKUP(M94,'②提成标准-B-a-①-增加'!$M$1:$M$4,'②提成标准-B-a-①-增加'!$O$1:$O$4)</f>
        <v>同老店</v>
      </c>
      <c r="O94" s="57">
        <f>_xlfn.XLOOKUP(E94,'③新店考核-B-a-②呈现-业绩明细表-③'!B:B,'③新店考核-B-a-②呈现-业绩明细表-③'!H:H,0)</f>
        <v>0</v>
      </c>
      <c r="P94" s="57">
        <f t="shared" si="17"/>
        <v>31830.2</v>
      </c>
      <c r="Q94" s="53">
        <f>_xlfn.XLOOKUP(E94,'④考勤-B-a-26考勤汇总表'!D:D,'④考勤-B-a-26考勤汇总表'!AP:AP,0)</f>
        <v>31</v>
      </c>
      <c r="R94" s="53" t="str">
        <f t="shared" si="23"/>
        <v/>
      </c>
      <c r="S94" s="53">
        <f t="shared" si="24"/>
        <v>31830.2</v>
      </c>
      <c r="T94" s="53">
        <v>31830.2</v>
      </c>
      <c r="U94" s="53">
        <v>0</v>
      </c>
      <c r="V94" s="53">
        <v>0</v>
      </c>
      <c r="W94" s="53">
        <f>_xlfn.XLOOKUP(E94,'⑤项目数-B-a-③消耗明细表'!C:C,'⑤项目数-B-a-③消耗明细表'!E:E,0)</f>
        <v>27866.76</v>
      </c>
      <c r="X94" s="53">
        <f>_xlfn.XLOOKUP(E94,'⑤项目数-B-a-③消耗明细表'!C:C,'⑤项目数-B-a-③消耗明细表'!D:D,0)</f>
        <v>83</v>
      </c>
      <c r="Y94" s="53">
        <f>_xlfn.XLOOKUP(E94,'⑤项目数-B-a-③消耗明细表'!C:C,'⑤项目数-B-a-③消耗明细表'!F:F,0)</f>
        <v>979</v>
      </c>
      <c r="Z94" s="53">
        <f>_xlfn.XLOOKUP(E94,'⑤项目数-B-a-③消耗明细表'!C:C,'⑤项目数-B-a-③消耗明细表'!G:G,0)</f>
        <v>85</v>
      </c>
      <c r="AA94" s="84">
        <f t="shared" si="18"/>
        <v>1</v>
      </c>
      <c r="AB94" s="84">
        <f t="shared" si="19"/>
        <v>1</v>
      </c>
      <c r="AC94" s="53">
        <f>_xlfn.XLOOKUP(F94,'⑥战队统计表-B-a-②呈现-业绩明细表④'!A:A,'⑥战队统计表-B-a-②呈现-业绩明细表④'!B:B,0)</f>
        <v>3</v>
      </c>
      <c r="AD94" s="53" t="str">
        <f t="shared" si="25"/>
        <v/>
      </c>
      <c r="AE94" s="59">
        <f>IF(AD94="",_xlfn.XLOOKUP(F94,'⑥战队统计表-B-a-②呈现-业绩明细表④'!A:A,'⑥战队统计表-B-a-②呈现-业绩明细表④'!D:D,0),0)</f>
        <v>0.05</v>
      </c>
      <c r="AF94" s="85">
        <f>IF(AND(E94="T区",E94="门店T区"),"",IF(AD94="",0,IF(R94="",LOOKUP(S94,'②提成标准-B-a-①-增加'!$B$16:$B$20,'②提成标准-B-a-①-增加'!$D$16:$D$20),LOOKUP(S94/Q94,'②提成标准-B-a-①-增加'!$B$23:$B$27,'②提成标准-B-a-①-增加'!$D$23:$D$27))))</f>
        <v>0</v>
      </c>
      <c r="AG94" s="85">
        <f t="shared" si="20"/>
        <v>0.05</v>
      </c>
      <c r="AH94" s="60">
        <f t="shared" si="26"/>
        <v>1511.9345000000001</v>
      </c>
      <c r="AI94" s="86">
        <f t="shared" si="27"/>
        <v>0</v>
      </c>
      <c r="AJ94" s="60">
        <f t="shared" si="28"/>
        <v>1511.9345000000001</v>
      </c>
      <c r="AK94" s="87">
        <f>IF(AB94=1,IFERROR(S94/VLOOKUP(F94,'⑥战队统计表-B-a-②呈现-业绩明细表④'!A:C,3,0),0),0)</f>
        <v>0.29387238835596835</v>
      </c>
      <c r="AL94" s="85">
        <f t="shared" si="21"/>
        <v>0.70612761164403171</v>
      </c>
      <c r="AM94" s="53">
        <f>IF(D94="顾问",_xlfn.XLOOKUP(F94,'⑥战队统计表-B-a-②呈现-业绩明细表④'!A:A,'⑥战队统计表-B-a-②呈现-业绩明细表④'!H:H,0),"")</f>
        <v>0</v>
      </c>
      <c r="AN94" s="53" t="str">
        <f t="shared" si="22"/>
        <v>荣华南路+赢销队</v>
      </c>
    </row>
    <row r="95" spans="1:40" hidden="1" x14ac:dyDescent="0.15">
      <c r="A95" s="79" t="s">
        <v>428</v>
      </c>
      <c r="B95" s="80" t="s">
        <v>112</v>
      </c>
      <c r="C95" s="81" t="s">
        <v>116</v>
      </c>
      <c r="D95" s="82" t="s">
        <v>6</v>
      </c>
      <c r="E95" s="82" t="s">
        <v>118</v>
      </c>
      <c r="F95" s="53" t="str">
        <f t="shared" si="15"/>
        <v>荣华南路+赢销队</v>
      </c>
      <c r="G95" s="53">
        <f>IFERROR(_xlfn.XLOOKUP(B95,'①门店信息-A-a-①-增加'!B:B,'①门店信息-A-a-①-增加'!E:E,0),"")</f>
        <v>0</v>
      </c>
      <c r="H95" s="54">
        <f>_xlfn.XLOOKUP(B95,'①门店信息-A-a-①-增加'!B:B,'①门店信息-A-a-①-增加'!F:F,0)</f>
        <v>0</v>
      </c>
      <c r="I95" s="55">
        <f>_xlfn.XLOOKUP(E95,'③新店考核-B-a-②呈现-业绩明细表-③'!B:B,'③新店考核-B-a-②呈现-业绩明细表-③'!E:E,0)</f>
        <v>0</v>
      </c>
      <c r="J95" s="54">
        <f>_xlfn.XLOOKUP(E95,'③新店考核-B-a-②呈现-业绩明细表-③'!B:B,'③新店考核-B-a-②呈现-业绩明细表-③'!F:F,0)</f>
        <v>0</v>
      </c>
      <c r="K95" s="55">
        <f>IF(H95="新店一阶段",LOOKUP(I95,'②提成标准-B-a-①-增加'!$M$9:$M$12,'②提成标准-B-a-①-增加'!$O$9:$O$12),0)</f>
        <v>0</v>
      </c>
      <c r="L95" s="56">
        <f t="shared" si="16"/>
        <v>64622.8</v>
      </c>
      <c r="M95" s="57">
        <f>_xlfn.XLOOKUP(E95,'③新店考核-B-a-②呈现-业绩明细表-③'!B:B,'③新店考核-B-a-②呈现-业绩明细表-③'!G:G,0)</f>
        <v>0</v>
      </c>
      <c r="N95" s="58" t="str">
        <f>LOOKUP(M95,'②提成标准-B-a-①-增加'!$M$1:$M$4,'②提成标准-B-a-①-增加'!$O$1:$O$4)</f>
        <v>同老店</v>
      </c>
      <c r="O95" s="57">
        <f>_xlfn.XLOOKUP(E95,'③新店考核-B-a-②呈现-业绩明细表-③'!B:B,'③新店考核-B-a-②呈现-业绩明细表-③'!H:H,0)</f>
        <v>0</v>
      </c>
      <c r="P95" s="57">
        <f t="shared" si="17"/>
        <v>64622.8</v>
      </c>
      <c r="Q95" s="53">
        <f>_xlfn.XLOOKUP(E95,'④考勤-B-a-26考勤汇总表'!D:D,'④考勤-B-a-26考勤汇总表'!AP:AP,0)</f>
        <v>31</v>
      </c>
      <c r="R95" s="53" t="str">
        <f t="shared" si="23"/>
        <v/>
      </c>
      <c r="S95" s="53">
        <f t="shared" si="24"/>
        <v>65622.8</v>
      </c>
      <c r="T95" s="53">
        <v>64622.8</v>
      </c>
      <c r="U95" s="53">
        <v>0</v>
      </c>
      <c r="V95" s="53">
        <v>1000</v>
      </c>
      <c r="W95" s="53">
        <f>_xlfn.XLOOKUP(E95,'⑤项目数-B-a-③消耗明细表'!C:C,'⑤项目数-B-a-③消耗明细表'!E:E,0)</f>
        <v>23088.240000000002</v>
      </c>
      <c r="X95" s="53">
        <f>_xlfn.XLOOKUP(E95,'⑤项目数-B-a-③消耗明细表'!C:C,'⑤项目数-B-a-③消耗明细表'!D:D,0)</f>
        <v>94</v>
      </c>
      <c r="Y95" s="53">
        <f>_xlfn.XLOOKUP(E95,'⑤项目数-B-a-③消耗明细表'!C:C,'⑤项目数-B-a-③消耗明细表'!F:F,0)</f>
        <v>1257</v>
      </c>
      <c r="Z95" s="53">
        <f>_xlfn.XLOOKUP(E95,'⑤项目数-B-a-③消耗明细表'!C:C,'⑤项目数-B-a-③消耗明细表'!G:G,0)</f>
        <v>185</v>
      </c>
      <c r="AA95" s="84">
        <f t="shared" si="18"/>
        <v>1</v>
      </c>
      <c r="AB95" s="84">
        <f t="shared" si="19"/>
        <v>1</v>
      </c>
      <c r="AC95" s="53">
        <f>_xlfn.XLOOKUP(F95,'⑥战队统计表-B-a-②呈现-业绩明细表④'!A:A,'⑥战队统计表-B-a-②呈现-业绩明细表④'!B:B,0)</f>
        <v>3</v>
      </c>
      <c r="AD95" s="53" t="str">
        <f t="shared" si="25"/>
        <v/>
      </c>
      <c r="AE95" s="59">
        <f>IF(AD95="",_xlfn.XLOOKUP(F95,'⑥战队统计表-B-a-②呈现-业绩明细表④'!A:A,'⑥战队统计表-B-a-②呈现-业绩明细表④'!D:D,0),0)</f>
        <v>0.05</v>
      </c>
      <c r="AF95" s="85">
        <f>IF(AND(E95="T区",E95="门店T区"),"",IF(AD95="",0,IF(R95="",LOOKUP(S95,'②提成标准-B-a-①-增加'!$B$16:$B$20,'②提成标准-B-a-①-增加'!$D$16:$D$20),LOOKUP(S95/Q95,'②提成标准-B-a-①-增加'!$B$23:$B$27,'②提成标准-B-a-①-增加'!$D$23:$D$27))))</f>
        <v>0</v>
      </c>
      <c r="AG95" s="85">
        <f t="shared" si="20"/>
        <v>0.05</v>
      </c>
      <c r="AH95" s="60">
        <f t="shared" si="26"/>
        <v>3069.5830000000001</v>
      </c>
      <c r="AI95" s="86">
        <f t="shared" si="27"/>
        <v>0</v>
      </c>
      <c r="AJ95" s="60">
        <f t="shared" si="28"/>
        <v>3069.5830000000001</v>
      </c>
      <c r="AK95" s="87">
        <f>IF(AB95=1,IFERROR(S95/VLOOKUP(F95,'⑥战队统计表-B-a-②呈现-业绩明细表④'!A:C,3,0),0),0)</f>
        <v>0.60586263883375036</v>
      </c>
      <c r="AL95" s="85" t="str">
        <f t="shared" si="21"/>
        <v/>
      </c>
      <c r="AM95" s="53" t="str">
        <f>IF(D95="顾问",_xlfn.XLOOKUP(F95,'⑥战队统计表-B-a-②呈现-业绩明细表④'!A:A,'⑥战队统计表-B-a-②呈现-业绩明细表④'!H:H,0),"")</f>
        <v/>
      </c>
      <c r="AN95" s="53" t="str">
        <f t="shared" si="22"/>
        <v>荣华南路+赢销队</v>
      </c>
    </row>
    <row r="96" spans="1:40" hidden="1" x14ac:dyDescent="0.15">
      <c r="A96" s="79" t="s">
        <v>428</v>
      </c>
      <c r="B96" s="80" t="s">
        <v>112</v>
      </c>
      <c r="C96" s="89" t="s">
        <v>116</v>
      </c>
      <c r="D96" s="90" t="s">
        <v>6</v>
      </c>
      <c r="E96" s="90" t="s">
        <v>119</v>
      </c>
      <c r="F96" s="53" t="str">
        <f t="shared" si="15"/>
        <v>荣华南路+赢销队</v>
      </c>
      <c r="G96" s="53">
        <f>IFERROR(_xlfn.XLOOKUP(B96,'①门店信息-A-a-①-增加'!B:B,'①门店信息-A-a-①-增加'!E:E,0),"")</f>
        <v>0</v>
      </c>
      <c r="H96" s="54">
        <f>_xlfn.XLOOKUP(B96,'①门店信息-A-a-①-增加'!B:B,'①门店信息-A-a-①-增加'!F:F,0)</f>
        <v>0</v>
      </c>
      <c r="I96" s="55">
        <f>_xlfn.XLOOKUP(E96,'③新店考核-B-a-②呈现-业绩明细表-③'!B:B,'③新店考核-B-a-②呈现-业绩明细表-③'!E:E,0)</f>
        <v>0</v>
      </c>
      <c r="J96" s="54">
        <f>_xlfn.XLOOKUP(E96,'③新店考核-B-a-②呈现-业绩明细表-③'!B:B,'③新店考核-B-a-②呈现-业绩明细表-③'!F:F,0)</f>
        <v>0</v>
      </c>
      <c r="K96" s="55">
        <f>IF(H96="新店一阶段",LOOKUP(I96,'②提成标准-B-a-①-增加'!$M$9:$M$12,'②提成标准-B-a-①-增加'!$O$9:$O$12),0)</f>
        <v>0</v>
      </c>
      <c r="L96" s="56">
        <f t="shared" si="16"/>
        <v>10860</v>
      </c>
      <c r="M96" s="57">
        <f>_xlfn.XLOOKUP(E96,'③新店考核-B-a-②呈现-业绩明细表-③'!B:B,'③新店考核-B-a-②呈现-业绩明细表-③'!G:G,0)</f>
        <v>0</v>
      </c>
      <c r="N96" s="58" t="str">
        <f>LOOKUP(M96,'②提成标准-B-a-①-增加'!$M$1:$M$4,'②提成标准-B-a-①-增加'!$O$1:$O$4)</f>
        <v>同老店</v>
      </c>
      <c r="O96" s="57">
        <f>_xlfn.XLOOKUP(E96,'③新店考核-B-a-②呈现-业绩明细表-③'!B:B,'③新店考核-B-a-②呈现-业绩明细表-③'!H:H,0)</f>
        <v>0</v>
      </c>
      <c r="P96" s="57">
        <f t="shared" si="17"/>
        <v>10860</v>
      </c>
      <c r="Q96" s="53">
        <f>_xlfn.XLOOKUP(E96,'④考勤-B-a-26考勤汇总表'!D:D,'④考勤-B-a-26考勤汇总表'!AP:AP,0)</f>
        <v>31</v>
      </c>
      <c r="R96" s="53" t="str">
        <f t="shared" si="23"/>
        <v/>
      </c>
      <c r="S96" s="53">
        <f t="shared" si="24"/>
        <v>10860</v>
      </c>
      <c r="T96" s="53">
        <v>10860</v>
      </c>
      <c r="U96" s="53">
        <v>0</v>
      </c>
      <c r="V96" s="53">
        <v>0</v>
      </c>
      <c r="W96" s="53">
        <f>_xlfn.XLOOKUP(E96,'⑤项目数-B-a-③消耗明细表'!C:C,'⑤项目数-B-a-③消耗明细表'!E:E,0)</f>
        <v>7520.64</v>
      </c>
      <c r="X96" s="53">
        <f>_xlfn.XLOOKUP(E96,'⑤项目数-B-a-③消耗明细表'!C:C,'⑤项目数-B-a-③消耗明细表'!D:D,0)</f>
        <v>78</v>
      </c>
      <c r="Y96" s="53">
        <f>_xlfn.XLOOKUP(E96,'⑤项目数-B-a-③消耗明细表'!C:C,'⑤项目数-B-a-③消耗明细表'!F:F,0)</f>
        <v>1066</v>
      </c>
      <c r="Z96" s="53">
        <f>_xlfn.XLOOKUP(E96,'⑤项目数-B-a-③消耗明细表'!C:C,'⑤项目数-B-a-③消耗明细表'!G:G,0)</f>
        <v>0</v>
      </c>
      <c r="AA96" s="84">
        <f t="shared" si="18"/>
        <v>1</v>
      </c>
      <c r="AB96" s="84">
        <f t="shared" si="19"/>
        <v>1</v>
      </c>
      <c r="AC96" s="53">
        <f>_xlfn.XLOOKUP(F96,'⑥战队统计表-B-a-②呈现-业绩明细表④'!A:A,'⑥战队统计表-B-a-②呈现-业绩明细表④'!B:B,0)</f>
        <v>3</v>
      </c>
      <c r="AD96" s="53" t="str">
        <f t="shared" si="25"/>
        <v/>
      </c>
      <c r="AE96" s="59">
        <f>IF(AD96="",_xlfn.XLOOKUP(F96,'⑥战队统计表-B-a-②呈现-业绩明细表④'!A:A,'⑥战队统计表-B-a-②呈现-业绩明细表④'!D:D,0),0)</f>
        <v>0.05</v>
      </c>
      <c r="AF96" s="85">
        <f>IF(AND(E96="T区",E96="门店T区"),"",IF(AD96="",0,IF(R96="",LOOKUP(S96,'②提成标准-B-a-①-增加'!$B$16:$B$20,'②提成标准-B-a-①-增加'!$D$16:$D$20),LOOKUP(S96/Q96,'②提成标准-B-a-①-增加'!$B$23:$B$27,'②提成标准-B-a-①-增加'!$D$23:$D$27))))</f>
        <v>0</v>
      </c>
      <c r="AG96" s="85">
        <f t="shared" si="20"/>
        <v>0.05</v>
      </c>
      <c r="AH96" s="60">
        <f t="shared" si="26"/>
        <v>515.85</v>
      </c>
      <c r="AI96" s="86">
        <f t="shared" si="27"/>
        <v>0</v>
      </c>
      <c r="AJ96" s="60">
        <f t="shared" si="28"/>
        <v>515.85</v>
      </c>
      <c r="AK96" s="87">
        <f>IF(AB96=1,IFERROR(S96/VLOOKUP(F96,'⑥战队统计表-B-a-②呈现-业绩明细表④'!A:C,3,0),0),0)</f>
        <v>0.10026497281028131</v>
      </c>
      <c r="AL96" s="85" t="str">
        <f t="shared" si="21"/>
        <v/>
      </c>
      <c r="AM96" s="53" t="str">
        <f>IF(D96="顾问",_xlfn.XLOOKUP(F96,'⑥战队统计表-B-a-②呈现-业绩明细表④'!A:A,'⑥战队统计表-B-a-②呈现-业绩明细表④'!H:H,0),"")</f>
        <v/>
      </c>
      <c r="AN96" s="53" t="str">
        <f t="shared" si="22"/>
        <v>荣华南路+赢销队</v>
      </c>
    </row>
    <row r="97" spans="1:40" hidden="1" x14ac:dyDescent="0.15">
      <c r="A97" s="79" t="s">
        <v>428</v>
      </c>
      <c r="B97" s="80" t="s">
        <v>112</v>
      </c>
      <c r="C97" s="81" t="s">
        <v>36</v>
      </c>
      <c r="D97" s="82" t="s">
        <v>36</v>
      </c>
      <c r="E97" s="104" t="s">
        <v>36</v>
      </c>
      <c r="F97" s="53" t="str">
        <f t="shared" si="15"/>
        <v>荣华南路+T区</v>
      </c>
      <c r="G97" s="53">
        <f>IFERROR(_xlfn.XLOOKUP(B97,'①门店信息-A-a-①-增加'!B:B,'①门店信息-A-a-①-增加'!E:E,0),"")</f>
        <v>0</v>
      </c>
      <c r="H97" s="54">
        <f>_xlfn.XLOOKUP(B97,'①门店信息-A-a-①-增加'!B:B,'①门店信息-A-a-①-增加'!F:F,0)</f>
        <v>0</v>
      </c>
      <c r="I97" s="55">
        <f>_xlfn.XLOOKUP(E97,'③新店考核-B-a-②呈现-业绩明细表-③'!B:B,'③新店考核-B-a-②呈现-业绩明细表-③'!E:E,0)</f>
        <v>0</v>
      </c>
      <c r="J97" s="54">
        <f>_xlfn.XLOOKUP(E97,'③新店考核-B-a-②呈现-业绩明细表-③'!B:B,'③新店考核-B-a-②呈现-业绩明细表-③'!F:F,0)</f>
        <v>0</v>
      </c>
      <c r="K97" s="55">
        <f>IF(H97="新店一阶段",LOOKUP(I97,'②提成标准-B-a-①-增加'!$M$9:$M$12,'②提成标准-B-a-①-增加'!$O$9:$O$12),0)</f>
        <v>0</v>
      </c>
      <c r="L97" s="56">
        <f t="shared" si="16"/>
        <v>0</v>
      </c>
      <c r="M97" s="57">
        <f>_xlfn.XLOOKUP(E97,'③新店考核-B-a-②呈现-业绩明细表-③'!B:B,'③新店考核-B-a-②呈现-业绩明细表-③'!G:G,0)</f>
        <v>0</v>
      </c>
      <c r="N97" s="58" t="str">
        <f>LOOKUP(M97,'②提成标准-B-a-①-增加'!$M$1:$M$4,'②提成标准-B-a-①-增加'!$O$1:$O$4)</f>
        <v>同老店</v>
      </c>
      <c r="O97" s="57">
        <f>_xlfn.XLOOKUP(E97,'③新店考核-B-a-②呈现-业绩明细表-③'!B:B,'③新店考核-B-a-②呈现-业绩明细表-③'!H:H,0)</f>
        <v>0</v>
      </c>
      <c r="P97" s="57">
        <f t="shared" si="17"/>
        <v>0</v>
      </c>
      <c r="Q97" s="53">
        <f>_xlfn.XLOOKUP(E97,'④考勤-B-a-26考勤汇总表'!D:D,'④考勤-B-a-26考勤汇总表'!AP:AP,0)</f>
        <v>0</v>
      </c>
      <c r="R97" s="53" t="str">
        <f t="shared" si="23"/>
        <v/>
      </c>
      <c r="S97" s="53">
        <f t="shared" si="24"/>
        <v>0</v>
      </c>
      <c r="T97" s="53">
        <v>0</v>
      </c>
      <c r="U97" s="53">
        <v>0</v>
      </c>
      <c r="V97" s="53">
        <v>0</v>
      </c>
      <c r="W97" s="53">
        <f>_xlfn.XLOOKUP(E97,'⑤项目数-B-a-③消耗明细表'!C:C,'⑤项目数-B-a-③消耗明细表'!E:E,0)</f>
        <v>0</v>
      </c>
      <c r="X97" s="53">
        <f>_xlfn.XLOOKUP(E97,'⑤项目数-B-a-③消耗明细表'!C:C,'⑤项目数-B-a-③消耗明细表'!D:D,0)</f>
        <v>0</v>
      </c>
      <c r="Y97" s="53">
        <f>_xlfn.XLOOKUP(E97,'⑤项目数-B-a-③消耗明细表'!C:C,'⑤项目数-B-a-③消耗明细表'!F:F,0)</f>
        <v>0</v>
      </c>
      <c r="Z97" s="53">
        <f>_xlfn.XLOOKUP(E97,'⑤项目数-B-a-③消耗明细表'!C:C,'⑤项目数-B-a-③消耗明细表'!G:G,0)</f>
        <v>0</v>
      </c>
      <c r="AA97" s="84" t="str">
        <f t="shared" si="18"/>
        <v>不属于战队</v>
      </c>
      <c r="AB97" s="84">
        <f t="shared" si="19"/>
        <v>0</v>
      </c>
      <c r="AC97" s="53">
        <f>_xlfn.XLOOKUP(F97,'⑥战队统计表-B-a-②呈现-业绩明细表④'!A:A,'⑥战队统计表-B-a-②呈现-业绩明细表④'!B:B,0)</f>
        <v>0</v>
      </c>
      <c r="AD97" s="53">
        <f t="shared" si="25"/>
        <v>1</v>
      </c>
      <c r="AE97" s="59">
        <f>IF(AD97="",_xlfn.XLOOKUP(F97,'⑥战队统计表-B-a-②呈现-业绩明细表④'!A:A,'⑥战队统计表-B-a-②呈现-业绩明细表④'!D:D,0),0)</f>
        <v>0</v>
      </c>
      <c r="AF97" s="85">
        <f>IF(AND(E97="T区",E97="门店T区"),"",IF(AD97="",0,IF(R97="",LOOKUP(S97,'②提成标准-B-a-①-增加'!$B$16:$B$20,'②提成标准-B-a-①-增加'!$D$16:$D$20),LOOKUP(S97/Q97,'②提成标准-B-a-①-增加'!$B$23:$B$27,'②提成标准-B-a-①-增加'!$D$23:$D$27))))</f>
        <v>0</v>
      </c>
      <c r="AG97" s="85">
        <f t="shared" si="20"/>
        <v>0</v>
      </c>
      <c r="AH97" s="60">
        <f t="shared" si="26"/>
        <v>0</v>
      </c>
      <c r="AI97" s="86">
        <f t="shared" si="27"/>
        <v>0</v>
      </c>
      <c r="AJ97" s="60">
        <f t="shared" si="28"/>
        <v>0</v>
      </c>
      <c r="AK97" s="87">
        <f>IF(AB97=1,IFERROR(S97/VLOOKUP(F97,'⑥战队统计表-B-a-②呈现-业绩明细表④'!A:C,3,0),0),0)</f>
        <v>0</v>
      </c>
      <c r="AL97" s="85" t="str">
        <f t="shared" si="21"/>
        <v/>
      </c>
      <c r="AM97" s="53" t="str">
        <f>IF(D97="顾问",_xlfn.XLOOKUP(F97,'⑥战队统计表-B-a-②呈现-业绩明细表④'!A:A,'⑥战队统计表-B-a-②呈现-业绩明细表④'!H:H,0),"")</f>
        <v/>
      </c>
      <c r="AN97" s="53" t="str">
        <f t="shared" si="22"/>
        <v>单人</v>
      </c>
    </row>
    <row r="98" spans="1:40" hidden="1" x14ac:dyDescent="0.15">
      <c r="A98" s="79" t="s">
        <v>428</v>
      </c>
      <c r="B98" s="80" t="s">
        <v>112</v>
      </c>
      <c r="C98" s="81" t="s">
        <v>40</v>
      </c>
      <c r="D98" s="82" t="s">
        <v>40</v>
      </c>
      <c r="E98" s="88" t="str">
        <f>F98</f>
        <v>荣华南路+门店T区</v>
      </c>
      <c r="F98" s="53" t="str">
        <f t="shared" si="15"/>
        <v>荣华南路+门店T区</v>
      </c>
      <c r="G98" s="53">
        <f>IFERROR(_xlfn.XLOOKUP(B98,'①门店信息-A-a-①-增加'!B:B,'①门店信息-A-a-①-增加'!E:E,0),"")</f>
        <v>0</v>
      </c>
      <c r="H98" s="54">
        <f>_xlfn.XLOOKUP(B98,'①门店信息-A-a-①-增加'!B:B,'①门店信息-A-a-①-增加'!F:F,0)</f>
        <v>0</v>
      </c>
      <c r="I98" s="55">
        <f>_xlfn.XLOOKUP(E98,'③新店考核-B-a-②呈现-业绩明细表-③'!B:B,'③新店考核-B-a-②呈现-业绩明细表-③'!E:E,0)</f>
        <v>0</v>
      </c>
      <c r="J98" s="54">
        <f>_xlfn.XLOOKUP(E98,'③新店考核-B-a-②呈现-业绩明细表-③'!B:B,'③新店考核-B-a-②呈现-业绩明细表-③'!F:F,0)</f>
        <v>0</v>
      </c>
      <c r="K98" s="55">
        <f>IF(H98="新店一阶段",LOOKUP(I98,'②提成标准-B-a-①-增加'!$M$9:$M$12,'②提成标准-B-a-①-增加'!$O$9:$O$12),0)</f>
        <v>0</v>
      </c>
      <c r="L98" s="56">
        <f t="shared" si="16"/>
        <v>0</v>
      </c>
      <c r="M98" s="57">
        <f>_xlfn.XLOOKUP(E98,'③新店考核-B-a-②呈现-业绩明细表-③'!B:B,'③新店考核-B-a-②呈现-业绩明细表-③'!G:G,0)</f>
        <v>0</v>
      </c>
      <c r="N98" s="58" t="str">
        <f>LOOKUP(M98,'②提成标准-B-a-①-增加'!$M$1:$M$4,'②提成标准-B-a-①-增加'!$O$1:$O$4)</f>
        <v>同老店</v>
      </c>
      <c r="O98" s="57">
        <f>_xlfn.XLOOKUP(E98,'③新店考核-B-a-②呈现-业绩明细表-③'!B:B,'③新店考核-B-a-②呈现-业绩明细表-③'!H:H,0)</f>
        <v>0</v>
      </c>
      <c r="P98" s="57">
        <f t="shared" si="17"/>
        <v>0</v>
      </c>
      <c r="Q98" s="53">
        <f>_xlfn.XLOOKUP(E98,'④考勤-B-a-26考勤汇总表'!D:D,'④考勤-B-a-26考勤汇总表'!AP:AP,0)</f>
        <v>0</v>
      </c>
      <c r="R98" s="53" t="str">
        <f t="shared" si="23"/>
        <v/>
      </c>
      <c r="S98" s="53">
        <f t="shared" si="24"/>
        <v>0</v>
      </c>
      <c r="T98" s="53">
        <v>0</v>
      </c>
      <c r="U98" s="53">
        <v>0</v>
      </c>
      <c r="V98" s="53">
        <v>0</v>
      </c>
      <c r="W98" s="53">
        <f>_xlfn.XLOOKUP(E98,'⑤项目数-B-a-③消耗明细表'!C:C,'⑤项目数-B-a-③消耗明细表'!E:E,0)</f>
        <v>0</v>
      </c>
      <c r="X98" s="53">
        <f>_xlfn.XLOOKUP(E98,'⑤项目数-B-a-③消耗明细表'!C:C,'⑤项目数-B-a-③消耗明细表'!D:D,0)</f>
        <v>0</v>
      </c>
      <c r="Y98" s="53">
        <f>_xlfn.XLOOKUP(E98,'⑤项目数-B-a-③消耗明细表'!C:C,'⑤项目数-B-a-③消耗明细表'!F:F,0)</f>
        <v>0</v>
      </c>
      <c r="Z98" s="53">
        <f>_xlfn.XLOOKUP(E98,'⑤项目数-B-a-③消耗明细表'!C:C,'⑤项目数-B-a-③消耗明细表'!G:G,0)</f>
        <v>0</v>
      </c>
      <c r="AA98" s="84">
        <f t="shared" si="18"/>
        <v>1</v>
      </c>
      <c r="AB98" s="84">
        <f t="shared" si="19"/>
        <v>0</v>
      </c>
      <c r="AC98" s="53">
        <f>_xlfn.XLOOKUP(F98,'⑥战队统计表-B-a-②呈现-业绩明细表④'!A:A,'⑥战队统计表-B-a-②呈现-业绩明细表④'!B:B,0)</f>
        <v>0</v>
      </c>
      <c r="AD98" s="53">
        <f t="shared" si="25"/>
        <v>1</v>
      </c>
      <c r="AE98" s="59">
        <f>IF(AD98="",_xlfn.XLOOKUP(F98,'⑥战队统计表-B-a-②呈现-业绩明细表④'!A:A,'⑥战队统计表-B-a-②呈现-业绩明细表④'!D:D,0),0)</f>
        <v>0</v>
      </c>
      <c r="AF98" s="85">
        <f>IF(AND(E98="T区",E98="门店T区"),"",IF(AD98="",0,IF(R98="",LOOKUP(S98,'②提成标准-B-a-①-增加'!$B$16:$B$20,'②提成标准-B-a-①-增加'!$D$16:$D$20),LOOKUP(S98/Q98,'②提成标准-B-a-①-增加'!$B$23:$B$27,'②提成标准-B-a-①-增加'!$D$23:$D$27))))</f>
        <v>0</v>
      </c>
      <c r="AG98" s="85">
        <f t="shared" si="20"/>
        <v>0</v>
      </c>
      <c r="AH98" s="60">
        <f t="shared" si="26"/>
        <v>0</v>
      </c>
      <c r="AI98" s="86">
        <f t="shared" si="27"/>
        <v>0</v>
      </c>
      <c r="AJ98" s="60">
        <f t="shared" si="28"/>
        <v>0</v>
      </c>
      <c r="AK98" s="87">
        <f>IF(AB98=1,IFERROR(S98/VLOOKUP(F98,'⑥战队统计表-B-a-②呈现-业绩明细表④'!A:C,3,0),0),0)</f>
        <v>0</v>
      </c>
      <c r="AL98" s="85" t="str">
        <f t="shared" si="21"/>
        <v/>
      </c>
      <c r="AM98" s="53" t="str">
        <f>IF(D98="顾问",_xlfn.XLOOKUP(F98,'⑥战队统计表-B-a-②呈现-业绩明细表④'!A:A,'⑥战队统计表-B-a-②呈现-业绩明细表④'!H:H,0),"")</f>
        <v/>
      </c>
      <c r="AN98" s="53" t="str">
        <f t="shared" si="22"/>
        <v>单人</v>
      </c>
    </row>
    <row r="99" spans="1:40" hidden="1" x14ac:dyDescent="0.15">
      <c r="A99" s="79" t="s">
        <v>428</v>
      </c>
      <c r="B99" s="80" t="s">
        <v>120</v>
      </c>
      <c r="C99" s="81" t="s">
        <v>121</v>
      </c>
      <c r="D99" s="82" t="s">
        <v>32</v>
      </c>
      <c r="E99" s="104" t="s">
        <v>122</v>
      </c>
      <c r="F99" s="53" t="str">
        <f t="shared" si="15"/>
        <v>融创+胜羽队</v>
      </c>
      <c r="G99" s="53">
        <f>IFERROR(_xlfn.XLOOKUP(B99,'①门店信息-A-a-①-增加'!B:B,'①门店信息-A-a-①-增加'!E:E,0),"")</f>
        <v>0</v>
      </c>
      <c r="H99" s="54">
        <f>_xlfn.XLOOKUP(B99,'①门店信息-A-a-①-增加'!B:B,'①门店信息-A-a-①-增加'!F:F,0)</f>
        <v>0</v>
      </c>
      <c r="I99" s="55">
        <f>_xlfn.XLOOKUP(E99,'③新店考核-B-a-②呈现-业绩明细表-③'!B:B,'③新店考核-B-a-②呈现-业绩明细表-③'!E:E,0)</f>
        <v>0</v>
      </c>
      <c r="J99" s="54">
        <f>_xlfn.XLOOKUP(E99,'③新店考核-B-a-②呈现-业绩明细表-③'!B:B,'③新店考核-B-a-②呈现-业绩明细表-③'!F:F,0)</f>
        <v>0</v>
      </c>
      <c r="K99" s="55">
        <f>IF(H99="新店一阶段",LOOKUP(I99,'②提成标准-B-a-①-增加'!$M$9:$M$12,'②提成标准-B-a-①-增加'!$O$9:$O$12),0)</f>
        <v>0</v>
      </c>
      <c r="L99" s="56">
        <f t="shared" si="16"/>
        <v>34046.699999999997</v>
      </c>
      <c r="M99" s="57">
        <f>_xlfn.XLOOKUP(E99,'③新店考核-B-a-②呈现-业绩明细表-③'!B:B,'③新店考核-B-a-②呈现-业绩明细表-③'!G:G,0)</f>
        <v>0</v>
      </c>
      <c r="N99" s="58" t="str">
        <f>LOOKUP(M99,'②提成标准-B-a-①-增加'!$M$1:$M$4,'②提成标准-B-a-①-增加'!$O$1:$O$4)</f>
        <v>同老店</v>
      </c>
      <c r="O99" s="57">
        <f>_xlfn.XLOOKUP(E99,'③新店考核-B-a-②呈现-业绩明细表-③'!B:B,'③新店考核-B-a-②呈现-业绩明细表-③'!H:H,0)</f>
        <v>0</v>
      </c>
      <c r="P99" s="57">
        <f t="shared" si="17"/>
        <v>34046.699999999997</v>
      </c>
      <c r="Q99" s="53">
        <f>_xlfn.XLOOKUP(E99,'④考勤-B-a-26考勤汇总表'!D:D,'④考勤-B-a-26考勤汇总表'!AP:AP,0)</f>
        <v>31</v>
      </c>
      <c r="R99" s="53" t="str">
        <f t="shared" si="23"/>
        <v/>
      </c>
      <c r="S99" s="53">
        <f t="shared" si="24"/>
        <v>30846.699999999997</v>
      </c>
      <c r="T99" s="53">
        <v>34046.699999999997</v>
      </c>
      <c r="U99" s="53">
        <v>-3200</v>
      </c>
      <c r="V99" s="53">
        <v>0</v>
      </c>
      <c r="W99" s="53">
        <f>_xlfn.XLOOKUP(E99,'⑤项目数-B-a-③消耗明细表'!C:C,'⑤项目数-B-a-③消耗明细表'!E:E,0)</f>
        <v>22991.78</v>
      </c>
      <c r="X99" s="53">
        <f>_xlfn.XLOOKUP(E99,'⑤项目数-B-a-③消耗明细表'!C:C,'⑤项目数-B-a-③消耗明细表'!D:D,0)</f>
        <v>88</v>
      </c>
      <c r="Y99" s="53">
        <f>_xlfn.XLOOKUP(E99,'⑤项目数-B-a-③消耗明细表'!C:C,'⑤项目数-B-a-③消耗明细表'!F:F,0)</f>
        <v>1248</v>
      </c>
      <c r="Z99" s="53">
        <f>_xlfn.XLOOKUP(E99,'⑤项目数-B-a-③消耗明细表'!C:C,'⑤项目数-B-a-③消耗明细表'!G:G,0)</f>
        <v>170</v>
      </c>
      <c r="AA99" s="84">
        <f t="shared" si="18"/>
        <v>1</v>
      </c>
      <c r="AB99" s="84">
        <f t="shared" si="19"/>
        <v>1</v>
      </c>
      <c r="AC99" s="53">
        <f>_xlfn.XLOOKUP(F99,'⑥战队统计表-B-a-②呈现-业绩明细表④'!A:A,'⑥战队统计表-B-a-②呈现-业绩明细表④'!B:B,0)</f>
        <v>3</v>
      </c>
      <c r="AD99" s="53" t="str">
        <f t="shared" si="25"/>
        <v/>
      </c>
      <c r="AE99" s="59">
        <f>IF(AD99="",_xlfn.XLOOKUP(F99,'⑥战队统计表-B-a-②呈现-业绩明细表④'!A:A,'⑥战队统计表-B-a-②呈现-业绩明细表④'!D:D,0),0)</f>
        <v>0.04</v>
      </c>
      <c r="AF99" s="85">
        <f>IF(AND(E99="T区",E99="门店T区"),"",IF(AD99="",0,IF(R99="",LOOKUP(S99,'②提成标准-B-a-①-增加'!$B$16:$B$20,'②提成标准-B-a-①-增加'!$D$16:$D$20),LOOKUP(S99/Q99,'②提成标准-B-a-①-增加'!$B$23:$B$27,'②提成标准-B-a-①-增加'!$D$23:$D$27))))</f>
        <v>0</v>
      </c>
      <c r="AG99" s="85">
        <f t="shared" si="20"/>
        <v>0.04</v>
      </c>
      <c r="AH99" s="60">
        <f t="shared" si="26"/>
        <v>1293.7746</v>
      </c>
      <c r="AI99" s="86">
        <f t="shared" si="27"/>
        <v>-79.039999999999992</v>
      </c>
      <c r="AJ99" s="60">
        <f t="shared" si="28"/>
        <v>1214.7346</v>
      </c>
      <c r="AK99" s="87">
        <f>IF(AB99=1,IFERROR(S99/VLOOKUP(F99,'⑥战队统计表-B-a-②呈现-业绩明细表④'!A:C,3,0),0),0)</f>
        <v>0.49619329962825753</v>
      </c>
      <c r="AL99" s="85">
        <f t="shared" si="21"/>
        <v>0.50380670037174247</v>
      </c>
      <c r="AM99" s="53">
        <f>IF(D99="顾问",_xlfn.XLOOKUP(F99,'⑥战队统计表-B-a-②呈现-业绩明细表④'!A:A,'⑥战队统计表-B-a-②呈现-业绩明细表④'!H:H,0),"")</f>
        <v>0</v>
      </c>
      <c r="AN99" s="53" t="str">
        <f t="shared" si="22"/>
        <v>融创+胜羽队</v>
      </c>
    </row>
    <row r="100" spans="1:40" hidden="1" x14ac:dyDescent="0.15">
      <c r="A100" s="79" t="s">
        <v>428</v>
      </c>
      <c r="B100" s="80" t="s">
        <v>120</v>
      </c>
      <c r="C100" s="81" t="s">
        <v>121</v>
      </c>
      <c r="D100" s="82" t="s">
        <v>6</v>
      </c>
      <c r="E100" s="82" t="s">
        <v>123</v>
      </c>
      <c r="F100" s="53" t="str">
        <f t="shared" si="15"/>
        <v>融创+胜羽队</v>
      </c>
      <c r="G100" s="53">
        <f>IFERROR(_xlfn.XLOOKUP(B100,'①门店信息-A-a-①-增加'!B:B,'①门店信息-A-a-①-增加'!E:E,0),"")</f>
        <v>0</v>
      </c>
      <c r="H100" s="54">
        <f>_xlfn.XLOOKUP(B100,'①门店信息-A-a-①-增加'!B:B,'①门店信息-A-a-①-增加'!F:F,0)</f>
        <v>0</v>
      </c>
      <c r="I100" s="55">
        <f>_xlfn.XLOOKUP(E100,'③新店考核-B-a-②呈现-业绩明细表-③'!B:B,'③新店考核-B-a-②呈现-业绩明细表-③'!E:E,0)</f>
        <v>0</v>
      </c>
      <c r="J100" s="54">
        <f>_xlfn.XLOOKUP(E100,'③新店考核-B-a-②呈现-业绩明细表-③'!B:B,'③新店考核-B-a-②呈现-业绩明细表-③'!F:F,0)</f>
        <v>0</v>
      </c>
      <c r="K100" s="55">
        <f>IF(H100="新店一阶段",LOOKUP(I100,'②提成标准-B-a-①-增加'!$M$9:$M$12,'②提成标准-B-a-①-增加'!$O$9:$O$12),0)</f>
        <v>0</v>
      </c>
      <c r="L100" s="56">
        <f t="shared" si="16"/>
        <v>26402</v>
      </c>
      <c r="M100" s="57">
        <f>_xlfn.XLOOKUP(E100,'③新店考核-B-a-②呈现-业绩明细表-③'!B:B,'③新店考核-B-a-②呈现-业绩明细表-③'!G:G,0)</f>
        <v>0</v>
      </c>
      <c r="N100" s="58" t="str">
        <f>LOOKUP(M100,'②提成标准-B-a-①-增加'!$M$1:$M$4,'②提成标准-B-a-①-增加'!$O$1:$O$4)</f>
        <v>同老店</v>
      </c>
      <c r="O100" s="57">
        <f>_xlfn.XLOOKUP(E100,'③新店考核-B-a-②呈现-业绩明细表-③'!B:B,'③新店考核-B-a-②呈现-业绩明细表-③'!H:H,0)</f>
        <v>0</v>
      </c>
      <c r="P100" s="57">
        <f t="shared" si="17"/>
        <v>26402</v>
      </c>
      <c r="Q100" s="53">
        <f>_xlfn.XLOOKUP(E100,'④考勤-B-a-26考勤汇总表'!D:D,'④考勤-B-a-26考勤汇总表'!AP:AP,0)</f>
        <v>31</v>
      </c>
      <c r="R100" s="53" t="str">
        <f t="shared" si="23"/>
        <v/>
      </c>
      <c r="S100" s="53">
        <f t="shared" si="24"/>
        <v>26402</v>
      </c>
      <c r="T100" s="53">
        <v>26402</v>
      </c>
      <c r="U100" s="53">
        <v>0</v>
      </c>
      <c r="V100" s="53">
        <v>0</v>
      </c>
      <c r="W100" s="53">
        <f>_xlfn.XLOOKUP(E100,'⑤项目数-B-a-③消耗明细表'!C:C,'⑤项目数-B-a-③消耗明细表'!E:E,0)</f>
        <v>18249.46</v>
      </c>
      <c r="X100" s="53">
        <f>_xlfn.XLOOKUP(E100,'⑤项目数-B-a-③消耗明细表'!C:C,'⑤项目数-B-a-③消耗明细表'!D:D,0)</f>
        <v>86</v>
      </c>
      <c r="Y100" s="53">
        <f>_xlfn.XLOOKUP(E100,'⑤项目数-B-a-③消耗明细表'!C:C,'⑤项目数-B-a-③消耗明细表'!F:F,0)</f>
        <v>1014</v>
      </c>
      <c r="Z100" s="53">
        <f>_xlfn.XLOOKUP(E100,'⑤项目数-B-a-③消耗明细表'!C:C,'⑤项目数-B-a-③消耗明细表'!G:G,0)</f>
        <v>40</v>
      </c>
      <c r="AA100" s="84">
        <f t="shared" si="18"/>
        <v>1</v>
      </c>
      <c r="AB100" s="84">
        <f t="shared" si="19"/>
        <v>1</v>
      </c>
      <c r="AC100" s="53">
        <f>_xlfn.XLOOKUP(F100,'⑥战队统计表-B-a-②呈现-业绩明细表④'!A:A,'⑥战队统计表-B-a-②呈现-业绩明细表④'!B:B,0)</f>
        <v>3</v>
      </c>
      <c r="AD100" s="53" t="str">
        <f t="shared" si="25"/>
        <v/>
      </c>
      <c r="AE100" s="59">
        <f>IF(AD100="",_xlfn.XLOOKUP(F100,'⑥战队统计表-B-a-②呈现-业绩明细表④'!A:A,'⑥战队统计表-B-a-②呈现-业绩明细表④'!D:D,0),0)</f>
        <v>0.04</v>
      </c>
      <c r="AF100" s="85">
        <f>IF(AND(E100="T区",E100="门店T区"),"",IF(AD100="",0,IF(R100="",LOOKUP(S100,'②提成标准-B-a-①-增加'!$B$16:$B$20,'②提成标准-B-a-①-增加'!$D$16:$D$20),LOOKUP(S100/Q100,'②提成标准-B-a-①-增加'!$B$23:$B$27,'②提成标准-B-a-①-增加'!$D$23:$D$27))))</f>
        <v>0</v>
      </c>
      <c r="AG100" s="85">
        <f t="shared" si="20"/>
        <v>0.04</v>
      </c>
      <c r="AH100" s="60">
        <f t="shared" si="26"/>
        <v>1003.2759999999998</v>
      </c>
      <c r="AI100" s="86">
        <f t="shared" si="27"/>
        <v>0</v>
      </c>
      <c r="AJ100" s="60">
        <f t="shared" si="28"/>
        <v>1003.2759999999998</v>
      </c>
      <c r="AK100" s="87">
        <f>IF(AB100=1,IFERROR(S100/VLOOKUP(F100,'⑥战队统计表-B-a-②呈现-业绩明细表④'!A:C,3,0),0),0)</f>
        <v>0.42469682321886154</v>
      </c>
      <c r="AL100" s="85" t="str">
        <f t="shared" si="21"/>
        <v/>
      </c>
      <c r="AM100" s="53" t="str">
        <f>IF(D100="顾问",_xlfn.XLOOKUP(F100,'⑥战队统计表-B-a-②呈现-业绩明细表④'!A:A,'⑥战队统计表-B-a-②呈现-业绩明细表④'!H:H,0),"")</f>
        <v/>
      </c>
      <c r="AN100" s="53" t="str">
        <f t="shared" si="22"/>
        <v>融创+胜羽队</v>
      </c>
    </row>
    <row r="101" spans="1:40" hidden="1" x14ac:dyDescent="0.15">
      <c r="A101" s="79" t="s">
        <v>428</v>
      </c>
      <c r="B101" s="80" t="s">
        <v>120</v>
      </c>
      <c r="C101" s="81" t="s">
        <v>121</v>
      </c>
      <c r="D101" s="82" t="s">
        <v>6</v>
      </c>
      <c r="E101" s="82" t="s">
        <v>124</v>
      </c>
      <c r="F101" s="53" t="str">
        <f t="shared" si="15"/>
        <v>融创+胜羽队</v>
      </c>
      <c r="G101" s="53">
        <f>IFERROR(_xlfn.XLOOKUP(B101,'①门店信息-A-a-①-增加'!B:B,'①门店信息-A-a-①-增加'!E:E,0),"")</f>
        <v>0</v>
      </c>
      <c r="H101" s="54">
        <f>_xlfn.XLOOKUP(B101,'①门店信息-A-a-①-增加'!B:B,'①门店信息-A-a-①-增加'!F:F,0)</f>
        <v>0</v>
      </c>
      <c r="I101" s="55">
        <f>_xlfn.XLOOKUP(E101,'③新店考核-B-a-②呈现-业绩明细表-③'!B:B,'③新店考核-B-a-②呈现-业绩明细表-③'!E:E,0)</f>
        <v>0</v>
      </c>
      <c r="J101" s="54">
        <f>_xlfn.XLOOKUP(E101,'③新店考核-B-a-②呈现-业绩明细表-③'!B:B,'③新店考核-B-a-②呈现-业绩明细表-③'!F:F,0)</f>
        <v>0</v>
      </c>
      <c r="K101" s="55">
        <f>IF(H101="新店一阶段",LOOKUP(I101,'②提成标准-B-a-①-增加'!$M$9:$M$12,'②提成标准-B-a-①-增加'!$O$9:$O$12),0)</f>
        <v>0</v>
      </c>
      <c r="L101" s="56">
        <f t="shared" si="16"/>
        <v>4918</v>
      </c>
      <c r="M101" s="57">
        <f>_xlfn.XLOOKUP(E101,'③新店考核-B-a-②呈现-业绩明细表-③'!B:B,'③新店考核-B-a-②呈现-业绩明细表-③'!G:G,0)</f>
        <v>0</v>
      </c>
      <c r="N101" s="58" t="str">
        <f>LOOKUP(M101,'②提成标准-B-a-①-增加'!$M$1:$M$4,'②提成标准-B-a-①-增加'!$O$1:$O$4)</f>
        <v>同老店</v>
      </c>
      <c r="O101" s="57">
        <f>_xlfn.XLOOKUP(E101,'③新店考核-B-a-②呈现-业绩明细表-③'!B:B,'③新店考核-B-a-②呈现-业绩明细表-③'!H:H,0)</f>
        <v>0</v>
      </c>
      <c r="P101" s="57">
        <f t="shared" si="17"/>
        <v>4918</v>
      </c>
      <c r="Q101" s="53">
        <f>_xlfn.XLOOKUP(E101,'④考勤-B-a-26考勤汇总表'!D:D,'④考勤-B-a-26考勤汇总表'!AP:AP,0)</f>
        <v>31</v>
      </c>
      <c r="R101" s="53" t="str">
        <f t="shared" si="23"/>
        <v/>
      </c>
      <c r="S101" s="53">
        <f t="shared" si="24"/>
        <v>4918</v>
      </c>
      <c r="T101" s="53">
        <v>4918</v>
      </c>
      <c r="U101" s="53">
        <v>0</v>
      </c>
      <c r="V101" s="53">
        <v>0</v>
      </c>
      <c r="W101" s="53">
        <f>_xlfn.XLOOKUP(E101,'⑤项目数-B-a-③消耗明细表'!C:C,'⑤项目数-B-a-③消耗明细表'!E:E,0)</f>
        <v>11679.15</v>
      </c>
      <c r="X101" s="53">
        <f>_xlfn.XLOOKUP(E101,'⑤项目数-B-a-③消耗明细表'!C:C,'⑤项目数-B-a-③消耗明细表'!D:D,0)</f>
        <v>70</v>
      </c>
      <c r="Y101" s="53">
        <f>_xlfn.XLOOKUP(E101,'⑤项目数-B-a-③消耗明细表'!C:C,'⑤项目数-B-a-③消耗明细表'!F:F,0)</f>
        <v>896</v>
      </c>
      <c r="Z101" s="53">
        <f>_xlfn.XLOOKUP(E101,'⑤项目数-B-a-③消耗明细表'!C:C,'⑤项目数-B-a-③消耗明细表'!G:G,0)</f>
        <v>0</v>
      </c>
      <c r="AA101" s="84">
        <f t="shared" si="18"/>
        <v>1</v>
      </c>
      <c r="AB101" s="84">
        <f t="shared" si="19"/>
        <v>1</v>
      </c>
      <c r="AC101" s="53">
        <f>_xlfn.XLOOKUP(F101,'⑥战队统计表-B-a-②呈现-业绩明细表④'!A:A,'⑥战队统计表-B-a-②呈现-业绩明细表④'!B:B,0)</f>
        <v>3</v>
      </c>
      <c r="AD101" s="53" t="str">
        <f t="shared" si="25"/>
        <v/>
      </c>
      <c r="AE101" s="59">
        <f>IF(AD101="",_xlfn.XLOOKUP(F101,'⑥战队统计表-B-a-②呈现-业绩明细表④'!A:A,'⑥战队统计表-B-a-②呈现-业绩明细表④'!D:D,0),0)</f>
        <v>0.04</v>
      </c>
      <c r="AF101" s="85">
        <f>IF(AND(E101="T区",E101="门店T区"),"",IF(AD101="",0,IF(R101="",LOOKUP(S101,'②提成标准-B-a-①-增加'!$B$16:$B$20,'②提成标准-B-a-①-增加'!$D$16:$D$20),LOOKUP(S101/Q101,'②提成标准-B-a-①-增加'!$B$23:$B$27,'②提成标准-B-a-①-增加'!$D$23:$D$27))))</f>
        <v>0</v>
      </c>
      <c r="AG101" s="85">
        <f t="shared" si="20"/>
        <v>0.04</v>
      </c>
      <c r="AH101" s="60">
        <f t="shared" si="26"/>
        <v>186.88399999999999</v>
      </c>
      <c r="AI101" s="86">
        <f t="shared" si="27"/>
        <v>0</v>
      </c>
      <c r="AJ101" s="60">
        <f t="shared" si="28"/>
        <v>186.88399999999999</v>
      </c>
      <c r="AK101" s="87">
        <f>IF(AB101=1,IFERROR(S101/VLOOKUP(F101,'⑥战队统计表-B-a-②呈现-业绩明细表④'!A:C,3,0),0),0)</f>
        <v>7.9109877152880884E-2</v>
      </c>
      <c r="AL101" s="85" t="str">
        <f t="shared" si="21"/>
        <v/>
      </c>
      <c r="AM101" s="53" t="str">
        <f>IF(D101="顾问",_xlfn.XLOOKUP(F101,'⑥战队统计表-B-a-②呈现-业绩明细表④'!A:A,'⑥战队统计表-B-a-②呈现-业绩明细表④'!H:H,0),"")</f>
        <v/>
      </c>
      <c r="AN101" s="53" t="str">
        <f t="shared" si="22"/>
        <v>融创+胜羽队</v>
      </c>
    </row>
    <row r="102" spans="1:40" hidden="1" x14ac:dyDescent="0.15">
      <c r="A102" s="79" t="s">
        <v>428</v>
      </c>
      <c r="B102" s="80" t="s">
        <v>120</v>
      </c>
      <c r="C102" s="81" t="s">
        <v>36</v>
      </c>
      <c r="D102" s="82" t="s">
        <v>36</v>
      </c>
      <c r="E102" s="82" t="s">
        <v>36</v>
      </c>
      <c r="F102" s="53" t="str">
        <f t="shared" si="15"/>
        <v>融创+T区</v>
      </c>
      <c r="G102" s="53">
        <f>IFERROR(_xlfn.XLOOKUP(B102,'①门店信息-A-a-①-增加'!B:B,'①门店信息-A-a-①-增加'!E:E,0),"")</f>
        <v>0</v>
      </c>
      <c r="H102" s="54">
        <f>_xlfn.XLOOKUP(B102,'①门店信息-A-a-①-增加'!B:B,'①门店信息-A-a-①-增加'!F:F,0)</f>
        <v>0</v>
      </c>
      <c r="I102" s="55">
        <f>_xlfn.XLOOKUP(E102,'③新店考核-B-a-②呈现-业绩明细表-③'!B:B,'③新店考核-B-a-②呈现-业绩明细表-③'!E:E,0)</f>
        <v>0</v>
      </c>
      <c r="J102" s="54">
        <f>_xlfn.XLOOKUP(E102,'③新店考核-B-a-②呈现-业绩明细表-③'!B:B,'③新店考核-B-a-②呈现-业绩明细表-③'!F:F,0)</f>
        <v>0</v>
      </c>
      <c r="K102" s="55">
        <f>IF(H102="新店一阶段",LOOKUP(I102,'②提成标准-B-a-①-增加'!$M$9:$M$12,'②提成标准-B-a-①-增加'!$O$9:$O$12),0)</f>
        <v>0</v>
      </c>
      <c r="L102" s="56">
        <f t="shared" si="16"/>
        <v>0</v>
      </c>
      <c r="M102" s="57">
        <f>_xlfn.XLOOKUP(E102,'③新店考核-B-a-②呈现-业绩明细表-③'!B:B,'③新店考核-B-a-②呈现-业绩明细表-③'!G:G,0)</f>
        <v>0</v>
      </c>
      <c r="N102" s="58" t="str">
        <f>LOOKUP(M102,'②提成标准-B-a-①-增加'!$M$1:$M$4,'②提成标准-B-a-①-增加'!$O$1:$O$4)</f>
        <v>同老店</v>
      </c>
      <c r="O102" s="57">
        <f>_xlfn.XLOOKUP(E102,'③新店考核-B-a-②呈现-业绩明细表-③'!B:B,'③新店考核-B-a-②呈现-业绩明细表-③'!H:H,0)</f>
        <v>0</v>
      </c>
      <c r="P102" s="57">
        <f t="shared" si="17"/>
        <v>0</v>
      </c>
      <c r="Q102" s="53">
        <f>_xlfn.XLOOKUP(E102,'④考勤-B-a-26考勤汇总表'!D:D,'④考勤-B-a-26考勤汇总表'!AP:AP,0)</f>
        <v>0</v>
      </c>
      <c r="R102" s="53" t="str">
        <f t="shared" si="23"/>
        <v/>
      </c>
      <c r="S102" s="53">
        <f t="shared" si="24"/>
        <v>0</v>
      </c>
      <c r="T102" s="53">
        <v>0</v>
      </c>
      <c r="U102" s="53">
        <v>0</v>
      </c>
      <c r="V102" s="53">
        <v>0</v>
      </c>
      <c r="W102" s="53">
        <f>_xlfn.XLOOKUP(E102,'⑤项目数-B-a-③消耗明细表'!C:C,'⑤项目数-B-a-③消耗明细表'!E:E,0)</f>
        <v>0</v>
      </c>
      <c r="X102" s="53">
        <f>_xlfn.XLOOKUP(E102,'⑤项目数-B-a-③消耗明细表'!C:C,'⑤项目数-B-a-③消耗明细表'!D:D,0)</f>
        <v>0</v>
      </c>
      <c r="Y102" s="53">
        <f>_xlfn.XLOOKUP(E102,'⑤项目数-B-a-③消耗明细表'!C:C,'⑤项目数-B-a-③消耗明细表'!F:F,0)</f>
        <v>0</v>
      </c>
      <c r="Z102" s="53">
        <f>_xlfn.XLOOKUP(E102,'⑤项目数-B-a-③消耗明细表'!C:C,'⑤项目数-B-a-③消耗明细表'!G:G,0)</f>
        <v>0</v>
      </c>
      <c r="AA102" s="84" t="str">
        <f t="shared" ref="AA102:AA133" si="29">IF(G102="新店","新店",IF(C102="单人","单人",IF(OR(C102="T区",C102="单人",G102="新店"),"不属于战队",1)))</f>
        <v>不属于战队</v>
      </c>
      <c r="AB102" s="84">
        <f t="shared" ref="AB102:AB133" si="30">IF(AA102=1,IF(Q102&gt;=20,1,0),0)</f>
        <v>0</v>
      </c>
      <c r="AC102" s="53">
        <f>_xlfn.XLOOKUP(F102,'⑥战队统计表-B-a-②呈现-业绩明细表④'!A:A,'⑥战队统计表-B-a-②呈现-业绩明细表④'!B:B,0)</f>
        <v>0</v>
      </c>
      <c r="AD102" s="53">
        <f t="shared" si="25"/>
        <v>1</v>
      </c>
      <c r="AE102" s="59">
        <f>IF(AD102="",_xlfn.XLOOKUP(F102,'⑥战队统计表-B-a-②呈现-业绩明细表④'!A:A,'⑥战队统计表-B-a-②呈现-业绩明细表④'!D:D,0),0)</f>
        <v>0</v>
      </c>
      <c r="AF102" s="85">
        <f>IF(AND(E102="T区",E102="门店T区"),"",IF(AD102="",0,IF(R102="",LOOKUP(S102,'②提成标准-B-a-①-增加'!$B$16:$B$20,'②提成标准-B-a-①-增加'!$D$16:$D$20),LOOKUP(S102/Q102,'②提成标准-B-a-①-增加'!$B$23:$B$27,'②提成标准-B-a-①-增加'!$D$23:$D$27))))</f>
        <v>0</v>
      </c>
      <c r="AG102" s="85">
        <f t="shared" si="20"/>
        <v>0</v>
      </c>
      <c r="AH102" s="60">
        <f t="shared" si="26"/>
        <v>0</v>
      </c>
      <c r="AI102" s="86">
        <f t="shared" si="27"/>
        <v>0</v>
      </c>
      <c r="AJ102" s="60">
        <f t="shared" si="28"/>
        <v>0</v>
      </c>
      <c r="AK102" s="87">
        <f>IF(AB102=1,IFERROR(S102/VLOOKUP(F102,'⑥战队统计表-B-a-②呈现-业绩明细表④'!A:C,3,0),0),0)</f>
        <v>0</v>
      </c>
      <c r="AL102" s="85" t="str">
        <f t="shared" si="21"/>
        <v/>
      </c>
      <c r="AM102" s="53" t="str">
        <f>IF(D102="顾问",_xlfn.XLOOKUP(F102,'⑥战队统计表-B-a-②呈现-业绩明细表④'!A:A,'⑥战队统计表-B-a-②呈现-业绩明细表④'!H:H,0),"")</f>
        <v/>
      </c>
      <c r="AN102" s="53" t="str">
        <f t="shared" ref="AN102:AN133" si="31">IF(AND(AB102=1,AD102&lt;&gt;1),F102,"单人")</f>
        <v>单人</v>
      </c>
    </row>
    <row r="103" spans="1:40" hidden="1" x14ac:dyDescent="0.15">
      <c r="A103" s="79" t="s">
        <v>428</v>
      </c>
      <c r="B103" s="80" t="s">
        <v>120</v>
      </c>
      <c r="C103" s="81" t="s">
        <v>125</v>
      </c>
      <c r="D103" s="82" t="s">
        <v>32</v>
      </c>
      <c r="E103" s="82" t="s">
        <v>126</v>
      </c>
      <c r="F103" s="53" t="str">
        <f t="shared" si="15"/>
        <v>融创+太阳队</v>
      </c>
      <c r="G103" s="53">
        <f>IFERROR(_xlfn.XLOOKUP(B103,'①门店信息-A-a-①-增加'!B:B,'①门店信息-A-a-①-增加'!E:E,0),"")</f>
        <v>0</v>
      </c>
      <c r="H103" s="54">
        <f>_xlfn.XLOOKUP(B103,'①门店信息-A-a-①-增加'!B:B,'①门店信息-A-a-①-增加'!F:F,0)</f>
        <v>0</v>
      </c>
      <c r="I103" s="55">
        <f>_xlfn.XLOOKUP(E103,'③新店考核-B-a-②呈现-业绩明细表-③'!B:B,'③新店考核-B-a-②呈现-业绩明细表-③'!E:E,0)</f>
        <v>0</v>
      </c>
      <c r="J103" s="54">
        <f>_xlfn.XLOOKUP(E103,'③新店考核-B-a-②呈现-业绩明细表-③'!B:B,'③新店考核-B-a-②呈现-业绩明细表-③'!F:F,0)</f>
        <v>0</v>
      </c>
      <c r="K103" s="55">
        <f>IF(H103="新店一阶段",LOOKUP(I103,'②提成标准-B-a-①-增加'!$M$9:$M$12,'②提成标准-B-a-①-增加'!$O$9:$O$12),0)</f>
        <v>0</v>
      </c>
      <c r="L103" s="56">
        <f t="shared" si="16"/>
        <v>41947.8</v>
      </c>
      <c r="M103" s="57">
        <f>_xlfn.XLOOKUP(E103,'③新店考核-B-a-②呈现-业绩明细表-③'!B:B,'③新店考核-B-a-②呈现-业绩明细表-③'!G:G,0)</f>
        <v>0</v>
      </c>
      <c r="N103" s="58" t="str">
        <f>LOOKUP(M103,'②提成标准-B-a-①-增加'!$M$1:$M$4,'②提成标准-B-a-①-增加'!$O$1:$O$4)</f>
        <v>同老店</v>
      </c>
      <c r="O103" s="57">
        <f>_xlfn.XLOOKUP(E103,'③新店考核-B-a-②呈现-业绩明细表-③'!B:B,'③新店考核-B-a-②呈现-业绩明细表-③'!H:H,0)</f>
        <v>0</v>
      </c>
      <c r="P103" s="57">
        <f t="shared" si="17"/>
        <v>41947.8</v>
      </c>
      <c r="Q103" s="53">
        <f>_xlfn.XLOOKUP(E103,'④考勤-B-a-26考勤汇总表'!D:D,'④考勤-B-a-26考勤汇总表'!AP:AP,0)</f>
        <v>31</v>
      </c>
      <c r="R103" s="53" t="str">
        <f t="shared" si="23"/>
        <v/>
      </c>
      <c r="S103" s="53">
        <f t="shared" si="24"/>
        <v>41947.8</v>
      </c>
      <c r="T103" s="53">
        <v>41947.8</v>
      </c>
      <c r="U103" s="53">
        <v>0</v>
      </c>
      <c r="V103" s="53">
        <v>0</v>
      </c>
      <c r="W103" s="53">
        <f>_xlfn.XLOOKUP(E103,'⑤项目数-B-a-③消耗明细表'!C:C,'⑤项目数-B-a-③消耗明细表'!E:E,0)</f>
        <v>18391.38</v>
      </c>
      <c r="X103" s="53">
        <f>_xlfn.XLOOKUP(E103,'⑤项目数-B-a-③消耗明细表'!C:C,'⑤项目数-B-a-③消耗明细表'!D:D,0)</f>
        <v>69</v>
      </c>
      <c r="Y103" s="53">
        <f>_xlfn.XLOOKUP(E103,'⑤项目数-B-a-③消耗明细表'!C:C,'⑤项目数-B-a-③消耗明细表'!F:F,0)</f>
        <v>979</v>
      </c>
      <c r="Z103" s="53">
        <f>_xlfn.XLOOKUP(E103,'⑤项目数-B-a-③消耗明细表'!C:C,'⑤项目数-B-a-③消耗明细表'!G:G,0)</f>
        <v>55</v>
      </c>
      <c r="AA103" s="84">
        <f t="shared" si="29"/>
        <v>1</v>
      </c>
      <c r="AB103" s="84">
        <f t="shared" si="30"/>
        <v>1</v>
      </c>
      <c r="AC103" s="53">
        <f>_xlfn.XLOOKUP(F103,'⑥战队统计表-B-a-②呈现-业绩明细表④'!A:A,'⑥战队统计表-B-a-②呈现-业绩明细表④'!B:B,0)</f>
        <v>3</v>
      </c>
      <c r="AD103" s="53" t="str">
        <f t="shared" si="25"/>
        <v/>
      </c>
      <c r="AE103" s="59">
        <f>IF(AD103="",_xlfn.XLOOKUP(F103,'⑥战队统计表-B-a-②呈现-业绩明细表④'!A:A,'⑥战队统计表-B-a-②呈现-业绩明细表④'!D:D,0),0)</f>
        <v>0.05</v>
      </c>
      <c r="AF103" s="85">
        <f>IF(AND(E103="T区",E103="门店T区"),"",IF(AD103="",0,IF(R103="",LOOKUP(S103,'②提成标准-B-a-①-增加'!$B$16:$B$20,'②提成标准-B-a-①-增加'!$D$16:$D$20),LOOKUP(S103/Q103,'②提成标准-B-a-①-增加'!$B$23:$B$27,'②提成标准-B-a-①-增加'!$D$23:$D$27))))</f>
        <v>0</v>
      </c>
      <c r="AG103" s="85">
        <f t="shared" si="20"/>
        <v>0.05</v>
      </c>
      <c r="AH103" s="60">
        <f t="shared" si="26"/>
        <v>1992.5205000000003</v>
      </c>
      <c r="AI103" s="86">
        <f t="shared" si="27"/>
        <v>0</v>
      </c>
      <c r="AJ103" s="60">
        <f t="shared" si="28"/>
        <v>1992.5205000000003</v>
      </c>
      <c r="AK103" s="87">
        <f>IF(AB103=1,IFERROR(S103/VLOOKUP(F103,'⑥战队统计表-B-a-②呈现-业绩明细表④'!A:C,3,0),0),0)</f>
        <v>0.46477342353771511</v>
      </c>
      <c r="AL103" s="85">
        <f t="shared" si="21"/>
        <v>0.53522657646228489</v>
      </c>
      <c r="AM103" s="53">
        <f>IF(D103="顾问",_xlfn.XLOOKUP(F103,'⑥战队统计表-B-a-②呈现-业绩明细表④'!A:A,'⑥战队统计表-B-a-②呈现-业绩明细表④'!H:H,0),"")</f>
        <v>722.04</v>
      </c>
      <c r="AN103" s="53" t="str">
        <f t="shared" si="31"/>
        <v>融创+太阳队</v>
      </c>
    </row>
    <row r="104" spans="1:40" hidden="1" x14ac:dyDescent="0.15">
      <c r="A104" s="79" t="s">
        <v>428</v>
      </c>
      <c r="B104" s="80" t="s">
        <v>120</v>
      </c>
      <c r="C104" s="81" t="s">
        <v>125</v>
      </c>
      <c r="D104" s="82" t="s">
        <v>6</v>
      </c>
      <c r="E104" s="82" t="s">
        <v>127</v>
      </c>
      <c r="F104" s="53" t="str">
        <f t="shared" si="15"/>
        <v>融创+太阳队</v>
      </c>
      <c r="G104" s="53">
        <f>IFERROR(_xlfn.XLOOKUP(B104,'①门店信息-A-a-①-增加'!B:B,'①门店信息-A-a-①-增加'!E:E,0),"")</f>
        <v>0</v>
      </c>
      <c r="H104" s="54">
        <f>_xlfn.XLOOKUP(B104,'①门店信息-A-a-①-增加'!B:B,'①门店信息-A-a-①-增加'!F:F,0)</f>
        <v>0</v>
      </c>
      <c r="I104" s="55">
        <f>_xlfn.XLOOKUP(E104,'③新店考核-B-a-②呈现-业绩明细表-③'!B:B,'③新店考核-B-a-②呈现-业绩明细表-③'!E:E,0)</f>
        <v>0</v>
      </c>
      <c r="J104" s="54">
        <f>_xlfn.XLOOKUP(E104,'③新店考核-B-a-②呈现-业绩明细表-③'!B:B,'③新店考核-B-a-②呈现-业绩明细表-③'!F:F,0)</f>
        <v>0</v>
      </c>
      <c r="K104" s="55">
        <f>IF(H104="新店一阶段",LOOKUP(I104,'②提成标准-B-a-①-增加'!$M$9:$M$12,'②提成标准-B-a-①-增加'!$O$9:$O$12),0)</f>
        <v>0</v>
      </c>
      <c r="L104" s="56">
        <f t="shared" si="16"/>
        <v>43731</v>
      </c>
      <c r="M104" s="57">
        <f>_xlfn.XLOOKUP(E104,'③新店考核-B-a-②呈现-业绩明细表-③'!B:B,'③新店考核-B-a-②呈现-业绩明细表-③'!G:G,0)</f>
        <v>0</v>
      </c>
      <c r="N104" s="58" t="str">
        <f>LOOKUP(M104,'②提成标准-B-a-①-增加'!$M$1:$M$4,'②提成标准-B-a-①-增加'!$O$1:$O$4)</f>
        <v>同老店</v>
      </c>
      <c r="O104" s="57">
        <f>_xlfn.XLOOKUP(E104,'③新店考核-B-a-②呈现-业绩明细表-③'!B:B,'③新店考核-B-a-②呈现-业绩明细表-③'!H:H,0)</f>
        <v>0</v>
      </c>
      <c r="P104" s="57">
        <f t="shared" si="17"/>
        <v>43731</v>
      </c>
      <c r="Q104" s="53">
        <f>_xlfn.XLOOKUP(E104,'④考勤-B-a-26考勤汇总表'!D:D,'④考勤-B-a-26考勤汇总表'!AP:AP,0)</f>
        <v>31</v>
      </c>
      <c r="R104" s="53" t="str">
        <f t="shared" si="23"/>
        <v/>
      </c>
      <c r="S104" s="53">
        <f t="shared" si="24"/>
        <v>43731</v>
      </c>
      <c r="T104" s="53">
        <v>43731</v>
      </c>
      <c r="U104" s="53">
        <v>0</v>
      </c>
      <c r="V104" s="53">
        <v>0</v>
      </c>
      <c r="W104" s="53">
        <f>_xlfn.XLOOKUP(E104,'⑤项目数-B-a-③消耗明细表'!C:C,'⑤项目数-B-a-③消耗明细表'!E:E,0)</f>
        <v>34300.11</v>
      </c>
      <c r="X104" s="53">
        <f>_xlfn.XLOOKUP(E104,'⑤项目数-B-a-③消耗明细表'!C:C,'⑤项目数-B-a-③消耗明细表'!D:D,0)</f>
        <v>89</v>
      </c>
      <c r="Y104" s="53">
        <f>_xlfn.XLOOKUP(E104,'⑤项目数-B-a-③消耗明细表'!C:C,'⑤项目数-B-a-③消耗明细表'!F:F,0)</f>
        <v>1028</v>
      </c>
      <c r="Z104" s="53">
        <f>_xlfn.XLOOKUP(E104,'⑤项目数-B-a-③消耗明细表'!C:C,'⑤项目数-B-a-③消耗明细表'!G:G,0)</f>
        <v>65</v>
      </c>
      <c r="AA104" s="84">
        <f t="shared" si="29"/>
        <v>1</v>
      </c>
      <c r="AB104" s="84">
        <f t="shared" si="30"/>
        <v>1</v>
      </c>
      <c r="AC104" s="53">
        <f>_xlfn.XLOOKUP(F104,'⑥战队统计表-B-a-②呈现-业绩明细表④'!A:A,'⑥战队统计表-B-a-②呈现-业绩明细表④'!B:B,0)</f>
        <v>3</v>
      </c>
      <c r="AD104" s="53" t="str">
        <f t="shared" si="25"/>
        <v/>
      </c>
      <c r="AE104" s="59">
        <f>IF(AD104="",_xlfn.XLOOKUP(F104,'⑥战队统计表-B-a-②呈现-业绩明细表④'!A:A,'⑥战队统计表-B-a-②呈现-业绩明细表④'!D:D,0),0)</f>
        <v>0.05</v>
      </c>
      <c r="AF104" s="85">
        <f>IF(AND(E104="T区",E104="门店T区"),"",IF(AD104="",0,IF(R104="",LOOKUP(S104,'②提成标准-B-a-①-增加'!$B$16:$B$20,'②提成标准-B-a-①-增加'!$D$16:$D$20),LOOKUP(S104/Q104,'②提成标准-B-a-①-增加'!$B$23:$B$27,'②提成标准-B-a-①-增加'!$D$23:$D$27))))</f>
        <v>0</v>
      </c>
      <c r="AG104" s="85">
        <f t="shared" si="20"/>
        <v>0.05</v>
      </c>
      <c r="AH104" s="60">
        <f t="shared" si="26"/>
        <v>2077.2224999999999</v>
      </c>
      <c r="AI104" s="86">
        <f t="shared" si="27"/>
        <v>0</v>
      </c>
      <c r="AJ104" s="60">
        <f t="shared" si="28"/>
        <v>2077.2224999999999</v>
      </c>
      <c r="AK104" s="87">
        <f>IF(AB104=1,IFERROR(S104/VLOOKUP(F104,'⑥战队统计表-B-a-②呈现-业绩明细表④'!A:C,3,0),0),0)</f>
        <v>0.48453093093625454</v>
      </c>
      <c r="AL104" s="85" t="str">
        <f t="shared" si="21"/>
        <v/>
      </c>
      <c r="AM104" s="53" t="str">
        <f>IF(D104="顾问",_xlfn.XLOOKUP(F104,'⑥战队统计表-B-a-②呈现-业绩明细表④'!A:A,'⑥战队统计表-B-a-②呈现-业绩明细表④'!H:H,0),"")</f>
        <v/>
      </c>
      <c r="AN104" s="53" t="str">
        <f t="shared" si="31"/>
        <v>融创+太阳队</v>
      </c>
    </row>
    <row r="105" spans="1:40" hidden="1" x14ac:dyDescent="0.15">
      <c r="A105" s="79" t="s">
        <v>428</v>
      </c>
      <c r="B105" s="80" t="s">
        <v>120</v>
      </c>
      <c r="C105" s="89" t="s">
        <v>125</v>
      </c>
      <c r="D105" s="90" t="s">
        <v>6</v>
      </c>
      <c r="E105" s="90" t="s">
        <v>128</v>
      </c>
      <c r="F105" s="53" t="str">
        <f t="shared" si="15"/>
        <v>融创+太阳队</v>
      </c>
      <c r="G105" s="53">
        <f>IFERROR(_xlfn.XLOOKUP(B105,'①门店信息-A-a-①-增加'!B:B,'①门店信息-A-a-①-增加'!E:E,0),"")</f>
        <v>0</v>
      </c>
      <c r="H105" s="54">
        <f>_xlfn.XLOOKUP(B105,'①门店信息-A-a-①-增加'!B:B,'①门店信息-A-a-①-增加'!F:F,0)</f>
        <v>0</v>
      </c>
      <c r="I105" s="55">
        <f>_xlfn.XLOOKUP(E105,'③新店考核-B-a-②呈现-业绩明细表-③'!B:B,'③新店考核-B-a-②呈现-业绩明细表-③'!E:E,0)</f>
        <v>0</v>
      </c>
      <c r="J105" s="54">
        <f>_xlfn.XLOOKUP(E105,'③新店考核-B-a-②呈现-业绩明细表-③'!B:B,'③新店考核-B-a-②呈现-业绩明细表-③'!F:F,0)</f>
        <v>0</v>
      </c>
      <c r="K105" s="55">
        <f>IF(H105="新店一阶段",LOOKUP(I105,'②提成标准-B-a-①-增加'!$M$9:$M$12,'②提成标准-B-a-①-增加'!$O$9:$O$12),0)</f>
        <v>0</v>
      </c>
      <c r="L105" s="56">
        <f t="shared" si="16"/>
        <v>4575.5</v>
      </c>
      <c r="M105" s="57">
        <f>_xlfn.XLOOKUP(E105,'③新店考核-B-a-②呈现-业绩明细表-③'!B:B,'③新店考核-B-a-②呈现-业绩明细表-③'!G:G,0)</f>
        <v>0</v>
      </c>
      <c r="N105" s="58" t="str">
        <f>LOOKUP(M105,'②提成标准-B-a-①-增加'!$M$1:$M$4,'②提成标准-B-a-①-增加'!$O$1:$O$4)</f>
        <v>同老店</v>
      </c>
      <c r="O105" s="57">
        <f>_xlfn.XLOOKUP(E105,'③新店考核-B-a-②呈现-业绩明细表-③'!B:B,'③新店考核-B-a-②呈现-业绩明细表-③'!H:H,0)</f>
        <v>0</v>
      </c>
      <c r="P105" s="57">
        <f t="shared" si="17"/>
        <v>4575.5</v>
      </c>
      <c r="Q105" s="53">
        <f>_xlfn.XLOOKUP(E105,'④考勤-B-a-26考勤汇总表'!D:D,'④考勤-B-a-26考勤汇总表'!AP:AP,0)</f>
        <v>31</v>
      </c>
      <c r="R105" s="53" t="str">
        <f t="shared" si="23"/>
        <v/>
      </c>
      <c r="S105" s="53">
        <f t="shared" si="24"/>
        <v>4575.5</v>
      </c>
      <c r="T105" s="53">
        <v>4575.5</v>
      </c>
      <c r="U105" s="53">
        <v>0</v>
      </c>
      <c r="V105" s="53">
        <v>0</v>
      </c>
      <c r="W105" s="53">
        <f>_xlfn.XLOOKUP(E105,'⑤项目数-B-a-③消耗明细表'!C:C,'⑤项目数-B-a-③消耗明细表'!E:E,0)</f>
        <v>11535.34</v>
      </c>
      <c r="X105" s="53">
        <f>_xlfn.XLOOKUP(E105,'⑤项目数-B-a-③消耗明细表'!C:C,'⑤项目数-B-a-③消耗明细表'!D:D,0)</f>
        <v>82</v>
      </c>
      <c r="Y105" s="53">
        <f>_xlfn.XLOOKUP(E105,'⑤项目数-B-a-③消耗明细表'!C:C,'⑤项目数-B-a-③消耗明细表'!F:F,0)</f>
        <v>1032</v>
      </c>
      <c r="Z105" s="53">
        <f>_xlfn.XLOOKUP(E105,'⑤项目数-B-a-③消耗明细表'!C:C,'⑤项目数-B-a-③消耗明细表'!G:G,0)</f>
        <v>0</v>
      </c>
      <c r="AA105" s="84">
        <f t="shared" si="29"/>
        <v>1</v>
      </c>
      <c r="AB105" s="84">
        <f t="shared" si="30"/>
        <v>1</v>
      </c>
      <c r="AC105" s="53">
        <f>_xlfn.XLOOKUP(F105,'⑥战队统计表-B-a-②呈现-业绩明细表④'!A:A,'⑥战队统计表-B-a-②呈现-业绩明细表④'!B:B,0)</f>
        <v>3</v>
      </c>
      <c r="AD105" s="53" t="str">
        <f t="shared" si="25"/>
        <v/>
      </c>
      <c r="AE105" s="59">
        <f>IF(AD105="",_xlfn.XLOOKUP(F105,'⑥战队统计表-B-a-②呈现-业绩明细表④'!A:A,'⑥战队统计表-B-a-②呈现-业绩明细表④'!D:D,0),0)</f>
        <v>0.05</v>
      </c>
      <c r="AF105" s="85">
        <f>IF(AND(E105="T区",E105="门店T区"),"",IF(AD105="",0,IF(R105="",LOOKUP(S105,'②提成标准-B-a-①-增加'!$B$16:$B$20,'②提成标准-B-a-①-增加'!$D$16:$D$20),LOOKUP(S105/Q105,'②提成标准-B-a-①-增加'!$B$23:$B$27,'②提成标准-B-a-①-增加'!$D$23:$D$27))))</f>
        <v>0</v>
      </c>
      <c r="AG105" s="85">
        <f t="shared" si="20"/>
        <v>0.05</v>
      </c>
      <c r="AH105" s="60">
        <f t="shared" si="26"/>
        <v>217.33625000000001</v>
      </c>
      <c r="AI105" s="86">
        <f t="shared" si="27"/>
        <v>0</v>
      </c>
      <c r="AJ105" s="60">
        <f t="shared" si="28"/>
        <v>217.33625000000001</v>
      </c>
      <c r="AK105" s="87">
        <f>IF(AB105=1,IFERROR(S105/VLOOKUP(F105,'⑥战队统计表-B-a-②呈现-业绩明细表④'!A:C,3,0),0),0)</f>
        <v>5.0695645526030335E-2</v>
      </c>
      <c r="AL105" s="85" t="str">
        <f t="shared" si="21"/>
        <v/>
      </c>
      <c r="AM105" s="53" t="str">
        <f>IF(D105="顾问",_xlfn.XLOOKUP(F105,'⑥战队统计表-B-a-②呈现-业绩明细表④'!A:A,'⑥战队统计表-B-a-②呈现-业绩明细表④'!H:H,0),"")</f>
        <v/>
      </c>
      <c r="AN105" s="53" t="str">
        <f t="shared" si="31"/>
        <v>融创+太阳队</v>
      </c>
    </row>
    <row r="106" spans="1:40" hidden="1" x14ac:dyDescent="0.15">
      <c r="A106" s="79" t="s">
        <v>428</v>
      </c>
      <c r="B106" s="80" t="s">
        <v>120</v>
      </c>
      <c r="C106" s="81" t="s">
        <v>36</v>
      </c>
      <c r="D106" s="82" t="s">
        <v>36</v>
      </c>
      <c r="E106" s="82" t="s">
        <v>36</v>
      </c>
      <c r="F106" s="53" t="str">
        <f t="shared" si="15"/>
        <v>融创+T区</v>
      </c>
      <c r="G106" s="53">
        <f>IFERROR(_xlfn.XLOOKUP(B106,'①门店信息-A-a-①-增加'!B:B,'①门店信息-A-a-①-增加'!E:E,0),"")</f>
        <v>0</v>
      </c>
      <c r="H106" s="54">
        <f>_xlfn.XLOOKUP(B106,'①门店信息-A-a-①-增加'!B:B,'①门店信息-A-a-①-增加'!F:F,0)</f>
        <v>0</v>
      </c>
      <c r="I106" s="55">
        <f>_xlfn.XLOOKUP(E106,'③新店考核-B-a-②呈现-业绩明细表-③'!B:B,'③新店考核-B-a-②呈现-业绩明细表-③'!E:E,0)</f>
        <v>0</v>
      </c>
      <c r="J106" s="54">
        <f>_xlfn.XLOOKUP(E106,'③新店考核-B-a-②呈现-业绩明细表-③'!B:B,'③新店考核-B-a-②呈现-业绩明细表-③'!F:F,0)</f>
        <v>0</v>
      </c>
      <c r="K106" s="55">
        <f>IF(H106="新店一阶段",LOOKUP(I106,'②提成标准-B-a-①-增加'!$M$9:$M$12,'②提成标准-B-a-①-增加'!$O$9:$O$12),0)</f>
        <v>0</v>
      </c>
      <c r="L106" s="56">
        <f t="shared" si="16"/>
        <v>0</v>
      </c>
      <c r="M106" s="57">
        <f>_xlfn.XLOOKUP(E106,'③新店考核-B-a-②呈现-业绩明细表-③'!B:B,'③新店考核-B-a-②呈现-业绩明细表-③'!G:G,0)</f>
        <v>0</v>
      </c>
      <c r="N106" s="58" t="str">
        <f>LOOKUP(M106,'②提成标准-B-a-①-增加'!$M$1:$M$4,'②提成标准-B-a-①-增加'!$O$1:$O$4)</f>
        <v>同老店</v>
      </c>
      <c r="O106" s="57">
        <f>_xlfn.XLOOKUP(E106,'③新店考核-B-a-②呈现-业绩明细表-③'!B:B,'③新店考核-B-a-②呈现-业绩明细表-③'!H:H,0)</f>
        <v>0</v>
      </c>
      <c r="P106" s="57">
        <f t="shared" si="17"/>
        <v>0</v>
      </c>
      <c r="Q106" s="53">
        <f>_xlfn.XLOOKUP(E106,'④考勤-B-a-26考勤汇总表'!D:D,'④考勤-B-a-26考勤汇总表'!AP:AP,0)</f>
        <v>0</v>
      </c>
      <c r="R106" s="53" t="str">
        <f t="shared" si="23"/>
        <v/>
      </c>
      <c r="S106" s="53">
        <f t="shared" si="24"/>
        <v>0</v>
      </c>
      <c r="T106" s="53">
        <v>0</v>
      </c>
      <c r="U106" s="53">
        <v>0</v>
      </c>
      <c r="V106" s="53">
        <v>0</v>
      </c>
      <c r="W106" s="53">
        <f>_xlfn.XLOOKUP(E106,'⑤项目数-B-a-③消耗明细表'!C:C,'⑤项目数-B-a-③消耗明细表'!E:E,0)</f>
        <v>0</v>
      </c>
      <c r="X106" s="53">
        <f>_xlfn.XLOOKUP(E106,'⑤项目数-B-a-③消耗明细表'!C:C,'⑤项目数-B-a-③消耗明细表'!D:D,0)</f>
        <v>0</v>
      </c>
      <c r="Y106" s="53">
        <f>_xlfn.XLOOKUP(E106,'⑤项目数-B-a-③消耗明细表'!C:C,'⑤项目数-B-a-③消耗明细表'!F:F,0)</f>
        <v>0</v>
      </c>
      <c r="Z106" s="53">
        <f>_xlfn.XLOOKUP(E106,'⑤项目数-B-a-③消耗明细表'!C:C,'⑤项目数-B-a-③消耗明细表'!G:G,0)</f>
        <v>0</v>
      </c>
      <c r="AA106" s="84" t="str">
        <f t="shared" si="29"/>
        <v>不属于战队</v>
      </c>
      <c r="AB106" s="84">
        <f t="shared" si="30"/>
        <v>0</v>
      </c>
      <c r="AC106" s="53">
        <f>_xlfn.XLOOKUP(F106,'⑥战队统计表-B-a-②呈现-业绩明细表④'!A:A,'⑥战队统计表-B-a-②呈现-业绩明细表④'!B:B,0)</f>
        <v>0</v>
      </c>
      <c r="AD106" s="53">
        <f t="shared" si="25"/>
        <v>1</v>
      </c>
      <c r="AE106" s="59">
        <f>IF(AD106="",_xlfn.XLOOKUP(F106,'⑥战队统计表-B-a-②呈现-业绩明细表④'!A:A,'⑥战队统计表-B-a-②呈现-业绩明细表④'!D:D,0),0)</f>
        <v>0</v>
      </c>
      <c r="AF106" s="85">
        <f>IF(AND(E106="T区",E106="门店T区"),"",IF(AD106="",0,IF(R106="",LOOKUP(S106,'②提成标准-B-a-①-增加'!$B$16:$B$20,'②提成标准-B-a-①-增加'!$D$16:$D$20),LOOKUP(S106/Q106,'②提成标准-B-a-①-增加'!$B$23:$B$27,'②提成标准-B-a-①-增加'!$D$23:$D$27))))</f>
        <v>0</v>
      </c>
      <c r="AG106" s="85">
        <f t="shared" si="20"/>
        <v>0</v>
      </c>
      <c r="AH106" s="60">
        <f t="shared" si="26"/>
        <v>0</v>
      </c>
      <c r="AI106" s="86">
        <f t="shared" si="27"/>
        <v>0</v>
      </c>
      <c r="AJ106" s="60">
        <f t="shared" si="28"/>
        <v>0</v>
      </c>
      <c r="AK106" s="87">
        <f>IF(AB106=1,IFERROR(S106/VLOOKUP(F106,'⑥战队统计表-B-a-②呈现-业绩明细表④'!A:C,3,0),0),0)</f>
        <v>0</v>
      </c>
      <c r="AL106" s="85" t="str">
        <f t="shared" si="21"/>
        <v/>
      </c>
      <c r="AM106" s="53" t="str">
        <f>IF(D106="顾问",_xlfn.XLOOKUP(F106,'⑥战队统计表-B-a-②呈现-业绩明细表④'!A:A,'⑥战队统计表-B-a-②呈现-业绩明细表④'!H:H,0),"")</f>
        <v/>
      </c>
      <c r="AN106" s="53" t="str">
        <f t="shared" si="31"/>
        <v>单人</v>
      </c>
    </row>
    <row r="107" spans="1:40" hidden="1" x14ac:dyDescent="0.15">
      <c r="A107" s="79" t="s">
        <v>428</v>
      </c>
      <c r="B107" s="80" t="s">
        <v>120</v>
      </c>
      <c r="C107" s="81" t="s">
        <v>40</v>
      </c>
      <c r="D107" s="82" t="s">
        <v>40</v>
      </c>
      <c r="E107" s="88" t="str">
        <f>F107</f>
        <v>融创+门店T区</v>
      </c>
      <c r="F107" s="53" t="str">
        <f t="shared" si="15"/>
        <v>融创+门店T区</v>
      </c>
      <c r="G107" s="53">
        <f>IFERROR(_xlfn.XLOOKUP(B107,'①门店信息-A-a-①-增加'!B:B,'①门店信息-A-a-①-增加'!E:E,0),"")</f>
        <v>0</v>
      </c>
      <c r="H107" s="54">
        <f>_xlfn.XLOOKUP(B107,'①门店信息-A-a-①-增加'!B:B,'①门店信息-A-a-①-增加'!F:F,0)</f>
        <v>0</v>
      </c>
      <c r="I107" s="55">
        <f>_xlfn.XLOOKUP(E107,'③新店考核-B-a-②呈现-业绩明细表-③'!B:B,'③新店考核-B-a-②呈现-业绩明细表-③'!E:E,0)</f>
        <v>0</v>
      </c>
      <c r="J107" s="54">
        <f>_xlfn.XLOOKUP(E107,'③新店考核-B-a-②呈现-业绩明细表-③'!B:B,'③新店考核-B-a-②呈现-业绩明细表-③'!F:F,0)</f>
        <v>0</v>
      </c>
      <c r="K107" s="55">
        <f>IF(H107="新店一阶段",LOOKUP(I107,'②提成标准-B-a-①-增加'!$M$9:$M$12,'②提成标准-B-a-①-增加'!$O$9:$O$12),0)</f>
        <v>0</v>
      </c>
      <c r="L107" s="56">
        <f t="shared" si="16"/>
        <v>0</v>
      </c>
      <c r="M107" s="57">
        <f>_xlfn.XLOOKUP(E107,'③新店考核-B-a-②呈现-业绩明细表-③'!B:B,'③新店考核-B-a-②呈现-业绩明细表-③'!G:G,0)</f>
        <v>0</v>
      </c>
      <c r="N107" s="58" t="str">
        <f>LOOKUP(M107,'②提成标准-B-a-①-增加'!$M$1:$M$4,'②提成标准-B-a-①-增加'!$O$1:$O$4)</f>
        <v>同老店</v>
      </c>
      <c r="O107" s="57">
        <f>_xlfn.XLOOKUP(E107,'③新店考核-B-a-②呈现-业绩明细表-③'!B:B,'③新店考核-B-a-②呈现-业绩明细表-③'!H:H,0)</f>
        <v>0</v>
      </c>
      <c r="P107" s="57">
        <f t="shared" si="17"/>
        <v>0</v>
      </c>
      <c r="Q107" s="53">
        <f>_xlfn.XLOOKUP(E107,'④考勤-B-a-26考勤汇总表'!D:D,'④考勤-B-a-26考勤汇总表'!AP:AP,0)</f>
        <v>0</v>
      </c>
      <c r="R107" s="53" t="str">
        <f t="shared" si="23"/>
        <v/>
      </c>
      <c r="S107" s="53">
        <f t="shared" si="24"/>
        <v>0</v>
      </c>
      <c r="T107" s="53">
        <v>0</v>
      </c>
      <c r="U107" s="53">
        <v>0</v>
      </c>
      <c r="V107" s="53">
        <v>0</v>
      </c>
      <c r="W107" s="53">
        <f>_xlfn.XLOOKUP(E107,'⑤项目数-B-a-③消耗明细表'!C:C,'⑤项目数-B-a-③消耗明细表'!E:E,0)</f>
        <v>0</v>
      </c>
      <c r="X107" s="53">
        <f>_xlfn.XLOOKUP(E107,'⑤项目数-B-a-③消耗明细表'!C:C,'⑤项目数-B-a-③消耗明细表'!D:D,0)</f>
        <v>0</v>
      </c>
      <c r="Y107" s="53">
        <f>_xlfn.XLOOKUP(E107,'⑤项目数-B-a-③消耗明细表'!C:C,'⑤项目数-B-a-③消耗明细表'!F:F,0)</f>
        <v>0</v>
      </c>
      <c r="Z107" s="53">
        <f>_xlfn.XLOOKUP(E107,'⑤项目数-B-a-③消耗明细表'!C:C,'⑤项目数-B-a-③消耗明细表'!G:G,0)</f>
        <v>0</v>
      </c>
      <c r="AA107" s="84">
        <f t="shared" si="29"/>
        <v>1</v>
      </c>
      <c r="AB107" s="84">
        <f t="shared" si="30"/>
        <v>0</v>
      </c>
      <c r="AC107" s="53">
        <f>_xlfn.XLOOKUP(F107,'⑥战队统计表-B-a-②呈现-业绩明细表④'!A:A,'⑥战队统计表-B-a-②呈现-业绩明细表④'!B:B,0)</f>
        <v>0</v>
      </c>
      <c r="AD107" s="53">
        <f t="shared" si="25"/>
        <v>1</v>
      </c>
      <c r="AE107" s="59">
        <f>IF(AD107="",_xlfn.XLOOKUP(F107,'⑥战队统计表-B-a-②呈现-业绩明细表④'!A:A,'⑥战队统计表-B-a-②呈现-业绩明细表④'!D:D,0),0)</f>
        <v>0</v>
      </c>
      <c r="AF107" s="85">
        <f>IF(AND(E107="T区",E107="门店T区"),"",IF(AD107="",0,IF(R107="",LOOKUP(S107,'②提成标准-B-a-①-增加'!$B$16:$B$20,'②提成标准-B-a-①-增加'!$D$16:$D$20),LOOKUP(S107/Q107,'②提成标准-B-a-①-增加'!$B$23:$B$27,'②提成标准-B-a-①-增加'!$D$23:$D$27))))</f>
        <v>0</v>
      </c>
      <c r="AG107" s="85">
        <f t="shared" si="20"/>
        <v>0</v>
      </c>
      <c r="AH107" s="60">
        <f t="shared" si="26"/>
        <v>0</v>
      </c>
      <c r="AI107" s="86">
        <f t="shared" si="27"/>
        <v>0</v>
      </c>
      <c r="AJ107" s="60">
        <f t="shared" si="28"/>
        <v>0</v>
      </c>
      <c r="AK107" s="87">
        <f>IF(AB107=1,IFERROR(S107/VLOOKUP(F107,'⑥战队统计表-B-a-②呈现-业绩明细表④'!A:C,3,0),0),0)</f>
        <v>0</v>
      </c>
      <c r="AL107" s="85" t="str">
        <f t="shared" si="21"/>
        <v/>
      </c>
      <c r="AM107" s="53" t="str">
        <f>IF(D107="顾问",_xlfn.XLOOKUP(F107,'⑥战队统计表-B-a-②呈现-业绩明细表④'!A:A,'⑥战队统计表-B-a-②呈现-业绩明细表④'!H:H,0),"")</f>
        <v/>
      </c>
      <c r="AN107" s="53" t="str">
        <f t="shared" si="31"/>
        <v>单人</v>
      </c>
    </row>
    <row r="108" spans="1:40" hidden="1" x14ac:dyDescent="0.15">
      <c r="A108" s="79" t="s">
        <v>428</v>
      </c>
      <c r="B108" s="80" t="s">
        <v>129</v>
      </c>
      <c r="C108" s="81" t="s">
        <v>130</v>
      </c>
      <c r="D108" s="82" t="s">
        <v>32</v>
      </c>
      <c r="E108" s="106" t="s">
        <v>131</v>
      </c>
      <c r="F108" s="53" t="str">
        <f t="shared" si="15"/>
        <v>沙河+奇迹队</v>
      </c>
      <c r="G108" s="53">
        <f>IFERROR(_xlfn.XLOOKUP(B108,'①门店信息-A-a-①-增加'!B:B,'①门店信息-A-a-①-增加'!E:E,0),"")</f>
        <v>0</v>
      </c>
      <c r="H108" s="54">
        <f>_xlfn.XLOOKUP(B108,'①门店信息-A-a-①-增加'!B:B,'①门店信息-A-a-①-增加'!F:F,0)</f>
        <v>0</v>
      </c>
      <c r="I108" s="55">
        <f>_xlfn.XLOOKUP(E108,'③新店考核-B-a-②呈现-业绩明细表-③'!B:B,'③新店考核-B-a-②呈现-业绩明细表-③'!E:E,0)</f>
        <v>0</v>
      </c>
      <c r="J108" s="54">
        <f>_xlfn.XLOOKUP(E108,'③新店考核-B-a-②呈现-业绩明细表-③'!B:B,'③新店考核-B-a-②呈现-业绩明细表-③'!F:F,0)</f>
        <v>0</v>
      </c>
      <c r="K108" s="55">
        <f>IF(H108="新店一阶段",LOOKUP(I108,'②提成标准-B-a-①-增加'!$M$9:$M$12,'②提成标准-B-a-①-增加'!$O$9:$O$12),0)</f>
        <v>0</v>
      </c>
      <c r="L108" s="56">
        <f t="shared" si="16"/>
        <v>41007.599999999999</v>
      </c>
      <c r="M108" s="57">
        <f>_xlfn.XLOOKUP(E108,'③新店考核-B-a-②呈现-业绩明细表-③'!B:B,'③新店考核-B-a-②呈现-业绩明细表-③'!G:G,0)</f>
        <v>0</v>
      </c>
      <c r="N108" s="58" t="str">
        <f>LOOKUP(M108,'②提成标准-B-a-①-增加'!$M$1:$M$4,'②提成标准-B-a-①-增加'!$O$1:$O$4)</f>
        <v>同老店</v>
      </c>
      <c r="O108" s="57">
        <f>_xlfn.XLOOKUP(E108,'③新店考核-B-a-②呈现-业绩明细表-③'!B:B,'③新店考核-B-a-②呈现-业绩明细表-③'!H:H,0)</f>
        <v>0</v>
      </c>
      <c r="P108" s="57">
        <f t="shared" si="17"/>
        <v>41007.599999999999</v>
      </c>
      <c r="Q108" s="53">
        <f>_xlfn.XLOOKUP(E108,'④考勤-B-a-26考勤汇总表'!D:D,'④考勤-B-a-26考勤汇总表'!AP:AP,0)</f>
        <v>31</v>
      </c>
      <c r="R108" s="53" t="str">
        <f t="shared" si="23"/>
        <v/>
      </c>
      <c r="S108" s="53">
        <f t="shared" si="24"/>
        <v>50807.6</v>
      </c>
      <c r="T108" s="53">
        <v>41007.599999999999</v>
      </c>
      <c r="U108" s="53">
        <v>9800</v>
      </c>
      <c r="V108" s="53">
        <v>0</v>
      </c>
      <c r="W108" s="53">
        <f>_xlfn.XLOOKUP(E108,'⑤项目数-B-a-③消耗明细表'!C:C,'⑤项目数-B-a-③消耗明细表'!E:E,0)</f>
        <v>36070.199999999997</v>
      </c>
      <c r="X108" s="53">
        <f>_xlfn.XLOOKUP(E108,'⑤项目数-B-a-③消耗明细表'!C:C,'⑤项目数-B-a-③消耗明细表'!D:D,0)</f>
        <v>128.5</v>
      </c>
      <c r="Y108" s="53">
        <f>_xlfn.XLOOKUP(E108,'⑤项目数-B-a-③消耗明细表'!C:C,'⑤项目数-B-a-③消耗明细表'!F:F,0)</f>
        <v>1632</v>
      </c>
      <c r="Z108" s="53">
        <f>_xlfn.XLOOKUP(E108,'⑤项目数-B-a-③消耗明细表'!C:C,'⑤项目数-B-a-③消耗明细表'!G:G,0)</f>
        <v>147.5</v>
      </c>
      <c r="AA108" s="84">
        <f t="shared" si="29"/>
        <v>1</v>
      </c>
      <c r="AB108" s="84">
        <f t="shared" si="30"/>
        <v>1</v>
      </c>
      <c r="AC108" s="53">
        <f>_xlfn.XLOOKUP(F108,'⑥战队统计表-B-a-②呈现-业绩明细表④'!A:A,'⑥战队统计表-B-a-②呈现-业绩明细表④'!B:B,0)</f>
        <v>3</v>
      </c>
      <c r="AD108" s="53" t="str">
        <f t="shared" si="25"/>
        <v/>
      </c>
      <c r="AE108" s="59">
        <f>IF(AD108="",_xlfn.XLOOKUP(F108,'⑥战队统计表-B-a-②呈现-业绩明细表④'!A:A,'⑥战队统计表-B-a-②呈现-业绩明细表④'!D:D,0),0)</f>
        <v>0.05</v>
      </c>
      <c r="AF108" s="85">
        <f>IF(AND(E108="T区",E108="门店T区"),"",IF(AD108="",0,IF(R108="",LOOKUP(S108,'②提成标准-B-a-①-增加'!$B$16:$B$20,'②提成标准-B-a-①-增加'!$D$16:$D$20),LOOKUP(S108/Q108,'②提成标准-B-a-①-增加'!$B$23:$B$27,'②提成标准-B-a-①-增加'!$D$23:$D$27))))</f>
        <v>0</v>
      </c>
      <c r="AG108" s="85">
        <f t="shared" si="20"/>
        <v>0.05</v>
      </c>
      <c r="AH108" s="60">
        <f t="shared" si="26"/>
        <v>1947.8610000000001</v>
      </c>
      <c r="AI108" s="86">
        <f t="shared" si="27"/>
        <v>302.57499999999999</v>
      </c>
      <c r="AJ108" s="60">
        <f t="shared" si="28"/>
        <v>2250.4360000000001</v>
      </c>
      <c r="AK108" s="87">
        <f>IF(AB108=1,IFERROR(S108/VLOOKUP(F108,'⑥战队统计表-B-a-②呈现-业绩明细表④'!A:C,3,0),0),0)</f>
        <v>0.55157185319961521</v>
      </c>
      <c r="AL108" s="85">
        <f t="shared" si="21"/>
        <v>0.44842814680038473</v>
      </c>
      <c r="AM108" s="53">
        <f>IF(D108="顾问",_xlfn.XLOOKUP(F108,'⑥战队统计表-B-a-②呈现-业绩明细表④'!A:A,'⑥战队统计表-B-a-②呈现-业绩明细表④'!H:H,0),"")</f>
        <v>736.92</v>
      </c>
      <c r="AN108" s="53" t="str">
        <f t="shared" si="31"/>
        <v>沙河+奇迹队</v>
      </c>
    </row>
    <row r="109" spans="1:40" hidden="1" x14ac:dyDescent="0.15">
      <c r="A109" s="79" t="s">
        <v>428</v>
      </c>
      <c r="B109" s="80" t="s">
        <v>129</v>
      </c>
      <c r="C109" s="81" t="s">
        <v>130</v>
      </c>
      <c r="D109" s="82" t="s">
        <v>6</v>
      </c>
      <c r="E109" s="82" t="s">
        <v>132</v>
      </c>
      <c r="F109" s="53" t="str">
        <f t="shared" si="15"/>
        <v>沙河+奇迹队</v>
      </c>
      <c r="G109" s="53">
        <f>IFERROR(_xlfn.XLOOKUP(B109,'①门店信息-A-a-①-增加'!B:B,'①门店信息-A-a-①-增加'!E:E,0),"")</f>
        <v>0</v>
      </c>
      <c r="H109" s="54">
        <f>_xlfn.XLOOKUP(B109,'①门店信息-A-a-①-增加'!B:B,'①门店信息-A-a-①-增加'!F:F,0)</f>
        <v>0</v>
      </c>
      <c r="I109" s="55">
        <f>_xlfn.XLOOKUP(E109,'③新店考核-B-a-②呈现-业绩明细表-③'!B:B,'③新店考核-B-a-②呈现-业绩明细表-③'!E:E,0)</f>
        <v>0</v>
      </c>
      <c r="J109" s="54">
        <f>_xlfn.XLOOKUP(E109,'③新店考核-B-a-②呈现-业绩明细表-③'!B:B,'③新店考核-B-a-②呈现-业绩明细表-③'!F:F,0)</f>
        <v>0</v>
      </c>
      <c r="K109" s="55">
        <f>IF(H109="新店一阶段",LOOKUP(I109,'②提成标准-B-a-①-增加'!$M$9:$M$12,'②提成标准-B-a-①-增加'!$O$9:$O$12),0)</f>
        <v>0</v>
      </c>
      <c r="L109" s="56">
        <f t="shared" si="16"/>
        <v>2281.5</v>
      </c>
      <c r="M109" s="57">
        <f>_xlfn.XLOOKUP(E109,'③新店考核-B-a-②呈现-业绩明细表-③'!B:B,'③新店考核-B-a-②呈现-业绩明细表-③'!G:G,0)</f>
        <v>0</v>
      </c>
      <c r="N109" s="58" t="str">
        <f>LOOKUP(M109,'②提成标准-B-a-①-增加'!$M$1:$M$4,'②提成标准-B-a-①-增加'!$O$1:$O$4)</f>
        <v>同老店</v>
      </c>
      <c r="O109" s="57">
        <f>_xlfn.XLOOKUP(E109,'③新店考核-B-a-②呈现-业绩明细表-③'!B:B,'③新店考核-B-a-②呈现-业绩明细表-③'!H:H,0)</f>
        <v>0</v>
      </c>
      <c r="P109" s="57">
        <f t="shared" si="17"/>
        <v>2281.5</v>
      </c>
      <c r="Q109" s="53">
        <f>_xlfn.XLOOKUP(E109,'④考勤-B-a-26考勤汇总表'!D:D,'④考勤-B-a-26考勤汇总表'!AP:AP,0)</f>
        <v>31</v>
      </c>
      <c r="R109" s="53" t="str">
        <f t="shared" si="23"/>
        <v/>
      </c>
      <c r="S109" s="53">
        <f t="shared" si="24"/>
        <v>2281.5</v>
      </c>
      <c r="T109" s="53">
        <v>2281.5</v>
      </c>
      <c r="U109" s="53">
        <v>0</v>
      </c>
      <c r="V109" s="53">
        <v>0</v>
      </c>
      <c r="W109" s="53">
        <f>_xlfn.XLOOKUP(E109,'⑤项目数-B-a-③消耗明细表'!C:C,'⑤项目数-B-a-③消耗明细表'!E:E,0)</f>
        <v>15290.08</v>
      </c>
      <c r="X109" s="53">
        <f>_xlfn.XLOOKUP(E109,'⑤项目数-B-a-③消耗明细表'!C:C,'⑤项目数-B-a-③消耗明细表'!D:D,0)</f>
        <v>114</v>
      </c>
      <c r="Y109" s="53">
        <f>_xlfn.XLOOKUP(E109,'⑤项目数-B-a-③消耗明细表'!C:C,'⑤项目数-B-a-③消耗明细表'!F:F,0)</f>
        <v>1466</v>
      </c>
      <c r="Z109" s="53">
        <f>_xlfn.XLOOKUP(E109,'⑤项目数-B-a-③消耗明细表'!C:C,'⑤项目数-B-a-③消耗明细表'!G:G,0)</f>
        <v>0</v>
      </c>
      <c r="AA109" s="84">
        <f t="shared" si="29"/>
        <v>1</v>
      </c>
      <c r="AB109" s="84">
        <f t="shared" si="30"/>
        <v>1</v>
      </c>
      <c r="AC109" s="53">
        <f>_xlfn.XLOOKUP(F109,'⑥战队统计表-B-a-②呈现-业绩明细表④'!A:A,'⑥战队统计表-B-a-②呈现-业绩明细表④'!B:B,0)</f>
        <v>3</v>
      </c>
      <c r="AD109" s="53" t="str">
        <f t="shared" si="25"/>
        <v/>
      </c>
      <c r="AE109" s="59">
        <f>IF(AD109="",_xlfn.XLOOKUP(F109,'⑥战队统计表-B-a-②呈现-业绩明细表④'!A:A,'⑥战队统计表-B-a-②呈现-业绩明细表④'!D:D,0),0)</f>
        <v>0.05</v>
      </c>
      <c r="AF109" s="85">
        <f>IF(AND(E109="T区",E109="门店T区"),"",IF(AD109="",0,IF(R109="",LOOKUP(S109,'②提成标准-B-a-①-增加'!$B$16:$B$20,'②提成标准-B-a-①-增加'!$D$16:$D$20),LOOKUP(S109/Q109,'②提成标准-B-a-①-增加'!$B$23:$B$27,'②提成标准-B-a-①-增加'!$D$23:$D$27))))</f>
        <v>0</v>
      </c>
      <c r="AG109" s="85">
        <f t="shared" si="20"/>
        <v>0.05</v>
      </c>
      <c r="AH109" s="60">
        <f t="shared" si="26"/>
        <v>108.37125</v>
      </c>
      <c r="AI109" s="86">
        <f t="shared" si="27"/>
        <v>0</v>
      </c>
      <c r="AJ109" s="60">
        <f t="shared" si="28"/>
        <v>108.37125</v>
      </c>
      <c r="AK109" s="87">
        <f>IF(AB109=1,IFERROR(S109/VLOOKUP(F109,'⑥战队统计表-B-a-②呈现-业绩明细表④'!A:C,3,0),0),0)</f>
        <v>2.4768168208593247E-2</v>
      </c>
      <c r="AL109" s="85" t="str">
        <f t="shared" si="21"/>
        <v/>
      </c>
      <c r="AM109" s="53" t="str">
        <f>IF(D109="顾问",_xlfn.XLOOKUP(F109,'⑥战队统计表-B-a-②呈现-业绩明细表④'!A:A,'⑥战队统计表-B-a-②呈现-业绩明细表④'!H:H,0),"")</f>
        <v/>
      </c>
      <c r="AN109" s="53" t="str">
        <f t="shared" si="31"/>
        <v>沙河+奇迹队</v>
      </c>
    </row>
    <row r="110" spans="1:40" hidden="1" x14ac:dyDescent="0.15">
      <c r="A110" s="79" t="s">
        <v>428</v>
      </c>
      <c r="B110" s="80" t="s">
        <v>129</v>
      </c>
      <c r="C110" s="81" t="s">
        <v>130</v>
      </c>
      <c r="D110" s="82" t="s">
        <v>6</v>
      </c>
      <c r="E110" s="82" t="s">
        <v>133</v>
      </c>
      <c r="F110" s="53" t="str">
        <f t="shared" si="15"/>
        <v>沙河+奇迹队</v>
      </c>
      <c r="G110" s="53">
        <f>IFERROR(_xlfn.XLOOKUP(B110,'①门店信息-A-a-①-增加'!B:B,'①门店信息-A-a-①-增加'!E:E,0),"")</f>
        <v>0</v>
      </c>
      <c r="H110" s="54">
        <f>_xlfn.XLOOKUP(B110,'①门店信息-A-a-①-增加'!B:B,'①门店信息-A-a-①-增加'!F:F,0)</f>
        <v>0</v>
      </c>
      <c r="I110" s="55">
        <f>_xlfn.XLOOKUP(E110,'③新店考核-B-a-②呈现-业绩明细表-③'!B:B,'③新店考核-B-a-②呈现-业绩明细表-③'!E:E,0)</f>
        <v>0</v>
      </c>
      <c r="J110" s="54">
        <f>_xlfn.XLOOKUP(E110,'③新店考核-B-a-②呈现-业绩明细表-③'!B:B,'③新店考核-B-a-②呈现-业绩明细表-③'!F:F,0)</f>
        <v>0</v>
      </c>
      <c r="K110" s="55">
        <f>IF(H110="新店一阶段",LOOKUP(I110,'②提成标准-B-a-①-增加'!$M$9:$M$12,'②提成标准-B-a-①-增加'!$O$9:$O$12),0)</f>
        <v>0</v>
      </c>
      <c r="L110" s="56">
        <f t="shared" si="16"/>
        <v>39025.1</v>
      </c>
      <c r="M110" s="57">
        <f>_xlfn.XLOOKUP(E110,'③新店考核-B-a-②呈现-业绩明细表-③'!B:B,'③新店考核-B-a-②呈现-业绩明细表-③'!G:G,0)</f>
        <v>0</v>
      </c>
      <c r="N110" s="58" t="str">
        <f>LOOKUP(M110,'②提成标准-B-a-①-增加'!$M$1:$M$4,'②提成标准-B-a-①-增加'!$O$1:$O$4)</f>
        <v>同老店</v>
      </c>
      <c r="O110" s="57">
        <f>_xlfn.XLOOKUP(E110,'③新店考核-B-a-②呈现-业绩明细表-③'!B:B,'③新店考核-B-a-②呈现-业绩明细表-③'!H:H,0)</f>
        <v>0</v>
      </c>
      <c r="P110" s="57">
        <f t="shared" si="17"/>
        <v>39025.1</v>
      </c>
      <c r="Q110" s="53">
        <f>_xlfn.XLOOKUP(E110,'④考勤-B-a-26考勤汇总表'!D:D,'④考勤-B-a-26考勤汇总表'!AP:AP,0)</f>
        <v>31</v>
      </c>
      <c r="R110" s="53" t="str">
        <f t="shared" si="23"/>
        <v/>
      </c>
      <c r="S110" s="53">
        <f t="shared" si="24"/>
        <v>39025.1</v>
      </c>
      <c r="T110" s="53">
        <v>39025.1</v>
      </c>
      <c r="U110" s="53">
        <v>0</v>
      </c>
      <c r="V110" s="53">
        <v>0</v>
      </c>
      <c r="W110" s="53">
        <f>_xlfn.XLOOKUP(E110,'⑤项目数-B-a-③消耗明细表'!C:C,'⑤项目数-B-a-③消耗明细表'!E:E,0)</f>
        <v>31869.96</v>
      </c>
      <c r="X110" s="53">
        <f>_xlfn.XLOOKUP(E110,'⑤项目数-B-a-③消耗明细表'!C:C,'⑤项目数-B-a-③消耗明细表'!D:D,0)</f>
        <v>139</v>
      </c>
      <c r="Y110" s="53">
        <f>_xlfn.XLOOKUP(E110,'⑤项目数-B-a-③消耗明细表'!C:C,'⑤项目数-B-a-③消耗明细表'!F:F,0)</f>
        <v>1977</v>
      </c>
      <c r="Z110" s="53">
        <f>_xlfn.XLOOKUP(E110,'⑤项目数-B-a-③消耗明细表'!C:C,'⑤项目数-B-a-③消耗明细表'!G:G,0)</f>
        <v>205</v>
      </c>
      <c r="AA110" s="84">
        <f t="shared" si="29"/>
        <v>1</v>
      </c>
      <c r="AB110" s="84">
        <f t="shared" si="30"/>
        <v>1</v>
      </c>
      <c r="AC110" s="53">
        <f>_xlfn.XLOOKUP(F110,'⑥战队统计表-B-a-②呈现-业绩明细表④'!A:A,'⑥战队统计表-B-a-②呈现-业绩明细表④'!B:B,0)</f>
        <v>3</v>
      </c>
      <c r="AD110" s="53" t="str">
        <f t="shared" si="25"/>
        <v/>
      </c>
      <c r="AE110" s="59">
        <f>IF(AD110="",_xlfn.XLOOKUP(F110,'⑥战队统计表-B-a-②呈现-业绩明细表④'!A:A,'⑥战队统计表-B-a-②呈现-业绩明细表④'!D:D,0),0)</f>
        <v>0.05</v>
      </c>
      <c r="AF110" s="85">
        <f>IF(AND(E110="T区",E110="门店T区"),"",IF(AD110="",0,IF(R110="",LOOKUP(S110,'②提成标准-B-a-①-增加'!$B$16:$B$20,'②提成标准-B-a-①-增加'!$D$16:$D$20),LOOKUP(S110/Q110,'②提成标准-B-a-①-增加'!$B$23:$B$27,'②提成标准-B-a-①-增加'!$D$23:$D$27))))</f>
        <v>0</v>
      </c>
      <c r="AG110" s="85">
        <f t="shared" si="20"/>
        <v>0.05</v>
      </c>
      <c r="AH110" s="60">
        <f t="shared" si="26"/>
        <v>1853.6922500000001</v>
      </c>
      <c r="AI110" s="86">
        <f t="shared" si="27"/>
        <v>0</v>
      </c>
      <c r="AJ110" s="60">
        <f t="shared" si="28"/>
        <v>1853.6922500000001</v>
      </c>
      <c r="AK110" s="87">
        <f>IF(AB110=1,IFERROR(S110/VLOOKUP(F110,'⑥战队统计表-B-a-②呈现-业绩明细表④'!A:C,3,0),0),0)</f>
        <v>0.4236599785917915</v>
      </c>
      <c r="AL110" s="85" t="str">
        <f t="shared" si="21"/>
        <v/>
      </c>
      <c r="AM110" s="53" t="str">
        <f>IF(D110="顾问",_xlfn.XLOOKUP(F110,'⑥战队统计表-B-a-②呈现-业绩明细表④'!A:A,'⑥战队统计表-B-a-②呈现-业绩明细表④'!H:H,0),"")</f>
        <v/>
      </c>
      <c r="AN110" s="53" t="str">
        <f t="shared" si="31"/>
        <v>沙河+奇迹队</v>
      </c>
    </row>
    <row r="111" spans="1:40" hidden="1" x14ac:dyDescent="0.15">
      <c r="A111" s="79" t="s">
        <v>428</v>
      </c>
      <c r="B111" s="80" t="s">
        <v>129</v>
      </c>
      <c r="C111" s="81" t="s">
        <v>36</v>
      </c>
      <c r="D111" s="82" t="s">
        <v>36</v>
      </c>
      <c r="E111" s="82" t="s">
        <v>36</v>
      </c>
      <c r="F111" s="53" t="str">
        <f t="shared" si="15"/>
        <v>沙河+T区</v>
      </c>
      <c r="G111" s="53">
        <f>IFERROR(_xlfn.XLOOKUP(B111,'①门店信息-A-a-①-增加'!B:B,'①门店信息-A-a-①-增加'!E:E,0),"")</f>
        <v>0</v>
      </c>
      <c r="H111" s="54">
        <f>_xlfn.XLOOKUP(B111,'①门店信息-A-a-①-增加'!B:B,'①门店信息-A-a-①-增加'!F:F,0)</f>
        <v>0</v>
      </c>
      <c r="I111" s="55">
        <f>_xlfn.XLOOKUP(E111,'③新店考核-B-a-②呈现-业绩明细表-③'!B:B,'③新店考核-B-a-②呈现-业绩明细表-③'!E:E,0)</f>
        <v>0</v>
      </c>
      <c r="J111" s="54">
        <f>_xlfn.XLOOKUP(E111,'③新店考核-B-a-②呈现-业绩明细表-③'!B:B,'③新店考核-B-a-②呈现-业绩明细表-③'!F:F,0)</f>
        <v>0</v>
      </c>
      <c r="K111" s="55">
        <f>IF(H111="新店一阶段",LOOKUP(I111,'②提成标准-B-a-①-增加'!$M$9:$M$12,'②提成标准-B-a-①-增加'!$O$9:$O$12),0)</f>
        <v>0</v>
      </c>
      <c r="L111" s="56">
        <f t="shared" si="16"/>
        <v>0</v>
      </c>
      <c r="M111" s="57">
        <f>_xlfn.XLOOKUP(E111,'③新店考核-B-a-②呈现-业绩明细表-③'!B:B,'③新店考核-B-a-②呈现-业绩明细表-③'!G:G,0)</f>
        <v>0</v>
      </c>
      <c r="N111" s="58" t="str">
        <f>LOOKUP(M111,'②提成标准-B-a-①-增加'!$M$1:$M$4,'②提成标准-B-a-①-增加'!$O$1:$O$4)</f>
        <v>同老店</v>
      </c>
      <c r="O111" s="57">
        <f>_xlfn.XLOOKUP(E111,'③新店考核-B-a-②呈现-业绩明细表-③'!B:B,'③新店考核-B-a-②呈现-业绩明细表-③'!H:H,0)</f>
        <v>0</v>
      </c>
      <c r="P111" s="57">
        <f t="shared" si="17"/>
        <v>0</v>
      </c>
      <c r="Q111" s="53">
        <f>_xlfn.XLOOKUP(E111,'④考勤-B-a-26考勤汇总表'!D:D,'④考勤-B-a-26考勤汇总表'!AP:AP,0)</f>
        <v>0</v>
      </c>
      <c r="R111" s="53" t="str">
        <f t="shared" si="23"/>
        <v/>
      </c>
      <c r="S111" s="53">
        <f t="shared" si="24"/>
        <v>0</v>
      </c>
      <c r="T111" s="53">
        <v>0</v>
      </c>
      <c r="U111" s="53">
        <v>0</v>
      </c>
      <c r="V111" s="53">
        <v>0</v>
      </c>
      <c r="W111" s="53">
        <f>_xlfn.XLOOKUP(E111,'⑤项目数-B-a-③消耗明细表'!C:C,'⑤项目数-B-a-③消耗明细表'!E:E,0)</f>
        <v>0</v>
      </c>
      <c r="X111" s="53">
        <f>_xlfn.XLOOKUP(E111,'⑤项目数-B-a-③消耗明细表'!C:C,'⑤项目数-B-a-③消耗明细表'!D:D,0)</f>
        <v>0</v>
      </c>
      <c r="Y111" s="53">
        <f>_xlfn.XLOOKUP(E111,'⑤项目数-B-a-③消耗明细表'!C:C,'⑤项目数-B-a-③消耗明细表'!F:F,0)</f>
        <v>0</v>
      </c>
      <c r="Z111" s="53">
        <f>_xlfn.XLOOKUP(E111,'⑤项目数-B-a-③消耗明细表'!C:C,'⑤项目数-B-a-③消耗明细表'!G:G,0)</f>
        <v>0</v>
      </c>
      <c r="AA111" s="84" t="str">
        <f t="shared" si="29"/>
        <v>不属于战队</v>
      </c>
      <c r="AB111" s="84">
        <f t="shared" si="30"/>
        <v>0</v>
      </c>
      <c r="AC111" s="53">
        <f>_xlfn.XLOOKUP(F111,'⑥战队统计表-B-a-②呈现-业绩明细表④'!A:A,'⑥战队统计表-B-a-②呈现-业绩明细表④'!B:B,0)</f>
        <v>0</v>
      </c>
      <c r="AD111" s="53">
        <f t="shared" si="25"/>
        <v>1</v>
      </c>
      <c r="AE111" s="59">
        <f>IF(AD111="",_xlfn.XLOOKUP(F111,'⑥战队统计表-B-a-②呈现-业绩明细表④'!A:A,'⑥战队统计表-B-a-②呈现-业绩明细表④'!D:D,0),0)</f>
        <v>0</v>
      </c>
      <c r="AF111" s="85">
        <f>IF(AND(E111="T区",E111="门店T区"),"",IF(AD111="",0,IF(R111="",LOOKUP(S111,'②提成标准-B-a-①-增加'!$B$16:$B$20,'②提成标准-B-a-①-增加'!$D$16:$D$20),LOOKUP(S111/Q111,'②提成标准-B-a-①-增加'!$B$23:$B$27,'②提成标准-B-a-①-增加'!$D$23:$D$27))))</f>
        <v>0</v>
      </c>
      <c r="AG111" s="85">
        <f t="shared" si="20"/>
        <v>0</v>
      </c>
      <c r="AH111" s="60">
        <f t="shared" si="26"/>
        <v>0</v>
      </c>
      <c r="AI111" s="86">
        <f t="shared" si="27"/>
        <v>0</v>
      </c>
      <c r="AJ111" s="60">
        <f t="shared" si="28"/>
        <v>0</v>
      </c>
      <c r="AK111" s="87">
        <f>IF(AB111=1,IFERROR(S111/VLOOKUP(F111,'⑥战队统计表-B-a-②呈现-业绩明细表④'!A:C,3,0),0),0)</f>
        <v>0</v>
      </c>
      <c r="AL111" s="85" t="str">
        <f t="shared" si="21"/>
        <v/>
      </c>
      <c r="AM111" s="53" t="str">
        <f>IF(D111="顾问",_xlfn.XLOOKUP(F111,'⑥战队统计表-B-a-②呈现-业绩明细表④'!A:A,'⑥战队统计表-B-a-②呈现-业绩明细表④'!H:H,0),"")</f>
        <v/>
      </c>
      <c r="AN111" s="53" t="str">
        <f t="shared" si="31"/>
        <v>单人</v>
      </c>
    </row>
    <row r="112" spans="1:40" hidden="1" x14ac:dyDescent="0.15">
      <c r="A112" s="79" t="s">
        <v>428</v>
      </c>
      <c r="B112" s="80" t="s">
        <v>129</v>
      </c>
      <c r="C112" s="81" t="s">
        <v>67</v>
      </c>
      <c r="D112" s="82" t="s">
        <v>32</v>
      </c>
      <c r="E112" s="82" t="s">
        <v>134</v>
      </c>
      <c r="F112" s="53" t="str">
        <f t="shared" si="15"/>
        <v>沙河+战胜队</v>
      </c>
      <c r="G112" s="53">
        <f>IFERROR(_xlfn.XLOOKUP(B112,'①门店信息-A-a-①-增加'!B:B,'①门店信息-A-a-①-增加'!E:E,0),"")</f>
        <v>0</v>
      </c>
      <c r="H112" s="54">
        <f>_xlfn.XLOOKUP(B112,'①门店信息-A-a-①-增加'!B:B,'①门店信息-A-a-①-增加'!F:F,0)</f>
        <v>0</v>
      </c>
      <c r="I112" s="55">
        <f>_xlfn.XLOOKUP(E112,'③新店考核-B-a-②呈现-业绩明细表-③'!B:B,'③新店考核-B-a-②呈现-业绩明细表-③'!E:E,0)</f>
        <v>0</v>
      </c>
      <c r="J112" s="54">
        <f>_xlfn.XLOOKUP(E112,'③新店考核-B-a-②呈现-业绩明细表-③'!B:B,'③新店考核-B-a-②呈现-业绩明细表-③'!F:F,0)</f>
        <v>0</v>
      </c>
      <c r="K112" s="55">
        <f>IF(H112="新店一阶段",LOOKUP(I112,'②提成标准-B-a-①-增加'!$M$9:$M$12,'②提成标准-B-a-①-增加'!$O$9:$O$12),0)</f>
        <v>0</v>
      </c>
      <c r="L112" s="56">
        <f t="shared" si="16"/>
        <v>19676.599999999999</v>
      </c>
      <c r="M112" s="57">
        <f>_xlfn.XLOOKUP(E112,'③新店考核-B-a-②呈现-业绩明细表-③'!B:B,'③新店考核-B-a-②呈现-业绩明细表-③'!G:G,0)</f>
        <v>0</v>
      </c>
      <c r="N112" s="58" t="str">
        <f>LOOKUP(M112,'②提成标准-B-a-①-增加'!$M$1:$M$4,'②提成标准-B-a-①-增加'!$O$1:$O$4)</f>
        <v>同老店</v>
      </c>
      <c r="O112" s="57">
        <f>_xlfn.XLOOKUP(E112,'③新店考核-B-a-②呈现-业绩明细表-③'!B:B,'③新店考核-B-a-②呈现-业绩明细表-③'!H:H,0)</f>
        <v>0</v>
      </c>
      <c r="P112" s="57">
        <f t="shared" si="17"/>
        <v>19676.599999999999</v>
      </c>
      <c r="Q112" s="53">
        <f>_xlfn.XLOOKUP(E112,'④考勤-B-a-26考勤汇总表'!D:D,'④考勤-B-a-26考勤汇总表'!AP:AP,0)</f>
        <v>25</v>
      </c>
      <c r="R112" s="53" t="str">
        <f t="shared" si="23"/>
        <v>不足月</v>
      </c>
      <c r="S112" s="53">
        <f t="shared" si="24"/>
        <v>19676.599999999999</v>
      </c>
      <c r="T112" s="53">
        <v>19676.599999999999</v>
      </c>
      <c r="U112" s="53">
        <v>0</v>
      </c>
      <c r="V112" s="53">
        <v>0</v>
      </c>
      <c r="W112" s="53">
        <f>_xlfn.XLOOKUP(E112,'⑤项目数-B-a-③消耗明细表'!C:C,'⑤项目数-B-a-③消耗明细表'!E:E,0)</f>
        <v>15459.98</v>
      </c>
      <c r="X112" s="53">
        <f>_xlfn.XLOOKUP(E112,'⑤项目数-B-a-③消耗明细表'!C:C,'⑤项目数-B-a-③消耗明细表'!D:D,0)</f>
        <v>118.5</v>
      </c>
      <c r="Y112" s="53">
        <f>_xlfn.XLOOKUP(E112,'⑤项目数-B-a-③消耗明细表'!C:C,'⑤项目数-B-a-③消耗明细表'!F:F,0)</f>
        <v>1545</v>
      </c>
      <c r="Z112" s="53">
        <f>_xlfn.XLOOKUP(E112,'⑤项目数-B-a-③消耗明细表'!C:C,'⑤项目数-B-a-③消耗明细表'!G:G,0)</f>
        <v>107.5</v>
      </c>
      <c r="AA112" s="84">
        <f t="shared" si="29"/>
        <v>1</v>
      </c>
      <c r="AB112" s="84">
        <f t="shared" si="30"/>
        <v>1</v>
      </c>
      <c r="AC112" s="53">
        <f>_xlfn.XLOOKUP(F112,'⑥战队统计表-B-a-②呈现-业绩明细表④'!A:A,'⑥战队统计表-B-a-②呈现-业绩明细表④'!B:B,0)</f>
        <v>2</v>
      </c>
      <c r="AD112" s="53" t="str">
        <f t="shared" si="25"/>
        <v/>
      </c>
      <c r="AE112" s="59">
        <f>IF(AD112="",_xlfn.XLOOKUP(F112,'⑥战队统计表-B-a-②呈现-业绩明细表④'!A:A,'⑥战队统计表-B-a-②呈现-业绩明细表④'!D:D,0),0)</f>
        <v>0.05</v>
      </c>
      <c r="AF112" s="85">
        <f>IF(AND(E112="T区",E112="门店T区"),"",IF(AD112="",0,IF(R112="",LOOKUP(S112,'②提成标准-B-a-①-增加'!$B$16:$B$20,'②提成标准-B-a-①-增加'!$D$16:$D$20),LOOKUP(S112/Q112,'②提成标准-B-a-①-增加'!$B$23:$B$27,'②提成标准-B-a-①-增加'!$D$23:$D$27))))</f>
        <v>0</v>
      </c>
      <c r="AG112" s="85">
        <f t="shared" si="20"/>
        <v>0.05</v>
      </c>
      <c r="AH112" s="60">
        <f t="shared" si="26"/>
        <v>934.63849999999991</v>
      </c>
      <c r="AI112" s="86">
        <f t="shared" si="27"/>
        <v>0</v>
      </c>
      <c r="AJ112" s="60">
        <f t="shared" si="28"/>
        <v>934.63849999999991</v>
      </c>
      <c r="AK112" s="87">
        <f>IF(AB112=1,IFERROR(S112/VLOOKUP(F112,'⑥战队统计表-B-a-②呈现-业绩明细表④'!A:C,3,0),0),0)</f>
        <v>0.32615059224462867</v>
      </c>
      <c r="AL112" s="85">
        <f t="shared" si="21"/>
        <v>0.67384940775537128</v>
      </c>
      <c r="AM112" s="53">
        <f>IF(D112="顾问",_xlfn.XLOOKUP(F112,'⑥战队统计表-B-a-②呈现-业绩明细表④'!A:A,'⑥战队统计表-B-a-②呈现-业绩明细表④'!H:H,0),"")</f>
        <v>180.98999999999998</v>
      </c>
      <c r="AN112" s="53" t="str">
        <f t="shared" si="31"/>
        <v>沙河+战胜队</v>
      </c>
    </row>
    <row r="113" spans="1:40" hidden="1" x14ac:dyDescent="0.15">
      <c r="A113" s="79" t="s">
        <v>428</v>
      </c>
      <c r="B113" s="80" t="s">
        <v>129</v>
      </c>
      <c r="C113" s="81" t="s">
        <v>67</v>
      </c>
      <c r="D113" s="82" t="s">
        <v>6</v>
      </c>
      <c r="E113" s="82" t="s">
        <v>135</v>
      </c>
      <c r="F113" s="53" t="str">
        <f t="shared" si="15"/>
        <v>沙河+战胜队</v>
      </c>
      <c r="G113" s="53">
        <f>IFERROR(_xlfn.XLOOKUP(B113,'①门店信息-A-a-①-增加'!B:B,'①门店信息-A-a-①-增加'!E:E,0),"")</f>
        <v>0</v>
      </c>
      <c r="H113" s="54">
        <f>_xlfn.XLOOKUP(B113,'①门店信息-A-a-①-增加'!B:B,'①门店信息-A-a-①-增加'!F:F,0)</f>
        <v>0</v>
      </c>
      <c r="I113" s="55">
        <f>_xlfn.XLOOKUP(E113,'③新店考核-B-a-②呈现-业绩明细表-③'!B:B,'③新店考核-B-a-②呈现-业绩明细表-③'!E:E,0)</f>
        <v>0</v>
      </c>
      <c r="J113" s="54">
        <f>_xlfn.XLOOKUP(E113,'③新店考核-B-a-②呈现-业绩明细表-③'!B:B,'③新店考核-B-a-②呈现-业绩明细表-③'!F:F,0)</f>
        <v>0</v>
      </c>
      <c r="K113" s="55">
        <f>IF(H113="新店一阶段",LOOKUP(I113,'②提成标准-B-a-①-增加'!$M$9:$M$12,'②提成标准-B-a-①-增加'!$O$9:$O$12),0)</f>
        <v>0</v>
      </c>
      <c r="L113" s="56">
        <f t="shared" si="16"/>
        <v>40653.199999999997</v>
      </c>
      <c r="M113" s="57">
        <f>_xlfn.XLOOKUP(E113,'③新店考核-B-a-②呈现-业绩明细表-③'!B:B,'③新店考核-B-a-②呈现-业绩明细表-③'!G:G,0)</f>
        <v>0</v>
      </c>
      <c r="N113" s="58" t="str">
        <f>LOOKUP(M113,'②提成标准-B-a-①-增加'!$M$1:$M$4,'②提成标准-B-a-①-增加'!$O$1:$O$4)</f>
        <v>同老店</v>
      </c>
      <c r="O113" s="57">
        <f>_xlfn.XLOOKUP(E113,'③新店考核-B-a-②呈现-业绩明细表-③'!B:B,'③新店考核-B-a-②呈现-业绩明细表-③'!H:H,0)</f>
        <v>0</v>
      </c>
      <c r="P113" s="57">
        <f t="shared" si="17"/>
        <v>40653.199999999997</v>
      </c>
      <c r="Q113" s="53">
        <f>_xlfn.XLOOKUP(E113,'④考勤-B-a-26考勤汇总表'!D:D,'④考勤-B-a-26考勤汇总表'!AP:AP,0)</f>
        <v>31</v>
      </c>
      <c r="R113" s="53" t="str">
        <f t="shared" si="23"/>
        <v/>
      </c>
      <c r="S113" s="53">
        <f t="shared" si="24"/>
        <v>40653.199999999997</v>
      </c>
      <c r="T113" s="53">
        <v>40653.199999999997</v>
      </c>
      <c r="U113" s="53">
        <v>0</v>
      </c>
      <c r="V113" s="53">
        <v>0</v>
      </c>
      <c r="W113" s="53">
        <f>_xlfn.XLOOKUP(E113,'⑤项目数-B-a-③消耗明细表'!C:C,'⑤项目数-B-a-③消耗明细表'!E:E,0)</f>
        <v>33374.620000000003</v>
      </c>
      <c r="X113" s="53">
        <f>_xlfn.XLOOKUP(E113,'⑤项目数-B-a-③消耗明细表'!C:C,'⑤项目数-B-a-③消耗明细表'!D:D,0)</f>
        <v>145</v>
      </c>
      <c r="Y113" s="53">
        <f>_xlfn.XLOOKUP(E113,'⑤项目数-B-a-③消耗明细表'!C:C,'⑤项目数-B-a-③消耗明细表'!F:F,0)</f>
        <v>2127</v>
      </c>
      <c r="Z113" s="53">
        <f>_xlfn.XLOOKUP(E113,'⑤项目数-B-a-③消耗明细表'!C:C,'⑤项目数-B-a-③消耗明细表'!G:G,0)</f>
        <v>290</v>
      </c>
      <c r="AA113" s="84">
        <f t="shared" si="29"/>
        <v>1</v>
      </c>
      <c r="AB113" s="84">
        <f t="shared" si="30"/>
        <v>1</v>
      </c>
      <c r="AC113" s="53">
        <f>_xlfn.XLOOKUP(F113,'⑥战队统计表-B-a-②呈现-业绩明细表④'!A:A,'⑥战队统计表-B-a-②呈现-业绩明细表④'!B:B,0)</f>
        <v>2</v>
      </c>
      <c r="AD113" s="53" t="str">
        <f t="shared" si="25"/>
        <v/>
      </c>
      <c r="AE113" s="59">
        <f>IF(AD113="",_xlfn.XLOOKUP(F113,'⑥战队统计表-B-a-②呈现-业绩明细表④'!A:A,'⑥战队统计表-B-a-②呈现-业绩明细表④'!D:D,0),0)</f>
        <v>0.05</v>
      </c>
      <c r="AF113" s="85">
        <f>IF(AND(E113="T区",E113="门店T区"),"",IF(AD113="",0,IF(R113="",LOOKUP(S113,'②提成标准-B-a-①-增加'!$B$16:$B$20,'②提成标准-B-a-①-增加'!$D$16:$D$20),LOOKUP(S113/Q113,'②提成标准-B-a-①-增加'!$B$23:$B$27,'②提成标准-B-a-①-增加'!$D$23:$D$27))))</f>
        <v>0</v>
      </c>
      <c r="AG113" s="85">
        <f t="shared" si="20"/>
        <v>0.05</v>
      </c>
      <c r="AH113" s="60">
        <f t="shared" si="26"/>
        <v>1931.0269999999998</v>
      </c>
      <c r="AI113" s="86">
        <f t="shared" si="27"/>
        <v>0</v>
      </c>
      <c r="AJ113" s="60">
        <f t="shared" si="28"/>
        <v>1931.0269999999998</v>
      </c>
      <c r="AK113" s="87">
        <f>IF(AB113=1,IFERROR(S113/VLOOKUP(F113,'⑥战队统计表-B-a-②呈现-业绩明细表④'!A:C,3,0),0),0)</f>
        <v>0.67384940775537128</v>
      </c>
      <c r="AL113" s="85" t="str">
        <f t="shared" si="21"/>
        <v/>
      </c>
      <c r="AM113" s="53" t="str">
        <f>IF(D113="顾问",_xlfn.XLOOKUP(F113,'⑥战队统计表-B-a-②呈现-业绩明细表④'!A:A,'⑥战队统计表-B-a-②呈现-业绩明细表④'!H:H,0),"")</f>
        <v/>
      </c>
      <c r="AN113" s="53" t="str">
        <f t="shared" si="31"/>
        <v>沙河+战胜队</v>
      </c>
    </row>
    <row r="114" spans="1:40" hidden="1" x14ac:dyDescent="0.15">
      <c r="A114" s="79" t="s">
        <v>428</v>
      </c>
      <c r="B114" s="80" t="s">
        <v>129</v>
      </c>
      <c r="C114" s="89" t="s">
        <v>36</v>
      </c>
      <c r="D114" s="90" t="s">
        <v>36</v>
      </c>
      <c r="E114" s="90" t="s">
        <v>36</v>
      </c>
      <c r="F114" s="53" t="str">
        <f t="shared" si="15"/>
        <v>沙河+T区</v>
      </c>
      <c r="G114" s="53">
        <f>IFERROR(_xlfn.XLOOKUP(B114,'①门店信息-A-a-①-增加'!B:B,'①门店信息-A-a-①-增加'!E:E,0),"")</f>
        <v>0</v>
      </c>
      <c r="H114" s="54">
        <f>_xlfn.XLOOKUP(B114,'①门店信息-A-a-①-增加'!B:B,'①门店信息-A-a-①-增加'!F:F,0)</f>
        <v>0</v>
      </c>
      <c r="I114" s="55">
        <f>_xlfn.XLOOKUP(E114,'③新店考核-B-a-②呈现-业绩明细表-③'!B:B,'③新店考核-B-a-②呈现-业绩明细表-③'!E:E,0)</f>
        <v>0</v>
      </c>
      <c r="J114" s="54">
        <f>_xlfn.XLOOKUP(E114,'③新店考核-B-a-②呈现-业绩明细表-③'!B:B,'③新店考核-B-a-②呈现-业绩明细表-③'!F:F,0)</f>
        <v>0</v>
      </c>
      <c r="K114" s="55">
        <f>IF(H114="新店一阶段",LOOKUP(I114,'②提成标准-B-a-①-增加'!$M$9:$M$12,'②提成标准-B-a-①-增加'!$O$9:$O$12),0)</f>
        <v>0</v>
      </c>
      <c r="L114" s="56">
        <f t="shared" si="16"/>
        <v>0</v>
      </c>
      <c r="M114" s="57">
        <f>_xlfn.XLOOKUP(E114,'③新店考核-B-a-②呈现-业绩明细表-③'!B:B,'③新店考核-B-a-②呈现-业绩明细表-③'!G:G,0)</f>
        <v>0</v>
      </c>
      <c r="N114" s="58" t="str">
        <f>LOOKUP(M114,'②提成标准-B-a-①-增加'!$M$1:$M$4,'②提成标准-B-a-①-增加'!$O$1:$O$4)</f>
        <v>同老店</v>
      </c>
      <c r="O114" s="57">
        <f>_xlfn.XLOOKUP(E114,'③新店考核-B-a-②呈现-业绩明细表-③'!B:B,'③新店考核-B-a-②呈现-业绩明细表-③'!H:H,0)</f>
        <v>0</v>
      </c>
      <c r="P114" s="57">
        <f t="shared" si="17"/>
        <v>0</v>
      </c>
      <c r="Q114" s="53">
        <f>_xlfn.XLOOKUP(E114,'④考勤-B-a-26考勤汇总表'!D:D,'④考勤-B-a-26考勤汇总表'!AP:AP,0)</f>
        <v>0</v>
      </c>
      <c r="R114" s="53" t="str">
        <f t="shared" si="23"/>
        <v/>
      </c>
      <c r="S114" s="53">
        <f t="shared" si="24"/>
        <v>0</v>
      </c>
      <c r="T114" s="53">
        <v>0</v>
      </c>
      <c r="U114" s="53">
        <v>0</v>
      </c>
      <c r="V114" s="53">
        <v>0</v>
      </c>
      <c r="W114" s="53">
        <f>_xlfn.XLOOKUP(E114,'⑤项目数-B-a-③消耗明细表'!C:C,'⑤项目数-B-a-③消耗明细表'!E:E,0)</f>
        <v>0</v>
      </c>
      <c r="X114" s="53">
        <f>_xlfn.XLOOKUP(E114,'⑤项目数-B-a-③消耗明细表'!C:C,'⑤项目数-B-a-③消耗明细表'!D:D,0)</f>
        <v>0</v>
      </c>
      <c r="Y114" s="53">
        <f>_xlfn.XLOOKUP(E114,'⑤项目数-B-a-③消耗明细表'!C:C,'⑤项目数-B-a-③消耗明细表'!F:F,0)</f>
        <v>0</v>
      </c>
      <c r="Z114" s="53">
        <f>_xlfn.XLOOKUP(E114,'⑤项目数-B-a-③消耗明细表'!C:C,'⑤项目数-B-a-③消耗明细表'!G:G,0)</f>
        <v>0</v>
      </c>
      <c r="AA114" s="84" t="str">
        <f t="shared" si="29"/>
        <v>不属于战队</v>
      </c>
      <c r="AB114" s="84">
        <f t="shared" si="30"/>
        <v>0</v>
      </c>
      <c r="AC114" s="53">
        <f>_xlfn.XLOOKUP(F114,'⑥战队统计表-B-a-②呈现-业绩明细表④'!A:A,'⑥战队统计表-B-a-②呈现-业绩明细表④'!B:B,0)</f>
        <v>0</v>
      </c>
      <c r="AD114" s="53">
        <f t="shared" si="25"/>
        <v>1</v>
      </c>
      <c r="AE114" s="59">
        <f>IF(AD114="",_xlfn.XLOOKUP(F114,'⑥战队统计表-B-a-②呈现-业绩明细表④'!A:A,'⑥战队统计表-B-a-②呈现-业绩明细表④'!D:D,0),0)</f>
        <v>0</v>
      </c>
      <c r="AF114" s="85">
        <f>IF(AND(E114="T区",E114="门店T区"),"",IF(AD114="",0,IF(R114="",LOOKUP(S114,'②提成标准-B-a-①-增加'!$B$16:$B$20,'②提成标准-B-a-①-增加'!$D$16:$D$20),LOOKUP(S114/Q114,'②提成标准-B-a-①-增加'!$B$23:$B$27,'②提成标准-B-a-①-增加'!$D$23:$D$27))))</f>
        <v>0</v>
      </c>
      <c r="AG114" s="85">
        <f t="shared" si="20"/>
        <v>0</v>
      </c>
      <c r="AH114" s="60">
        <f t="shared" si="26"/>
        <v>0</v>
      </c>
      <c r="AI114" s="86">
        <f t="shared" si="27"/>
        <v>0</v>
      </c>
      <c r="AJ114" s="60">
        <f t="shared" si="28"/>
        <v>0</v>
      </c>
      <c r="AK114" s="87">
        <f>IF(AB114=1,IFERROR(S114/VLOOKUP(F114,'⑥战队统计表-B-a-②呈现-业绩明细表④'!A:C,3,0),0),0)</f>
        <v>0</v>
      </c>
      <c r="AL114" s="85" t="str">
        <f t="shared" si="21"/>
        <v/>
      </c>
      <c r="AM114" s="53" t="str">
        <f>IF(D114="顾问",_xlfn.XLOOKUP(F114,'⑥战队统计表-B-a-②呈现-业绩明细表④'!A:A,'⑥战队统计表-B-a-②呈现-业绩明细表④'!H:H,0),"")</f>
        <v/>
      </c>
      <c r="AN114" s="53" t="str">
        <f t="shared" si="31"/>
        <v>单人</v>
      </c>
    </row>
    <row r="115" spans="1:40" hidden="1" x14ac:dyDescent="0.15">
      <c r="A115" s="79" t="s">
        <v>428</v>
      </c>
      <c r="B115" s="80" t="s">
        <v>129</v>
      </c>
      <c r="C115" s="81" t="s">
        <v>40</v>
      </c>
      <c r="D115" s="82" t="s">
        <v>40</v>
      </c>
      <c r="E115" s="88" t="str">
        <f>F115</f>
        <v>沙河+门店T区</v>
      </c>
      <c r="F115" s="53" t="str">
        <f t="shared" si="15"/>
        <v>沙河+门店T区</v>
      </c>
      <c r="G115" s="53">
        <f>IFERROR(_xlfn.XLOOKUP(B115,'①门店信息-A-a-①-增加'!B:B,'①门店信息-A-a-①-增加'!E:E,0),"")</f>
        <v>0</v>
      </c>
      <c r="H115" s="54">
        <f>_xlfn.XLOOKUP(B115,'①门店信息-A-a-①-增加'!B:B,'①门店信息-A-a-①-增加'!F:F,0)</f>
        <v>0</v>
      </c>
      <c r="I115" s="55">
        <f>_xlfn.XLOOKUP(E115,'③新店考核-B-a-②呈现-业绩明细表-③'!B:B,'③新店考核-B-a-②呈现-业绩明细表-③'!E:E,0)</f>
        <v>0</v>
      </c>
      <c r="J115" s="54">
        <f>_xlfn.XLOOKUP(E115,'③新店考核-B-a-②呈现-业绩明细表-③'!B:B,'③新店考核-B-a-②呈现-业绩明细表-③'!F:F,0)</f>
        <v>0</v>
      </c>
      <c r="K115" s="55">
        <f>IF(H115="新店一阶段",LOOKUP(I115,'②提成标准-B-a-①-增加'!$M$9:$M$12,'②提成标准-B-a-①-增加'!$O$9:$O$12),0)</f>
        <v>0</v>
      </c>
      <c r="L115" s="56">
        <f t="shared" si="16"/>
        <v>-1750</v>
      </c>
      <c r="M115" s="57">
        <f>_xlfn.XLOOKUP(E115,'③新店考核-B-a-②呈现-业绩明细表-③'!B:B,'③新店考核-B-a-②呈现-业绩明细表-③'!G:G,0)</f>
        <v>0</v>
      </c>
      <c r="N115" s="58" t="str">
        <f>LOOKUP(M115,'②提成标准-B-a-①-增加'!$M$1:$M$4,'②提成标准-B-a-①-增加'!$O$1:$O$4)</f>
        <v>同老店</v>
      </c>
      <c r="O115" s="57">
        <f>_xlfn.XLOOKUP(E115,'③新店考核-B-a-②呈现-业绩明细表-③'!B:B,'③新店考核-B-a-②呈现-业绩明细表-③'!H:H,0)</f>
        <v>0</v>
      </c>
      <c r="P115" s="57">
        <f t="shared" si="17"/>
        <v>-1750</v>
      </c>
      <c r="Q115" s="53">
        <f>_xlfn.XLOOKUP(E115,'④考勤-B-a-26考勤汇总表'!D:D,'④考勤-B-a-26考勤汇总表'!AP:AP,0)</f>
        <v>0</v>
      </c>
      <c r="R115" s="53" t="str">
        <f t="shared" si="23"/>
        <v/>
      </c>
      <c r="S115" s="53">
        <f t="shared" si="24"/>
        <v>-1750</v>
      </c>
      <c r="T115" s="53">
        <v>-1750</v>
      </c>
      <c r="U115" s="53">
        <v>0</v>
      </c>
      <c r="V115" s="53">
        <v>0</v>
      </c>
      <c r="W115" s="53">
        <f>_xlfn.XLOOKUP(E115,'⑤项目数-B-a-③消耗明细表'!C:C,'⑤项目数-B-a-③消耗明细表'!E:E,0)</f>
        <v>0</v>
      </c>
      <c r="X115" s="53">
        <f>_xlfn.XLOOKUP(E115,'⑤项目数-B-a-③消耗明细表'!C:C,'⑤项目数-B-a-③消耗明细表'!D:D,0)</f>
        <v>0</v>
      </c>
      <c r="Y115" s="53">
        <f>_xlfn.XLOOKUP(E115,'⑤项目数-B-a-③消耗明细表'!C:C,'⑤项目数-B-a-③消耗明细表'!F:F,0)</f>
        <v>0</v>
      </c>
      <c r="Z115" s="53">
        <f>_xlfn.XLOOKUP(E115,'⑤项目数-B-a-③消耗明细表'!C:C,'⑤项目数-B-a-③消耗明细表'!G:G,0)</f>
        <v>0</v>
      </c>
      <c r="AA115" s="84">
        <f t="shared" si="29"/>
        <v>1</v>
      </c>
      <c r="AB115" s="84">
        <f t="shared" si="30"/>
        <v>0</v>
      </c>
      <c r="AC115" s="53">
        <f>_xlfn.XLOOKUP(F115,'⑥战队统计表-B-a-②呈现-业绩明细表④'!A:A,'⑥战队统计表-B-a-②呈现-业绩明细表④'!B:B,0)</f>
        <v>0</v>
      </c>
      <c r="AD115" s="53">
        <f t="shared" si="25"/>
        <v>1</v>
      </c>
      <c r="AE115" s="59">
        <f>IF(AD115="",_xlfn.XLOOKUP(F115,'⑥战队统计表-B-a-②呈现-业绩明细表④'!A:A,'⑥战队统计表-B-a-②呈现-业绩明细表④'!D:D,0),0)</f>
        <v>0</v>
      </c>
      <c r="AF115" s="85">
        <f>IF(AND(E115="T区",E115="门店T区"),"",IF(AD115="",0,IF(R115="",LOOKUP(S115,'②提成标准-B-a-①-增加'!$B$16:$B$20,'②提成标准-B-a-①-增加'!$D$16:$D$20),LOOKUP(S115/Q115,'②提成标准-B-a-①-增加'!$B$23:$B$27,'②提成标准-B-a-①-增加'!$D$23:$D$27))))</f>
        <v>0</v>
      </c>
      <c r="AG115" s="85">
        <f t="shared" si="20"/>
        <v>0</v>
      </c>
      <c r="AH115" s="60">
        <f t="shared" si="26"/>
        <v>0</v>
      </c>
      <c r="AI115" s="86">
        <f t="shared" si="27"/>
        <v>0</v>
      </c>
      <c r="AJ115" s="60">
        <f t="shared" si="28"/>
        <v>0</v>
      </c>
      <c r="AK115" s="87">
        <f>IF(AB115=1,IFERROR(S115/VLOOKUP(F115,'⑥战队统计表-B-a-②呈现-业绩明细表④'!A:C,3,0),0),0)</f>
        <v>0</v>
      </c>
      <c r="AL115" s="85" t="str">
        <f t="shared" si="21"/>
        <v/>
      </c>
      <c r="AM115" s="53" t="str">
        <f>IF(D115="顾问",_xlfn.XLOOKUP(F115,'⑥战队统计表-B-a-②呈现-业绩明细表④'!A:A,'⑥战队统计表-B-a-②呈现-业绩明细表④'!H:H,0),"")</f>
        <v/>
      </c>
      <c r="AN115" s="53" t="str">
        <f t="shared" si="31"/>
        <v>单人</v>
      </c>
    </row>
    <row r="116" spans="1:40" hidden="1" x14ac:dyDescent="0.15">
      <c r="A116" s="79" t="s">
        <v>428</v>
      </c>
      <c r="B116" s="80" t="s">
        <v>136</v>
      </c>
      <c r="C116" s="81" t="s">
        <v>137</v>
      </c>
      <c r="D116" s="82" t="s">
        <v>32</v>
      </c>
      <c r="E116" s="82" t="s">
        <v>138</v>
      </c>
      <c r="F116" s="53" t="str">
        <f t="shared" si="15"/>
        <v>涌泉+冲刺队</v>
      </c>
      <c r="G116" s="53">
        <f>IFERROR(_xlfn.XLOOKUP(B116,'①门店信息-A-a-①-增加'!B:B,'①门店信息-A-a-①-增加'!E:E,0),"")</f>
        <v>0</v>
      </c>
      <c r="H116" s="54">
        <f>_xlfn.XLOOKUP(B116,'①门店信息-A-a-①-增加'!B:B,'①门店信息-A-a-①-增加'!F:F,0)</f>
        <v>0</v>
      </c>
      <c r="I116" s="55">
        <f>_xlfn.XLOOKUP(E116,'③新店考核-B-a-②呈现-业绩明细表-③'!B:B,'③新店考核-B-a-②呈现-业绩明细表-③'!E:E,0)</f>
        <v>0</v>
      </c>
      <c r="J116" s="54">
        <f>_xlfn.XLOOKUP(E116,'③新店考核-B-a-②呈现-业绩明细表-③'!B:B,'③新店考核-B-a-②呈现-业绩明细表-③'!F:F,0)</f>
        <v>0</v>
      </c>
      <c r="K116" s="55">
        <f>IF(H116="新店一阶段",LOOKUP(I116,'②提成标准-B-a-①-增加'!$M$9:$M$12,'②提成标准-B-a-①-增加'!$O$9:$O$12),0)</f>
        <v>0</v>
      </c>
      <c r="L116" s="56">
        <f t="shared" si="16"/>
        <v>43069.599999999999</v>
      </c>
      <c r="M116" s="57">
        <f>_xlfn.XLOOKUP(E116,'③新店考核-B-a-②呈现-业绩明细表-③'!B:B,'③新店考核-B-a-②呈现-业绩明细表-③'!G:G,0)</f>
        <v>0</v>
      </c>
      <c r="N116" s="58" t="str">
        <f>LOOKUP(M116,'②提成标准-B-a-①-增加'!$M$1:$M$4,'②提成标准-B-a-①-增加'!$O$1:$O$4)</f>
        <v>同老店</v>
      </c>
      <c r="O116" s="57">
        <f>_xlfn.XLOOKUP(E116,'③新店考核-B-a-②呈现-业绩明细表-③'!B:B,'③新店考核-B-a-②呈现-业绩明细表-③'!H:H,0)</f>
        <v>0</v>
      </c>
      <c r="P116" s="57">
        <f t="shared" si="17"/>
        <v>43069.599999999999</v>
      </c>
      <c r="Q116" s="53">
        <f>_xlfn.XLOOKUP(E116,'④考勤-B-a-26考勤汇总表'!D:D,'④考勤-B-a-26考勤汇总表'!AP:AP,0)</f>
        <v>31</v>
      </c>
      <c r="R116" s="53" t="str">
        <f t="shared" si="23"/>
        <v/>
      </c>
      <c r="S116" s="53">
        <f t="shared" si="24"/>
        <v>70139.600000000006</v>
      </c>
      <c r="T116" s="53">
        <v>43069.599999999999</v>
      </c>
      <c r="U116" s="53">
        <v>27070</v>
      </c>
      <c r="V116" s="53">
        <v>0</v>
      </c>
      <c r="W116" s="53">
        <f>_xlfn.XLOOKUP(E116,'⑤项目数-B-a-③消耗明细表'!C:C,'⑤项目数-B-a-③消耗明细表'!E:E,0)</f>
        <v>28112.98</v>
      </c>
      <c r="X116" s="53">
        <f>_xlfn.XLOOKUP(E116,'⑤项目数-B-a-③消耗明细表'!C:C,'⑤项目数-B-a-③消耗明细表'!D:D,0)</f>
        <v>81.5</v>
      </c>
      <c r="Y116" s="53">
        <f>_xlfn.XLOOKUP(E116,'⑤项目数-B-a-③消耗明细表'!C:C,'⑤项目数-B-a-③消耗明细表'!F:F,0)</f>
        <v>1055</v>
      </c>
      <c r="Z116" s="53">
        <f>_xlfn.XLOOKUP(E116,'⑤项目数-B-a-③消耗明细表'!C:C,'⑤项目数-B-a-③消耗明细表'!G:G,0)</f>
        <v>100</v>
      </c>
      <c r="AA116" s="84">
        <f t="shared" si="29"/>
        <v>1</v>
      </c>
      <c r="AB116" s="84">
        <f t="shared" si="30"/>
        <v>1</v>
      </c>
      <c r="AC116" s="53">
        <f>_xlfn.XLOOKUP(F116,'⑥战队统计表-B-a-②呈现-业绩明细表④'!A:A,'⑥战队统计表-B-a-②呈现-业绩明细表④'!B:B,0)</f>
        <v>2</v>
      </c>
      <c r="AD116" s="53" t="str">
        <f t="shared" si="25"/>
        <v/>
      </c>
      <c r="AE116" s="59">
        <f>IF(AD116="",_xlfn.XLOOKUP(F116,'⑥战队统计表-B-a-②呈现-业绩明细表④'!A:A,'⑥战队统计表-B-a-②呈现-业绩明细表④'!D:D,0),0)</f>
        <v>0.06</v>
      </c>
      <c r="AF116" s="85">
        <f>IF(AND(E116="T区",E116="门店T区"),"",IF(AD116="",0,IF(R116="",LOOKUP(S116,'②提成标准-B-a-①-增加'!$B$16:$B$20,'②提成标准-B-a-①-增加'!$D$16:$D$20),LOOKUP(S116/Q116,'②提成标准-B-a-①-增加'!$B$23:$B$27,'②提成标准-B-a-①-增加'!$D$23:$D$27))))</f>
        <v>0</v>
      </c>
      <c r="AG116" s="85">
        <f t="shared" si="20"/>
        <v>0.06</v>
      </c>
      <c r="AH116" s="60">
        <f t="shared" si="26"/>
        <v>2454.9671999999996</v>
      </c>
      <c r="AI116" s="86">
        <f t="shared" si="27"/>
        <v>1002.9435000000001</v>
      </c>
      <c r="AJ116" s="60">
        <f t="shared" si="28"/>
        <v>3457.9106999999995</v>
      </c>
      <c r="AK116" s="87">
        <f>IF(AB116=1,IFERROR(S116/VLOOKUP(F116,'⑥战队统计表-B-a-②呈现-业绩明细表④'!A:C,3,0),0),0)</f>
        <v>0.65961344588392845</v>
      </c>
      <c r="AL116" s="85">
        <f t="shared" si="21"/>
        <v>0.34038655411607155</v>
      </c>
      <c r="AM116" s="53">
        <f>IF(D116="顾问",_xlfn.XLOOKUP(F116,'⑥战队统计表-B-a-②呈现-业绩明细表④'!A:A,'⑥战队统计表-B-a-②呈现-业绩明细表④'!H:H,0),"")</f>
        <v>0</v>
      </c>
      <c r="AN116" s="53" t="str">
        <f t="shared" si="31"/>
        <v>涌泉+冲刺队</v>
      </c>
    </row>
    <row r="117" spans="1:40" hidden="1" x14ac:dyDescent="0.15">
      <c r="A117" s="79" t="s">
        <v>428</v>
      </c>
      <c r="B117" s="80" t="s">
        <v>136</v>
      </c>
      <c r="C117" s="81" t="s">
        <v>137</v>
      </c>
      <c r="D117" s="82" t="s">
        <v>6</v>
      </c>
      <c r="E117" s="82" t="s">
        <v>139</v>
      </c>
      <c r="F117" s="53" t="str">
        <f t="shared" si="15"/>
        <v>涌泉+冲刺队</v>
      </c>
      <c r="G117" s="53">
        <f>IFERROR(_xlfn.XLOOKUP(B117,'①门店信息-A-a-①-增加'!B:B,'①门店信息-A-a-①-增加'!E:E,0),"")</f>
        <v>0</v>
      </c>
      <c r="H117" s="54">
        <f>_xlfn.XLOOKUP(B117,'①门店信息-A-a-①-增加'!B:B,'①门店信息-A-a-①-增加'!F:F,0)</f>
        <v>0</v>
      </c>
      <c r="I117" s="55">
        <f>_xlfn.XLOOKUP(E117,'③新店考核-B-a-②呈现-业绩明细表-③'!B:B,'③新店考核-B-a-②呈现-业绩明细表-③'!E:E,0)</f>
        <v>0</v>
      </c>
      <c r="J117" s="54">
        <f>_xlfn.XLOOKUP(E117,'③新店考核-B-a-②呈现-业绩明细表-③'!B:B,'③新店考核-B-a-②呈现-业绩明细表-③'!F:F,0)</f>
        <v>0</v>
      </c>
      <c r="K117" s="55">
        <f>IF(H117="新店一阶段",LOOKUP(I117,'②提成标准-B-a-①-增加'!$M$9:$M$12,'②提成标准-B-a-①-增加'!$O$9:$O$12),0)</f>
        <v>0</v>
      </c>
      <c r="L117" s="56">
        <f t="shared" si="16"/>
        <v>24470.799999999999</v>
      </c>
      <c r="M117" s="57">
        <f>_xlfn.XLOOKUP(E117,'③新店考核-B-a-②呈现-业绩明细表-③'!B:B,'③新店考核-B-a-②呈现-业绩明细表-③'!G:G,0)</f>
        <v>0</v>
      </c>
      <c r="N117" s="58" t="str">
        <f>LOOKUP(M117,'②提成标准-B-a-①-增加'!$M$1:$M$4,'②提成标准-B-a-①-增加'!$O$1:$O$4)</f>
        <v>同老店</v>
      </c>
      <c r="O117" s="57">
        <f>_xlfn.XLOOKUP(E117,'③新店考核-B-a-②呈现-业绩明细表-③'!B:B,'③新店考核-B-a-②呈现-业绩明细表-③'!H:H,0)</f>
        <v>0</v>
      </c>
      <c r="P117" s="57">
        <f t="shared" si="17"/>
        <v>24470.799999999999</v>
      </c>
      <c r="Q117" s="53">
        <f>_xlfn.XLOOKUP(E117,'④考勤-B-a-26考勤汇总表'!D:D,'④考勤-B-a-26考勤汇总表'!AP:AP,0)</f>
        <v>31</v>
      </c>
      <c r="R117" s="53" t="str">
        <f t="shared" si="23"/>
        <v/>
      </c>
      <c r="S117" s="53">
        <f t="shared" si="24"/>
        <v>36194.800000000003</v>
      </c>
      <c r="T117" s="53">
        <v>24470.799999999999</v>
      </c>
      <c r="U117" s="53">
        <v>11280</v>
      </c>
      <c r="V117" s="53">
        <v>444</v>
      </c>
      <c r="W117" s="53">
        <f>_xlfn.XLOOKUP(E117,'⑤项目数-B-a-③消耗明细表'!C:C,'⑤项目数-B-a-③消耗明细表'!E:E,0)</f>
        <v>8694.48</v>
      </c>
      <c r="X117" s="53">
        <f>_xlfn.XLOOKUP(E117,'⑤项目数-B-a-③消耗明细表'!C:C,'⑤项目数-B-a-③消耗明细表'!D:D,0)</f>
        <v>93</v>
      </c>
      <c r="Y117" s="53">
        <f>_xlfn.XLOOKUP(E117,'⑤项目数-B-a-③消耗明细表'!C:C,'⑤项目数-B-a-③消耗明细表'!F:F,0)</f>
        <v>1093</v>
      </c>
      <c r="Z117" s="53">
        <f>_xlfn.XLOOKUP(E117,'⑤项目数-B-a-③消耗明细表'!C:C,'⑤项目数-B-a-③消耗明细表'!G:G,0)</f>
        <v>0</v>
      </c>
      <c r="AA117" s="84">
        <f t="shared" si="29"/>
        <v>1</v>
      </c>
      <c r="AB117" s="84">
        <f t="shared" si="30"/>
        <v>1</v>
      </c>
      <c r="AC117" s="53">
        <f>_xlfn.XLOOKUP(F117,'⑥战队统计表-B-a-②呈现-业绩明细表④'!A:A,'⑥战队统计表-B-a-②呈现-业绩明细表④'!B:B,0)</f>
        <v>2</v>
      </c>
      <c r="AD117" s="53" t="str">
        <f t="shared" si="25"/>
        <v/>
      </c>
      <c r="AE117" s="59">
        <f>IF(AD117="",_xlfn.XLOOKUP(F117,'⑥战队统计表-B-a-②呈现-业绩明细表④'!A:A,'⑥战队统计表-B-a-②呈现-业绩明细表④'!D:D,0),0)</f>
        <v>0.06</v>
      </c>
      <c r="AF117" s="85">
        <f>IF(AND(E117="T区",E117="门店T区"),"",IF(AD117="",0,IF(R117="",LOOKUP(S117,'②提成标准-B-a-①-增加'!$B$16:$B$20,'②提成标准-B-a-①-增加'!$D$16:$D$20),LOOKUP(S117/Q117,'②提成标准-B-a-①-增加'!$B$23:$B$27,'②提成标准-B-a-①-增加'!$D$23:$D$27))))</f>
        <v>0</v>
      </c>
      <c r="AG117" s="85">
        <f t="shared" si="20"/>
        <v>0.06</v>
      </c>
      <c r="AH117" s="60">
        <f t="shared" si="26"/>
        <v>1394.8355999999997</v>
      </c>
      <c r="AI117" s="86">
        <f t="shared" si="27"/>
        <v>417.92399999999998</v>
      </c>
      <c r="AJ117" s="60">
        <f t="shared" si="28"/>
        <v>1812.7595999999996</v>
      </c>
      <c r="AK117" s="87">
        <f>IF(AB117=1,IFERROR(S117/VLOOKUP(F117,'⑥战队统计表-B-a-②呈现-业绩明细表④'!A:C,3,0),0),0)</f>
        <v>0.34038655411607155</v>
      </c>
      <c r="AL117" s="85" t="str">
        <f t="shared" si="21"/>
        <v/>
      </c>
      <c r="AM117" s="53" t="str">
        <f>IF(D117="顾问",_xlfn.XLOOKUP(F117,'⑥战队统计表-B-a-②呈现-业绩明细表④'!A:A,'⑥战队统计表-B-a-②呈现-业绩明细表④'!H:H,0),"")</f>
        <v/>
      </c>
      <c r="AN117" s="53" t="str">
        <f t="shared" si="31"/>
        <v>涌泉+冲刺队</v>
      </c>
    </row>
    <row r="118" spans="1:40" hidden="1" x14ac:dyDescent="0.15">
      <c r="A118" s="79" t="s">
        <v>428</v>
      </c>
      <c r="B118" s="80" t="s">
        <v>136</v>
      </c>
      <c r="C118" s="81" t="s">
        <v>36</v>
      </c>
      <c r="D118" s="82" t="s">
        <v>36</v>
      </c>
      <c r="E118" s="107" t="s">
        <v>36</v>
      </c>
      <c r="F118" s="53" t="str">
        <f t="shared" si="15"/>
        <v>涌泉+T区</v>
      </c>
      <c r="G118" s="53">
        <f>IFERROR(_xlfn.XLOOKUP(B118,'①门店信息-A-a-①-增加'!B:B,'①门店信息-A-a-①-增加'!E:E,0),"")</f>
        <v>0</v>
      </c>
      <c r="H118" s="54">
        <f>_xlfn.XLOOKUP(B118,'①门店信息-A-a-①-增加'!B:B,'①门店信息-A-a-①-增加'!F:F,0)</f>
        <v>0</v>
      </c>
      <c r="I118" s="55">
        <f>_xlfn.XLOOKUP(E118,'③新店考核-B-a-②呈现-业绩明细表-③'!B:B,'③新店考核-B-a-②呈现-业绩明细表-③'!E:E,0)</f>
        <v>0</v>
      </c>
      <c r="J118" s="54">
        <f>_xlfn.XLOOKUP(E118,'③新店考核-B-a-②呈现-业绩明细表-③'!B:B,'③新店考核-B-a-②呈现-业绩明细表-③'!F:F,0)</f>
        <v>0</v>
      </c>
      <c r="K118" s="55">
        <f>IF(H118="新店一阶段",LOOKUP(I118,'②提成标准-B-a-①-增加'!$M$9:$M$12,'②提成标准-B-a-①-增加'!$O$9:$O$12),0)</f>
        <v>0</v>
      </c>
      <c r="L118" s="56">
        <f t="shared" si="16"/>
        <v>0</v>
      </c>
      <c r="M118" s="57">
        <f>_xlfn.XLOOKUP(E118,'③新店考核-B-a-②呈现-业绩明细表-③'!B:B,'③新店考核-B-a-②呈现-业绩明细表-③'!G:G,0)</f>
        <v>0</v>
      </c>
      <c r="N118" s="58" t="str">
        <f>LOOKUP(M118,'②提成标准-B-a-①-增加'!$M$1:$M$4,'②提成标准-B-a-①-增加'!$O$1:$O$4)</f>
        <v>同老店</v>
      </c>
      <c r="O118" s="57">
        <f>_xlfn.XLOOKUP(E118,'③新店考核-B-a-②呈现-业绩明细表-③'!B:B,'③新店考核-B-a-②呈现-业绩明细表-③'!H:H,0)</f>
        <v>0</v>
      </c>
      <c r="P118" s="57">
        <f t="shared" si="17"/>
        <v>0</v>
      </c>
      <c r="Q118" s="53">
        <f>_xlfn.XLOOKUP(E118,'④考勤-B-a-26考勤汇总表'!D:D,'④考勤-B-a-26考勤汇总表'!AP:AP,0)</f>
        <v>0</v>
      </c>
      <c r="R118" s="53" t="str">
        <f t="shared" si="23"/>
        <v/>
      </c>
      <c r="S118" s="53">
        <f t="shared" si="24"/>
        <v>0</v>
      </c>
      <c r="T118" s="53">
        <v>0</v>
      </c>
      <c r="U118" s="53">
        <v>0</v>
      </c>
      <c r="V118" s="53">
        <v>0</v>
      </c>
      <c r="W118" s="53">
        <f>_xlfn.XLOOKUP(E118,'⑤项目数-B-a-③消耗明细表'!C:C,'⑤项目数-B-a-③消耗明细表'!E:E,0)</f>
        <v>0</v>
      </c>
      <c r="X118" s="53">
        <f>_xlfn.XLOOKUP(E118,'⑤项目数-B-a-③消耗明细表'!C:C,'⑤项目数-B-a-③消耗明细表'!D:D,0)</f>
        <v>0</v>
      </c>
      <c r="Y118" s="53">
        <f>_xlfn.XLOOKUP(E118,'⑤项目数-B-a-③消耗明细表'!C:C,'⑤项目数-B-a-③消耗明细表'!F:F,0)</f>
        <v>0</v>
      </c>
      <c r="Z118" s="53">
        <f>_xlfn.XLOOKUP(E118,'⑤项目数-B-a-③消耗明细表'!C:C,'⑤项目数-B-a-③消耗明细表'!G:G,0)</f>
        <v>0</v>
      </c>
      <c r="AA118" s="84" t="str">
        <f t="shared" si="29"/>
        <v>不属于战队</v>
      </c>
      <c r="AB118" s="84">
        <f t="shared" si="30"/>
        <v>0</v>
      </c>
      <c r="AC118" s="53">
        <f>_xlfn.XLOOKUP(F118,'⑥战队统计表-B-a-②呈现-业绩明细表④'!A:A,'⑥战队统计表-B-a-②呈现-业绩明细表④'!B:B,0)</f>
        <v>0</v>
      </c>
      <c r="AD118" s="53">
        <f t="shared" si="25"/>
        <v>1</v>
      </c>
      <c r="AE118" s="59">
        <f>IF(AD118="",_xlfn.XLOOKUP(F118,'⑥战队统计表-B-a-②呈现-业绩明细表④'!A:A,'⑥战队统计表-B-a-②呈现-业绩明细表④'!D:D,0),0)</f>
        <v>0</v>
      </c>
      <c r="AF118" s="85">
        <f>IF(AND(E118="T区",E118="门店T区"),"",IF(AD118="",0,IF(R118="",LOOKUP(S118,'②提成标准-B-a-①-增加'!$B$16:$B$20,'②提成标准-B-a-①-增加'!$D$16:$D$20),LOOKUP(S118/Q118,'②提成标准-B-a-①-增加'!$B$23:$B$27,'②提成标准-B-a-①-增加'!$D$23:$D$27))))</f>
        <v>0</v>
      </c>
      <c r="AG118" s="85">
        <f t="shared" si="20"/>
        <v>0</v>
      </c>
      <c r="AH118" s="60">
        <f t="shared" si="26"/>
        <v>0</v>
      </c>
      <c r="AI118" s="86">
        <f t="shared" si="27"/>
        <v>0</v>
      </c>
      <c r="AJ118" s="60">
        <f t="shared" si="28"/>
        <v>0</v>
      </c>
      <c r="AK118" s="87">
        <f>IF(AB118=1,IFERROR(S118/VLOOKUP(F118,'⑥战队统计表-B-a-②呈现-业绩明细表④'!A:C,3,0),0),0)</f>
        <v>0</v>
      </c>
      <c r="AL118" s="85" t="str">
        <f t="shared" si="21"/>
        <v/>
      </c>
      <c r="AM118" s="53" t="str">
        <f>IF(D118="顾问",_xlfn.XLOOKUP(F118,'⑥战队统计表-B-a-②呈现-业绩明细表④'!A:A,'⑥战队统计表-B-a-②呈现-业绩明细表④'!H:H,0),"")</f>
        <v/>
      </c>
      <c r="AN118" s="53" t="str">
        <f t="shared" si="31"/>
        <v>单人</v>
      </c>
    </row>
    <row r="119" spans="1:40" hidden="1" x14ac:dyDescent="0.15">
      <c r="A119" s="79" t="s">
        <v>428</v>
      </c>
      <c r="B119" s="80" t="s">
        <v>136</v>
      </c>
      <c r="C119" s="81" t="s">
        <v>140</v>
      </c>
      <c r="D119" s="82" t="s">
        <v>32</v>
      </c>
      <c r="E119" s="107" t="s">
        <v>141</v>
      </c>
      <c r="F119" s="53" t="str">
        <f t="shared" si="15"/>
        <v>涌泉+进钱队</v>
      </c>
      <c r="G119" s="53">
        <f>IFERROR(_xlfn.XLOOKUP(B119,'①门店信息-A-a-①-增加'!B:B,'①门店信息-A-a-①-增加'!E:E,0),"")</f>
        <v>0</v>
      </c>
      <c r="H119" s="54">
        <f>_xlfn.XLOOKUP(B119,'①门店信息-A-a-①-增加'!B:B,'①门店信息-A-a-①-增加'!F:F,0)</f>
        <v>0</v>
      </c>
      <c r="I119" s="55">
        <f>_xlfn.XLOOKUP(E119,'③新店考核-B-a-②呈现-业绩明细表-③'!B:B,'③新店考核-B-a-②呈现-业绩明细表-③'!E:E,0)</f>
        <v>0</v>
      </c>
      <c r="J119" s="54">
        <f>_xlfn.XLOOKUP(E119,'③新店考核-B-a-②呈现-业绩明细表-③'!B:B,'③新店考核-B-a-②呈现-业绩明细表-③'!F:F,0)</f>
        <v>0</v>
      </c>
      <c r="K119" s="55">
        <f>IF(H119="新店一阶段",LOOKUP(I119,'②提成标准-B-a-①-增加'!$M$9:$M$12,'②提成标准-B-a-①-增加'!$O$9:$O$12),0)</f>
        <v>0</v>
      </c>
      <c r="L119" s="56">
        <f t="shared" si="16"/>
        <v>26300.6</v>
      </c>
      <c r="M119" s="57">
        <f>_xlfn.XLOOKUP(E119,'③新店考核-B-a-②呈现-业绩明细表-③'!B:B,'③新店考核-B-a-②呈现-业绩明细表-③'!G:G,0)</f>
        <v>0</v>
      </c>
      <c r="N119" s="58" t="str">
        <f>LOOKUP(M119,'②提成标准-B-a-①-增加'!$M$1:$M$4,'②提成标准-B-a-①-增加'!$O$1:$O$4)</f>
        <v>同老店</v>
      </c>
      <c r="O119" s="57">
        <f>_xlfn.XLOOKUP(E119,'③新店考核-B-a-②呈现-业绩明细表-③'!B:B,'③新店考核-B-a-②呈现-业绩明细表-③'!H:H,0)</f>
        <v>0</v>
      </c>
      <c r="P119" s="57">
        <f t="shared" si="17"/>
        <v>26300.6</v>
      </c>
      <c r="Q119" s="53">
        <f>_xlfn.XLOOKUP(E119,'④考勤-B-a-26考勤汇总表'!D:D,'④考勤-B-a-26考勤汇总表'!AP:AP,0)</f>
        <v>31</v>
      </c>
      <c r="R119" s="53" t="str">
        <f t="shared" si="23"/>
        <v/>
      </c>
      <c r="S119" s="53">
        <f t="shared" si="24"/>
        <v>52700.6</v>
      </c>
      <c r="T119" s="53">
        <v>26300.6</v>
      </c>
      <c r="U119" s="53">
        <v>26400</v>
      </c>
      <c r="V119" s="53">
        <v>0</v>
      </c>
      <c r="W119" s="53">
        <f>_xlfn.XLOOKUP(E119,'⑤项目数-B-a-③消耗明细表'!C:C,'⑤项目数-B-a-③消耗明细表'!E:E,0)</f>
        <v>26242.55</v>
      </c>
      <c r="X119" s="53">
        <f>_xlfn.XLOOKUP(E119,'⑤项目数-B-a-③消耗明细表'!C:C,'⑤项目数-B-a-③消耗明细表'!D:D,0)</f>
        <v>104</v>
      </c>
      <c r="Y119" s="53">
        <f>_xlfn.XLOOKUP(E119,'⑤项目数-B-a-③消耗明细表'!C:C,'⑤项目数-B-a-③消耗明细表'!F:F,0)</f>
        <v>1394</v>
      </c>
      <c r="Z119" s="53">
        <f>_xlfn.XLOOKUP(E119,'⑤项目数-B-a-③消耗明细表'!C:C,'⑤项目数-B-a-③消耗明细表'!G:G,0)</f>
        <v>130</v>
      </c>
      <c r="AA119" s="84">
        <f t="shared" si="29"/>
        <v>1</v>
      </c>
      <c r="AB119" s="84">
        <f t="shared" si="30"/>
        <v>1</v>
      </c>
      <c r="AC119" s="53">
        <f>_xlfn.XLOOKUP(F119,'⑥战队统计表-B-a-②呈现-业绩明细表④'!A:A,'⑥战队统计表-B-a-②呈现-业绩明细表④'!B:B,0)</f>
        <v>2</v>
      </c>
      <c r="AD119" s="53" t="str">
        <f t="shared" si="25"/>
        <v/>
      </c>
      <c r="AE119" s="59">
        <f>IF(AD119="",_xlfn.XLOOKUP(F119,'⑥战队统计表-B-a-②呈现-业绩明细表④'!A:A,'⑥战队统计表-B-a-②呈现-业绩明细表④'!D:D,0),0)</f>
        <v>0.05</v>
      </c>
      <c r="AF119" s="85">
        <f>IF(AND(E119="T区",E119="门店T区"),"",IF(AD119="",0,IF(R119="",LOOKUP(S119,'②提成标准-B-a-①-增加'!$B$16:$B$20,'②提成标准-B-a-①-增加'!$D$16:$D$20),LOOKUP(S119/Q119,'②提成标准-B-a-①-增加'!$B$23:$B$27,'②提成标准-B-a-①-增加'!$D$23:$D$27))))</f>
        <v>0</v>
      </c>
      <c r="AG119" s="85">
        <f t="shared" si="20"/>
        <v>0.05</v>
      </c>
      <c r="AH119" s="60">
        <f t="shared" si="26"/>
        <v>1249.2784999999999</v>
      </c>
      <c r="AI119" s="86">
        <f t="shared" si="27"/>
        <v>815.1</v>
      </c>
      <c r="AJ119" s="60">
        <f t="shared" si="28"/>
        <v>2064.3784999999998</v>
      </c>
      <c r="AK119" s="87">
        <f>IF(AB119=1,IFERROR(S119/VLOOKUP(F119,'⑥战队统计表-B-a-②呈现-业绩明细表④'!A:C,3,0),0),0)</f>
        <v>0.85026201324263972</v>
      </c>
      <c r="AL119" s="85">
        <f t="shared" si="21"/>
        <v>0.14973798675736025</v>
      </c>
      <c r="AM119" s="53">
        <f>IF(D119="顾问",_xlfn.XLOOKUP(F119,'⑥战队统计表-B-a-②呈现-业绩明细表④'!A:A,'⑥战队统计表-B-a-②呈现-业绩明细表④'!H:H,0),"")</f>
        <v>0</v>
      </c>
      <c r="AN119" s="53" t="str">
        <f t="shared" si="31"/>
        <v>涌泉+进钱队</v>
      </c>
    </row>
    <row r="120" spans="1:40" hidden="1" x14ac:dyDescent="0.15">
      <c r="A120" s="79" t="s">
        <v>428</v>
      </c>
      <c r="B120" s="80" t="s">
        <v>136</v>
      </c>
      <c r="C120" s="81" t="s">
        <v>140</v>
      </c>
      <c r="D120" s="82" t="s">
        <v>6</v>
      </c>
      <c r="E120" s="107" t="s">
        <v>142</v>
      </c>
      <c r="F120" s="53" t="str">
        <f t="shared" si="15"/>
        <v>涌泉+进钱队</v>
      </c>
      <c r="G120" s="53">
        <f>IFERROR(_xlfn.XLOOKUP(B120,'①门店信息-A-a-①-增加'!B:B,'①门店信息-A-a-①-增加'!E:E,0),"")</f>
        <v>0</v>
      </c>
      <c r="H120" s="54">
        <f>_xlfn.XLOOKUP(B120,'①门店信息-A-a-①-增加'!B:B,'①门店信息-A-a-①-增加'!F:F,0)</f>
        <v>0</v>
      </c>
      <c r="I120" s="55">
        <f>_xlfn.XLOOKUP(E120,'③新店考核-B-a-②呈现-业绩明细表-③'!B:B,'③新店考核-B-a-②呈现-业绩明细表-③'!E:E,0)</f>
        <v>0</v>
      </c>
      <c r="J120" s="54">
        <f>_xlfn.XLOOKUP(E120,'③新店考核-B-a-②呈现-业绩明细表-③'!B:B,'③新店考核-B-a-②呈现-业绩明细表-③'!F:F,0)</f>
        <v>0</v>
      </c>
      <c r="K120" s="55">
        <f>IF(H120="新店一阶段",LOOKUP(I120,'②提成标准-B-a-①-增加'!$M$9:$M$12,'②提成标准-B-a-①-增加'!$O$9:$O$12),0)</f>
        <v>0</v>
      </c>
      <c r="L120" s="56">
        <f t="shared" si="16"/>
        <v>0</v>
      </c>
      <c r="M120" s="57">
        <f>_xlfn.XLOOKUP(E120,'③新店考核-B-a-②呈现-业绩明细表-③'!B:B,'③新店考核-B-a-②呈现-业绩明细表-③'!G:G,0)</f>
        <v>0</v>
      </c>
      <c r="N120" s="58" t="str">
        <f>LOOKUP(M120,'②提成标准-B-a-①-增加'!$M$1:$M$4,'②提成标准-B-a-①-增加'!$O$1:$O$4)</f>
        <v>同老店</v>
      </c>
      <c r="O120" s="57">
        <f>_xlfn.XLOOKUP(E120,'③新店考核-B-a-②呈现-业绩明细表-③'!B:B,'③新店考核-B-a-②呈现-业绩明细表-③'!H:H,0)</f>
        <v>0</v>
      </c>
      <c r="P120" s="57">
        <f t="shared" si="17"/>
        <v>0</v>
      </c>
      <c r="Q120" s="53">
        <f>_xlfn.XLOOKUP(E120,'④考勤-B-a-26考勤汇总表'!D:D,'④考勤-B-a-26考勤汇总表'!AP:AP,0)</f>
        <v>0</v>
      </c>
      <c r="R120" s="53" t="str">
        <f t="shared" si="23"/>
        <v/>
      </c>
      <c r="S120" s="53">
        <f t="shared" si="24"/>
        <v>0</v>
      </c>
      <c r="T120" s="53">
        <v>0</v>
      </c>
      <c r="U120" s="53">
        <v>0</v>
      </c>
      <c r="V120" s="53">
        <v>0</v>
      </c>
      <c r="W120" s="53">
        <f>_xlfn.XLOOKUP(E120,'⑤项目数-B-a-③消耗明细表'!C:C,'⑤项目数-B-a-③消耗明细表'!E:E,0)</f>
        <v>0</v>
      </c>
      <c r="X120" s="53">
        <f>_xlfn.XLOOKUP(E120,'⑤项目数-B-a-③消耗明细表'!C:C,'⑤项目数-B-a-③消耗明细表'!D:D,0)</f>
        <v>0</v>
      </c>
      <c r="Y120" s="53">
        <f>_xlfn.XLOOKUP(E120,'⑤项目数-B-a-③消耗明细表'!C:C,'⑤项目数-B-a-③消耗明细表'!F:F,0)</f>
        <v>0</v>
      </c>
      <c r="Z120" s="53">
        <f>_xlfn.XLOOKUP(E120,'⑤项目数-B-a-③消耗明细表'!C:C,'⑤项目数-B-a-③消耗明细表'!G:G,0)</f>
        <v>0</v>
      </c>
      <c r="AA120" s="84">
        <f t="shared" si="29"/>
        <v>1</v>
      </c>
      <c r="AB120" s="84">
        <f t="shared" si="30"/>
        <v>0</v>
      </c>
      <c r="AC120" s="53">
        <f>_xlfn.XLOOKUP(F120,'⑥战队统计表-B-a-②呈现-业绩明细表④'!A:A,'⑥战队统计表-B-a-②呈现-业绩明细表④'!B:B,0)</f>
        <v>2</v>
      </c>
      <c r="AD120" s="53">
        <f t="shared" si="25"/>
        <v>1</v>
      </c>
      <c r="AE120" s="59">
        <f>IF(AD120="",_xlfn.XLOOKUP(F120,'⑥战队统计表-B-a-②呈现-业绩明细表④'!A:A,'⑥战队统计表-B-a-②呈现-业绩明细表④'!D:D,0),0)</f>
        <v>0</v>
      </c>
      <c r="AF120" s="85">
        <f>IF(AND(E120="T区",E120="门店T区"),"",IF(AD120="",0,IF(R120="",LOOKUP(S120,'②提成标准-B-a-①-增加'!$B$16:$B$20,'②提成标准-B-a-①-增加'!$D$16:$D$20),LOOKUP(S120/Q120,'②提成标准-B-a-①-增加'!$B$23:$B$27,'②提成标准-B-a-①-增加'!$D$23:$D$27))))</f>
        <v>0</v>
      </c>
      <c r="AG120" s="85">
        <f t="shared" si="20"/>
        <v>0</v>
      </c>
      <c r="AH120" s="60">
        <f t="shared" si="26"/>
        <v>0</v>
      </c>
      <c r="AI120" s="86">
        <f t="shared" si="27"/>
        <v>0</v>
      </c>
      <c r="AJ120" s="60">
        <f t="shared" si="28"/>
        <v>0</v>
      </c>
      <c r="AK120" s="87">
        <f>IF(AB120=1,IFERROR(S120/VLOOKUP(F120,'⑥战队统计表-B-a-②呈现-业绩明细表④'!A:C,3,0),0),0)</f>
        <v>0</v>
      </c>
      <c r="AL120" s="85" t="str">
        <f t="shared" si="21"/>
        <v/>
      </c>
      <c r="AM120" s="53" t="str">
        <f>IF(D120="顾问",_xlfn.XLOOKUP(F120,'⑥战队统计表-B-a-②呈现-业绩明细表④'!A:A,'⑥战队统计表-B-a-②呈现-业绩明细表④'!H:H,0),"")</f>
        <v/>
      </c>
      <c r="AN120" s="53" t="str">
        <f t="shared" si="31"/>
        <v>单人</v>
      </c>
    </row>
    <row r="121" spans="1:40" hidden="1" x14ac:dyDescent="0.15">
      <c r="A121" s="79" t="s">
        <v>428</v>
      </c>
      <c r="B121" s="80" t="s">
        <v>136</v>
      </c>
      <c r="C121" s="81" t="s">
        <v>140</v>
      </c>
      <c r="D121" s="82" t="s">
        <v>6</v>
      </c>
      <c r="E121" s="82" t="s">
        <v>143</v>
      </c>
      <c r="F121" s="53" t="str">
        <f t="shared" si="15"/>
        <v>涌泉+进钱队</v>
      </c>
      <c r="G121" s="53">
        <f>IFERROR(_xlfn.XLOOKUP(B121,'①门店信息-A-a-①-增加'!B:B,'①门店信息-A-a-①-增加'!E:E,0),"")</f>
        <v>0</v>
      </c>
      <c r="H121" s="54">
        <f>_xlfn.XLOOKUP(B121,'①门店信息-A-a-①-增加'!B:B,'①门店信息-A-a-①-增加'!F:F,0)</f>
        <v>0</v>
      </c>
      <c r="I121" s="55">
        <f>_xlfn.XLOOKUP(E121,'③新店考核-B-a-②呈现-业绩明细表-③'!B:B,'③新店考核-B-a-②呈现-业绩明细表-③'!E:E,0)</f>
        <v>0</v>
      </c>
      <c r="J121" s="54">
        <f>_xlfn.XLOOKUP(E121,'③新店考核-B-a-②呈现-业绩明细表-③'!B:B,'③新店考核-B-a-②呈现-业绩明细表-③'!F:F,0)</f>
        <v>0</v>
      </c>
      <c r="K121" s="55">
        <f>IF(H121="新店一阶段",LOOKUP(I121,'②提成标准-B-a-①-增加'!$M$9:$M$12,'②提成标准-B-a-①-增加'!$O$9:$O$12),0)</f>
        <v>0</v>
      </c>
      <c r="L121" s="56">
        <f t="shared" si="16"/>
        <v>8381</v>
      </c>
      <c r="M121" s="57">
        <f>_xlfn.XLOOKUP(E121,'③新店考核-B-a-②呈现-业绩明细表-③'!B:B,'③新店考核-B-a-②呈现-业绩明细表-③'!G:G,0)</f>
        <v>0</v>
      </c>
      <c r="N121" s="58" t="str">
        <f>LOOKUP(M121,'②提成标准-B-a-①-增加'!$M$1:$M$4,'②提成标准-B-a-①-增加'!$O$1:$O$4)</f>
        <v>同老店</v>
      </c>
      <c r="O121" s="57">
        <f>_xlfn.XLOOKUP(E121,'③新店考核-B-a-②呈现-业绩明细表-③'!B:B,'③新店考核-B-a-②呈现-业绩明细表-③'!H:H,0)</f>
        <v>0</v>
      </c>
      <c r="P121" s="57">
        <f t="shared" si="17"/>
        <v>8381</v>
      </c>
      <c r="Q121" s="53">
        <f>_xlfn.XLOOKUP(E121,'④考勤-B-a-26考勤汇总表'!D:D,'④考勤-B-a-26考勤汇总表'!AP:AP,0)</f>
        <v>31</v>
      </c>
      <c r="R121" s="53" t="str">
        <f t="shared" si="23"/>
        <v/>
      </c>
      <c r="S121" s="53">
        <f t="shared" si="24"/>
        <v>9281</v>
      </c>
      <c r="T121" s="53">
        <v>8381</v>
      </c>
      <c r="U121" s="53">
        <v>900</v>
      </c>
      <c r="V121" s="53">
        <v>0</v>
      </c>
      <c r="W121" s="53">
        <f>_xlfn.XLOOKUP(E121,'⑤项目数-B-a-③消耗明细表'!C:C,'⑤项目数-B-a-③消耗明细表'!E:E,0)</f>
        <v>5947.88</v>
      </c>
      <c r="X121" s="53">
        <f>_xlfn.XLOOKUP(E121,'⑤项目数-B-a-③消耗明细表'!C:C,'⑤项目数-B-a-③消耗明细表'!D:D,0)</f>
        <v>78</v>
      </c>
      <c r="Y121" s="53">
        <f>_xlfn.XLOOKUP(E121,'⑤项目数-B-a-③消耗明细表'!C:C,'⑤项目数-B-a-③消耗明细表'!F:F,0)</f>
        <v>980</v>
      </c>
      <c r="Z121" s="53">
        <f>_xlfn.XLOOKUP(E121,'⑤项目数-B-a-③消耗明细表'!C:C,'⑤项目数-B-a-③消耗明细表'!G:G,0)</f>
        <v>0</v>
      </c>
      <c r="AA121" s="84">
        <f t="shared" si="29"/>
        <v>1</v>
      </c>
      <c r="AB121" s="84">
        <f t="shared" si="30"/>
        <v>1</v>
      </c>
      <c r="AC121" s="53">
        <f>_xlfn.XLOOKUP(F121,'⑥战队统计表-B-a-②呈现-业绩明细表④'!A:A,'⑥战队统计表-B-a-②呈现-业绩明细表④'!B:B,0)</f>
        <v>2</v>
      </c>
      <c r="AD121" s="53" t="str">
        <f t="shared" si="25"/>
        <v/>
      </c>
      <c r="AE121" s="59">
        <f>IF(AD121="",_xlfn.XLOOKUP(F121,'⑥战队统计表-B-a-②呈现-业绩明细表④'!A:A,'⑥战队统计表-B-a-②呈现-业绩明细表④'!D:D,0),0)</f>
        <v>0.05</v>
      </c>
      <c r="AF121" s="85">
        <f>IF(AND(E121="T区",E121="门店T区"),"",IF(AD121="",0,IF(R121="",LOOKUP(S121,'②提成标准-B-a-①-增加'!$B$16:$B$20,'②提成标准-B-a-①-增加'!$D$16:$D$20),LOOKUP(S121/Q121,'②提成标准-B-a-①-增加'!$B$23:$B$27,'②提成标准-B-a-①-增加'!$D$23:$D$27))))</f>
        <v>0</v>
      </c>
      <c r="AG121" s="85">
        <f t="shared" si="20"/>
        <v>0.05</v>
      </c>
      <c r="AH121" s="60">
        <f t="shared" si="26"/>
        <v>398.09749999999997</v>
      </c>
      <c r="AI121" s="86">
        <f t="shared" si="27"/>
        <v>27.787500000000001</v>
      </c>
      <c r="AJ121" s="60">
        <f t="shared" si="28"/>
        <v>425.88499999999999</v>
      </c>
      <c r="AK121" s="87">
        <f>IF(AB121=1,IFERROR(S121/VLOOKUP(F121,'⑥战队统计表-B-a-②呈现-业绩明细表④'!A:C,3,0),0),0)</f>
        <v>0.14973798675736025</v>
      </c>
      <c r="AL121" s="85" t="str">
        <f t="shared" si="21"/>
        <v/>
      </c>
      <c r="AM121" s="53" t="str">
        <f>IF(D121="顾问",_xlfn.XLOOKUP(F121,'⑥战队统计表-B-a-②呈现-业绩明细表④'!A:A,'⑥战队统计表-B-a-②呈现-业绩明细表④'!H:H,0),"")</f>
        <v/>
      </c>
      <c r="AN121" s="53" t="str">
        <f t="shared" si="31"/>
        <v>涌泉+进钱队</v>
      </c>
    </row>
    <row r="122" spans="1:40" hidden="1" x14ac:dyDescent="0.15">
      <c r="A122" s="79" t="s">
        <v>428</v>
      </c>
      <c r="B122" s="80" t="s">
        <v>136</v>
      </c>
      <c r="C122" s="81" t="s">
        <v>36</v>
      </c>
      <c r="D122" s="82" t="s">
        <v>36</v>
      </c>
      <c r="E122" s="107" t="s">
        <v>36</v>
      </c>
      <c r="F122" s="53" t="str">
        <f t="shared" si="15"/>
        <v>涌泉+T区</v>
      </c>
      <c r="G122" s="53">
        <f>IFERROR(_xlfn.XLOOKUP(B122,'①门店信息-A-a-①-增加'!B:B,'①门店信息-A-a-①-增加'!E:E,0),"")</f>
        <v>0</v>
      </c>
      <c r="H122" s="54">
        <f>_xlfn.XLOOKUP(B122,'①门店信息-A-a-①-增加'!B:B,'①门店信息-A-a-①-增加'!F:F,0)</f>
        <v>0</v>
      </c>
      <c r="I122" s="55">
        <f>_xlfn.XLOOKUP(E122,'③新店考核-B-a-②呈现-业绩明细表-③'!B:B,'③新店考核-B-a-②呈现-业绩明细表-③'!E:E,0)</f>
        <v>0</v>
      </c>
      <c r="J122" s="54">
        <f>_xlfn.XLOOKUP(E122,'③新店考核-B-a-②呈现-业绩明细表-③'!B:B,'③新店考核-B-a-②呈现-业绩明细表-③'!F:F,0)</f>
        <v>0</v>
      </c>
      <c r="K122" s="55">
        <f>IF(H122="新店一阶段",LOOKUP(I122,'②提成标准-B-a-①-增加'!$M$9:$M$12,'②提成标准-B-a-①-增加'!$O$9:$O$12),0)</f>
        <v>0</v>
      </c>
      <c r="L122" s="56">
        <f t="shared" si="16"/>
        <v>0</v>
      </c>
      <c r="M122" s="57">
        <f>_xlfn.XLOOKUP(E122,'③新店考核-B-a-②呈现-业绩明细表-③'!B:B,'③新店考核-B-a-②呈现-业绩明细表-③'!G:G,0)</f>
        <v>0</v>
      </c>
      <c r="N122" s="58" t="str">
        <f>LOOKUP(M122,'②提成标准-B-a-①-增加'!$M$1:$M$4,'②提成标准-B-a-①-增加'!$O$1:$O$4)</f>
        <v>同老店</v>
      </c>
      <c r="O122" s="57">
        <f>_xlfn.XLOOKUP(E122,'③新店考核-B-a-②呈现-业绩明细表-③'!B:B,'③新店考核-B-a-②呈现-业绩明细表-③'!H:H,0)</f>
        <v>0</v>
      </c>
      <c r="P122" s="57">
        <f t="shared" si="17"/>
        <v>0</v>
      </c>
      <c r="Q122" s="53">
        <f>_xlfn.XLOOKUP(E122,'④考勤-B-a-26考勤汇总表'!D:D,'④考勤-B-a-26考勤汇总表'!AP:AP,0)</f>
        <v>0</v>
      </c>
      <c r="R122" s="53" t="str">
        <f t="shared" si="23"/>
        <v/>
      </c>
      <c r="S122" s="53">
        <f t="shared" si="24"/>
        <v>0</v>
      </c>
      <c r="T122" s="53">
        <v>0</v>
      </c>
      <c r="U122" s="53">
        <v>0</v>
      </c>
      <c r="V122" s="53">
        <v>0</v>
      </c>
      <c r="W122" s="53">
        <f>_xlfn.XLOOKUP(E122,'⑤项目数-B-a-③消耗明细表'!C:C,'⑤项目数-B-a-③消耗明细表'!E:E,0)</f>
        <v>0</v>
      </c>
      <c r="X122" s="53">
        <f>_xlfn.XLOOKUP(E122,'⑤项目数-B-a-③消耗明细表'!C:C,'⑤项目数-B-a-③消耗明细表'!D:D,0)</f>
        <v>0</v>
      </c>
      <c r="Y122" s="53">
        <f>_xlfn.XLOOKUP(E122,'⑤项目数-B-a-③消耗明细表'!C:C,'⑤项目数-B-a-③消耗明细表'!F:F,0)</f>
        <v>0</v>
      </c>
      <c r="Z122" s="53">
        <f>_xlfn.XLOOKUP(E122,'⑤项目数-B-a-③消耗明细表'!C:C,'⑤项目数-B-a-③消耗明细表'!G:G,0)</f>
        <v>0</v>
      </c>
      <c r="AA122" s="84" t="str">
        <f t="shared" si="29"/>
        <v>不属于战队</v>
      </c>
      <c r="AB122" s="84">
        <f t="shared" si="30"/>
        <v>0</v>
      </c>
      <c r="AC122" s="53">
        <f>_xlfn.XLOOKUP(F122,'⑥战队统计表-B-a-②呈现-业绩明细表④'!A:A,'⑥战队统计表-B-a-②呈现-业绩明细表④'!B:B,0)</f>
        <v>0</v>
      </c>
      <c r="AD122" s="53">
        <f t="shared" si="25"/>
        <v>1</v>
      </c>
      <c r="AE122" s="59">
        <f>IF(AD122="",_xlfn.XLOOKUP(F122,'⑥战队统计表-B-a-②呈现-业绩明细表④'!A:A,'⑥战队统计表-B-a-②呈现-业绩明细表④'!D:D,0),0)</f>
        <v>0</v>
      </c>
      <c r="AF122" s="85">
        <f>IF(AND(E122="T区",E122="门店T区"),"",IF(AD122="",0,IF(R122="",LOOKUP(S122,'②提成标准-B-a-①-增加'!$B$16:$B$20,'②提成标准-B-a-①-增加'!$D$16:$D$20),LOOKUP(S122/Q122,'②提成标准-B-a-①-增加'!$B$23:$B$27,'②提成标准-B-a-①-增加'!$D$23:$D$27))))</f>
        <v>0</v>
      </c>
      <c r="AG122" s="85">
        <f t="shared" si="20"/>
        <v>0</v>
      </c>
      <c r="AH122" s="60">
        <f t="shared" si="26"/>
        <v>0</v>
      </c>
      <c r="AI122" s="86">
        <f t="shared" si="27"/>
        <v>0</v>
      </c>
      <c r="AJ122" s="60">
        <f t="shared" si="28"/>
        <v>0</v>
      </c>
      <c r="AK122" s="87">
        <f>IF(AB122=1,IFERROR(S122/VLOOKUP(F122,'⑥战队统计表-B-a-②呈现-业绩明细表④'!A:C,3,0),0),0)</f>
        <v>0</v>
      </c>
      <c r="AL122" s="85" t="str">
        <f t="shared" si="21"/>
        <v/>
      </c>
      <c r="AM122" s="53" t="str">
        <f>IF(D122="顾问",_xlfn.XLOOKUP(F122,'⑥战队统计表-B-a-②呈现-业绩明细表④'!A:A,'⑥战队统计表-B-a-②呈现-业绩明细表④'!H:H,0),"")</f>
        <v/>
      </c>
      <c r="AN122" s="53" t="str">
        <f t="shared" si="31"/>
        <v>单人</v>
      </c>
    </row>
    <row r="123" spans="1:40" hidden="1" x14ac:dyDescent="0.15">
      <c r="A123" s="79" t="s">
        <v>428</v>
      </c>
      <c r="B123" s="80" t="s">
        <v>136</v>
      </c>
      <c r="C123" s="89" t="s">
        <v>50</v>
      </c>
      <c r="D123" s="90" t="s">
        <v>6</v>
      </c>
      <c r="E123" s="90" t="s">
        <v>144</v>
      </c>
      <c r="F123" s="53" t="str">
        <f t="shared" si="15"/>
        <v>涌泉+单人</v>
      </c>
      <c r="G123" s="53">
        <f>IFERROR(_xlfn.XLOOKUP(B123,'①门店信息-A-a-①-增加'!B:B,'①门店信息-A-a-①-增加'!E:E,0),"")</f>
        <v>0</v>
      </c>
      <c r="H123" s="54">
        <f>_xlfn.XLOOKUP(B123,'①门店信息-A-a-①-增加'!B:B,'①门店信息-A-a-①-增加'!F:F,0)</f>
        <v>0</v>
      </c>
      <c r="I123" s="55">
        <f>_xlfn.XLOOKUP(E123,'③新店考核-B-a-②呈现-业绩明细表-③'!B:B,'③新店考核-B-a-②呈现-业绩明细表-③'!E:E,0)</f>
        <v>0</v>
      </c>
      <c r="J123" s="54">
        <f>_xlfn.XLOOKUP(E123,'③新店考核-B-a-②呈现-业绩明细表-③'!B:B,'③新店考核-B-a-②呈现-业绩明细表-③'!F:F,0)</f>
        <v>0</v>
      </c>
      <c r="K123" s="55">
        <f>IF(H123="新店一阶段",LOOKUP(I123,'②提成标准-B-a-①-增加'!$M$9:$M$12,'②提成标准-B-a-①-增加'!$O$9:$O$12),0)</f>
        <v>0</v>
      </c>
      <c r="L123" s="56">
        <f t="shared" si="16"/>
        <v>872</v>
      </c>
      <c r="M123" s="57">
        <f>_xlfn.XLOOKUP(E123,'③新店考核-B-a-②呈现-业绩明细表-③'!B:B,'③新店考核-B-a-②呈现-业绩明细表-③'!G:G,0)</f>
        <v>0</v>
      </c>
      <c r="N123" s="58" t="str">
        <f>LOOKUP(M123,'②提成标准-B-a-①-增加'!$M$1:$M$4,'②提成标准-B-a-①-增加'!$O$1:$O$4)</f>
        <v>同老店</v>
      </c>
      <c r="O123" s="57">
        <f>_xlfn.XLOOKUP(E123,'③新店考核-B-a-②呈现-业绩明细表-③'!B:B,'③新店考核-B-a-②呈现-业绩明细表-③'!H:H,0)</f>
        <v>0</v>
      </c>
      <c r="P123" s="57">
        <f t="shared" si="17"/>
        <v>872</v>
      </c>
      <c r="Q123" s="53">
        <f>_xlfn.XLOOKUP(E123,'④考勤-B-a-26考勤汇总表'!D:D,'④考勤-B-a-26考勤汇总表'!AP:AP,0)</f>
        <v>31</v>
      </c>
      <c r="R123" s="53" t="str">
        <f t="shared" si="23"/>
        <v/>
      </c>
      <c r="S123" s="53">
        <f t="shared" si="24"/>
        <v>1316</v>
      </c>
      <c r="T123" s="53">
        <v>872</v>
      </c>
      <c r="U123" s="53">
        <v>0</v>
      </c>
      <c r="V123" s="53">
        <v>444</v>
      </c>
      <c r="W123" s="53">
        <f>_xlfn.XLOOKUP(E123,'⑤项目数-B-a-③消耗明细表'!C:C,'⑤项目数-B-a-③消耗明细表'!E:E,0)</f>
        <v>5032.04</v>
      </c>
      <c r="X123" s="53">
        <f>_xlfn.XLOOKUP(E123,'⑤项目数-B-a-③消耗明细表'!C:C,'⑤项目数-B-a-③消耗明细表'!D:D,0)</f>
        <v>70.5</v>
      </c>
      <c r="Y123" s="53">
        <f>_xlfn.XLOOKUP(E123,'⑤项目数-B-a-③消耗明细表'!C:C,'⑤项目数-B-a-③消耗明细表'!F:F,0)</f>
        <v>963</v>
      </c>
      <c r="Z123" s="53">
        <f>_xlfn.XLOOKUP(E123,'⑤项目数-B-a-③消耗明细表'!C:C,'⑤项目数-B-a-③消耗明细表'!G:G,0)</f>
        <v>0</v>
      </c>
      <c r="AA123" s="84" t="str">
        <f t="shared" si="29"/>
        <v>单人</v>
      </c>
      <c r="AB123" s="84">
        <f t="shared" si="30"/>
        <v>0</v>
      </c>
      <c r="AC123" s="53">
        <f>_xlfn.XLOOKUP(F123,'⑥战队统计表-B-a-②呈现-业绩明细表④'!A:A,'⑥战队统计表-B-a-②呈现-业绩明细表④'!B:B,0)</f>
        <v>0</v>
      </c>
      <c r="AD123" s="53">
        <f t="shared" si="25"/>
        <v>1</v>
      </c>
      <c r="AE123" s="59">
        <f>IF(AD123="",_xlfn.XLOOKUP(F123,'⑥战队统计表-B-a-②呈现-业绩明细表④'!A:A,'⑥战队统计表-B-a-②呈现-业绩明细表④'!D:D,0),0)</f>
        <v>0</v>
      </c>
      <c r="AF123" s="85">
        <f>IF(AND(E123="T区",E123="门店T区"),"",IF(AD123="",0,IF(R123="",LOOKUP(S123,'②提成标准-B-a-①-增加'!$B$16:$B$20,'②提成标准-B-a-①-增加'!$D$16:$D$20),LOOKUP(S123/Q123,'②提成标准-B-a-①-增加'!$B$23:$B$27,'②提成标准-B-a-①-增加'!$D$23:$D$27))))</f>
        <v>0</v>
      </c>
      <c r="AG123" s="85">
        <f t="shared" si="20"/>
        <v>0</v>
      </c>
      <c r="AH123" s="60">
        <f t="shared" si="26"/>
        <v>0</v>
      </c>
      <c r="AI123" s="86">
        <f t="shared" si="27"/>
        <v>0</v>
      </c>
      <c r="AJ123" s="60">
        <f t="shared" si="28"/>
        <v>0</v>
      </c>
      <c r="AK123" s="87">
        <f>IF(AB123=1,IFERROR(S123/VLOOKUP(F123,'⑥战队统计表-B-a-②呈现-业绩明细表④'!A:C,3,0),0),0)</f>
        <v>0</v>
      </c>
      <c r="AL123" s="85" t="str">
        <f t="shared" si="21"/>
        <v/>
      </c>
      <c r="AM123" s="53" t="str">
        <f>IF(D123="顾问",_xlfn.XLOOKUP(F123,'⑥战队统计表-B-a-②呈现-业绩明细表④'!A:A,'⑥战队统计表-B-a-②呈现-业绩明细表④'!H:H,0),"")</f>
        <v/>
      </c>
      <c r="AN123" s="53" t="str">
        <f t="shared" si="31"/>
        <v>单人</v>
      </c>
    </row>
    <row r="124" spans="1:40" hidden="1" x14ac:dyDescent="0.15">
      <c r="A124" s="79" t="s">
        <v>428</v>
      </c>
      <c r="B124" s="80" t="s">
        <v>136</v>
      </c>
      <c r="C124" s="81" t="s">
        <v>40</v>
      </c>
      <c r="D124" s="82" t="s">
        <v>40</v>
      </c>
      <c r="E124" s="88" t="str">
        <f>F124</f>
        <v>涌泉+门店T区</v>
      </c>
      <c r="F124" s="53" t="str">
        <f t="shared" si="15"/>
        <v>涌泉+门店T区</v>
      </c>
      <c r="G124" s="53">
        <f>IFERROR(_xlfn.XLOOKUP(B124,'①门店信息-A-a-①-增加'!B:B,'①门店信息-A-a-①-增加'!E:E,0),"")</f>
        <v>0</v>
      </c>
      <c r="H124" s="54">
        <f>_xlfn.XLOOKUP(B124,'①门店信息-A-a-①-增加'!B:B,'①门店信息-A-a-①-增加'!F:F,0)</f>
        <v>0</v>
      </c>
      <c r="I124" s="55">
        <f>_xlfn.XLOOKUP(E124,'③新店考核-B-a-②呈现-业绩明细表-③'!B:B,'③新店考核-B-a-②呈现-业绩明细表-③'!E:E,0)</f>
        <v>0</v>
      </c>
      <c r="J124" s="54">
        <f>_xlfn.XLOOKUP(E124,'③新店考核-B-a-②呈现-业绩明细表-③'!B:B,'③新店考核-B-a-②呈现-业绩明细表-③'!F:F,0)</f>
        <v>0</v>
      </c>
      <c r="K124" s="55">
        <f>IF(H124="新店一阶段",LOOKUP(I124,'②提成标准-B-a-①-增加'!$M$9:$M$12,'②提成标准-B-a-①-增加'!$O$9:$O$12),0)</f>
        <v>0</v>
      </c>
      <c r="L124" s="56">
        <f t="shared" si="16"/>
        <v>0</v>
      </c>
      <c r="M124" s="57">
        <f>_xlfn.XLOOKUP(E124,'③新店考核-B-a-②呈现-业绩明细表-③'!B:B,'③新店考核-B-a-②呈现-业绩明细表-③'!G:G,0)</f>
        <v>0</v>
      </c>
      <c r="N124" s="58" t="str">
        <f>LOOKUP(M124,'②提成标准-B-a-①-增加'!$M$1:$M$4,'②提成标准-B-a-①-增加'!$O$1:$O$4)</f>
        <v>同老店</v>
      </c>
      <c r="O124" s="57">
        <f>_xlfn.XLOOKUP(E124,'③新店考核-B-a-②呈现-业绩明细表-③'!B:B,'③新店考核-B-a-②呈现-业绩明细表-③'!H:H,0)</f>
        <v>0</v>
      </c>
      <c r="P124" s="57">
        <f t="shared" si="17"/>
        <v>0</v>
      </c>
      <c r="Q124" s="53">
        <f>_xlfn.XLOOKUP(E124,'④考勤-B-a-26考勤汇总表'!D:D,'④考勤-B-a-26考勤汇总表'!AP:AP,0)</f>
        <v>0</v>
      </c>
      <c r="R124" s="53" t="str">
        <f t="shared" si="23"/>
        <v/>
      </c>
      <c r="S124" s="53">
        <f t="shared" si="24"/>
        <v>0</v>
      </c>
      <c r="T124" s="53">
        <v>0</v>
      </c>
      <c r="U124" s="53">
        <v>0</v>
      </c>
      <c r="V124" s="53">
        <v>0</v>
      </c>
      <c r="W124" s="53">
        <f>_xlfn.XLOOKUP(E124,'⑤项目数-B-a-③消耗明细表'!C:C,'⑤项目数-B-a-③消耗明细表'!E:E,0)</f>
        <v>0</v>
      </c>
      <c r="X124" s="53">
        <f>_xlfn.XLOOKUP(E124,'⑤项目数-B-a-③消耗明细表'!C:C,'⑤项目数-B-a-③消耗明细表'!D:D,0)</f>
        <v>0</v>
      </c>
      <c r="Y124" s="53">
        <f>_xlfn.XLOOKUP(E124,'⑤项目数-B-a-③消耗明细表'!C:C,'⑤项目数-B-a-③消耗明细表'!F:F,0)</f>
        <v>0</v>
      </c>
      <c r="Z124" s="53">
        <f>_xlfn.XLOOKUP(E124,'⑤项目数-B-a-③消耗明细表'!C:C,'⑤项目数-B-a-③消耗明细表'!G:G,0)</f>
        <v>0</v>
      </c>
      <c r="AA124" s="84">
        <f t="shared" si="29"/>
        <v>1</v>
      </c>
      <c r="AB124" s="84">
        <f t="shared" si="30"/>
        <v>0</v>
      </c>
      <c r="AC124" s="53">
        <f>_xlfn.XLOOKUP(F124,'⑥战队统计表-B-a-②呈现-业绩明细表④'!A:A,'⑥战队统计表-B-a-②呈现-业绩明细表④'!B:B,0)</f>
        <v>0</v>
      </c>
      <c r="AD124" s="53">
        <f t="shared" si="25"/>
        <v>1</v>
      </c>
      <c r="AE124" s="59">
        <f>IF(AD124="",_xlfn.XLOOKUP(F124,'⑥战队统计表-B-a-②呈现-业绩明细表④'!A:A,'⑥战队统计表-B-a-②呈现-业绩明细表④'!D:D,0),0)</f>
        <v>0</v>
      </c>
      <c r="AF124" s="85">
        <f>IF(AND(E124="T区",E124="门店T区"),"",IF(AD124="",0,IF(R124="",LOOKUP(S124,'②提成标准-B-a-①-增加'!$B$16:$B$20,'②提成标准-B-a-①-增加'!$D$16:$D$20),LOOKUP(S124/Q124,'②提成标准-B-a-①-增加'!$B$23:$B$27,'②提成标准-B-a-①-增加'!$D$23:$D$27))))</f>
        <v>0</v>
      </c>
      <c r="AG124" s="85">
        <f t="shared" si="20"/>
        <v>0</v>
      </c>
      <c r="AH124" s="60">
        <f t="shared" si="26"/>
        <v>0</v>
      </c>
      <c r="AI124" s="86">
        <f t="shared" si="27"/>
        <v>0</v>
      </c>
      <c r="AJ124" s="60">
        <f t="shared" si="28"/>
        <v>0</v>
      </c>
      <c r="AK124" s="87">
        <f>IF(AB124=1,IFERROR(S124/VLOOKUP(F124,'⑥战队统计表-B-a-②呈现-业绩明细表④'!A:C,3,0),0),0)</f>
        <v>0</v>
      </c>
      <c r="AL124" s="85" t="str">
        <f t="shared" si="21"/>
        <v/>
      </c>
      <c r="AM124" s="53" t="str">
        <f>IF(D124="顾问",_xlfn.XLOOKUP(F124,'⑥战队统计表-B-a-②呈现-业绩明细表④'!A:A,'⑥战队统计表-B-a-②呈现-业绩明细表④'!H:H,0),"")</f>
        <v/>
      </c>
      <c r="AN124" s="53" t="str">
        <f t="shared" si="31"/>
        <v>单人</v>
      </c>
    </row>
    <row r="125" spans="1:40" hidden="1" x14ac:dyDescent="0.15">
      <c r="A125" s="79" t="s">
        <v>428</v>
      </c>
      <c r="B125" s="80" t="s">
        <v>145</v>
      </c>
      <c r="C125" s="81" t="s">
        <v>146</v>
      </c>
      <c r="D125" s="82" t="s">
        <v>32</v>
      </c>
      <c r="E125" s="82" t="s">
        <v>147</v>
      </c>
      <c r="F125" s="53" t="str">
        <f t="shared" si="15"/>
        <v>中和+无敌队</v>
      </c>
      <c r="G125" s="53">
        <f>IFERROR(_xlfn.XLOOKUP(B125,'①门店信息-A-a-①-增加'!B:B,'①门店信息-A-a-①-增加'!E:E,0),"")</f>
        <v>0</v>
      </c>
      <c r="H125" s="54">
        <f>_xlfn.XLOOKUP(B125,'①门店信息-A-a-①-增加'!B:B,'①门店信息-A-a-①-增加'!F:F,0)</f>
        <v>0</v>
      </c>
      <c r="I125" s="55">
        <f>_xlfn.XLOOKUP(E125,'③新店考核-B-a-②呈现-业绩明细表-③'!B:B,'③新店考核-B-a-②呈现-业绩明细表-③'!E:E,0)</f>
        <v>0</v>
      </c>
      <c r="J125" s="54">
        <f>_xlfn.XLOOKUP(E125,'③新店考核-B-a-②呈现-业绩明细表-③'!B:B,'③新店考核-B-a-②呈现-业绩明细表-③'!F:F,0)</f>
        <v>0</v>
      </c>
      <c r="K125" s="55">
        <f>IF(H125="新店一阶段",LOOKUP(I125,'②提成标准-B-a-①-增加'!$M$9:$M$12,'②提成标准-B-a-①-增加'!$O$9:$O$12),0)</f>
        <v>0</v>
      </c>
      <c r="L125" s="56">
        <f t="shared" si="16"/>
        <v>31275.8</v>
      </c>
      <c r="M125" s="57">
        <f>_xlfn.XLOOKUP(E125,'③新店考核-B-a-②呈现-业绩明细表-③'!B:B,'③新店考核-B-a-②呈现-业绩明细表-③'!G:G,0)</f>
        <v>0</v>
      </c>
      <c r="N125" s="58" t="str">
        <f>LOOKUP(M125,'②提成标准-B-a-①-增加'!$M$1:$M$4,'②提成标准-B-a-①-增加'!$O$1:$O$4)</f>
        <v>同老店</v>
      </c>
      <c r="O125" s="57">
        <f>_xlfn.XLOOKUP(E125,'③新店考核-B-a-②呈现-业绩明细表-③'!B:B,'③新店考核-B-a-②呈现-业绩明细表-③'!H:H,0)</f>
        <v>0</v>
      </c>
      <c r="P125" s="57">
        <f t="shared" si="17"/>
        <v>31275.8</v>
      </c>
      <c r="Q125" s="53">
        <f>_xlfn.XLOOKUP(E125,'④考勤-B-a-26考勤汇总表'!D:D,'④考勤-B-a-26考勤汇总表'!AP:AP,0)</f>
        <v>31</v>
      </c>
      <c r="R125" s="53" t="str">
        <f t="shared" si="23"/>
        <v/>
      </c>
      <c r="S125" s="53">
        <f t="shared" si="24"/>
        <v>45903.8</v>
      </c>
      <c r="T125" s="53">
        <v>31275.8</v>
      </c>
      <c r="U125" s="53">
        <v>12852</v>
      </c>
      <c r="V125" s="53">
        <v>1776</v>
      </c>
      <c r="W125" s="53">
        <f>_xlfn.XLOOKUP(E125,'⑤项目数-B-a-③消耗明细表'!C:C,'⑤项目数-B-a-③消耗明细表'!E:E,0)</f>
        <v>21255.46</v>
      </c>
      <c r="X125" s="53">
        <f>_xlfn.XLOOKUP(E125,'⑤项目数-B-a-③消耗明细表'!C:C,'⑤项目数-B-a-③消耗明细表'!D:D,0)</f>
        <v>105.5</v>
      </c>
      <c r="Y125" s="53">
        <f>_xlfn.XLOOKUP(E125,'⑤项目数-B-a-③消耗明细表'!C:C,'⑤项目数-B-a-③消耗明细表'!F:F,0)</f>
        <v>1406</v>
      </c>
      <c r="Z125" s="53">
        <f>_xlfn.XLOOKUP(E125,'⑤项目数-B-a-③消耗明细表'!C:C,'⑤项目数-B-a-③消耗明细表'!G:G,0)</f>
        <v>155</v>
      </c>
      <c r="AA125" s="84">
        <f t="shared" si="29"/>
        <v>1</v>
      </c>
      <c r="AB125" s="84">
        <f t="shared" si="30"/>
        <v>1</v>
      </c>
      <c r="AC125" s="53">
        <f>_xlfn.XLOOKUP(F125,'⑥战队统计表-B-a-②呈现-业绩明细表④'!A:A,'⑥战队统计表-B-a-②呈现-业绩明细表④'!B:B,0)</f>
        <v>2</v>
      </c>
      <c r="AD125" s="53" t="str">
        <f t="shared" si="25"/>
        <v/>
      </c>
      <c r="AE125" s="59">
        <f>IF(AD125="",_xlfn.XLOOKUP(F125,'⑥战队统计表-B-a-②呈现-业绩明细表④'!A:A,'⑥战队统计表-B-a-②呈现-业绩明细表④'!D:D,0),0)</f>
        <v>0.05</v>
      </c>
      <c r="AF125" s="85">
        <f>IF(AND(E125="T区",E125="门店T区"),"",IF(AD125="",0,IF(R125="",LOOKUP(S125,'②提成标准-B-a-①-增加'!$B$16:$B$20,'②提成标准-B-a-①-增加'!$D$16:$D$20),LOOKUP(S125/Q125,'②提成标准-B-a-①-增加'!$B$23:$B$27,'②提成标准-B-a-①-增加'!$D$23:$D$27))))</f>
        <v>0</v>
      </c>
      <c r="AG125" s="85">
        <f t="shared" si="20"/>
        <v>0.05</v>
      </c>
      <c r="AH125" s="60">
        <f t="shared" si="26"/>
        <v>1485.6004999999998</v>
      </c>
      <c r="AI125" s="86">
        <f t="shared" si="27"/>
        <v>396.80550000000005</v>
      </c>
      <c r="AJ125" s="60">
        <f t="shared" si="28"/>
        <v>1882.4059999999999</v>
      </c>
      <c r="AK125" s="87">
        <f>IF(AB125=1,IFERROR(S125/VLOOKUP(F125,'⑥战队统计表-B-a-②呈现-业绩明细表④'!A:C,3,0),0),0)</f>
        <v>0.73891319534990041</v>
      </c>
      <c r="AL125" s="85">
        <f t="shared" si="21"/>
        <v>0.26108680465009965</v>
      </c>
      <c r="AM125" s="53">
        <f>IF(D125="顾问",_xlfn.XLOOKUP(F125,'⑥战队统计表-B-a-②呈现-业绩明细表④'!A:A,'⑥战队统计表-B-a-②呈现-业绩明细表④'!H:H,0),"")</f>
        <v>0</v>
      </c>
      <c r="AN125" s="53" t="str">
        <f t="shared" si="31"/>
        <v>中和+无敌队</v>
      </c>
    </row>
    <row r="126" spans="1:40" hidden="1" x14ac:dyDescent="0.15">
      <c r="A126" s="79" t="s">
        <v>428</v>
      </c>
      <c r="B126" s="80" t="s">
        <v>145</v>
      </c>
      <c r="C126" s="81" t="s">
        <v>146</v>
      </c>
      <c r="D126" s="82" t="s">
        <v>6</v>
      </c>
      <c r="E126" s="82" t="s">
        <v>148</v>
      </c>
      <c r="F126" s="53" t="str">
        <f t="shared" si="15"/>
        <v>中和+无敌队</v>
      </c>
      <c r="G126" s="53">
        <f>IFERROR(_xlfn.XLOOKUP(B126,'①门店信息-A-a-①-增加'!B:B,'①门店信息-A-a-①-增加'!E:E,0),"")</f>
        <v>0</v>
      </c>
      <c r="H126" s="54">
        <f>_xlfn.XLOOKUP(B126,'①门店信息-A-a-①-增加'!B:B,'①门店信息-A-a-①-增加'!F:F,0)</f>
        <v>0</v>
      </c>
      <c r="I126" s="55">
        <f>_xlfn.XLOOKUP(E126,'③新店考核-B-a-②呈现-业绩明细表-③'!B:B,'③新店考核-B-a-②呈现-业绩明细表-③'!E:E,0)</f>
        <v>0</v>
      </c>
      <c r="J126" s="54">
        <f>_xlfn.XLOOKUP(E126,'③新店考核-B-a-②呈现-业绩明细表-③'!B:B,'③新店考核-B-a-②呈现-业绩明细表-③'!F:F,0)</f>
        <v>0</v>
      </c>
      <c r="K126" s="55">
        <f>IF(H126="新店一阶段",LOOKUP(I126,'②提成标准-B-a-①-增加'!$M$9:$M$12,'②提成标准-B-a-①-增加'!$O$9:$O$12),0)</f>
        <v>0</v>
      </c>
      <c r="L126" s="56">
        <f t="shared" si="16"/>
        <v>16219.6</v>
      </c>
      <c r="M126" s="57">
        <f>_xlfn.XLOOKUP(E126,'③新店考核-B-a-②呈现-业绩明细表-③'!B:B,'③新店考核-B-a-②呈现-业绩明细表-③'!G:G,0)</f>
        <v>0</v>
      </c>
      <c r="N126" s="58" t="str">
        <f>LOOKUP(M126,'②提成标准-B-a-①-增加'!$M$1:$M$4,'②提成标准-B-a-①-增加'!$O$1:$O$4)</f>
        <v>同老店</v>
      </c>
      <c r="O126" s="57">
        <f>_xlfn.XLOOKUP(E126,'③新店考核-B-a-②呈现-业绩明细表-③'!B:B,'③新店考核-B-a-②呈现-业绩明细表-③'!H:H,0)</f>
        <v>0</v>
      </c>
      <c r="P126" s="57">
        <f t="shared" si="17"/>
        <v>16219.6</v>
      </c>
      <c r="Q126" s="53">
        <f>_xlfn.XLOOKUP(E126,'④考勤-B-a-26考勤汇总表'!D:D,'④考勤-B-a-26考勤汇总表'!AP:AP,0)</f>
        <v>31</v>
      </c>
      <c r="R126" s="53" t="str">
        <f t="shared" si="23"/>
        <v/>
      </c>
      <c r="S126" s="53">
        <f t="shared" si="24"/>
        <v>16219.6</v>
      </c>
      <c r="T126" s="53">
        <v>16219.6</v>
      </c>
      <c r="U126" s="53">
        <v>0</v>
      </c>
      <c r="V126" s="53">
        <v>0</v>
      </c>
      <c r="W126" s="53">
        <f>_xlfn.XLOOKUP(E126,'⑤项目数-B-a-③消耗明细表'!C:C,'⑤项目数-B-a-③消耗明细表'!E:E,0)</f>
        <v>11905.51</v>
      </c>
      <c r="X126" s="53">
        <f>_xlfn.XLOOKUP(E126,'⑤项目数-B-a-③消耗明细表'!C:C,'⑤项目数-B-a-③消耗明细表'!D:D,0)</f>
        <v>101.5</v>
      </c>
      <c r="Y126" s="53">
        <f>_xlfn.XLOOKUP(E126,'⑤项目数-B-a-③消耗明细表'!C:C,'⑤项目数-B-a-③消耗明细表'!F:F,0)</f>
        <v>1339</v>
      </c>
      <c r="Z126" s="53">
        <f>_xlfn.XLOOKUP(E126,'⑤项目数-B-a-③消耗明细表'!C:C,'⑤项目数-B-a-③消耗明细表'!G:G,0)</f>
        <v>90</v>
      </c>
      <c r="AA126" s="84">
        <f t="shared" si="29"/>
        <v>1</v>
      </c>
      <c r="AB126" s="84">
        <f t="shared" si="30"/>
        <v>1</v>
      </c>
      <c r="AC126" s="53">
        <f>_xlfn.XLOOKUP(F126,'⑥战队统计表-B-a-②呈现-业绩明细表④'!A:A,'⑥战队统计表-B-a-②呈现-业绩明细表④'!B:B,0)</f>
        <v>2</v>
      </c>
      <c r="AD126" s="53" t="str">
        <f t="shared" si="25"/>
        <v/>
      </c>
      <c r="AE126" s="59">
        <f>IF(AD126="",_xlfn.XLOOKUP(F126,'⑥战队统计表-B-a-②呈现-业绩明细表④'!A:A,'⑥战队统计表-B-a-②呈现-业绩明细表④'!D:D,0),0)</f>
        <v>0.05</v>
      </c>
      <c r="AF126" s="85">
        <f>IF(AND(E126="T区",E126="门店T区"),"",IF(AD126="",0,IF(R126="",LOOKUP(S126,'②提成标准-B-a-①-增加'!$B$16:$B$20,'②提成标准-B-a-①-增加'!$D$16:$D$20),LOOKUP(S126/Q126,'②提成标准-B-a-①-增加'!$B$23:$B$27,'②提成标准-B-a-①-增加'!$D$23:$D$27))))</f>
        <v>0</v>
      </c>
      <c r="AG126" s="85">
        <f t="shared" si="20"/>
        <v>0.05</v>
      </c>
      <c r="AH126" s="60">
        <f t="shared" si="26"/>
        <v>770.43099999999993</v>
      </c>
      <c r="AI126" s="86">
        <f t="shared" si="27"/>
        <v>0</v>
      </c>
      <c r="AJ126" s="60">
        <f t="shared" si="28"/>
        <v>770.43099999999993</v>
      </c>
      <c r="AK126" s="87">
        <f>IF(AB126=1,IFERROR(S126/VLOOKUP(F126,'⑥战队统计表-B-a-②呈现-业绩明细表④'!A:C,3,0),0),0)</f>
        <v>0.26108680465009965</v>
      </c>
      <c r="AL126" s="85" t="str">
        <f t="shared" si="21"/>
        <v/>
      </c>
      <c r="AM126" s="53" t="str">
        <f>IF(D126="顾问",_xlfn.XLOOKUP(F126,'⑥战队统计表-B-a-②呈现-业绩明细表④'!A:A,'⑥战队统计表-B-a-②呈现-业绩明细表④'!H:H,0),"")</f>
        <v/>
      </c>
      <c r="AN126" s="53" t="str">
        <f t="shared" si="31"/>
        <v>中和+无敌队</v>
      </c>
    </row>
    <row r="127" spans="1:40" hidden="1" x14ac:dyDescent="0.15">
      <c r="A127" s="79" t="s">
        <v>428</v>
      </c>
      <c r="B127" s="80" t="s">
        <v>145</v>
      </c>
      <c r="C127" s="81" t="s">
        <v>36</v>
      </c>
      <c r="D127" s="82" t="s">
        <v>36</v>
      </c>
      <c r="E127" s="82" t="s">
        <v>36</v>
      </c>
      <c r="F127" s="53" t="str">
        <f t="shared" si="15"/>
        <v>中和+T区</v>
      </c>
      <c r="G127" s="53">
        <f>IFERROR(_xlfn.XLOOKUP(B127,'①门店信息-A-a-①-增加'!B:B,'①门店信息-A-a-①-增加'!E:E,0),"")</f>
        <v>0</v>
      </c>
      <c r="H127" s="54">
        <f>_xlfn.XLOOKUP(B127,'①门店信息-A-a-①-增加'!B:B,'①门店信息-A-a-①-增加'!F:F,0)</f>
        <v>0</v>
      </c>
      <c r="I127" s="55">
        <f>_xlfn.XLOOKUP(E127,'③新店考核-B-a-②呈现-业绩明细表-③'!B:B,'③新店考核-B-a-②呈现-业绩明细表-③'!E:E,0)</f>
        <v>0</v>
      </c>
      <c r="J127" s="54">
        <f>_xlfn.XLOOKUP(E127,'③新店考核-B-a-②呈现-业绩明细表-③'!B:B,'③新店考核-B-a-②呈现-业绩明细表-③'!F:F,0)</f>
        <v>0</v>
      </c>
      <c r="K127" s="55">
        <f>IF(H127="新店一阶段",LOOKUP(I127,'②提成标准-B-a-①-增加'!$M$9:$M$12,'②提成标准-B-a-①-增加'!$O$9:$O$12),0)</f>
        <v>0</v>
      </c>
      <c r="L127" s="56">
        <f t="shared" si="16"/>
        <v>0</v>
      </c>
      <c r="M127" s="57">
        <f>_xlfn.XLOOKUP(E127,'③新店考核-B-a-②呈现-业绩明细表-③'!B:B,'③新店考核-B-a-②呈现-业绩明细表-③'!G:G,0)</f>
        <v>0</v>
      </c>
      <c r="N127" s="58" t="str">
        <f>LOOKUP(M127,'②提成标准-B-a-①-增加'!$M$1:$M$4,'②提成标准-B-a-①-增加'!$O$1:$O$4)</f>
        <v>同老店</v>
      </c>
      <c r="O127" s="57">
        <f>_xlfn.XLOOKUP(E127,'③新店考核-B-a-②呈现-业绩明细表-③'!B:B,'③新店考核-B-a-②呈现-业绩明细表-③'!H:H,0)</f>
        <v>0</v>
      </c>
      <c r="P127" s="57">
        <f t="shared" si="17"/>
        <v>0</v>
      </c>
      <c r="Q127" s="53">
        <f>_xlfn.XLOOKUP(E127,'④考勤-B-a-26考勤汇总表'!D:D,'④考勤-B-a-26考勤汇总表'!AP:AP,0)</f>
        <v>0</v>
      </c>
      <c r="R127" s="53" t="str">
        <f t="shared" si="23"/>
        <v/>
      </c>
      <c r="S127" s="53">
        <f t="shared" si="24"/>
        <v>0</v>
      </c>
      <c r="T127" s="53">
        <v>0</v>
      </c>
      <c r="U127" s="53">
        <v>0</v>
      </c>
      <c r="V127" s="53">
        <v>0</v>
      </c>
      <c r="W127" s="53">
        <f>_xlfn.XLOOKUP(E127,'⑤项目数-B-a-③消耗明细表'!C:C,'⑤项目数-B-a-③消耗明细表'!E:E,0)</f>
        <v>0</v>
      </c>
      <c r="X127" s="53">
        <f>_xlfn.XLOOKUP(E127,'⑤项目数-B-a-③消耗明细表'!C:C,'⑤项目数-B-a-③消耗明细表'!D:D,0)</f>
        <v>0</v>
      </c>
      <c r="Y127" s="53">
        <f>_xlfn.XLOOKUP(E127,'⑤项目数-B-a-③消耗明细表'!C:C,'⑤项目数-B-a-③消耗明细表'!F:F,0)</f>
        <v>0</v>
      </c>
      <c r="Z127" s="53">
        <f>_xlfn.XLOOKUP(E127,'⑤项目数-B-a-③消耗明细表'!C:C,'⑤项目数-B-a-③消耗明细表'!G:G,0)</f>
        <v>0</v>
      </c>
      <c r="AA127" s="84" t="str">
        <f t="shared" si="29"/>
        <v>不属于战队</v>
      </c>
      <c r="AB127" s="84">
        <f t="shared" si="30"/>
        <v>0</v>
      </c>
      <c r="AC127" s="53">
        <f>_xlfn.XLOOKUP(F127,'⑥战队统计表-B-a-②呈现-业绩明细表④'!A:A,'⑥战队统计表-B-a-②呈现-业绩明细表④'!B:B,0)</f>
        <v>0</v>
      </c>
      <c r="AD127" s="53">
        <f t="shared" si="25"/>
        <v>1</v>
      </c>
      <c r="AE127" s="59">
        <f>IF(AD127="",_xlfn.XLOOKUP(F127,'⑥战队统计表-B-a-②呈现-业绩明细表④'!A:A,'⑥战队统计表-B-a-②呈现-业绩明细表④'!D:D,0),0)</f>
        <v>0</v>
      </c>
      <c r="AF127" s="85">
        <f>IF(AND(E127="T区",E127="门店T区"),"",IF(AD127="",0,IF(R127="",LOOKUP(S127,'②提成标准-B-a-①-增加'!$B$16:$B$20,'②提成标准-B-a-①-增加'!$D$16:$D$20),LOOKUP(S127/Q127,'②提成标准-B-a-①-增加'!$B$23:$B$27,'②提成标准-B-a-①-增加'!$D$23:$D$27))))</f>
        <v>0</v>
      </c>
      <c r="AG127" s="85">
        <f t="shared" si="20"/>
        <v>0</v>
      </c>
      <c r="AH127" s="60">
        <f t="shared" si="26"/>
        <v>0</v>
      </c>
      <c r="AI127" s="86">
        <f t="shared" si="27"/>
        <v>0</v>
      </c>
      <c r="AJ127" s="60">
        <f t="shared" si="28"/>
        <v>0</v>
      </c>
      <c r="AK127" s="87">
        <f>IF(AB127=1,IFERROR(S127/VLOOKUP(F127,'⑥战队统计表-B-a-②呈现-业绩明细表④'!A:C,3,0),0),0)</f>
        <v>0</v>
      </c>
      <c r="AL127" s="85" t="str">
        <f t="shared" si="21"/>
        <v/>
      </c>
      <c r="AM127" s="53" t="str">
        <f>IF(D127="顾问",_xlfn.XLOOKUP(F127,'⑥战队统计表-B-a-②呈现-业绩明细表④'!A:A,'⑥战队统计表-B-a-②呈现-业绩明细表④'!H:H,0),"")</f>
        <v/>
      </c>
      <c r="AN127" s="53" t="str">
        <f t="shared" si="31"/>
        <v>单人</v>
      </c>
    </row>
    <row r="128" spans="1:40" hidden="1" x14ac:dyDescent="0.15">
      <c r="A128" s="79" t="s">
        <v>428</v>
      </c>
      <c r="B128" s="80" t="s">
        <v>145</v>
      </c>
      <c r="C128" s="81" t="s">
        <v>149</v>
      </c>
      <c r="D128" s="82" t="s">
        <v>32</v>
      </c>
      <c r="E128" s="82" t="s">
        <v>150</v>
      </c>
      <c r="F128" s="53" t="str">
        <f t="shared" si="15"/>
        <v>中和+冠军队</v>
      </c>
      <c r="G128" s="53">
        <f>IFERROR(_xlfn.XLOOKUP(B128,'①门店信息-A-a-①-增加'!B:B,'①门店信息-A-a-①-增加'!E:E,0),"")</f>
        <v>0</v>
      </c>
      <c r="H128" s="54">
        <f>_xlfn.XLOOKUP(B128,'①门店信息-A-a-①-增加'!B:B,'①门店信息-A-a-①-增加'!F:F,0)</f>
        <v>0</v>
      </c>
      <c r="I128" s="55">
        <f>_xlfn.XLOOKUP(E128,'③新店考核-B-a-②呈现-业绩明细表-③'!B:B,'③新店考核-B-a-②呈现-业绩明细表-③'!E:E,0)</f>
        <v>0</v>
      </c>
      <c r="J128" s="54">
        <f>_xlfn.XLOOKUP(E128,'③新店考核-B-a-②呈现-业绩明细表-③'!B:B,'③新店考核-B-a-②呈现-业绩明细表-③'!F:F,0)</f>
        <v>0</v>
      </c>
      <c r="K128" s="55">
        <f>IF(H128="新店一阶段",LOOKUP(I128,'②提成标准-B-a-①-增加'!$M$9:$M$12,'②提成标准-B-a-①-增加'!$O$9:$O$12),0)</f>
        <v>0</v>
      </c>
      <c r="L128" s="56">
        <f t="shared" si="16"/>
        <v>55290.400000000001</v>
      </c>
      <c r="M128" s="57">
        <f>_xlfn.XLOOKUP(E128,'③新店考核-B-a-②呈现-业绩明细表-③'!B:B,'③新店考核-B-a-②呈现-业绩明细表-③'!G:G,0)</f>
        <v>0</v>
      </c>
      <c r="N128" s="58" t="str">
        <f>LOOKUP(M128,'②提成标准-B-a-①-增加'!$M$1:$M$4,'②提成标准-B-a-①-增加'!$O$1:$O$4)</f>
        <v>同老店</v>
      </c>
      <c r="O128" s="57">
        <f>_xlfn.XLOOKUP(E128,'③新店考核-B-a-②呈现-业绩明细表-③'!B:B,'③新店考核-B-a-②呈现-业绩明细表-③'!H:H,0)</f>
        <v>0</v>
      </c>
      <c r="P128" s="57">
        <f t="shared" si="17"/>
        <v>55290.400000000001</v>
      </c>
      <c r="Q128" s="53">
        <f>_xlfn.XLOOKUP(E128,'④考勤-B-a-26考勤汇总表'!D:D,'④考勤-B-a-26考勤汇总表'!AP:AP,0)</f>
        <v>31</v>
      </c>
      <c r="R128" s="53" t="str">
        <f t="shared" si="23"/>
        <v/>
      </c>
      <c r="S128" s="53">
        <f t="shared" si="24"/>
        <v>60066.400000000001</v>
      </c>
      <c r="T128" s="53">
        <v>55290.400000000001</v>
      </c>
      <c r="U128" s="53">
        <v>4776</v>
      </c>
      <c r="V128" s="53">
        <v>0</v>
      </c>
      <c r="W128" s="53">
        <f>_xlfn.XLOOKUP(E128,'⑤项目数-B-a-③消耗明细表'!C:C,'⑤项目数-B-a-③消耗明细表'!E:E,0)</f>
        <v>24816.880000000001</v>
      </c>
      <c r="X128" s="53">
        <f>_xlfn.XLOOKUP(E128,'⑤项目数-B-a-③消耗明细表'!C:C,'⑤项目数-B-a-③消耗明细表'!D:D,0)</f>
        <v>108</v>
      </c>
      <c r="Y128" s="53">
        <f>_xlfn.XLOOKUP(E128,'⑤项目数-B-a-③消耗明细表'!C:C,'⑤项目数-B-a-③消耗明细表'!F:F,0)</f>
        <v>1594</v>
      </c>
      <c r="Z128" s="53">
        <f>_xlfn.XLOOKUP(E128,'⑤项目数-B-a-③消耗明细表'!C:C,'⑤项目数-B-a-③消耗明细表'!G:G,0)</f>
        <v>220</v>
      </c>
      <c r="AA128" s="84">
        <f t="shared" si="29"/>
        <v>1</v>
      </c>
      <c r="AB128" s="84">
        <f t="shared" si="30"/>
        <v>1</v>
      </c>
      <c r="AC128" s="53">
        <f>_xlfn.XLOOKUP(F128,'⑥战队统计表-B-a-②呈现-业绩明细表④'!A:A,'⑥战队统计表-B-a-②呈现-业绩明细表④'!B:B,0)</f>
        <v>3</v>
      </c>
      <c r="AD128" s="53" t="str">
        <f t="shared" si="25"/>
        <v/>
      </c>
      <c r="AE128" s="59">
        <f>IF(AD128="",_xlfn.XLOOKUP(F128,'⑥战队统计表-B-a-②呈现-业绩明细表④'!A:A,'⑥战队统计表-B-a-②呈现-业绩明细表④'!D:D,0),0)</f>
        <v>0.04</v>
      </c>
      <c r="AF128" s="85">
        <f>IF(AND(E128="T区",E128="门店T区"),"",IF(AD128="",0,IF(R128="",LOOKUP(S128,'②提成标准-B-a-①-增加'!$B$16:$B$20,'②提成标准-B-a-①-增加'!$D$16:$D$20),LOOKUP(S128/Q128,'②提成标准-B-a-①-增加'!$B$23:$B$27,'②提成标准-B-a-①-增加'!$D$23:$D$27))))</f>
        <v>0</v>
      </c>
      <c r="AG128" s="85">
        <f t="shared" si="20"/>
        <v>0.04</v>
      </c>
      <c r="AH128" s="60">
        <f t="shared" si="26"/>
        <v>2101.0351999999998</v>
      </c>
      <c r="AI128" s="86">
        <f t="shared" si="27"/>
        <v>117.96719999999999</v>
      </c>
      <c r="AJ128" s="60">
        <f t="shared" si="28"/>
        <v>2219.0023999999999</v>
      </c>
      <c r="AK128" s="87">
        <f>IF(AB128=1,IFERROR(S128/VLOOKUP(F128,'⑥战队统计表-B-a-②呈现-业绩明细表④'!A:C,3,0),0),0)</f>
        <v>0.68026446625427806</v>
      </c>
      <c r="AL128" s="85">
        <f t="shared" si="21"/>
        <v>0.31973553374572189</v>
      </c>
      <c r="AM128" s="53">
        <f>IF(D128="顾问",_xlfn.XLOOKUP(F128,'⑥战队统计表-B-a-②呈现-业绩明细表④'!A:A,'⑥战队统计表-B-a-②呈现-业绩明细表④'!H:H,0),"")</f>
        <v>0</v>
      </c>
      <c r="AN128" s="53" t="str">
        <f t="shared" si="31"/>
        <v>中和+冠军队</v>
      </c>
    </row>
    <row r="129" spans="1:40" hidden="1" x14ac:dyDescent="0.15">
      <c r="A129" s="79" t="s">
        <v>428</v>
      </c>
      <c r="B129" s="80" t="s">
        <v>145</v>
      </c>
      <c r="C129" s="81" t="s">
        <v>149</v>
      </c>
      <c r="D129" s="82" t="s">
        <v>6</v>
      </c>
      <c r="E129" s="82" t="s">
        <v>151</v>
      </c>
      <c r="F129" s="53" t="str">
        <f t="shared" si="15"/>
        <v>中和+冠军队</v>
      </c>
      <c r="G129" s="53">
        <f>IFERROR(_xlfn.XLOOKUP(B129,'①门店信息-A-a-①-增加'!B:B,'①门店信息-A-a-①-增加'!E:E,0),"")</f>
        <v>0</v>
      </c>
      <c r="H129" s="54">
        <f>_xlfn.XLOOKUP(B129,'①门店信息-A-a-①-增加'!B:B,'①门店信息-A-a-①-增加'!F:F,0)</f>
        <v>0</v>
      </c>
      <c r="I129" s="55">
        <f>_xlfn.XLOOKUP(E129,'③新店考核-B-a-②呈现-业绩明细表-③'!B:B,'③新店考核-B-a-②呈现-业绩明细表-③'!E:E,0)</f>
        <v>0</v>
      </c>
      <c r="J129" s="54">
        <f>_xlfn.XLOOKUP(E129,'③新店考核-B-a-②呈现-业绩明细表-③'!B:B,'③新店考核-B-a-②呈现-业绩明细表-③'!F:F,0)</f>
        <v>0</v>
      </c>
      <c r="K129" s="55">
        <f>IF(H129="新店一阶段",LOOKUP(I129,'②提成标准-B-a-①-增加'!$M$9:$M$12,'②提成标准-B-a-①-增加'!$O$9:$O$12),0)</f>
        <v>0</v>
      </c>
      <c r="L129" s="56">
        <f t="shared" si="16"/>
        <v>24856.6</v>
      </c>
      <c r="M129" s="57">
        <f>_xlfn.XLOOKUP(E129,'③新店考核-B-a-②呈现-业绩明细表-③'!B:B,'③新店考核-B-a-②呈现-业绩明细表-③'!G:G,0)</f>
        <v>0</v>
      </c>
      <c r="N129" s="58" t="str">
        <f>LOOKUP(M129,'②提成标准-B-a-①-增加'!$M$1:$M$4,'②提成标准-B-a-①-增加'!$O$1:$O$4)</f>
        <v>同老店</v>
      </c>
      <c r="O129" s="57">
        <f>_xlfn.XLOOKUP(E129,'③新店考核-B-a-②呈现-业绩明细表-③'!B:B,'③新店考核-B-a-②呈现-业绩明细表-③'!H:H,0)</f>
        <v>0</v>
      </c>
      <c r="P129" s="57">
        <f t="shared" si="17"/>
        <v>24856.6</v>
      </c>
      <c r="Q129" s="53">
        <f>_xlfn.XLOOKUP(E129,'④考勤-B-a-26考勤汇总表'!D:D,'④考勤-B-a-26考勤汇总表'!AP:AP,0)</f>
        <v>31</v>
      </c>
      <c r="R129" s="53" t="str">
        <f t="shared" si="23"/>
        <v/>
      </c>
      <c r="S129" s="53">
        <f t="shared" si="24"/>
        <v>25588.6</v>
      </c>
      <c r="T129" s="53">
        <v>24856.6</v>
      </c>
      <c r="U129" s="53">
        <v>732</v>
      </c>
      <c r="V129" s="53">
        <v>0</v>
      </c>
      <c r="W129" s="53">
        <f>_xlfn.XLOOKUP(E129,'⑤项目数-B-a-③消耗明细表'!C:C,'⑤项目数-B-a-③消耗明细表'!E:E,0)</f>
        <v>20075.759999999998</v>
      </c>
      <c r="X129" s="53">
        <f>_xlfn.XLOOKUP(E129,'⑤项目数-B-a-③消耗明细表'!C:C,'⑤项目数-B-a-③消耗明细表'!D:D,0)</f>
        <v>107</v>
      </c>
      <c r="Y129" s="53">
        <f>_xlfn.XLOOKUP(E129,'⑤项目数-B-a-③消耗明细表'!C:C,'⑤项目数-B-a-③消耗明细表'!F:F,0)</f>
        <v>1546</v>
      </c>
      <c r="Z129" s="53">
        <f>_xlfn.XLOOKUP(E129,'⑤项目数-B-a-③消耗明细表'!C:C,'⑤项目数-B-a-③消耗明细表'!G:G,0)</f>
        <v>120</v>
      </c>
      <c r="AA129" s="84">
        <f t="shared" si="29"/>
        <v>1</v>
      </c>
      <c r="AB129" s="84">
        <f t="shared" si="30"/>
        <v>1</v>
      </c>
      <c r="AC129" s="53">
        <f>_xlfn.XLOOKUP(F129,'⑥战队统计表-B-a-②呈现-业绩明细表④'!A:A,'⑥战队统计表-B-a-②呈现-业绩明细表④'!B:B,0)</f>
        <v>3</v>
      </c>
      <c r="AD129" s="53" t="str">
        <f t="shared" si="25"/>
        <v/>
      </c>
      <c r="AE129" s="59">
        <f>IF(AD129="",_xlfn.XLOOKUP(F129,'⑥战队统计表-B-a-②呈现-业绩明细表④'!A:A,'⑥战队统计表-B-a-②呈现-业绩明细表④'!D:D,0),0)</f>
        <v>0.04</v>
      </c>
      <c r="AF129" s="85">
        <f>IF(AND(E129="T区",E129="门店T区"),"",IF(AD129="",0,IF(R129="",LOOKUP(S129,'②提成标准-B-a-①-增加'!$B$16:$B$20,'②提成标准-B-a-①-增加'!$D$16:$D$20),LOOKUP(S129/Q129,'②提成标准-B-a-①-增加'!$B$23:$B$27,'②提成标准-B-a-①-增加'!$D$23:$D$27))))</f>
        <v>0</v>
      </c>
      <c r="AG129" s="85">
        <f t="shared" si="20"/>
        <v>0.04</v>
      </c>
      <c r="AH129" s="60">
        <f t="shared" si="26"/>
        <v>944.55079999999998</v>
      </c>
      <c r="AI129" s="86">
        <f t="shared" si="27"/>
        <v>18.080400000000001</v>
      </c>
      <c r="AJ129" s="60">
        <f t="shared" si="28"/>
        <v>962.63120000000004</v>
      </c>
      <c r="AK129" s="87">
        <f>IF(AB129=1,IFERROR(S129/VLOOKUP(F129,'⑥战队统计表-B-a-②呈现-业绩明细表④'!A:C,3,0),0),0)</f>
        <v>0.28979621420951179</v>
      </c>
      <c r="AL129" s="85" t="str">
        <f t="shared" si="21"/>
        <v/>
      </c>
      <c r="AM129" s="53" t="str">
        <f>IF(D129="顾问",_xlfn.XLOOKUP(F129,'⑥战队统计表-B-a-②呈现-业绩明细表④'!A:A,'⑥战队统计表-B-a-②呈现-业绩明细表④'!H:H,0),"")</f>
        <v/>
      </c>
      <c r="AN129" s="53" t="str">
        <f t="shared" si="31"/>
        <v>中和+冠军队</v>
      </c>
    </row>
    <row r="130" spans="1:40" ht="18" hidden="1" customHeight="1" x14ac:dyDescent="0.15">
      <c r="A130" s="79" t="s">
        <v>428</v>
      </c>
      <c r="B130" s="80" t="s">
        <v>145</v>
      </c>
      <c r="C130" s="81" t="s">
        <v>149</v>
      </c>
      <c r="D130" s="82" t="s">
        <v>6</v>
      </c>
      <c r="E130" s="82" t="s">
        <v>152</v>
      </c>
      <c r="F130" s="53" t="str">
        <f t="shared" si="15"/>
        <v>中和+冠军队</v>
      </c>
      <c r="G130" s="53">
        <f>IFERROR(_xlfn.XLOOKUP(B130,'①门店信息-A-a-①-增加'!B:B,'①门店信息-A-a-①-增加'!E:E,0),"")</f>
        <v>0</v>
      </c>
      <c r="H130" s="54">
        <f>_xlfn.XLOOKUP(B130,'①门店信息-A-a-①-增加'!B:B,'①门店信息-A-a-①-增加'!F:F,0)</f>
        <v>0</v>
      </c>
      <c r="I130" s="55">
        <f>_xlfn.XLOOKUP(E130,'③新店考核-B-a-②呈现-业绩明细表-③'!B:B,'③新店考核-B-a-②呈现-业绩明细表-③'!E:E,0)</f>
        <v>0</v>
      </c>
      <c r="J130" s="54">
        <f>_xlfn.XLOOKUP(E130,'③新店考核-B-a-②呈现-业绩明细表-③'!B:B,'③新店考核-B-a-②呈现-业绩明细表-③'!F:F,0)</f>
        <v>0</v>
      </c>
      <c r="K130" s="55">
        <f>IF(H130="新店一阶段",LOOKUP(I130,'②提成标准-B-a-①-增加'!$M$9:$M$12,'②提成标准-B-a-①-增加'!$O$9:$O$12),0)</f>
        <v>0</v>
      </c>
      <c r="L130" s="56">
        <f t="shared" si="16"/>
        <v>2643.6</v>
      </c>
      <c r="M130" s="57">
        <f>_xlfn.XLOOKUP(E130,'③新店考核-B-a-②呈现-业绩明细表-③'!B:B,'③新店考核-B-a-②呈现-业绩明细表-③'!G:G,0)</f>
        <v>0</v>
      </c>
      <c r="N130" s="58" t="str">
        <f>LOOKUP(M130,'②提成标准-B-a-①-增加'!$M$1:$M$4,'②提成标准-B-a-①-增加'!$O$1:$O$4)</f>
        <v>同老店</v>
      </c>
      <c r="O130" s="57">
        <f>_xlfn.XLOOKUP(E130,'③新店考核-B-a-②呈现-业绩明细表-③'!B:B,'③新店考核-B-a-②呈现-业绩明细表-③'!H:H,0)</f>
        <v>0</v>
      </c>
      <c r="P130" s="57">
        <f t="shared" si="17"/>
        <v>2643.6</v>
      </c>
      <c r="Q130" s="53">
        <f>_xlfn.XLOOKUP(E130,'④考勤-B-a-26考勤汇总表'!D:D,'④考勤-B-a-26考勤汇总表'!AP:AP,0)</f>
        <v>31</v>
      </c>
      <c r="R130" s="53" t="str">
        <f t="shared" si="23"/>
        <v/>
      </c>
      <c r="S130" s="53">
        <f t="shared" si="24"/>
        <v>2643.6</v>
      </c>
      <c r="T130" s="53">
        <v>2643.6</v>
      </c>
      <c r="U130" s="53">
        <v>0</v>
      </c>
      <c r="V130" s="53">
        <v>0</v>
      </c>
      <c r="W130" s="53">
        <f>_xlfn.XLOOKUP(E130,'⑤项目数-B-a-③消耗明细表'!C:C,'⑤项目数-B-a-③消耗明细表'!E:E,0)</f>
        <v>7009.51</v>
      </c>
      <c r="X130" s="53">
        <f>_xlfn.XLOOKUP(E130,'⑤项目数-B-a-③消耗明细表'!C:C,'⑤项目数-B-a-③消耗明细表'!D:D,0)</f>
        <v>88</v>
      </c>
      <c r="Y130" s="53">
        <f>_xlfn.XLOOKUP(E130,'⑤项目数-B-a-③消耗明细表'!C:C,'⑤项目数-B-a-③消耗明细表'!F:F,0)</f>
        <v>1186</v>
      </c>
      <c r="Z130" s="53">
        <f>_xlfn.XLOOKUP(E130,'⑤项目数-B-a-③消耗明细表'!C:C,'⑤项目数-B-a-③消耗明细表'!G:G,0)</f>
        <v>0</v>
      </c>
      <c r="AA130" s="84">
        <f t="shared" si="29"/>
        <v>1</v>
      </c>
      <c r="AB130" s="84">
        <f t="shared" si="30"/>
        <v>1</v>
      </c>
      <c r="AC130" s="53">
        <f>_xlfn.XLOOKUP(F130,'⑥战队统计表-B-a-②呈现-业绩明细表④'!A:A,'⑥战队统计表-B-a-②呈现-业绩明细表④'!B:B,0)</f>
        <v>3</v>
      </c>
      <c r="AD130" s="53" t="str">
        <f t="shared" si="25"/>
        <v/>
      </c>
      <c r="AE130" s="59">
        <f>IF(AD130="",_xlfn.XLOOKUP(F130,'⑥战队统计表-B-a-②呈现-业绩明细表④'!A:A,'⑥战队统计表-B-a-②呈现-业绩明细表④'!D:D,0),0)</f>
        <v>0.04</v>
      </c>
      <c r="AF130" s="85">
        <f>IF(AND(E130="T区",E130="门店T区"),"",IF(AD130="",0,IF(R130="",LOOKUP(S130,'②提成标准-B-a-①-增加'!$B$16:$B$20,'②提成标准-B-a-①-增加'!$D$16:$D$20),LOOKUP(S130/Q130,'②提成标准-B-a-①-增加'!$B$23:$B$27,'②提成标准-B-a-①-增加'!$D$23:$D$27))))</f>
        <v>0</v>
      </c>
      <c r="AG130" s="85">
        <f t="shared" si="20"/>
        <v>0.04</v>
      </c>
      <c r="AH130" s="60">
        <f t="shared" si="26"/>
        <v>100.4568</v>
      </c>
      <c r="AI130" s="86">
        <f t="shared" si="27"/>
        <v>0</v>
      </c>
      <c r="AJ130" s="60">
        <f t="shared" si="28"/>
        <v>100.4568</v>
      </c>
      <c r="AK130" s="87">
        <f>IF(AB130=1,IFERROR(S130/VLOOKUP(F130,'⑥战队统计表-B-a-②呈现-业绩明细表④'!A:C,3,0),0),0)</f>
        <v>2.9939319536210086E-2</v>
      </c>
      <c r="AL130" s="85" t="str">
        <f t="shared" si="21"/>
        <v/>
      </c>
      <c r="AM130" s="53" t="str">
        <f>IF(D130="顾问",_xlfn.XLOOKUP(F130,'⑥战队统计表-B-a-②呈现-业绩明细表④'!A:A,'⑥战队统计表-B-a-②呈现-业绩明细表④'!H:H,0),"")</f>
        <v/>
      </c>
      <c r="AN130" s="53" t="str">
        <f t="shared" si="31"/>
        <v>中和+冠军队</v>
      </c>
    </row>
    <row r="131" spans="1:40" hidden="1" x14ac:dyDescent="0.15">
      <c r="A131" s="79" t="s">
        <v>428</v>
      </c>
      <c r="B131" s="80" t="s">
        <v>145</v>
      </c>
      <c r="C131" s="89" t="s">
        <v>36</v>
      </c>
      <c r="D131" s="90" t="s">
        <v>36</v>
      </c>
      <c r="E131" s="90" t="s">
        <v>36</v>
      </c>
      <c r="F131" s="53" t="str">
        <f t="shared" si="15"/>
        <v>中和+T区</v>
      </c>
      <c r="G131" s="53">
        <f>IFERROR(_xlfn.XLOOKUP(B131,'①门店信息-A-a-①-增加'!B:B,'①门店信息-A-a-①-增加'!E:E,0),"")</f>
        <v>0</v>
      </c>
      <c r="H131" s="54">
        <f>_xlfn.XLOOKUP(B131,'①门店信息-A-a-①-增加'!B:B,'①门店信息-A-a-①-增加'!F:F,0)</f>
        <v>0</v>
      </c>
      <c r="I131" s="55">
        <f>_xlfn.XLOOKUP(E131,'③新店考核-B-a-②呈现-业绩明细表-③'!B:B,'③新店考核-B-a-②呈现-业绩明细表-③'!E:E,0)</f>
        <v>0</v>
      </c>
      <c r="J131" s="54">
        <f>_xlfn.XLOOKUP(E131,'③新店考核-B-a-②呈现-业绩明细表-③'!B:B,'③新店考核-B-a-②呈现-业绩明细表-③'!F:F,0)</f>
        <v>0</v>
      </c>
      <c r="K131" s="55">
        <f>IF(H131="新店一阶段",LOOKUP(I131,'②提成标准-B-a-①-增加'!$M$9:$M$12,'②提成标准-B-a-①-增加'!$O$9:$O$12),0)</f>
        <v>0</v>
      </c>
      <c r="L131" s="56">
        <f t="shared" si="16"/>
        <v>0</v>
      </c>
      <c r="M131" s="57">
        <f>_xlfn.XLOOKUP(E131,'③新店考核-B-a-②呈现-业绩明细表-③'!B:B,'③新店考核-B-a-②呈现-业绩明细表-③'!G:G,0)</f>
        <v>0</v>
      </c>
      <c r="N131" s="58" t="str">
        <f>LOOKUP(M131,'②提成标准-B-a-①-增加'!$M$1:$M$4,'②提成标准-B-a-①-增加'!$O$1:$O$4)</f>
        <v>同老店</v>
      </c>
      <c r="O131" s="57">
        <f>_xlfn.XLOOKUP(E131,'③新店考核-B-a-②呈现-业绩明细表-③'!B:B,'③新店考核-B-a-②呈现-业绩明细表-③'!H:H,0)</f>
        <v>0</v>
      </c>
      <c r="P131" s="57">
        <f t="shared" si="17"/>
        <v>0</v>
      </c>
      <c r="Q131" s="53">
        <f>_xlfn.XLOOKUP(E131,'④考勤-B-a-26考勤汇总表'!D:D,'④考勤-B-a-26考勤汇总表'!AP:AP,0)</f>
        <v>0</v>
      </c>
      <c r="R131" s="53" t="str">
        <f t="shared" si="23"/>
        <v/>
      </c>
      <c r="S131" s="53">
        <f t="shared" si="24"/>
        <v>0</v>
      </c>
      <c r="T131" s="53">
        <v>0</v>
      </c>
      <c r="U131" s="53">
        <v>0</v>
      </c>
      <c r="V131" s="53">
        <v>0</v>
      </c>
      <c r="W131" s="53">
        <f>_xlfn.XLOOKUP(E131,'⑤项目数-B-a-③消耗明细表'!C:C,'⑤项目数-B-a-③消耗明细表'!E:E,0)</f>
        <v>0</v>
      </c>
      <c r="X131" s="53">
        <f>_xlfn.XLOOKUP(E131,'⑤项目数-B-a-③消耗明细表'!C:C,'⑤项目数-B-a-③消耗明细表'!D:D,0)</f>
        <v>0</v>
      </c>
      <c r="Y131" s="53">
        <f>_xlfn.XLOOKUP(E131,'⑤项目数-B-a-③消耗明细表'!C:C,'⑤项目数-B-a-③消耗明细表'!F:F,0)</f>
        <v>0</v>
      </c>
      <c r="Z131" s="53">
        <f>_xlfn.XLOOKUP(E131,'⑤项目数-B-a-③消耗明细表'!C:C,'⑤项目数-B-a-③消耗明细表'!G:G,0)</f>
        <v>0</v>
      </c>
      <c r="AA131" s="84" t="str">
        <f t="shared" si="29"/>
        <v>不属于战队</v>
      </c>
      <c r="AB131" s="84">
        <f t="shared" si="30"/>
        <v>0</v>
      </c>
      <c r="AC131" s="53">
        <f>_xlfn.XLOOKUP(F131,'⑥战队统计表-B-a-②呈现-业绩明细表④'!A:A,'⑥战队统计表-B-a-②呈现-业绩明细表④'!B:B,0)</f>
        <v>0</v>
      </c>
      <c r="AD131" s="53">
        <f t="shared" si="25"/>
        <v>1</v>
      </c>
      <c r="AE131" s="59">
        <f>IF(AD131="",_xlfn.XLOOKUP(F131,'⑥战队统计表-B-a-②呈现-业绩明细表④'!A:A,'⑥战队统计表-B-a-②呈现-业绩明细表④'!D:D,0),0)</f>
        <v>0</v>
      </c>
      <c r="AF131" s="85">
        <f>IF(AND(E131="T区",E131="门店T区"),"",IF(AD131="",0,IF(R131="",LOOKUP(S131,'②提成标准-B-a-①-增加'!$B$16:$B$20,'②提成标准-B-a-①-增加'!$D$16:$D$20),LOOKUP(S131/Q131,'②提成标准-B-a-①-增加'!$B$23:$B$27,'②提成标准-B-a-①-增加'!$D$23:$D$27))))</f>
        <v>0</v>
      </c>
      <c r="AG131" s="85">
        <f t="shared" si="20"/>
        <v>0</v>
      </c>
      <c r="AH131" s="60">
        <f t="shared" si="26"/>
        <v>0</v>
      </c>
      <c r="AI131" s="86">
        <f t="shared" si="27"/>
        <v>0</v>
      </c>
      <c r="AJ131" s="60">
        <f t="shared" si="28"/>
        <v>0</v>
      </c>
      <c r="AK131" s="87">
        <f>IF(AB131=1,IFERROR(S131/VLOOKUP(F131,'⑥战队统计表-B-a-②呈现-业绩明细表④'!A:C,3,0),0),0)</f>
        <v>0</v>
      </c>
      <c r="AL131" s="85" t="str">
        <f t="shared" si="21"/>
        <v/>
      </c>
      <c r="AM131" s="53" t="str">
        <f>IF(D131="顾问",_xlfn.XLOOKUP(F131,'⑥战队统计表-B-a-②呈现-业绩明细表④'!A:A,'⑥战队统计表-B-a-②呈现-业绩明细表④'!H:H,0),"")</f>
        <v/>
      </c>
      <c r="AN131" s="53" t="str">
        <f t="shared" si="31"/>
        <v>单人</v>
      </c>
    </row>
    <row r="132" spans="1:40" hidden="1" x14ac:dyDescent="0.15">
      <c r="A132" s="79" t="s">
        <v>428</v>
      </c>
      <c r="B132" s="80" t="s">
        <v>145</v>
      </c>
      <c r="C132" s="81" t="s">
        <v>40</v>
      </c>
      <c r="D132" s="82" t="s">
        <v>40</v>
      </c>
      <c r="E132" s="88" t="str">
        <f>F132</f>
        <v>中和+门店T区</v>
      </c>
      <c r="F132" s="53" t="str">
        <f t="shared" ref="F132:F193" si="32">B132&amp;"+"&amp;C132</f>
        <v>中和+门店T区</v>
      </c>
      <c r="G132" s="53">
        <f>IFERROR(_xlfn.XLOOKUP(B132,'①门店信息-A-a-①-增加'!B:B,'①门店信息-A-a-①-增加'!E:E,0),"")</f>
        <v>0</v>
      </c>
      <c r="H132" s="54">
        <f>_xlfn.XLOOKUP(B132,'①门店信息-A-a-①-增加'!B:B,'①门店信息-A-a-①-增加'!F:F,0)</f>
        <v>0</v>
      </c>
      <c r="I132" s="55">
        <f>_xlfn.XLOOKUP(E132,'③新店考核-B-a-②呈现-业绩明细表-③'!B:B,'③新店考核-B-a-②呈现-业绩明细表-③'!E:E,0)</f>
        <v>0</v>
      </c>
      <c r="J132" s="54">
        <f>_xlfn.XLOOKUP(E132,'③新店考核-B-a-②呈现-业绩明细表-③'!B:B,'③新店考核-B-a-②呈现-业绩明细表-③'!F:F,0)</f>
        <v>0</v>
      </c>
      <c r="K132" s="55">
        <f>IF(H132="新店一阶段",LOOKUP(I132,'②提成标准-B-a-①-增加'!$M$9:$M$12,'②提成标准-B-a-①-增加'!$O$9:$O$12),0)</f>
        <v>0</v>
      </c>
      <c r="L132" s="56">
        <f t="shared" ref="L132:L193" si="33">T132-J132</f>
        <v>0</v>
      </c>
      <c r="M132" s="57">
        <f>_xlfn.XLOOKUP(E132,'③新店考核-B-a-②呈现-业绩明细表-③'!B:B,'③新店考核-B-a-②呈现-业绩明细表-③'!G:G,0)</f>
        <v>0</v>
      </c>
      <c r="N132" s="58" t="str">
        <f>LOOKUP(M132,'②提成标准-B-a-①-增加'!$M$1:$M$4,'②提成标准-B-a-①-增加'!$O$1:$O$4)</f>
        <v>同老店</v>
      </c>
      <c r="O132" s="57">
        <f>_xlfn.XLOOKUP(E132,'③新店考核-B-a-②呈现-业绩明细表-③'!B:B,'③新店考核-B-a-②呈现-业绩明细表-③'!H:H,0)</f>
        <v>0</v>
      </c>
      <c r="P132" s="57">
        <f t="shared" ref="P132:P193" si="34">T132-O132</f>
        <v>0</v>
      </c>
      <c r="Q132" s="53">
        <f>_xlfn.XLOOKUP(E132,'④考勤-B-a-26考勤汇总表'!D:D,'④考勤-B-a-26考勤汇总表'!AP:AP,0)</f>
        <v>0</v>
      </c>
      <c r="R132" s="53" t="str">
        <f t="shared" si="23"/>
        <v/>
      </c>
      <c r="S132" s="53">
        <f t="shared" si="24"/>
        <v>0</v>
      </c>
      <c r="T132" s="53">
        <v>0</v>
      </c>
      <c r="U132" s="53">
        <v>0</v>
      </c>
      <c r="V132" s="53">
        <v>0</v>
      </c>
      <c r="W132" s="53">
        <f>_xlfn.XLOOKUP(E132,'⑤项目数-B-a-③消耗明细表'!C:C,'⑤项目数-B-a-③消耗明细表'!E:E,0)</f>
        <v>0</v>
      </c>
      <c r="X132" s="53">
        <f>_xlfn.XLOOKUP(E132,'⑤项目数-B-a-③消耗明细表'!C:C,'⑤项目数-B-a-③消耗明细表'!D:D,0)</f>
        <v>0</v>
      </c>
      <c r="Y132" s="53">
        <f>_xlfn.XLOOKUP(E132,'⑤项目数-B-a-③消耗明细表'!C:C,'⑤项目数-B-a-③消耗明细表'!F:F,0)</f>
        <v>0</v>
      </c>
      <c r="Z132" s="53">
        <f>_xlfn.XLOOKUP(E132,'⑤项目数-B-a-③消耗明细表'!C:C,'⑤项目数-B-a-③消耗明细表'!G:G,0)</f>
        <v>0</v>
      </c>
      <c r="AA132" s="84">
        <f t="shared" si="29"/>
        <v>1</v>
      </c>
      <c r="AB132" s="84">
        <f t="shared" si="30"/>
        <v>0</v>
      </c>
      <c r="AC132" s="53">
        <f>_xlfn.XLOOKUP(F132,'⑥战队统计表-B-a-②呈现-业绩明细表④'!A:A,'⑥战队统计表-B-a-②呈现-业绩明细表④'!B:B,0)</f>
        <v>0</v>
      </c>
      <c r="AD132" s="53">
        <f t="shared" si="25"/>
        <v>1</v>
      </c>
      <c r="AE132" s="59">
        <f>IF(AD132="",_xlfn.XLOOKUP(F132,'⑥战队统计表-B-a-②呈现-业绩明细表④'!A:A,'⑥战队统计表-B-a-②呈现-业绩明细表④'!D:D,0),0)</f>
        <v>0</v>
      </c>
      <c r="AF132" s="85">
        <f>IF(AND(E132="T区",E132="门店T区"),"",IF(AD132="",0,IF(R132="",LOOKUP(S132,'②提成标准-B-a-①-增加'!$B$16:$B$20,'②提成标准-B-a-①-增加'!$D$16:$D$20),LOOKUP(S132/Q132,'②提成标准-B-a-①-增加'!$B$23:$B$27,'②提成标准-B-a-①-增加'!$D$23:$D$27))))</f>
        <v>0</v>
      </c>
      <c r="AG132" s="85">
        <f t="shared" ref="AG132:AG193" si="35">AE132+AF132</f>
        <v>0</v>
      </c>
      <c r="AH132" s="60">
        <f t="shared" si="26"/>
        <v>0</v>
      </c>
      <c r="AI132" s="86">
        <f t="shared" si="27"/>
        <v>0</v>
      </c>
      <c r="AJ132" s="60">
        <f t="shared" si="28"/>
        <v>0</v>
      </c>
      <c r="AK132" s="87">
        <f>IF(AB132=1,IFERROR(S132/VLOOKUP(F132,'⑥战队统计表-B-a-②呈现-业绩明细表④'!A:C,3,0),0),0)</f>
        <v>0</v>
      </c>
      <c r="AL132" s="85" t="str">
        <f t="shared" si="21"/>
        <v/>
      </c>
      <c r="AM132" s="53" t="str">
        <f>IF(D132="顾问",_xlfn.XLOOKUP(F132,'⑥战队统计表-B-a-②呈现-业绩明细表④'!A:A,'⑥战队统计表-B-a-②呈现-业绩明细表④'!H:H,0),"")</f>
        <v/>
      </c>
      <c r="AN132" s="53" t="str">
        <f t="shared" si="31"/>
        <v>单人</v>
      </c>
    </row>
    <row r="133" spans="1:40" x14ac:dyDescent="0.15">
      <c r="A133" s="79" t="s">
        <v>428</v>
      </c>
      <c r="B133" s="80" t="s">
        <v>153</v>
      </c>
      <c r="C133" s="81" t="s">
        <v>50</v>
      </c>
      <c r="D133" s="82" t="s">
        <v>6</v>
      </c>
      <c r="E133" s="82" t="s">
        <v>154</v>
      </c>
      <c r="F133" s="53" t="str">
        <f t="shared" si="32"/>
        <v>川音+单人</v>
      </c>
      <c r="G133" s="53" t="str">
        <f>IFERROR(_xlfn.XLOOKUP(B133,'①门店信息-A-a-①-增加'!B:B,'①门店信息-A-a-①-增加'!E:E,0),"")</f>
        <v>新店</v>
      </c>
      <c r="H133" s="54" t="str">
        <f>_xlfn.XLOOKUP(B133,'①门店信息-A-a-①-增加'!B:B,'①门店信息-A-a-①-增加'!F:F,0)</f>
        <v>新店二阶段</v>
      </c>
      <c r="I133" s="55">
        <f>_xlfn.XLOOKUP(E133,'③新店考核-B-a-②呈现-业绩明细表-③'!B:B,'③新店考核-B-a-②呈现-业绩明细表-③'!E:E,0)</f>
        <v>0</v>
      </c>
      <c r="J133" s="54">
        <f>_xlfn.XLOOKUP(E133,'③新店考核-B-a-②呈现-业绩明细表-③'!B:B,'③新店考核-B-a-②呈现-业绩明细表-③'!F:F,0)</f>
        <v>0</v>
      </c>
      <c r="K133" s="55">
        <f>IF(H133="新店一阶段",LOOKUP(I133,'②提成标准-B-a-①-增加'!$M$9:$M$12,'②提成标准-B-a-①-增加'!$O$9:$O$12),0)</f>
        <v>0</v>
      </c>
      <c r="L133" s="56">
        <f t="shared" si="33"/>
        <v>21112.799999999999</v>
      </c>
      <c r="M133" s="57">
        <f>_xlfn.XLOOKUP(E133,'③新店考核-B-a-②呈现-业绩明细表-③'!B:B,'③新店考核-B-a-②呈现-业绩明细表-③'!G:G,0)</f>
        <v>2.5</v>
      </c>
      <c r="N133" s="58" t="str">
        <f>LOOKUP(M133,'②提成标准-B-a-①-增加'!$M$1:$M$4,'②提成标准-B-a-①-增加'!$O$1:$O$4)</f>
        <v>同老店</v>
      </c>
      <c r="O133" s="57">
        <f>_xlfn.XLOOKUP(E133,'③新店考核-B-a-②呈现-业绩明细表-③'!B:B,'③新店考核-B-a-②呈现-业绩明细表-③'!H:H,0)</f>
        <v>2544.8000000000002</v>
      </c>
      <c r="P133" s="57">
        <f t="shared" si="34"/>
        <v>18568</v>
      </c>
      <c r="Q133" s="53">
        <f>_xlfn.XLOOKUP(E133,'④考勤-B-a-26考勤汇总表'!D:D,'④考勤-B-a-26考勤汇总表'!AP:AP,0)</f>
        <v>31</v>
      </c>
      <c r="R133" s="53" t="str">
        <f t="shared" si="23"/>
        <v/>
      </c>
      <c r="S133" s="53">
        <f t="shared" ref="S133:S194" si="36">T133+U133+V133</f>
        <v>21112.799999999999</v>
      </c>
      <c r="T133" s="53">
        <v>21112.799999999999</v>
      </c>
      <c r="U133" s="53">
        <v>0</v>
      </c>
      <c r="V133" s="53">
        <v>0</v>
      </c>
      <c r="W133" s="53">
        <f>_xlfn.XLOOKUP(E133,'⑤项目数-B-a-③消耗明细表'!C:C,'⑤项目数-B-a-③消耗明细表'!E:E,0)</f>
        <v>8653.2099999999991</v>
      </c>
      <c r="X133" s="53">
        <f>_xlfn.XLOOKUP(E133,'⑤项目数-B-a-③消耗明细表'!C:C,'⑤项目数-B-a-③消耗明细表'!D:D,0)</f>
        <v>74</v>
      </c>
      <c r="Y133" s="53">
        <f>_xlfn.XLOOKUP(E133,'⑤项目数-B-a-③消耗明细表'!C:C,'⑤项目数-B-a-③消耗明细表'!F:F,0)</f>
        <v>950</v>
      </c>
      <c r="Z133" s="53">
        <f>_xlfn.XLOOKUP(E133,'⑤项目数-B-a-③消耗明细表'!C:C,'⑤项目数-B-a-③消耗明细表'!G:G,0)</f>
        <v>0</v>
      </c>
      <c r="AA133" s="84" t="str">
        <f t="shared" si="29"/>
        <v>新店</v>
      </c>
      <c r="AB133" s="84">
        <f t="shared" si="30"/>
        <v>0</v>
      </c>
      <c r="AC133" s="53">
        <f>_xlfn.XLOOKUP(F133,'⑥战队统计表-B-a-②呈现-业绩明细表④'!A:A,'⑥战队统计表-B-a-②呈现-业绩明细表④'!B:B,0)</f>
        <v>0</v>
      </c>
      <c r="AD133" s="53">
        <f t="shared" ref="AD133:AD194" si="37">IF(OR(AA133="单人",AA133="新店",AC133&lt;=1,AB133=0),1,"")</f>
        <v>1</v>
      </c>
      <c r="AE133" s="59">
        <f>IF(AD133="",_xlfn.XLOOKUP(F133,'⑥战队统计表-B-a-②呈现-业绩明细表④'!A:A,'⑥战队统计表-B-a-②呈现-业绩明细表④'!D:D,0),0)</f>
        <v>0</v>
      </c>
      <c r="AF133" s="85">
        <f>IF(AND(E133="T区",E133="门店T区"),"",IF(AD133="",0,IF(R133="",LOOKUP(S133,'②提成标准-B-a-①-增加'!$B$16:$B$20,'②提成标准-B-a-①-增加'!$D$16:$D$20),LOOKUP(S133/Q133,'②提成标准-B-a-①-增加'!$B$23:$B$27,'②提成标准-B-a-①-增加'!$D$23:$D$27))))</f>
        <v>0.04</v>
      </c>
      <c r="AG133" s="85">
        <f t="shared" si="35"/>
        <v>0.04</v>
      </c>
      <c r="AH133" s="60">
        <f t="shared" si="26"/>
        <v>802.28639999999996</v>
      </c>
      <c r="AI133" s="86">
        <f t="shared" si="27"/>
        <v>0</v>
      </c>
      <c r="AJ133" s="60">
        <f t="shared" ref="AJ133:AJ194" si="38">AI133+AH133</f>
        <v>802.28639999999996</v>
      </c>
      <c r="AK133" s="87">
        <f>IF(AB133=1,IFERROR(S133/VLOOKUP(F133,'⑥战队统计表-B-a-②呈现-业绩明细表④'!A:C,3,0),0),0)</f>
        <v>0</v>
      </c>
      <c r="AL133" s="85" t="str">
        <f t="shared" si="21"/>
        <v/>
      </c>
      <c r="AM133" s="53" t="str">
        <f>IF(D133="顾问",_xlfn.XLOOKUP(F133,'⑥战队统计表-B-a-②呈现-业绩明细表④'!A:A,'⑥战队统计表-B-a-②呈现-业绩明细表④'!H:H,0),"")</f>
        <v/>
      </c>
      <c r="AN133" s="53" t="str">
        <f t="shared" si="31"/>
        <v>单人</v>
      </c>
    </row>
    <row r="134" spans="1:40" x14ac:dyDescent="0.15">
      <c r="A134" s="79" t="s">
        <v>428</v>
      </c>
      <c r="B134" s="80" t="s">
        <v>153</v>
      </c>
      <c r="C134" s="81" t="s">
        <v>50</v>
      </c>
      <c r="D134" s="82" t="s">
        <v>6</v>
      </c>
      <c r="E134" s="82" t="s">
        <v>155</v>
      </c>
      <c r="F134" s="53" t="str">
        <f t="shared" si="32"/>
        <v>川音+单人</v>
      </c>
      <c r="G134" s="53" t="str">
        <f>IFERROR(_xlfn.XLOOKUP(B134,'①门店信息-A-a-①-增加'!B:B,'①门店信息-A-a-①-增加'!E:E,0),"")</f>
        <v>新店</v>
      </c>
      <c r="H134" s="54" t="str">
        <f>_xlfn.XLOOKUP(B134,'①门店信息-A-a-①-增加'!B:B,'①门店信息-A-a-①-增加'!F:F,0)</f>
        <v>新店二阶段</v>
      </c>
      <c r="I134" s="55">
        <f>_xlfn.XLOOKUP(E134,'③新店考核-B-a-②呈现-业绩明细表-③'!B:B,'③新店考核-B-a-②呈现-业绩明细表-③'!E:E,0)</f>
        <v>0</v>
      </c>
      <c r="J134" s="54">
        <f>_xlfn.XLOOKUP(E134,'③新店考核-B-a-②呈现-业绩明细表-③'!B:B,'③新店考核-B-a-②呈现-业绩明细表-③'!F:F,0)</f>
        <v>0</v>
      </c>
      <c r="K134" s="55">
        <f>IF(H134="新店一阶段",LOOKUP(I134,'②提成标准-B-a-①-增加'!$M$9:$M$12,'②提成标准-B-a-①-增加'!$O$9:$O$12),0)</f>
        <v>0</v>
      </c>
      <c r="L134" s="56">
        <f t="shared" si="33"/>
        <v>3264</v>
      </c>
      <c r="M134" s="57">
        <f>_xlfn.XLOOKUP(E134,'③新店考核-B-a-②呈现-业绩明细表-③'!B:B,'③新店考核-B-a-②呈现-业绩明细表-③'!G:G,0)</f>
        <v>1</v>
      </c>
      <c r="N134" s="58" t="str">
        <f>LOOKUP(M134,'②提成标准-B-a-①-增加'!$M$1:$M$4,'②提成标准-B-a-①-增加'!$O$1:$O$4)</f>
        <v>同老店</v>
      </c>
      <c r="O134" s="57">
        <f>_xlfn.XLOOKUP(E134,'③新店考核-B-a-②呈现-业绩明细表-③'!B:B,'③新店考核-B-a-②呈现-业绩明细表-③'!H:H,0)</f>
        <v>1000</v>
      </c>
      <c r="P134" s="57">
        <f t="shared" si="34"/>
        <v>2264</v>
      </c>
      <c r="Q134" s="53">
        <f>_xlfn.XLOOKUP(E134,'④考勤-B-a-26考勤汇总表'!D:D,'④考勤-B-a-26考勤汇总表'!AP:AP,0)</f>
        <v>31</v>
      </c>
      <c r="R134" s="53" t="str">
        <f t="shared" si="23"/>
        <v/>
      </c>
      <c r="S134" s="53">
        <f t="shared" si="36"/>
        <v>3264</v>
      </c>
      <c r="T134" s="53">
        <v>3264</v>
      </c>
      <c r="U134" s="53">
        <v>0</v>
      </c>
      <c r="V134" s="53">
        <v>0</v>
      </c>
      <c r="W134" s="53">
        <f>_xlfn.XLOOKUP(E134,'⑤项目数-B-a-③消耗明细表'!C:C,'⑤项目数-B-a-③消耗明细表'!E:E,0)</f>
        <v>2856.63</v>
      </c>
      <c r="X134" s="53">
        <f>_xlfn.XLOOKUP(E134,'⑤项目数-B-a-③消耗明细表'!C:C,'⑤项目数-B-a-③消耗明细表'!D:D,0)</f>
        <v>59</v>
      </c>
      <c r="Y134" s="53">
        <f>_xlfn.XLOOKUP(E134,'⑤项目数-B-a-③消耗明细表'!C:C,'⑤项目数-B-a-③消耗明细表'!F:F,0)</f>
        <v>814</v>
      </c>
      <c r="Z134" s="53">
        <f>_xlfn.XLOOKUP(E134,'⑤项目数-B-a-③消耗明细表'!C:C,'⑤项目数-B-a-③消耗明细表'!G:G,0)</f>
        <v>0</v>
      </c>
      <c r="AA134" s="84" t="str">
        <f t="shared" ref="AA134:AA165" si="39">IF(G134="新店","新店",IF(C134="单人","单人",IF(OR(C134="T区",C134="单人",G134="新店"),"不属于战队",1)))</f>
        <v>新店</v>
      </c>
      <c r="AB134" s="84">
        <f t="shared" ref="AB134:AB165" si="40">IF(AA134=1,IF(Q134&gt;=20,1,0),0)</f>
        <v>0</v>
      </c>
      <c r="AC134" s="53">
        <f>_xlfn.XLOOKUP(F134,'⑥战队统计表-B-a-②呈现-业绩明细表④'!A:A,'⑥战队统计表-B-a-②呈现-业绩明细表④'!B:B,0)</f>
        <v>0</v>
      </c>
      <c r="AD134" s="53">
        <f t="shared" si="37"/>
        <v>1</v>
      </c>
      <c r="AE134" s="59">
        <f>IF(AD134="",_xlfn.XLOOKUP(F134,'⑥战队统计表-B-a-②呈现-业绩明细表④'!A:A,'⑥战队统计表-B-a-②呈现-业绩明细表④'!D:D,0),0)</f>
        <v>0</v>
      </c>
      <c r="AF134" s="85">
        <f>IF(AND(E134="T区",E134="门店T区"),"",IF(AD134="",0,IF(R134="",LOOKUP(S134,'②提成标准-B-a-①-增加'!$B$16:$B$20,'②提成标准-B-a-①-增加'!$D$16:$D$20),LOOKUP(S134/Q134,'②提成标准-B-a-①-增加'!$B$23:$B$27,'②提成标准-B-a-①-增加'!$D$23:$D$27))))</f>
        <v>0</v>
      </c>
      <c r="AG134" s="85">
        <f t="shared" si="35"/>
        <v>0</v>
      </c>
      <c r="AH134" s="60">
        <f t="shared" si="26"/>
        <v>0</v>
      </c>
      <c r="AI134" s="86">
        <f t="shared" si="27"/>
        <v>0</v>
      </c>
      <c r="AJ134" s="60">
        <f t="shared" si="38"/>
        <v>0</v>
      </c>
      <c r="AK134" s="87">
        <f>IF(AB134=1,IFERROR(S134/VLOOKUP(F134,'⑥战队统计表-B-a-②呈现-业绩明细表④'!A:C,3,0),0),0)</f>
        <v>0</v>
      </c>
      <c r="AL134" s="85" t="str">
        <f t="shared" ref="AL134:AL197" si="41">IF(D134="顾问",SUMIFS(AK:AK,$F:$F,F134,$D:$D,"健康师"),"")</f>
        <v/>
      </c>
      <c r="AM134" s="53" t="str">
        <f>IF(D134="顾问",_xlfn.XLOOKUP(F134,'⑥战队统计表-B-a-②呈现-业绩明细表④'!A:A,'⑥战队统计表-B-a-②呈现-业绩明细表④'!H:H,0),"")</f>
        <v/>
      </c>
      <c r="AN134" s="53" t="str">
        <f t="shared" ref="AN134:AN165" si="42">IF(AND(AB134=1,AD134&lt;&gt;1),F134,"单人")</f>
        <v>单人</v>
      </c>
    </row>
    <row r="135" spans="1:40" x14ac:dyDescent="0.15">
      <c r="A135" s="79" t="s">
        <v>428</v>
      </c>
      <c r="B135" s="80" t="s">
        <v>153</v>
      </c>
      <c r="C135" s="81" t="s">
        <v>50</v>
      </c>
      <c r="D135" s="82" t="s">
        <v>6</v>
      </c>
      <c r="E135" s="82" t="s">
        <v>156</v>
      </c>
      <c r="F135" s="53" t="str">
        <f t="shared" si="32"/>
        <v>川音+单人</v>
      </c>
      <c r="G135" s="53" t="str">
        <f>IFERROR(_xlfn.XLOOKUP(B135,'①门店信息-A-a-①-增加'!B:B,'①门店信息-A-a-①-增加'!E:E,0),"")</f>
        <v>新店</v>
      </c>
      <c r="H135" s="54" t="str">
        <f>_xlfn.XLOOKUP(B135,'①门店信息-A-a-①-增加'!B:B,'①门店信息-A-a-①-增加'!F:F,0)</f>
        <v>新店二阶段</v>
      </c>
      <c r="I135" s="55">
        <f>_xlfn.XLOOKUP(E135,'③新店考核-B-a-②呈现-业绩明细表-③'!B:B,'③新店考核-B-a-②呈现-业绩明细表-③'!E:E,0)</f>
        <v>0</v>
      </c>
      <c r="J135" s="54">
        <f>_xlfn.XLOOKUP(E135,'③新店考核-B-a-②呈现-业绩明细表-③'!B:B,'③新店考核-B-a-②呈现-业绩明细表-③'!F:F,0)</f>
        <v>0</v>
      </c>
      <c r="K135" s="55">
        <f>IF(H135="新店一阶段",LOOKUP(I135,'②提成标准-B-a-①-增加'!$M$9:$M$12,'②提成标准-B-a-①-增加'!$O$9:$O$12),0)</f>
        <v>0</v>
      </c>
      <c r="L135" s="56">
        <f t="shared" si="33"/>
        <v>21166</v>
      </c>
      <c r="M135" s="57">
        <f>_xlfn.XLOOKUP(E135,'③新店考核-B-a-②呈现-业绩明细表-③'!B:B,'③新店考核-B-a-②呈现-业绩明细表-③'!G:G,0)</f>
        <v>1</v>
      </c>
      <c r="N135" s="58" t="str">
        <f>LOOKUP(M135,'②提成标准-B-a-①-增加'!$M$1:$M$4,'②提成标准-B-a-①-增加'!$O$1:$O$4)</f>
        <v>同老店</v>
      </c>
      <c r="O135" s="57">
        <f>_xlfn.XLOOKUP(E135,'③新店考核-B-a-②呈现-业绩明细表-③'!B:B,'③新店考核-B-a-②呈现-业绩明细表-③'!H:H,0)</f>
        <v>5500</v>
      </c>
      <c r="P135" s="57">
        <f t="shared" si="34"/>
        <v>15666</v>
      </c>
      <c r="Q135" s="53">
        <f>_xlfn.XLOOKUP(E135,'④考勤-B-a-26考勤汇总表'!D:D,'④考勤-B-a-26考勤汇总表'!AP:AP,0)</f>
        <v>31</v>
      </c>
      <c r="R135" s="53" t="str">
        <f t="shared" ref="R135:R198" si="43">IF(Q135=0,"",IF(Q135&lt;$R$1,"不足月",""))</f>
        <v/>
      </c>
      <c r="S135" s="53">
        <f t="shared" si="36"/>
        <v>21786</v>
      </c>
      <c r="T135" s="53">
        <v>21166</v>
      </c>
      <c r="U135" s="53">
        <v>0</v>
      </c>
      <c r="V135" s="53">
        <v>620</v>
      </c>
      <c r="W135" s="53">
        <f>_xlfn.XLOOKUP(E135,'⑤项目数-B-a-③消耗明细表'!C:C,'⑤项目数-B-a-③消耗明细表'!E:E,0)</f>
        <v>5211.9399999999996</v>
      </c>
      <c r="X135" s="53">
        <f>_xlfn.XLOOKUP(E135,'⑤项目数-B-a-③消耗明细表'!C:C,'⑤项目数-B-a-③消耗明细表'!D:D,0)</f>
        <v>67</v>
      </c>
      <c r="Y135" s="53">
        <f>_xlfn.XLOOKUP(E135,'⑤项目数-B-a-③消耗明细表'!C:C,'⑤项目数-B-a-③消耗明细表'!F:F,0)</f>
        <v>1062</v>
      </c>
      <c r="Z135" s="53">
        <f>_xlfn.XLOOKUP(E135,'⑤项目数-B-a-③消耗明细表'!C:C,'⑤项目数-B-a-③消耗明细表'!G:G,0)</f>
        <v>90</v>
      </c>
      <c r="AA135" s="84" t="str">
        <f t="shared" si="39"/>
        <v>新店</v>
      </c>
      <c r="AB135" s="84">
        <f t="shared" si="40"/>
        <v>0</v>
      </c>
      <c r="AC135" s="53">
        <f>_xlfn.XLOOKUP(F135,'⑥战队统计表-B-a-②呈现-业绩明细表④'!A:A,'⑥战队统计表-B-a-②呈现-业绩明细表④'!B:B,0)</f>
        <v>0</v>
      </c>
      <c r="AD135" s="53">
        <f t="shared" si="37"/>
        <v>1</v>
      </c>
      <c r="AE135" s="59">
        <f>IF(AD135="",_xlfn.XLOOKUP(F135,'⑥战队统计表-B-a-②呈现-业绩明细表④'!A:A,'⑥战队统计表-B-a-②呈现-业绩明细表④'!D:D,0),0)</f>
        <v>0</v>
      </c>
      <c r="AF135" s="85">
        <f>IF(AND(E135="T区",E135="门店T区"),"",IF(AD135="",0,IF(R135="",LOOKUP(S135,'②提成标准-B-a-①-增加'!$B$16:$B$20,'②提成标准-B-a-①-增加'!$D$16:$D$20),LOOKUP(S135/Q135,'②提成标准-B-a-①-增加'!$B$23:$B$27,'②提成标准-B-a-①-增加'!$D$23:$D$27))))</f>
        <v>0.04</v>
      </c>
      <c r="AG135" s="85">
        <f t="shared" si="35"/>
        <v>0.04</v>
      </c>
      <c r="AH135" s="60">
        <f t="shared" ref="AH135:AH198" si="44">IF(D135="门店T区",0,IF(H135="新店一阶段",J135*K135*0.95+L135*AF135*0.95,IF(N135="同老店",IF(AND($E$6="T区",$E$6="门店T区"),"",AG135*T135*0.95),O135*N135*0.95+P135*0.95*AG135)))</f>
        <v>804.30799999999999</v>
      </c>
      <c r="AI135" s="86">
        <f t="shared" ref="AI135:AI198" si="45">IF(D135="门店T区",0,IF(AND($E$6="T区",$E$6="门店T区"),"",AG135*U135*0.95*0.65))</f>
        <v>0</v>
      </c>
      <c r="AJ135" s="60">
        <f t="shared" si="38"/>
        <v>804.30799999999999</v>
      </c>
      <c r="AK135" s="87">
        <f>IF(AB135=1,IFERROR(S135/VLOOKUP(F135,'⑥战队统计表-B-a-②呈现-业绩明细表④'!A:C,3,0),0),0)</f>
        <v>0</v>
      </c>
      <c r="AL135" s="85" t="str">
        <f t="shared" si="41"/>
        <v/>
      </c>
      <c r="AM135" s="53" t="str">
        <f>IF(D135="顾问",_xlfn.XLOOKUP(F135,'⑥战队统计表-B-a-②呈现-业绩明细表④'!A:A,'⑥战队统计表-B-a-②呈现-业绩明细表④'!H:H,0),"")</f>
        <v/>
      </c>
      <c r="AN135" s="53" t="str">
        <f t="shared" si="42"/>
        <v>单人</v>
      </c>
    </row>
    <row r="136" spans="1:40" x14ac:dyDescent="0.15">
      <c r="A136" s="79" t="s">
        <v>428</v>
      </c>
      <c r="B136" s="80" t="s">
        <v>153</v>
      </c>
      <c r="C136" s="81" t="s">
        <v>50</v>
      </c>
      <c r="D136" s="82" t="s">
        <v>6</v>
      </c>
      <c r="E136" s="82" t="s">
        <v>157</v>
      </c>
      <c r="F136" s="53" t="str">
        <f t="shared" si="32"/>
        <v>川音+单人</v>
      </c>
      <c r="G136" s="53" t="str">
        <f>IFERROR(_xlfn.XLOOKUP(B136,'①门店信息-A-a-①-增加'!B:B,'①门店信息-A-a-①-增加'!E:E,0),"")</f>
        <v>新店</v>
      </c>
      <c r="H136" s="54" t="str">
        <f>_xlfn.XLOOKUP(B136,'①门店信息-A-a-①-增加'!B:B,'①门店信息-A-a-①-增加'!F:F,0)</f>
        <v>新店二阶段</v>
      </c>
      <c r="I136" s="55">
        <f>_xlfn.XLOOKUP(E136,'③新店考核-B-a-②呈现-业绩明细表-③'!B:B,'③新店考核-B-a-②呈现-业绩明细表-③'!E:E,0)</f>
        <v>0</v>
      </c>
      <c r="J136" s="54">
        <f>_xlfn.XLOOKUP(E136,'③新店考核-B-a-②呈现-业绩明细表-③'!B:B,'③新店考核-B-a-②呈现-业绩明细表-③'!F:F,0)</f>
        <v>0</v>
      </c>
      <c r="K136" s="55">
        <f>IF(H136="新店一阶段",LOOKUP(I136,'②提成标准-B-a-①-增加'!$M$9:$M$12,'②提成标准-B-a-①-增加'!$O$9:$O$12),0)</f>
        <v>0</v>
      </c>
      <c r="L136" s="56">
        <f t="shared" si="33"/>
        <v>4443.2</v>
      </c>
      <c r="M136" s="57">
        <f>_xlfn.XLOOKUP(E136,'③新店考核-B-a-②呈现-业绩明细表-③'!B:B,'③新店考核-B-a-②呈现-业绩明细表-③'!G:G,0)</f>
        <v>0.5</v>
      </c>
      <c r="N136" s="58" t="str">
        <f>LOOKUP(M136,'②提成标准-B-a-①-增加'!$M$1:$M$4,'②提成标准-B-a-①-增加'!$O$1:$O$4)</f>
        <v>同老店</v>
      </c>
      <c r="O136" s="57">
        <f>_xlfn.XLOOKUP(E136,'③新店考核-B-a-②呈现-业绩明细表-③'!B:B,'③新店考核-B-a-②呈现-业绩明细表-③'!H:H,0)</f>
        <v>979.2</v>
      </c>
      <c r="P136" s="57">
        <f t="shared" si="34"/>
        <v>3464</v>
      </c>
      <c r="Q136" s="53">
        <f>_xlfn.XLOOKUP(E136,'④考勤-B-a-26考勤汇总表'!D:D,'④考勤-B-a-26考勤汇总表'!AP:AP,0)</f>
        <v>31</v>
      </c>
      <c r="R136" s="53" t="str">
        <f t="shared" si="43"/>
        <v/>
      </c>
      <c r="S136" s="53">
        <f t="shared" si="36"/>
        <v>4443.2</v>
      </c>
      <c r="T136" s="53">
        <v>4443.2</v>
      </c>
      <c r="U136" s="53">
        <v>0</v>
      </c>
      <c r="V136" s="53">
        <v>0</v>
      </c>
      <c r="W136" s="53">
        <f>_xlfn.XLOOKUP(E136,'⑤项目数-B-a-③消耗明细表'!C:C,'⑤项目数-B-a-③消耗明细表'!E:E,0)</f>
        <v>3102.44</v>
      </c>
      <c r="X136" s="53">
        <f>_xlfn.XLOOKUP(E136,'⑤项目数-B-a-③消耗明细表'!C:C,'⑤项目数-B-a-③消耗明细表'!D:D,0)</f>
        <v>57</v>
      </c>
      <c r="Y136" s="53">
        <f>_xlfn.XLOOKUP(E136,'⑤项目数-B-a-③消耗明细表'!C:C,'⑤项目数-B-a-③消耗明细表'!F:F,0)</f>
        <v>796</v>
      </c>
      <c r="Z136" s="53">
        <f>_xlfn.XLOOKUP(E136,'⑤项目数-B-a-③消耗明细表'!C:C,'⑤项目数-B-a-③消耗明细表'!G:G,0)</f>
        <v>0</v>
      </c>
      <c r="AA136" s="84" t="str">
        <f t="shared" si="39"/>
        <v>新店</v>
      </c>
      <c r="AB136" s="84">
        <f t="shared" si="40"/>
        <v>0</v>
      </c>
      <c r="AC136" s="53">
        <f>_xlfn.XLOOKUP(F136,'⑥战队统计表-B-a-②呈现-业绩明细表④'!A:A,'⑥战队统计表-B-a-②呈现-业绩明细表④'!B:B,0)</f>
        <v>0</v>
      </c>
      <c r="AD136" s="53">
        <f t="shared" si="37"/>
        <v>1</v>
      </c>
      <c r="AE136" s="59">
        <f>IF(AD136="",_xlfn.XLOOKUP(F136,'⑥战队统计表-B-a-②呈现-业绩明细表④'!A:A,'⑥战队统计表-B-a-②呈现-业绩明细表④'!D:D,0),0)</f>
        <v>0</v>
      </c>
      <c r="AF136" s="85">
        <f>IF(AND(E136="T区",E136="门店T区"),"",IF(AD136="",0,IF(R136="",LOOKUP(S136,'②提成标准-B-a-①-增加'!$B$16:$B$20,'②提成标准-B-a-①-增加'!$D$16:$D$20),LOOKUP(S136/Q136,'②提成标准-B-a-①-增加'!$B$23:$B$27,'②提成标准-B-a-①-增加'!$D$23:$D$27))))</f>
        <v>0</v>
      </c>
      <c r="AG136" s="85">
        <f t="shared" si="35"/>
        <v>0</v>
      </c>
      <c r="AH136" s="60">
        <f t="shared" si="44"/>
        <v>0</v>
      </c>
      <c r="AI136" s="86">
        <f t="shared" si="45"/>
        <v>0</v>
      </c>
      <c r="AJ136" s="60">
        <f t="shared" si="38"/>
        <v>0</v>
      </c>
      <c r="AK136" s="87">
        <f>IF(AB136=1,IFERROR(S136/VLOOKUP(F136,'⑥战队统计表-B-a-②呈现-业绩明细表④'!A:C,3,0),0),0)</f>
        <v>0</v>
      </c>
      <c r="AL136" s="85" t="str">
        <f t="shared" si="41"/>
        <v/>
      </c>
      <c r="AM136" s="53" t="str">
        <f>IF(D136="顾问",_xlfn.XLOOKUP(F136,'⑥战队统计表-B-a-②呈现-业绩明细表④'!A:A,'⑥战队统计表-B-a-②呈现-业绩明细表④'!H:H,0),"")</f>
        <v/>
      </c>
      <c r="AN136" s="53" t="str">
        <f t="shared" si="42"/>
        <v>单人</v>
      </c>
    </row>
    <row r="137" spans="1:40" x14ac:dyDescent="0.15">
      <c r="A137" s="79" t="s">
        <v>428</v>
      </c>
      <c r="B137" s="80" t="s">
        <v>153</v>
      </c>
      <c r="C137" s="81" t="s">
        <v>50</v>
      </c>
      <c r="D137" s="82" t="s">
        <v>6</v>
      </c>
      <c r="E137" s="82" t="s">
        <v>158</v>
      </c>
      <c r="F137" s="53" t="str">
        <f t="shared" si="32"/>
        <v>川音+单人</v>
      </c>
      <c r="G137" s="53" t="str">
        <f>IFERROR(_xlfn.XLOOKUP(B137,'①门店信息-A-a-①-增加'!B:B,'①门店信息-A-a-①-增加'!E:E,0),"")</f>
        <v>新店</v>
      </c>
      <c r="H137" s="54" t="str">
        <f>_xlfn.XLOOKUP(B137,'①门店信息-A-a-①-增加'!B:B,'①门店信息-A-a-①-增加'!F:F,0)</f>
        <v>新店二阶段</v>
      </c>
      <c r="I137" s="55">
        <f>_xlfn.XLOOKUP(E137,'③新店考核-B-a-②呈现-业绩明细表-③'!B:B,'③新店考核-B-a-②呈现-业绩明细表-③'!E:E,0)</f>
        <v>0</v>
      </c>
      <c r="J137" s="54">
        <f>_xlfn.XLOOKUP(E137,'③新店考核-B-a-②呈现-业绩明细表-③'!B:B,'③新店考核-B-a-②呈现-业绩明细表-③'!F:F,0)</f>
        <v>0</v>
      </c>
      <c r="K137" s="55">
        <f>IF(H137="新店一阶段",LOOKUP(I137,'②提成标准-B-a-①-增加'!$M$9:$M$12,'②提成标准-B-a-①-增加'!$O$9:$O$12),0)</f>
        <v>0</v>
      </c>
      <c r="L137" s="56">
        <f t="shared" si="33"/>
        <v>14997</v>
      </c>
      <c r="M137" s="57">
        <f>_xlfn.XLOOKUP(E137,'③新店考核-B-a-②呈现-业绩明细表-③'!B:B,'③新店考核-B-a-②呈现-业绩明细表-③'!G:G,0)</f>
        <v>2.5</v>
      </c>
      <c r="N137" s="58" t="str">
        <f>LOOKUP(M137,'②提成标准-B-a-①-增加'!$M$1:$M$4,'②提成标准-B-a-①-增加'!$O$1:$O$4)</f>
        <v>同老店</v>
      </c>
      <c r="O137" s="57">
        <f>_xlfn.XLOOKUP(E137,'③新店考核-B-a-②呈现-业绩明细表-③'!B:B,'③新店考核-B-a-②呈现-业绩明细表-③'!H:H,0)</f>
        <v>7200</v>
      </c>
      <c r="P137" s="57">
        <f t="shared" si="34"/>
        <v>7797</v>
      </c>
      <c r="Q137" s="53">
        <f>_xlfn.XLOOKUP(E137,'④考勤-B-a-26考勤汇总表'!D:D,'④考勤-B-a-26考勤汇总表'!AP:AP,0)</f>
        <v>31</v>
      </c>
      <c r="R137" s="53" t="str">
        <f t="shared" si="43"/>
        <v/>
      </c>
      <c r="S137" s="53">
        <f t="shared" si="36"/>
        <v>68697</v>
      </c>
      <c r="T137" s="53">
        <v>14997</v>
      </c>
      <c r="U137" s="53">
        <v>53700</v>
      </c>
      <c r="V137" s="53">
        <v>0</v>
      </c>
      <c r="W137" s="53">
        <f>_xlfn.XLOOKUP(E137,'⑤项目数-B-a-③消耗明细表'!C:C,'⑤项目数-B-a-③消耗明细表'!E:E,0)</f>
        <v>5148.9799999999996</v>
      </c>
      <c r="X137" s="53">
        <f>_xlfn.XLOOKUP(E137,'⑤项目数-B-a-③消耗明细表'!C:C,'⑤项目数-B-a-③消耗明细表'!D:D,0)</f>
        <v>56</v>
      </c>
      <c r="Y137" s="53">
        <f>_xlfn.XLOOKUP(E137,'⑤项目数-B-a-③消耗明细表'!C:C,'⑤项目数-B-a-③消耗明细表'!F:F,0)</f>
        <v>559</v>
      </c>
      <c r="Z137" s="53">
        <f>_xlfn.XLOOKUP(E137,'⑤项目数-B-a-③消耗明细表'!C:C,'⑤项目数-B-a-③消耗明细表'!G:G,0)</f>
        <v>20</v>
      </c>
      <c r="AA137" s="84" t="str">
        <f t="shared" si="39"/>
        <v>新店</v>
      </c>
      <c r="AB137" s="84">
        <f t="shared" si="40"/>
        <v>0</v>
      </c>
      <c r="AC137" s="53">
        <f>_xlfn.XLOOKUP(F137,'⑥战队统计表-B-a-②呈现-业绩明细表④'!A:A,'⑥战队统计表-B-a-②呈现-业绩明细表④'!B:B,0)</f>
        <v>0</v>
      </c>
      <c r="AD137" s="53">
        <f t="shared" si="37"/>
        <v>1</v>
      </c>
      <c r="AE137" s="59">
        <f>IF(AD137="",_xlfn.XLOOKUP(F137,'⑥战队统计表-B-a-②呈现-业绩明细表④'!A:A,'⑥战队统计表-B-a-②呈现-业绩明细表④'!D:D,0),0)</f>
        <v>0</v>
      </c>
      <c r="AF137" s="85">
        <f>IF(AND(E137="T区",E137="门店T区"),"",IF(AD137="",0,IF(R137="",LOOKUP(S137,'②提成标准-B-a-①-增加'!$B$16:$B$20,'②提成标准-B-a-①-增加'!$D$16:$D$20),LOOKUP(S137/Q137,'②提成标准-B-a-①-增加'!$B$23:$B$27,'②提成标准-B-a-①-增加'!$D$23:$D$27))))</f>
        <v>0.06</v>
      </c>
      <c r="AG137" s="85">
        <f t="shared" si="35"/>
        <v>0.06</v>
      </c>
      <c r="AH137" s="60">
        <f t="shared" si="44"/>
        <v>854.82899999999995</v>
      </c>
      <c r="AI137" s="86">
        <f t="shared" si="45"/>
        <v>1989.5849999999998</v>
      </c>
      <c r="AJ137" s="60">
        <f t="shared" si="38"/>
        <v>2844.4139999999998</v>
      </c>
      <c r="AK137" s="87">
        <f>IF(AB137=1,IFERROR(S137/VLOOKUP(F137,'⑥战队统计表-B-a-②呈现-业绩明细表④'!A:C,3,0),0),0)</f>
        <v>0</v>
      </c>
      <c r="AL137" s="85" t="str">
        <f t="shared" si="41"/>
        <v/>
      </c>
      <c r="AM137" s="53" t="str">
        <f>IF(D137="顾问",_xlfn.XLOOKUP(F137,'⑥战队统计表-B-a-②呈现-业绩明细表④'!A:A,'⑥战队统计表-B-a-②呈现-业绩明细表④'!H:H,0),"")</f>
        <v/>
      </c>
      <c r="AN137" s="53" t="str">
        <f t="shared" si="42"/>
        <v>单人</v>
      </c>
    </row>
    <row r="138" spans="1:40" x14ac:dyDescent="0.15">
      <c r="A138" s="79" t="s">
        <v>428</v>
      </c>
      <c r="B138" s="80" t="s">
        <v>153</v>
      </c>
      <c r="C138" s="81" t="s">
        <v>50</v>
      </c>
      <c r="D138" s="82" t="s">
        <v>6</v>
      </c>
      <c r="E138" s="82" t="s">
        <v>159</v>
      </c>
      <c r="F138" s="53" t="str">
        <f t="shared" si="32"/>
        <v>川音+单人</v>
      </c>
      <c r="G138" s="53" t="str">
        <f>IFERROR(_xlfn.XLOOKUP(B138,'①门店信息-A-a-①-增加'!B:B,'①门店信息-A-a-①-增加'!E:E,0),"")</f>
        <v>新店</v>
      </c>
      <c r="H138" s="54" t="str">
        <f>_xlfn.XLOOKUP(B138,'①门店信息-A-a-①-增加'!B:B,'①门店信息-A-a-①-增加'!F:F,0)</f>
        <v>新店二阶段</v>
      </c>
      <c r="I138" s="55">
        <f>_xlfn.XLOOKUP(E138,'③新店考核-B-a-②呈现-业绩明细表-③'!B:B,'③新店考核-B-a-②呈现-业绩明细表-③'!E:E,0)</f>
        <v>0</v>
      </c>
      <c r="J138" s="54">
        <f>_xlfn.XLOOKUP(E138,'③新店考核-B-a-②呈现-业绩明细表-③'!B:B,'③新店考核-B-a-②呈现-业绩明细表-③'!F:F,0)</f>
        <v>0</v>
      </c>
      <c r="K138" s="55">
        <f>IF(H138="新店一阶段",LOOKUP(I138,'②提成标准-B-a-①-增加'!$M$9:$M$12,'②提成标准-B-a-①-增加'!$O$9:$O$12),0)</f>
        <v>0</v>
      </c>
      <c r="L138" s="56">
        <f t="shared" si="33"/>
        <v>7079</v>
      </c>
      <c r="M138" s="57">
        <f>_xlfn.XLOOKUP(E138,'③新店考核-B-a-②呈现-业绩明细表-③'!B:B,'③新店考核-B-a-②呈现-业绩明细表-③'!G:G,0)</f>
        <v>1</v>
      </c>
      <c r="N138" s="58" t="str">
        <f>LOOKUP(M138,'②提成标准-B-a-①-增加'!$M$1:$M$4,'②提成标准-B-a-①-增加'!$O$1:$O$4)</f>
        <v>同老店</v>
      </c>
      <c r="O138" s="57">
        <f>_xlfn.XLOOKUP(E138,'③新店考核-B-a-②呈现-业绩明细表-③'!B:B,'③新店考核-B-a-②呈现-业绩明细表-③'!H:H,0)</f>
        <v>500</v>
      </c>
      <c r="P138" s="57">
        <f t="shared" si="34"/>
        <v>6579</v>
      </c>
      <c r="Q138" s="53">
        <f>_xlfn.XLOOKUP(E138,'④考勤-B-a-26考勤汇总表'!D:D,'④考勤-B-a-26考勤汇总表'!AP:AP,0)</f>
        <v>31</v>
      </c>
      <c r="R138" s="53" t="str">
        <f t="shared" si="43"/>
        <v/>
      </c>
      <c r="S138" s="53">
        <f t="shared" si="36"/>
        <v>10079</v>
      </c>
      <c r="T138" s="53">
        <v>7079</v>
      </c>
      <c r="U138" s="53">
        <v>3000</v>
      </c>
      <c r="V138" s="53">
        <v>0</v>
      </c>
      <c r="W138" s="53">
        <f>_xlfn.XLOOKUP(E138,'⑤项目数-B-a-③消耗明细表'!C:C,'⑤项目数-B-a-③消耗明细表'!E:E,0)</f>
        <v>3540.96</v>
      </c>
      <c r="X138" s="53">
        <f>_xlfn.XLOOKUP(E138,'⑤项目数-B-a-③消耗明细表'!C:C,'⑤项目数-B-a-③消耗明细表'!D:D,0)</f>
        <v>56</v>
      </c>
      <c r="Y138" s="53">
        <f>_xlfn.XLOOKUP(E138,'⑤项目数-B-a-③消耗明细表'!C:C,'⑤项目数-B-a-③消耗明细表'!F:F,0)</f>
        <v>613</v>
      </c>
      <c r="Z138" s="53">
        <f>_xlfn.XLOOKUP(E138,'⑤项目数-B-a-③消耗明细表'!C:C,'⑤项目数-B-a-③消耗明细表'!G:G,0)</f>
        <v>0</v>
      </c>
      <c r="AA138" s="84" t="str">
        <f t="shared" si="39"/>
        <v>新店</v>
      </c>
      <c r="AB138" s="84">
        <f t="shared" si="40"/>
        <v>0</v>
      </c>
      <c r="AC138" s="53">
        <f>_xlfn.XLOOKUP(F138,'⑥战队统计表-B-a-②呈现-业绩明细表④'!A:A,'⑥战队统计表-B-a-②呈现-业绩明细表④'!B:B,0)</f>
        <v>0</v>
      </c>
      <c r="AD138" s="53">
        <f t="shared" si="37"/>
        <v>1</v>
      </c>
      <c r="AE138" s="59">
        <f>IF(AD138="",_xlfn.XLOOKUP(F138,'⑥战队统计表-B-a-②呈现-业绩明细表④'!A:A,'⑥战队统计表-B-a-②呈现-业绩明细表④'!D:D,0),0)</f>
        <v>0</v>
      </c>
      <c r="AF138" s="85">
        <f>IF(AND(E138="T区",E138="门店T区"),"",IF(AD138="",0,IF(R138="",LOOKUP(S138,'②提成标准-B-a-①-增加'!$B$16:$B$20,'②提成标准-B-a-①-增加'!$D$16:$D$20),LOOKUP(S138/Q138,'②提成标准-B-a-①-增加'!$B$23:$B$27,'②提成标准-B-a-①-增加'!$D$23:$D$27))))</f>
        <v>0.03</v>
      </c>
      <c r="AG138" s="85">
        <f t="shared" si="35"/>
        <v>0.03</v>
      </c>
      <c r="AH138" s="60">
        <f t="shared" si="44"/>
        <v>201.75149999999999</v>
      </c>
      <c r="AI138" s="86">
        <f t="shared" si="45"/>
        <v>55.575000000000003</v>
      </c>
      <c r="AJ138" s="60">
        <f t="shared" si="38"/>
        <v>257.32650000000001</v>
      </c>
      <c r="AK138" s="87">
        <f>IF(AB138=1,IFERROR(S138/VLOOKUP(F138,'⑥战队统计表-B-a-②呈现-业绩明细表④'!A:C,3,0),0),0)</f>
        <v>0</v>
      </c>
      <c r="AL138" s="85" t="str">
        <f t="shared" si="41"/>
        <v/>
      </c>
      <c r="AM138" s="53" t="str">
        <f>IF(D138="顾问",_xlfn.XLOOKUP(F138,'⑥战队统计表-B-a-②呈现-业绩明细表④'!A:A,'⑥战队统计表-B-a-②呈现-业绩明细表④'!H:H,0),"")</f>
        <v/>
      </c>
      <c r="AN138" s="53" t="str">
        <f t="shared" si="42"/>
        <v>单人</v>
      </c>
    </row>
    <row r="139" spans="1:40" x14ac:dyDescent="0.15">
      <c r="A139" s="79" t="s">
        <v>428</v>
      </c>
      <c r="B139" s="80" t="s">
        <v>153</v>
      </c>
      <c r="C139" s="81" t="s">
        <v>50</v>
      </c>
      <c r="D139" s="82" t="s">
        <v>6</v>
      </c>
      <c r="E139" s="82" t="s">
        <v>160</v>
      </c>
      <c r="F139" s="53" t="str">
        <f t="shared" si="32"/>
        <v>川音+单人</v>
      </c>
      <c r="G139" s="53" t="str">
        <f>IFERROR(_xlfn.XLOOKUP(B139,'①门店信息-A-a-①-增加'!B:B,'①门店信息-A-a-①-增加'!E:E,0),"")</f>
        <v>新店</v>
      </c>
      <c r="H139" s="54" t="str">
        <f>_xlfn.XLOOKUP(B139,'①门店信息-A-a-①-增加'!B:B,'①门店信息-A-a-①-增加'!F:F,0)</f>
        <v>新店二阶段</v>
      </c>
      <c r="I139" s="55">
        <f>_xlfn.XLOOKUP(E139,'③新店考核-B-a-②呈现-业绩明细表-③'!B:B,'③新店考核-B-a-②呈现-业绩明细表-③'!E:E,0)</f>
        <v>0</v>
      </c>
      <c r="J139" s="54">
        <f>_xlfn.XLOOKUP(E139,'③新店考核-B-a-②呈现-业绩明细表-③'!B:B,'③新店考核-B-a-②呈现-业绩明细表-③'!F:F,0)</f>
        <v>0</v>
      </c>
      <c r="K139" s="55">
        <f>IF(H139="新店一阶段",LOOKUP(I139,'②提成标准-B-a-①-增加'!$M$9:$M$12,'②提成标准-B-a-①-增加'!$O$9:$O$12),0)</f>
        <v>0</v>
      </c>
      <c r="L139" s="56">
        <f t="shared" si="33"/>
        <v>7427</v>
      </c>
      <c r="M139" s="57">
        <f>_xlfn.XLOOKUP(E139,'③新店考核-B-a-②呈现-业绩明细表-③'!B:B,'③新店考核-B-a-②呈现-业绩明细表-③'!G:G,0)</f>
        <v>1.5</v>
      </c>
      <c r="N139" s="58" t="str">
        <f>LOOKUP(M139,'②提成标准-B-a-①-增加'!$M$1:$M$4,'②提成标准-B-a-①-增加'!$O$1:$O$4)</f>
        <v>同老店</v>
      </c>
      <c r="O139" s="57">
        <f>_xlfn.XLOOKUP(E139,'③新店考核-B-a-②呈现-业绩明细表-③'!B:B,'③新店考核-B-a-②呈现-业绩明细表-③'!H:H,0)</f>
        <v>2460</v>
      </c>
      <c r="P139" s="57">
        <f t="shared" si="34"/>
        <v>4967</v>
      </c>
      <c r="Q139" s="53">
        <f>_xlfn.XLOOKUP(E139,'④考勤-B-a-26考勤汇总表'!D:D,'④考勤-B-a-26考勤汇总表'!AP:AP,0)</f>
        <v>31</v>
      </c>
      <c r="R139" s="53" t="str">
        <f t="shared" si="43"/>
        <v/>
      </c>
      <c r="S139" s="53">
        <f t="shared" si="36"/>
        <v>10295</v>
      </c>
      <c r="T139" s="53">
        <v>7427</v>
      </c>
      <c r="U139" s="53">
        <v>1980</v>
      </c>
      <c r="V139" s="53">
        <v>888</v>
      </c>
      <c r="W139" s="53">
        <f>_xlfn.XLOOKUP(E139,'⑤项目数-B-a-③消耗明细表'!C:C,'⑤项目数-B-a-③消耗明细表'!E:E,0)</f>
        <v>3082.38</v>
      </c>
      <c r="X139" s="53">
        <f>_xlfn.XLOOKUP(E139,'⑤项目数-B-a-③消耗明细表'!C:C,'⑤项目数-B-a-③消耗明细表'!D:D,0)</f>
        <v>45</v>
      </c>
      <c r="Y139" s="53">
        <f>_xlfn.XLOOKUP(E139,'⑤项目数-B-a-③消耗明细表'!C:C,'⑤项目数-B-a-③消耗明细表'!F:F,0)</f>
        <v>610</v>
      </c>
      <c r="Z139" s="53">
        <f>_xlfn.XLOOKUP(E139,'⑤项目数-B-a-③消耗明细表'!C:C,'⑤项目数-B-a-③消耗明细表'!G:G,0)</f>
        <v>0</v>
      </c>
      <c r="AA139" s="84" t="str">
        <f t="shared" si="39"/>
        <v>新店</v>
      </c>
      <c r="AB139" s="84">
        <f t="shared" si="40"/>
        <v>0</v>
      </c>
      <c r="AC139" s="53">
        <f>_xlfn.XLOOKUP(F139,'⑥战队统计表-B-a-②呈现-业绩明细表④'!A:A,'⑥战队统计表-B-a-②呈现-业绩明细表④'!B:B,0)</f>
        <v>0</v>
      </c>
      <c r="AD139" s="53">
        <f t="shared" si="37"/>
        <v>1</v>
      </c>
      <c r="AE139" s="59">
        <f>IF(AD139="",_xlfn.XLOOKUP(F139,'⑥战队统计表-B-a-②呈现-业绩明细表④'!A:A,'⑥战队统计表-B-a-②呈现-业绩明细表④'!D:D,0),0)</f>
        <v>0</v>
      </c>
      <c r="AF139" s="85">
        <f>IF(AND(E139="T区",E139="门店T区"),"",IF(AD139="",0,IF(R139="",LOOKUP(S139,'②提成标准-B-a-①-增加'!$B$16:$B$20,'②提成标准-B-a-①-增加'!$D$16:$D$20),LOOKUP(S139/Q139,'②提成标准-B-a-①-增加'!$B$23:$B$27,'②提成标准-B-a-①-增加'!$D$23:$D$27))))</f>
        <v>0.03</v>
      </c>
      <c r="AG139" s="85">
        <f t="shared" si="35"/>
        <v>0.03</v>
      </c>
      <c r="AH139" s="60">
        <f t="shared" si="44"/>
        <v>211.6695</v>
      </c>
      <c r="AI139" s="86">
        <f t="shared" si="45"/>
        <v>36.679499999999997</v>
      </c>
      <c r="AJ139" s="60">
        <f t="shared" si="38"/>
        <v>248.34899999999999</v>
      </c>
      <c r="AK139" s="87">
        <f>IF(AB139=1,IFERROR(S139/VLOOKUP(F139,'⑥战队统计表-B-a-②呈现-业绩明细表④'!A:C,3,0),0),0)</f>
        <v>0</v>
      </c>
      <c r="AL139" s="85" t="str">
        <f t="shared" si="41"/>
        <v/>
      </c>
      <c r="AM139" s="53" t="str">
        <f>IF(D139="顾问",_xlfn.XLOOKUP(F139,'⑥战队统计表-B-a-②呈现-业绩明细表④'!A:A,'⑥战队统计表-B-a-②呈现-业绩明细表④'!H:H,0),"")</f>
        <v/>
      </c>
      <c r="AN139" s="53" t="str">
        <f t="shared" si="42"/>
        <v>单人</v>
      </c>
    </row>
    <row r="140" spans="1:40" x14ac:dyDescent="0.15">
      <c r="A140" s="79" t="s">
        <v>428</v>
      </c>
      <c r="B140" s="80" t="s">
        <v>153</v>
      </c>
      <c r="C140" s="89" t="s">
        <v>50</v>
      </c>
      <c r="D140" s="90" t="s">
        <v>6</v>
      </c>
      <c r="E140" s="90" t="s">
        <v>161</v>
      </c>
      <c r="F140" s="53" t="str">
        <f t="shared" si="32"/>
        <v>川音+单人</v>
      </c>
      <c r="G140" s="53" t="str">
        <f>IFERROR(_xlfn.XLOOKUP(B140,'①门店信息-A-a-①-增加'!B:B,'①门店信息-A-a-①-增加'!E:E,0),"")</f>
        <v>新店</v>
      </c>
      <c r="H140" s="54" t="str">
        <f>_xlfn.XLOOKUP(B140,'①门店信息-A-a-①-增加'!B:B,'①门店信息-A-a-①-增加'!F:F,0)</f>
        <v>新店二阶段</v>
      </c>
      <c r="I140" s="55">
        <f>_xlfn.XLOOKUP(E140,'③新店考核-B-a-②呈现-业绩明细表-③'!B:B,'③新店考核-B-a-②呈现-业绩明细表-③'!E:E,0)</f>
        <v>0</v>
      </c>
      <c r="J140" s="54">
        <f>_xlfn.XLOOKUP(E140,'③新店考核-B-a-②呈现-业绩明细表-③'!B:B,'③新店考核-B-a-②呈现-业绩明细表-③'!F:F,0)</f>
        <v>0</v>
      </c>
      <c r="K140" s="55">
        <f>IF(H140="新店一阶段",LOOKUP(I140,'②提成标准-B-a-①-增加'!$M$9:$M$12,'②提成标准-B-a-①-增加'!$O$9:$O$12),0)</f>
        <v>0</v>
      </c>
      <c r="L140" s="56">
        <f t="shared" si="33"/>
        <v>12793.6</v>
      </c>
      <c r="M140" s="57">
        <f>_xlfn.XLOOKUP(E140,'③新店考核-B-a-②呈现-业绩明细表-③'!B:B,'③新店考核-B-a-②呈现-业绩明细表-③'!G:G,0)</f>
        <v>0</v>
      </c>
      <c r="N140" s="58" t="str">
        <f>LOOKUP(M140,'②提成标准-B-a-①-增加'!$M$1:$M$4,'②提成标准-B-a-①-增加'!$O$1:$O$4)</f>
        <v>同老店</v>
      </c>
      <c r="O140" s="57">
        <f>_xlfn.XLOOKUP(E140,'③新店考核-B-a-②呈现-业绩明细表-③'!B:B,'③新店考核-B-a-②呈现-业绩明细表-③'!H:H,0)</f>
        <v>0</v>
      </c>
      <c r="P140" s="57">
        <f t="shared" si="34"/>
        <v>12793.6</v>
      </c>
      <c r="Q140" s="53">
        <f>_xlfn.XLOOKUP(E140,'④考勤-B-a-26考勤汇总表'!D:D,'④考勤-B-a-26考勤汇总表'!AP:AP,0)</f>
        <v>31</v>
      </c>
      <c r="R140" s="53" t="str">
        <f t="shared" si="43"/>
        <v/>
      </c>
      <c r="S140" s="53">
        <f t="shared" si="36"/>
        <v>33613.599999999999</v>
      </c>
      <c r="T140" s="53">
        <v>12793.6</v>
      </c>
      <c r="U140" s="53">
        <v>20820</v>
      </c>
      <c r="V140" s="53">
        <v>0</v>
      </c>
      <c r="W140" s="53">
        <f>_xlfn.XLOOKUP(E140,'⑤项目数-B-a-③消耗明细表'!C:C,'⑤项目数-B-a-③消耗明细表'!E:E,0)</f>
        <v>2668.06</v>
      </c>
      <c r="X140" s="53">
        <f>_xlfn.XLOOKUP(E140,'⑤项目数-B-a-③消耗明细表'!C:C,'⑤项目数-B-a-③消耗明细表'!D:D,0)</f>
        <v>56</v>
      </c>
      <c r="Y140" s="53">
        <f>_xlfn.XLOOKUP(E140,'⑤项目数-B-a-③消耗明细表'!C:C,'⑤项目数-B-a-③消耗明细表'!F:F,0)</f>
        <v>656</v>
      </c>
      <c r="Z140" s="53">
        <f>_xlfn.XLOOKUP(E140,'⑤项目数-B-a-③消耗明细表'!C:C,'⑤项目数-B-a-③消耗明细表'!G:G,0)</f>
        <v>0</v>
      </c>
      <c r="AA140" s="84" t="str">
        <f t="shared" si="39"/>
        <v>新店</v>
      </c>
      <c r="AB140" s="84">
        <f t="shared" si="40"/>
        <v>0</v>
      </c>
      <c r="AC140" s="53">
        <f>_xlfn.XLOOKUP(F140,'⑥战队统计表-B-a-②呈现-业绩明细表④'!A:A,'⑥战队统计表-B-a-②呈现-业绩明细表④'!B:B,0)</f>
        <v>0</v>
      </c>
      <c r="AD140" s="53">
        <f t="shared" si="37"/>
        <v>1</v>
      </c>
      <c r="AE140" s="59">
        <f>IF(AD140="",_xlfn.XLOOKUP(F140,'⑥战队统计表-B-a-②呈现-业绩明细表④'!A:A,'⑥战队统计表-B-a-②呈现-业绩明细表④'!D:D,0),0)</f>
        <v>0</v>
      </c>
      <c r="AF140" s="85">
        <f>IF(AND(E140="T区",E140="门店T区"),"",IF(AD140="",0,IF(R140="",LOOKUP(S140,'②提成标准-B-a-①-增加'!$B$16:$B$20,'②提成标准-B-a-①-增加'!$D$16:$D$20),LOOKUP(S140/Q140,'②提成标准-B-a-①-增加'!$B$23:$B$27,'②提成标准-B-a-①-增加'!$D$23:$D$27))))</f>
        <v>0.04</v>
      </c>
      <c r="AG140" s="85">
        <f t="shared" si="35"/>
        <v>0.04</v>
      </c>
      <c r="AH140" s="60">
        <f t="shared" si="44"/>
        <v>486.15679999999998</v>
      </c>
      <c r="AI140" s="86">
        <f t="shared" si="45"/>
        <v>514.25400000000002</v>
      </c>
      <c r="AJ140" s="60">
        <f t="shared" si="38"/>
        <v>1000.4108</v>
      </c>
      <c r="AK140" s="87">
        <f>IF(AB140=1,IFERROR(S140/VLOOKUP(F140,'⑥战队统计表-B-a-②呈现-业绩明细表④'!A:C,3,0),0),0)</f>
        <v>0</v>
      </c>
      <c r="AL140" s="85" t="str">
        <f t="shared" si="41"/>
        <v/>
      </c>
      <c r="AM140" s="53" t="str">
        <f>IF(D140="顾问",_xlfn.XLOOKUP(F140,'⑥战队统计表-B-a-②呈现-业绩明细表④'!A:A,'⑥战队统计表-B-a-②呈现-业绩明细表④'!H:H,0),"")</f>
        <v/>
      </c>
      <c r="AN140" s="53" t="str">
        <f t="shared" si="42"/>
        <v>单人</v>
      </c>
    </row>
    <row r="141" spans="1:40" x14ac:dyDescent="0.15">
      <c r="A141" s="79" t="s">
        <v>428</v>
      </c>
      <c r="B141" s="80" t="s">
        <v>153</v>
      </c>
      <c r="C141" s="81" t="s">
        <v>40</v>
      </c>
      <c r="D141" s="82" t="s">
        <v>40</v>
      </c>
      <c r="E141" s="88" t="str">
        <f>F141</f>
        <v>川音+门店T区</v>
      </c>
      <c r="F141" s="53" t="str">
        <f t="shared" si="32"/>
        <v>川音+门店T区</v>
      </c>
      <c r="G141" s="53" t="str">
        <f>IFERROR(_xlfn.XLOOKUP(B141,'①门店信息-A-a-①-增加'!B:B,'①门店信息-A-a-①-增加'!E:E,0),"")</f>
        <v>新店</v>
      </c>
      <c r="H141" s="54" t="str">
        <f>_xlfn.XLOOKUP(B141,'①门店信息-A-a-①-增加'!B:B,'①门店信息-A-a-①-增加'!F:F,0)</f>
        <v>新店二阶段</v>
      </c>
      <c r="I141" s="55">
        <f>_xlfn.XLOOKUP(E141,'③新店考核-B-a-②呈现-业绩明细表-③'!B:B,'③新店考核-B-a-②呈现-业绩明细表-③'!E:E,0)</f>
        <v>0</v>
      </c>
      <c r="J141" s="54">
        <f>_xlfn.XLOOKUP(E141,'③新店考核-B-a-②呈现-业绩明细表-③'!B:B,'③新店考核-B-a-②呈现-业绩明细表-③'!F:F,0)</f>
        <v>0</v>
      </c>
      <c r="K141" s="55">
        <f>IF(H141="新店一阶段",LOOKUP(I141,'②提成标准-B-a-①-增加'!$M$9:$M$12,'②提成标准-B-a-①-增加'!$O$9:$O$12),0)</f>
        <v>0</v>
      </c>
      <c r="L141" s="56">
        <f t="shared" si="33"/>
        <v>0</v>
      </c>
      <c r="M141" s="57">
        <f>_xlfn.XLOOKUP(E141,'③新店考核-B-a-②呈现-业绩明细表-③'!B:B,'③新店考核-B-a-②呈现-业绩明细表-③'!G:G,0)</f>
        <v>0</v>
      </c>
      <c r="N141" s="58" t="str">
        <f>LOOKUP(M141,'②提成标准-B-a-①-增加'!$M$1:$M$4,'②提成标准-B-a-①-增加'!$O$1:$O$4)</f>
        <v>同老店</v>
      </c>
      <c r="O141" s="57">
        <f>_xlfn.XLOOKUP(E141,'③新店考核-B-a-②呈现-业绩明细表-③'!B:B,'③新店考核-B-a-②呈现-业绩明细表-③'!H:H,0)</f>
        <v>0</v>
      </c>
      <c r="P141" s="57">
        <f t="shared" si="34"/>
        <v>0</v>
      </c>
      <c r="Q141" s="53">
        <f>_xlfn.XLOOKUP(E141,'④考勤-B-a-26考勤汇总表'!D:D,'④考勤-B-a-26考勤汇总表'!AP:AP,0)</f>
        <v>0</v>
      </c>
      <c r="R141" s="53" t="str">
        <f t="shared" si="43"/>
        <v/>
      </c>
      <c r="S141" s="53">
        <f t="shared" si="36"/>
        <v>0</v>
      </c>
      <c r="T141" s="53">
        <v>0</v>
      </c>
      <c r="U141" s="53">
        <v>0</v>
      </c>
      <c r="V141" s="53">
        <v>0</v>
      </c>
      <c r="W141" s="53">
        <f>_xlfn.XLOOKUP(E141,'⑤项目数-B-a-③消耗明细表'!C:C,'⑤项目数-B-a-③消耗明细表'!E:E,0)</f>
        <v>0</v>
      </c>
      <c r="X141" s="53">
        <f>_xlfn.XLOOKUP(E141,'⑤项目数-B-a-③消耗明细表'!C:C,'⑤项目数-B-a-③消耗明细表'!D:D,0)</f>
        <v>0</v>
      </c>
      <c r="Y141" s="53">
        <f>_xlfn.XLOOKUP(E141,'⑤项目数-B-a-③消耗明细表'!C:C,'⑤项目数-B-a-③消耗明细表'!F:F,0)</f>
        <v>0</v>
      </c>
      <c r="Z141" s="53">
        <f>_xlfn.XLOOKUP(E141,'⑤项目数-B-a-③消耗明细表'!C:C,'⑤项目数-B-a-③消耗明细表'!G:G,0)</f>
        <v>0</v>
      </c>
      <c r="AA141" s="84" t="str">
        <f t="shared" si="39"/>
        <v>新店</v>
      </c>
      <c r="AB141" s="84">
        <f t="shared" si="40"/>
        <v>0</v>
      </c>
      <c r="AC141" s="53">
        <f>_xlfn.XLOOKUP(F141,'⑥战队统计表-B-a-②呈现-业绩明细表④'!A:A,'⑥战队统计表-B-a-②呈现-业绩明细表④'!B:B,0)</f>
        <v>0</v>
      </c>
      <c r="AD141" s="53">
        <f t="shared" si="37"/>
        <v>1</v>
      </c>
      <c r="AE141" s="59">
        <f>IF(AD141="",_xlfn.XLOOKUP(F141,'⑥战队统计表-B-a-②呈现-业绩明细表④'!A:A,'⑥战队统计表-B-a-②呈现-业绩明细表④'!D:D,0),0)</f>
        <v>0</v>
      </c>
      <c r="AF141" s="85">
        <f>IF(AND(E141="T区",E141="门店T区"),"",IF(AD141="",0,IF(R141="",LOOKUP(S141,'②提成标准-B-a-①-增加'!$B$16:$B$20,'②提成标准-B-a-①-增加'!$D$16:$D$20),LOOKUP(S141/Q141,'②提成标准-B-a-①-增加'!$B$23:$B$27,'②提成标准-B-a-①-增加'!$D$23:$D$27))))</f>
        <v>0</v>
      </c>
      <c r="AG141" s="85">
        <f t="shared" si="35"/>
        <v>0</v>
      </c>
      <c r="AH141" s="60">
        <f t="shared" si="44"/>
        <v>0</v>
      </c>
      <c r="AI141" s="86">
        <f t="shared" si="45"/>
        <v>0</v>
      </c>
      <c r="AJ141" s="60">
        <f t="shared" si="38"/>
        <v>0</v>
      </c>
      <c r="AK141" s="87">
        <f>IF(AB141=1,IFERROR(S141/VLOOKUP(F141,'⑥战队统计表-B-a-②呈现-业绩明细表④'!A:C,3,0),0),0)</f>
        <v>0</v>
      </c>
      <c r="AL141" s="85" t="str">
        <f t="shared" si="41"/>
        <v/>
      </c>
      <c r="AM141" s="53" t="str">
        <f>IF(D141="顾问",_xlfn.XLOOKUP(F141,'⑥战队统计表-B-a-②呈现-业绩明细表④'!A:A,'⑥战队统计表-B-a-②呈现-业绩明细表④'!H:H,0),"")</f>
        <v/>
      </c>
      <c r="AN141" s="53" t="str">
        <f t="shared" si="42"/>
        <v>单人</v>
      </c>
    </row>
    <row r="142" spans="1:40" hidden="1" x14ac:dyDescent="0.15">
      <c r="A142" s="79" t="s">
        <v>428</v>
      </c>
      <c r="B142" s="80" t="s">
        <v>162</v>
      </c>
      <c r="C142" s="81" t="s">
        <v>163</v>
      </c>
      <c r="D142" s="82" t="s">
        <v>32</v>
      </c>
      <c r="E142" s="106" t="s">
        <v>164</v>
      </c>
      <c r="F142" s="53" t="str">
        <f t="shared" si="32"/>
        <v>光华+天翊队</v>
      </c>
      <c r="G142" s="53">
        <f>IFERROR(_xlfn.XLOOKUP(B142,'①门店信息-A-a-①-增加'!B:B,'①门店信息-A-a-①-增加'!E:E,0),"")</f>
        <v>0</v>
      </c>
      <c r="H142" s="54">
        <f>_xlfn.XLOOKUP(B142,'①门店信息-A-a-①-增加'!B:B,'①门店信息-A-a-①-增加'!F:F,0)</f>
        <v>0</v>
      </c>
      <c r="I142" s="55">
        <f>_xlfn.XLOOKUP(E142,'③新店考核-B-a-②呈现-业绩明细表-③'!B:B,'③新店考核-B-a-②呈现-业绩明细表-③'!E:E,0)</f>
        <v>0</v>
      </c>
      <c r="J142" s="54">
        <f>_xlfn.XLOOKUP(E142,'③新店考核-B-a-②呈现-业绩明细表-③'!B:B,'③新店考核-B-a-②呈现-业绩明细表-③'!F:F,0)</f>
        <v>0</v>
      </c>
      <c r="K142" s="55">
        <f>IF(H142="新店一阶段",LOOKUP(I142,'②提成标准-B-a-①-增加'!$M$9:$M$12,'②提成标准-B-a-①-增加'!$O$9:$O$12),0)</f>
        <v>0</v>
      </c>
      <c r="L142" s="56">
        <f t="shared" si="33"/>
        <v>45278</v>
      </c>
      <c r="M142" s="57">
        <f>_xlfn.XLOOKUP(E142,'③新店考核-B-a-②呈现-业绩明细表-③'!B:B,'③新店考核-B-a-②呈现-业绩明细表-③'!G:G,0)</f>
        <v>0</v>
      </c>
      <c r="N142" s="58" t="str">
        <f>LOOKUP(M142,'②提成标准-B-a-①-增加'!$M$1:$M$4,'②提成标准-B-a-①-增加'!$O$1:$O$4)</f>
        <v>同老店</v>
      </c>
      <c r="O142" s="57">
        <f>_xlfn.XLOOKUP(E142,'③新店考核-B-a-②呈现-业绩明细表-③'!B:B,'③新店考核-B-a-②呈现-业绩明细表-③'!H:H,0)</f>
        <v>0</v>
      </c>
      <c r="P142" s="57">
        <f t="shared" si="34"/>
        <v>45278</v>
      </c>
      <c r="Q142" s="53">
        <f>_xlfn.XLOOKUP(E142,'④考勤-B-a-26考勤汇总表'!D:D,'④考勤-B-a-26考勤汇总表'!AP:AP,0)</f>
        <v>31</v>
      </c>
      <c r="R142" s="53" t="str">
        <f t="shared" si="43"/>
        <v/>
      </c>
      <c r="S142" s="53">
        <f t="shared" si="36"/>
        <v>45278</v>
      </c>
      <c r="T142" s="53">
        <v>45278</v>
      </c>
      <c r="U142" s="53">
        <v>0</v>
      </c>
      <c r="V142" s="53">
        <v>0</v>
      </c>
      <c r="W142" s="53">
        <f>_xlfn.XLOOKUP(E142,'⑤项目数-B-a-③消耗明细表'!C:C,'⑤项目数-B-a-③消耗明细表'!E:E,0)</f>
        <v>40480.21</v>
      </c>
      <c r="X142" s="53">
        <f>_xlfn.XLOOKUP(E142,'⑤项目数-B-a-③消耗明细表'!C:C,'⑤项目数-B-a-③消耗明细表'!D:D,0)</f>
        <v>115</v>
      </c>
      <c r="Y142" s="53">
        <f>_xlfn.XLOOKUP(E142,'⑤项目数-B-a-③消耗明细表'!C:C,'⑤项目数-B-a-③消耗明细表'!F:F,0)</f>
        <v>1739</v>
      </c>
      <c r="Z142" s="53">
        <f>_xlfn.XLOOKUP(E142,'⑤项目数-B-a-③消耗明细表'!C:C,'⑤项目数-B-a-③消耗明细表'!G:G,0)</f>
        <v>250</v>
      </c>
      <c r="AA142" s="84">
        <f t="shared" si="39"/>
        <v>1</v>
      </c>
      <c r="AB142" s="84">
        <f t="shared" si="40"/>
        <v>1</v>
      </c>
      <c r="AC142" s="53">
        <f>_xlfn.XLOOKUP(F142,'⑥战队统计表-B-a-②呈现-业绩明细表④'!A:A,'⑥战队统计表-B-a-②呈现-业绩明细表④'!B:B,0)</f>
        <v>2</v>
      </c>
      <c r="AD142" s="53" t="str">
        <f t="shared" si="37"/>
        <v/>
      </c>
      <c r="AE142" s="59">
        <f>IF(AD142="",_xlfn.XLOOKUP(F142,'⑥战队统计表-B-a-②呈现-业绩明细表④'!A:A,'⑥战队统计表-B-a-②呈现-业绩明细表④'!D:D,0),0)</f>
        <v>0.04</v>
      </c>
      <c r="AF142" s="85">
        <f>IF(AND(E142="T区",E142="门店T区"),"",IF(AD142="",0,IF(R142="",LOOKUP(S142,'②提成标准-B-a-①-增加'!$B$16:$B$20,'②提成标准-B-a-①-增加'!$D$16:$D$20),LOOKUP(S142/Q142,'②提成标准-B-a-①-增加'!$B$23:$B$27,'②提成标准-B-a-①-增加'!$D$23:$D$27))))</f>
        <v>0</v>
      </c>
      <c r="AG142" s="85">
        <f t="shared" si="35"/>
        <v>0.04</v>
      </c>
      <c r="AH142" s="60">
        <f t="shared" si="44"/>
        <v>1720.5640000000001</v>
      </c>
      <c r="AI142" s="86">
        <f t="shared" si="45"/>
        <v>0</v>
      </c>
      <c r="AJ142" s="60">
        <f t="shared" si="38"/>
        <v>1720.5640000000001</v>
      </c>
      <c r="AK142" s="87">
        <f>IF(AB142=1,IFERROR(S142/VLOOKUP(F142,'⑥战队统计表-B-a-②呈现-业绩明细表④'!A:C,3,0),0),0)</f>
        <v>0.82208544401474304</v>
      </c>
      <c r="AL142" s="85">
        <f t="shared" si="41"/>
        <v>0.17791455598525702</v>
      </c>
      <c r="AM142" s="53">
        <f>IF(D142="顾问",_xlfn.XLOOKUP(F142,'⑥战队统计表-B-a-②呈现-业绩明细表④'!A:A,'⑥战队统计表-B-a-②呈现-业绩明细表④'!H:H,0),"")</f>
        <v>0</v>
      </c>
      <c r="AN142" s="53" t="str">
        <f t="shared" si="42"/>
        <v>光华+天翊队</v>
      </c>
    </row>
    <row r="143" spans="1:40" hidden="1" x14ac:dyDescent="0.15">
      <c r="A143" s="79" t="s">
        <v>428</v>
      </c>
      <c r="B143" s="80" t="s">
        <v>162</v>
      </c>
      <c r="C143" s="81" t="s">
        <v>163</v>
      </c>
      <c r="D143" s="82" t="s">
        <v>6</v>
      </c>
      <c r="E143" s="82" t="s">
        <v>165</v>
      </c>
      <c r="F143" s="53" t="str">
        <f t="shared" si="32"/>
        <v>光华+天翊队</v>
      </c>
      <c r="G143" s="53">
        <f>IFERROR(_xlfn.XLOOKUP(B143,'①门店信息-A-a-①-增加'!B:B,'①门店信息-A-a-①-增加'!E:E,0),"")</f>
        <v>0</v>
      </c>
      <c r="H143" s="54">
        <f>_xlfn.XLOOKUP(B143,'①门店信息-A-a-①-增加'!B:B,'①门店信息-A-a-①-增加'!F:F,0)</f>
        <v>0</v>
      </c>
      <c r="I143" s="55">
        <f>_xlfn.XLOOKUP(E143,'③新店考核-B-a-②呈现-业绩明细表-③'!B:B,'③新店考核-B-a-②呈现-业绩明细表-③'!E:E,0)</f>
        <v>0</v>
      </c>
      <c r="J143" s="54">
        <f>_xlfn.XLOOKUP(E143,'③新店考核-B-a-②呈现-业绩明细表-③'!B:B,'③新店考核-B-a-②呈现-业绩明细表-③'!F:F,0)</f>
        <v>0</v>
      </c>
      <c r="K143" s="55">
        <f>IF(H143="新店一阶段",LOOKUP(I143,'②提成标准-B-a-①-增加'!$M$9:$M$12,'②提成标准-B-a-①-增加'!$O$9:$O$12),0)</f>
        <v>0</v>
      </c>
      <c r="L143" s="56">
        <f t="shared" si="33"/>
        <v>9799</v>
      </c>
      <c r="M143" s="57">
        <f>_xlfn.XLOOKUP(E143,'③新店考核-B-a-②呈现-业绩明细表-③'!B:B,'③新店考核-B-a-②呈现-业绩明细表-③'!G:G,0)</f>
        <v>0</v>
      </c>
      <c r="N143" s="58" t="str">
        <f>LOOKUP(M143,'②提成标准-B-a-①-增加'!$M$1:$M$4,'②提成标准-B-a-①-增加'!$O$1:$O$4)</f>
        <v>同老店</v>
      </c>
      <c r="O143" s="57">
        <f>_xlfn.XLOOKUP(E143,'③新店考核-B-a-②呈现-业绩明细表-③'!B:B,'③新店考核-B-a-②呈现-业绩明细表-③'!H:H,0)</f>
        <v>0</v>
      </c>
      <c r="P143" s="57">
        <f t="shared" si="34"/>
        <v>9799</v>
      </c>
      <c r="Q143" s="53">
        <f>_xlfn.XLOOKUP(E143,'④考勤-B-a-26考勤汇总表'!D:D,'④考勤-B-a-26考勤汇总表'!AP:AP,0)</f>
        <v>29</v>
      </c>
      <c r="R143" s="53" t="str">
        <f t="shared" si="43"/>
        <v>不足月</v>
      </c>
      <c r="S143" s="53">
        <f t="shared" si="36"/>
        <v>9799</v>
      </c>
      <c r="T143" s="53">
        <v>9799</v>
      </c>
      <c r="U143" s="53">
        <v>0</v>
      </c>
      <c r="V143" s="53">
        <v>0</v>
      </c>
      <c r="W143" s="53">
        <f>_xlfn.XLOOKUP(E143,'⑤项目数-B-a-③消耗明细表'!C:C,'⑤项目数-B-a-③消耗明细表'!E:E,0)</f>
        <v>12768.22</v>
      </c>
      <c r="X143" s="53">
        <f>_xlfn.XLOOKUP(E143,'⑤项目数-B-a-③消耗明细表'!C:C,'⑤项目数-B-a-③消耗明细表'!D:D,0)</f>
        <v>110</v>
      </c>
      <c r="Y143" s="53">
        <f>_xlfn.XLOOKUP(E143,'⑤项目数-B-a-③消耗明细表'!C:C,'⑤项目数-B-a-③消耗明细表'!F:F,0)</f>
        <v>1312</v>
      </c>
      <c r="Z143" s="53">
        <f>_xlfn.XLOOKUP(E143,'⑤项目数-B-a-③消耗明细表'!C:C,'⑤项目数-B-a-③消耗明细表'!G:G,0)</f>
        <v>35</v>
      </c>
      <c r="AA143" s="84">
        <f t="shared" si="39"/>
        <v>1</v>
      </c>
      <c r="AB143" s="84">
        <f t="shared" si="40"/>
        <v>1</v>
      </c>
      <c r="AC143" s="53">
        <f>_xlfn.XLOOKUP(F143,'⑥战队统计表-B-a-②呈现-业绩明细表④'!A:A,'⑥战队统计表-B-a-②呈现-业绩明细表④'!B:B,0)</f>
        <v>2</v>
      </c>
      <c r="AD143" s="53" t="str">
        <f t="shared" si="37"/>
        <v/>
      </c>
      <c r="AE143" s="59">
        <f>IF(AD143="",_xlfn.XLOOKUP(F143,'⑥战队统计表-B-a-②呈现-业绩明细表④'!A:A,'⑥战队统计表-B-a-②呈现-业绩明细表④'!D:D,0),0)</f>
        <v>0.04</v>
      </c>
      <c r="AF143" s="85">
        <f>IF(AND(E143="T区",E143="门店T区"),"",IF(AD143="",0,IF(R143="",LOOKUP(S143,'②提成标准-B-a-①-增加'!$B$16:$B$20,'②提成标准-B-a-①-增加'!$D$16:$D$20),LOOKUP(S143/Q143,'②提成标准-B-a-①-增加'!$B$23:$B$27,'②提成标准-B-a-①-增加'!$D$23:$D$27))))</f>
        <v>0</v>
      </c>
      <c r="AG143" s="85">
        <f t="shared" si="35"/>
        <v>0.04</v>
      </c>
      <c r="AH143" s="60">
        <f t="shared" si="44"/>
        <v>372.36200000000002</v>
      </c>
      <c r="AI143" s="86">
        <f t="shared" si="45"/>
        <v>0</v>
      </c>
      <c r="AJ143" s="60">
        <f t="shared" si="38"/>
        <v>372.36200000000002</v>
      </c>
      <c r="AK143" s="87">
        <f>IF(AB143=1,IFERROR(S143/VLOOKUP(F143,'⑥战队统计表-B-a-②呈现-业绩明细表④'!A:C,3,0),0),0)</f>
        <v>0.17791455598525702</v>
      </c>
      <c r="AL143" s="85" t="str">
        <f t="shared" si="41"/>
        <v/>
      </c>
      <c r="AM143" s="53" t="str">
        <f>IF(D143="顾问",_xlfn.XLOOKUP(F143,'⑥战队统计表-B-a-②呈现-业绩明细表④'!A:A,'⑥战队统计表-B-a-②呈现-业绩明细表④'!H:H,0),"")</f>
        <v/>
      </c>
      <c r="AN143" s="53" t="str">
        <f t="shared" si="42"/>
        <v>光华+天翊队</v>
      </c>
    </row>
    <row r="144" spans="1:40" hidden="1" x14ac:dyDescent="0.15">
      <c r="A144" s="79" t="s">
        <v>428</v>
      </c>
      <c r="B144" s="80" t="s">
        <v>162</v>
      </c>
      <c r="C144" s="81" t="s">
        <v>36</v>
      </c>
      <c r="D144" s="82" t="s">
        <v>36</v>
      </c>
      <c r="E144" s="82" t="s">
        <v>36</v>
      </c>
      <c r="F144" s="53" t="str">
        <f t="shared" si="32"/>
        <v>光华+T区</v>
      </c>
      <c r="G144" s="53">
        <f>IFERROR(_xlfn.XLOOKUP(B144,'①门店信息-A-a-①-增加'!B:B,'①门店信息-A-a-①-增加'!E:E,0),"")</f>
        <v>0</v>
      </c>
      <c r="H144" s="54">
        <f>_xlfn.XLOOKUP(B144,'①门店信息-A-a-①-增加'!B:B,'①门店信息-A-a-①-增加'!F:F,0)</f>
        <v>0</v>
      </c>
      <c r="I144" s="55">
        <f>_xlfn.XLOOKUP(E144,'③新店考核-B-a-②呈现-业绩明细表-③'!B:B,'③新店考核-B-a-②呈现-业绩明细表-③'!E:E,0)</f>
        <v>0</v>
      </c>
      <c r="J144" s="54">
        <f>_xlfn.XLOOKUP(E144,'③新店考核-B-a-②呈现-业绩明细表-③'!B:B,'③新店考核-B-a-②呈现-业绩明细表-③'!F:F,0)</f>
        <v>0</v>
      </c>
      <c r="K144" s="55">
        <f>IF(H144="新店一阶段",LOOKUP(I144,'②提成标准-B-a-①-增加'!$M$9:$M$12,'②提成标准-B-a-①-增加'!$O$9:$O$12),0)</f>
        <v>0</v>
      </c>
      <c r="L144" s="56">
        <f t="shared" si="33"/>
        <v>0</v>
      </c>
      <c r="M144" s="57">
        <f>_xlfn.XLOOKUP(E144,'③新店考核-B-a-②呈现-业绩明细表-③'!B:B,'③新店考核-B-a-②呈现-业绩明细表-③'!G:G,0)</f>
        <v>0</v>
      </c>
      <c r="N144" s="58" t="str">
        <f>LOOKUP(M144,'②提成标准-B-a-①-增加'!$M$1:$M$4,'②提成标准-B-a-①-增加'!$O$1:$O$4)</f>
        <v>同老店</v>
      </c>
      <c r="O144" s="57">
        <f>_xlfn.XLOOKUP(E144,'③新店考核-B-a-②呈现-业绩明细表-③'!B:B,'③新店考核-B-a-②呈现-业绩明细表-③'!H:H,0)</f>
        <v>0</v>
      </c>
      <c r="P144" s="57">
        <f t="shared" si="34"/>
        <v>0</v>
      </c>
      <c r="Q144" s="53">
        <f>_xlfn.XLOOKUP(E144,'④考勤-B-a-26考勤汇总表'!D:D,'④考勤-B-a-26考勤汇总表'!AP:AP,0)</f>
        <v>0</v>
      </c>
      <c r="R144" s="53" t="str">
        <f t="shared" si="43"/>
        <v/>
      </c>
      <c r="S144" s="53">
        <f t="shared" si="36"/>
        <v>0</v>
      </c>
      <c r="T144" s="53">
        <v>0</v>
      </c>
      <c r="U144" s="53">
        <v>0</v>
      </c>
      <c r="V144" s="53">
        <v>0</v>
      </c>
      <c r="W144" s="53">
        <f>_xlfn.XLOOKUP(E144,'⑤项目数-B-a-③消耗明细表'!C:C,'⑤项目数-B-a-③消耗明细表'!E:E,0)</f>
        <v>0</v>
      </c>
      <c r="X144" s="53">
        <f>_xlfn.XLOOKUP(E144,'⑤项目数-B-a-③消耗明细表'!C:C,'⑤项目数-B-a-③消耗明细表'!D:D,0)</f>
        <v>0</v>
      </c>
      <c r="Y144" s="53">
        <f>_xlfn.XLOOKUP(E144,'⑤项目数-B-a-③消耗明细表'!C:C,'⑤项目数-B-a-③消耗明细表'!F:F,0)</f>
        <v>0</v>
      </c>
      <c r="Z144" s="53">
        <f>_xlfn.XLOOKUP(E144,'⑤项目数-B-a-③消耗明细表'!C:C,'⑤项目数-B-a-③消耗明细表'!G:G,0)</f>
        <v>0</v>
      </c>
      <c r="AA144" s="84" t="str">
        <f t="shared" si="39"/>
        <v>不属于战队</v>
      </c>
      <c r="AB144" s="84">
        <f t="shared" si="40"/>
        <v>0</v>
      </c>
      <c r="AC144" s="53">
        <f>_xlfn.XLOOKUP(F144,'⑥战队统计表-B-a-②呈现-业绩明细表④'!A:A,'⑥战队统计表-B-a-②呈现-业绩明细表④'!B:B,0)</f>
        <v>0</v>
      </c>
      <c r="AD144" s="53">
        <f t="shared" si="37"/>
        <v>1</v>
      </c>
      <c r="AE144" s="59">
        <f>IF(AD144="",_xlfn.XLOOKUP(F144,'⑥战队统计表-B-a-②呈现-业绩明细表④'!A:A,'⑥战队统计表-B-a-②呈现-业绩明细表④'!D:D,0),0)</f>
        <v>0</v>
      </c>
      <c r="AF144" s="85">
        <f>IF(AND(E144="T区",E144="门店T区"),"",IF(AD144="",0,IF(R144="",LOOKUP(S144,'②提成标准-B-a-①-增加'!$B$16:$B$20,'②提成标准-B-a-①-增加'!$D$16:$D$20),LOOKUP(S144/Q144,'②提成标准-B-a-①-增加'!$B$23:$B$27,'②提成标准-B-a-①-增加'!$D$23:$D$27))))</f>
        <v>0</v>
      </c>
      <c r="AG144" s="85">
        <f t="shared" si="35"/>
        <v>0</v>
      </c>
      <c r="AH144" s="60">
        <f t="shared" si="44"/>
        <v>0</v>
      </c>
      <c r="AI144" s="86">
        <f t="shared" si="45"/>
        <v>0</v>
      </c>
      <c r="AJ144" s="60">
        <f t="shared" si="38"/>
        <v>0</v>
      </c>
      <c r="AK144" s="87">
        <f>IF(AB144=1,IFERROR(S144/VLOOKUP(F144,'⑥战队统计表-B-a-②呈现-业绩明细表④'!A:C,3,0),0),0)</f>
        <v>0</v>
      </c>
      <c r="AL144" s="85" t="str">
        <f t="shared" si="41"/>
        <v/>
      </c>
      <c r="AM144" s="53" t="str">
        <f>IF(D144="顾问",_xlfn.XLOOKUP(F144,'⑥战队统计表-B-a-②呈现-业绩明细表④'!A:A,'⑥战队统计表-B-a-②呈现-业绩明细表④'!H:H,0),"")</f>
        <v/>
      </c>
      <c r="AN144" s="53" t="str">
        <f t="shared" si="42"/>
        <v>单人</v>
      </c>
    </row>
    <row r="145" spans="1:40" hidden="1" x14ac:dyDescent="0.15">
      <c r="A145" s="79" t="s">
        <v>428</v>
      </c>
      <c r="B145" s="80" t="s">
        <v>162</v>
      </c>
      <c r="C145" s="81" t="s">
        <v>166</v>
      </c>
      <c r="D145" s="82" t="s">
        <v>32</v>
      </c>
      <c r="E145" s="82" t="s">
        <v>167</v>
      </c>
      <c r="F145" s="53" t="str">
        <f t="shared" si="32"/>
        <v>光华+猛力队</v>
      </c>
      <c r="G145" s="53">
        <f>IFERROR(_xlfn.XLOOKUP(B145,'①门店信息-A-a-①-增加'!B:B,'①门店信息-A-a-①-增加'!E:E,0),"")</f>
        <v>0</v>
      </c>
      <c r="H145" s="54">
        <f>_xlfn.XLOOKUP(B145,'①门店信息-A-a-①-增加'!B:B,'①门店信息-A-a-①-增加'!F:F,0)</f>
        <v>0</v>
      </c>
      <c r="I145" s="55">
        <f>_xlfn.XLOOKUP(E145,'③新店考核-B-a-②呈现-业绩明细表-③'!B:B,'③新店考核-B-a-②呈现-业绩明细表-③'!E:E,0)</f>
        <v>0</v>
      </c>
      <c r="J145" s="54">
        <f>_xlfn.XLOOKUP(E145,'③新店考核-B-a-②呈现-业绩明细表-③'!B:B,'③新店考核-B-a-②呈现-业绩明细表-③'!F:F,0)</f>
        <v>0</v>
      </c>
      <c r="K145" s="55">
        <f>IF(H145="新店一阶段",LOOKUP(I145,'②提成标准-B-a-①-增加'!$M$9:$M$12,'②提成标准-B-a-①-增加'!$O$9:$O$12),0)</f>
        <v>0</v>
      </c>
      <c r="L145" s="56">
        <f t="shared" si="33"/>
        <v>45560</v>
      </c>
      <c r="M145" s="57">
        <f>_xlfn.XLOOKUP(E145,'③新店考核-B-a-②呈现-业绩明细表-③'!B:B,'③新店考核-B-a-②呈现-业绩明细表-③'!G:G,0)</f>
        <v>0</v>
      </c>
      <c r="N145" s="58" t="str">
        <f>LOOKUP(M145,'②提成标准-B-a-①-增加'!$M$1:$M$4,'②提成标准-B-a-①-增加'!$O$1:$O$4)</f>
        <v>同老店</v>
      </c>
      <c r="O145" s="57">
        <f>_xlfn.XLOOKUP(E145,'③新店考核-B-a-②呈现-业绩明细表-③'!B:B,'③新店考核-B-a-②呈现-业绩明细表-③'!H:H,0)</f>
        <v>0</v>
      </c>
      <c r="P145" s="57">
        <f t="shared" si="34"/>
        <v>45560</v>
      </c>
      <c r="Q145" s="53">
        <f>_xlfn.XLOOKUP(E145,'④考勤-B-a-26考勤汇总表'!D:D,'④考勤-B-a-26考勤汇总表'!AP:AP,0)</f>
        <v>31</v>
      </c>
      <c r="R145" s="53" t="str">
        <f t="shared" si="43"/>
        <v/>
      </c>
      <c r="S145" s="53">
        <f t="shared" si="36"/>
        <v>46560</v>
      </c>
      <c r="T145" s="53">
        <v>45560</v>
      </c>
      <c r="U145" s="53">
        <v>1000</v>
      </c>
      <c r="V145" s="53">
        <v>0</v>
      </c>
      <c r="W145" s="53">
        <f>_xlfn.XLOOKUP(E145,'⑤项目数-B-a-③消耗明细表'!C:C,'⑤项目数-B-a-③消耗明细表'!E:E,0)</f>
        <v>48257.49</v>
      </c>
      <c r="X145" s="53">
        <f>_xlfn.XLOOKUP(E145,'⑤项目数-B-a-③消耗明细表'!C:C,'⑤项目数-B-a-③消耗明细表'!D:D,0)</f>
        <v>135</v>
      </c>
      <c r="Y145" s="53">
        <f>_xlfn.XLOOKUP(E145,'⑤项目数-B-a-③消耗明细表'!C:C,'⑤项目数-B-a-③消耗明细表'!F:F,0)</f>
        <v>1937</v>
      </c>
      <c r="Z145" s="53">
        <f>_xlfn.XLOOKUP(E145,'⑤项目数-B-a-③消耗明细表'!C:C,'⑤项目数-B-a-③消耗明细表'!G:G,0)</f>
        <v>220</v>
      </c>
      <c r="AA145" s="84">
        <f t="shared" si="39"/>
        <v>1</v>
      </c>
      <c r="AB145" s="84">
        <f t="shared" si="40"/>
        <v>1</v>
      </c>
      <c r="AC145" s="53">
        <f>_xlfn.XLOOKUP(F145,'⑥战队统计表-B-a-②呈现-业绩明细表④'!A:A,'⑥战队统计表-B-a-②呈现-业绩明细表④'!B:B,0)</f>
        <v>2</v>
      </c>
      <c r="AD145" s="53" t="str">
        <f t="shared" si="37"/>
        <v/>
      </c>
      <c r="AE145" s="59">
        <f>IF(AD145="",_xlfn.XLOOKUP(F145,'⑥战队统计表-B-a-②呈现-业绩明细表④'!A:A,'⑥战队统计表-B-a-②呈现-业绩明细表④'!D:D,0),0)</f>
        <v>0.06</v>
      </c>
      <c r="AF145" s="85">
        <f>IF(AND(E145="T区",E145="门店T区"),"",IF(AD145="",0,IF(R145="",LOOKUP(S145,'②提成标准-B-a-①-增加'!$B$16:$B$20,'②提成标准-B-a-①-增加'!$D$16:$D$20),LOOKUP(S145/Q145,'②提成标准-B-a-①-增加'!$B$23:$B$27,'②提成标准-B-a-①-增加'!$D$23:$D$27))))</f>
        <v>0</v>
      </c>
      <c r="AG145" s="85">
        <f t="shared" si="35"/>
        <v>0.06</v>
      </c>
      <c r="AH145" s="60">
        <f t="shared" si="44"/>
        <v>2596.9199999999996</v>
      </c>
      <c r="AI145" s="86">
        <f t="shared" si="45"/>
        <v>37.050000000000004</v>
      </c>
      <c r="AJ145" s="60">
        <f t="shared" si="38"/>
        <v>2633.97</v>
      </c>
      <c r="AK145" s="87">
        <f>IF(AB145=1,IFERROR(S145/VLOOKUP(F145,'⑥战队统计表-B-a-②呈现-业绩明细表④'!A:C,3,0),0),0)</f>
        <v>0.57829170444524491</v>
      </c>
      <c r="AL145" s="85">
        <f t="shared" si="41"/>
        <v>0.42170829555475514</v>
      </c>
      <c r="AM145" s="53">
        <f>IF(D145="顾问",_xlfn.XLOOKUP(F145,'⑥战队统计表-B-a-②呈现-业绩明细表④'!A:A,'⑥战队统计表-B-a-②呈现-业绩明细表④'!H:H,0),"")</f>
        <v>241.54</v>
      </c>
      <c r="AN145" s="53" t="str">
        <f t="shared" si="42"/>
        <v>光华+猛力队</v>
      </c>
    </row>
    <row r="146" spans="1:40" hidden="1" x14ac:dyDescent="0.15">
      <c r="A146" s="79" t="s">
        <v>428</v>
      </c>
      <c r="B146" s="80" t="s">
        <v>162</v>
      </c>
      <c r="C146" s="89" t="s">
        <v>166</v>
      </c>
      <c r="D146" s="90" t="s">
        <v>6</v>
      </c>
      <c r="E146" s="90" t="s">
        <v>168</v>
      </c>
      <c r="F146" s="53" t="str">
        <f t="shared" si="32"/>
        <v>光华+猛力队</v>
      </c>
      <c r="G146" s="53">
        <f>IFERROR(_xlfn.XLOOKUP(B146,'①门店信息-A-a-①-增加'!B:B,'①门店信息-A-a-①-增加'!E:E,0),"")</f>
        <v>0</v>
      </c>
      <c r="H146" s="54">
        <f>_xlfn.XLOOKUP(B146,'①门店信息-A-a-①-增加'!B:B,'①门店信息-A-a-①-增加'!F:F,0)</f>
        <v>0</v>
      </c>
      <c r="I146" s="55">
        <f>_xlfn.XLOOKUP(E146,'③新店考核-B-a-②呈现-业绩明细表-③'!B:B,'③新店考核-B-a-②呈现-业绩明细表-③'!E:E,0)</f>
        <v>0</v>
      </c>
      <c r="J146" s="54">
        <f>_xlfn.XLOOKUP(E146,'③新店考核-B-a-②呈现-业绩明细表-③'!B:B,'③新店考核-B-a-②呈现-业绩明细表-③'!F:F,0)</f>
        <v>0</v>
      </c>
      <c r="K146" s="55">
        <f>IF(H146="新店一阶段",LOOKUP(I146,'②提成标准-B-a-①-增加'!$M$9:$M$12,'②提成标准-B-a-①-增加'!$O$9:$O$12),0)</f>
        <v>0</v>
      </c>
      <c r="L146" s="56">
        <f t="shared" si="33"/>
        <v>24153</v>
      </c>
      <c r="M146" s="57">
        <f>_xlfn.XLOOKUP(E146,'③新店考核-B-a-②呈现-业绩明细表-③'!B:B,'③新店考核-B-a-②呈现-业绩明细表-③'!G:G,0)</f>
        <v>0</v>
      </c>
      <c r="N146" s="58" t="str">
        <f>LOOKUP(M146,'②提成标准-B-a-①-增加'!$M$1:$M$4,'②提成标准-B-a-①-增加'!$O$1:$O$4)</f>
        <v>同老店</v>
      </c>
      <c r="O146" s="57">
        <f>_xlfn.XLOOKUP(E146,'③新店考核-B-a-②呈现-业绩明细表-③'!B:B,'③新店考核-B-a-②呈现-业绩明细表-③'!H:H,0)</f>
        <v>0</v>
      </c>
      <c r="P146" s="57">
        <f t="shared" si="34"/>
        <v>24153</v>
      </c>
      <c r="Q146" s="53">
        <f>_xlfn.XLOOKUP(E146,'④考勤-B-a-26考勤汇总表'!D:D,'④考勤-B-a-26考勤汇总表'!AP:AP,0)</f>
        <v>31</v>
      </c>
      <c r="R146" s="53" t="str">
        <f t="shared" si="43"/>
        <v/>
      </c>
      <c r="S146" s="53">
        <f t="shared" si="36"/>
        <v>33953</v>
      </c>
      <c r="T146" s="53">
        <v>24153</v>
      </c>
      <c r="U146" s="53">
        <v>9800</v>
      </c>
      <c r="V146" s="53">
        <v>0</v>
      </c>
      <c r="W146" s="53">
        <f>_xlfn.XLOOKUP(E146,'⑤项目数-B-a-③消耗明细表'!C:C,'⑤项目数-B-a-③消耗明细表'!E:E,0)</f>
        <v>18967.5</v>
      </c>
      <c r="X146" s="53">
        <f>_xlfn.XLOOKUP(E146,'⑤项目数-B-a-③消耗明细表'!C:C,'⑤项目数-B-a-③消耗明细表'!D:D,0)</f>
        <v>122</v>
      </c>
      <c r="Y146" s="53">
        <f>_xlfn.XLOOKUP(E146,'⑤项目数-B-a-③消耗明细表'!C:C,'⑤项目数-B-a-③消耗明细表'!F:F,0)</f>
        <v>1520</v>
      </c>
      <c r="Z146" s="53">
        <f>_xlfn.XLOOKUP(E146,'⑤项目数-B-a-③消耗明细表'!C:C,'⑤项目数-B-a-③消耗明细表'!G:G,0)</f>
        <v>80</v>
      </c>
      <c r="AA146" s="84">
        <f t="shared" si="39"/>
        <v>1</v>
      </c>
      <c r="AB146" s="84">
        <f t="shared" si="40"/>
        <v>1</v>
      </c>
      <c r="AC146" s="53">
        <f>_xlfn.XLOOKUP(F146,'⑥战队统计表-B-a-②呈现-业绩明细表④'!A:A,'⑥战队统计表-B-a-②呈现-业绩明细表④'!B:B,0)</f>
        <v>2</v>
      </c>
      <c r="AD146" s="53" t="str">
        <f t="shared" si="37"/>
        <v/>
      </c>
      <c r="AE146" s="59">
        <f>IF(AD146="",_xlfn.XLOOKUP(F146,'⑥战队统计表-B-a-②呈现-业绩明细表④'!A:A,'⑥战队统计表-B-a-②呈现-业绩明细表④'!D:D,0),0)</f>
        <v>0.06</v>
      </c>
      <c r="AF146" s="85">
        <f>IF(AND(E146="T区",E146="门店T区"),"",IF(AD146="",0,IF(R146="",LOOKUP(S146,'②提成标准-B-a-①-增加'!$B$16:$B$20,'②提成标准-B-a-①-增加'!$D$16:$D$20),LOOKUP(S146/Q146,'②提成标准-B-a-①-增加'!$B$23:$B$27,'②提成标准-B-a-①-增加'!$D$23:$D$27))))</f>
        <v>0</v>
      </c>
      <c r="AG146" s="85">
        <f t="shared" si="35"/>
        <v>0.06</v>
      </c>
      <c r="AH146" s="60">
        <f t="shared" si="44"/>
        <v>1376.7209999999998</v>
      </c>
      <c r="AI146" s="86">
        <f t="shared" si="45"/>
        <v>363.09000000000003</v>
      </c>
      <c r="AJ146" s="60">
        <f t="shared" si="38"/>
        <v>1739.8109999999997</v>
      </c>
      <c r="AK146" s="87">
        <f>IF(AB146=1,IFERROR(S146/VLOOKUP(F146,'⑥战队统计表-B-a-②呈现-业绩明细表④'!A:C,3,0),0),0)</f>
        <v>0.42170829555475514</v>
      </c>
      <c r="AL146" s="85" t="str">
        <f t="shared" si="41"/>
        <v/>
      </c>
      <c r="AM146" s="53" t="str">
        <f>IF(D146="顾问",_xlfn.XLOOKUP(F146,'⑥战队统计表-B-a-②呈现-业绩明细表④'!A:A,'⑥战队统计表-B-a-②呈现-业绩明细表④'!H:H,0),"")</f>
        <v/>
      </c>
      <c r="AN146" s="53" t="str">
        <f t="shared" si="42"/>
        <v>光华+猛力队</v>
      </c>
    </row>
    <row r="147" spans="1:40" hidden="1" x14ac:dyDescent="0.15">
      <c r="A147" s="79" t="s">
        <v>428</v>
      </c>
      <c r="B147" s="80" t="s">
        <v>162</v>
      </c>
      <c r="C147" s="81" t="s">
        <v>36</v>
      </c>
      <c r="D147" s="82" t="s">
        <v>36</v>
      </c>
      <c r="E147" s="82" t="s">
        <v>36</v>
      </c>
      <c r="F147" s="53" t="str">
        <f t="shared" si="32"/>
        <v>光华+T区</v>
      </c>
      <c r="G147" s="53">
        <f>IFERROR(_xlfn.XLOOKUP(B147,'①门店信息-A-a-①-增加'!B:B,'①门店信息-A-a-①-增加'!E:E,0),"")</f>
        <v>0</v>
      </c>
      <c r="H147" s="54">
        <f>_xlfn.XLOOKUP(B147,'①门店信息-A-a-①-增加'!B:B,'①门店信息-A-a-①-增加'!F:F,0)</f>
        <v>0</v>
      </c>
      <c r="I147" s="55">
        <f>_xlfn.XLOOKUP(E147,'③新店考核-B-a-②呈现-业绩明细表-③'!B:B,'③新店考核-B-a-②呈现-业绩明细表-③'!E:E,0)</f>
        <v>0</v>
      </c>
      <c r="J147" s="54">
        <f>_xlfn.XLOOKUP(E147,'③新店考核-B-a-②呈现-业绩明细表-③'!B:B,'③新店考核-B-a-②呈现-业绩明细表-③'!F:F,0)</f>
        <v>0</v>
      </c>
      <c r="K147" s="55">
        <f>IF(H147="新店一阶段",LOOKUP(I147,'②提成标准-B-a-①-增加'!$M$9:$M$12,'②提成标准-B-a-①-增加'!$O$9:$O$12),0)</f>
        <v>0</v>
      </c>
      <c r="L147" s="56">
        <f t="shared" si="33"/>
        <v>0</v>
      </c>
      <c r="M147" s="57">
        <f>_xlfn.XLOOKUP(E147,'③新店考核-B-a-②呈现-业绩明细表-③'!B:B,'③新店考核-B-a-②呈现-业绩明细表-③'!G:G,0)</f>
        <v>0</v>
      </c>
      <c r="N147" s="58" t="str">
        <f>LOOKUP(M147,'②提成标准-B-a-①-增加'!$M$1:$M$4,'②提成标准-B-a-①-增加'!$O$1:$O$4)</f>
        <v>同老店</v>
      </c>
      <c r="O147" s="57">
        <f>_xlfn.XLOOKUP(E147,'③新店考核-B-a-②呈现-业绩明细表-③'!B:B,'③新店考核-B-a-②呈现-业绩明细表-③'!H:H,0)</f>
        <v>0</v>
      </c>
      <c r="P147" s="57">
        <f t="shared" si="34"/>
        <v>0</v>
      </c>
      <c r="Q147" s="53">
        <f>_xlfn.XLOOKUP(E147,'④考勤-B-a-26考勤汇总表'!D:D,'④考勤-B-a-26考勤汇总表'!AP:AP,0)</f>
        <v>0</v>
      </c>
      <c r="R147" s="53" t="str">
        <f t="shared" si="43"/>
        <v/>
      </c>
      <c r="S147" s="53">
        <f t="shared" si="36"/>
        <v>0</v>
      </c>
      <c r="T147" s="53">
        <v>0</v>
      </c>
      <c r="U147" s="53">
        <v>0</v>
      </c>
      <c r="V147" s="53">
        <v>0</v>
      </c>
      <c r="W147" s="53">
        <f>_xlfn.XLOOKUP(E147,'⑤项目数-B-a-③消耗明细表'!C:C,'⑤项目数-B-a-③消耗明细表'!E:E,0)</f>
        <v>0</v>
      </c>
      <c r="X147" s="53">
        <f>_xlfn.XLOOKUP(E147,'⑤项目数-B-a-③消耗明细表'!C:C,'⑤项目数-B-a-③消耗明细表'!D:D,0)</f>
        <v>0</v>
      </c>
      <c r="Y147" s="53">
        <f>_xlfn.XLOOKUP(E147,'⑤项目数-B-a-③消耗明细表'!C:C,'⑤项目数-B-a-③消耗明细表'!F:F,0)</f>
        <v>0</v>
      </c>
      <c r="Z147" s="53">
        <f>_xlfn.XLOOKUP(E147,'⑤项目数-B-a-③消耗明细表'!C:C,'⑤项目数-B-a-③消耗明细表'!G:G,0)</f>
        <v>0</v>
      </c>
      <c r="AA147" s="84" t="str">
        <f t="shared" si="39"/>
        <v>不属于战队</v>
      </c>
      <c r="AB147" s="84">
        <f t="shared" si="40"/>
        <v>0</v>
      </c>
      <c r="AC147" s="53">
        <f>_xlfn.XLOOKUP(F147,'⑥战队统计表-B-a-②呈现-业绩明细表④'!A:A,'⑥战队统计表-B-a-②呈现-业绩明细表④'!B:B,0)</f>
        <v>0</v>
      </c>
      <c r="AD147" s="53">
        <f t="shared" si="37"/>
        <v>1</v>
      </c>
      <c r="AE147" s="59">
        <f>IF(AD147="",_xlfn.XLOOKUP(F147,'⑥战队统计表-B-a-②呈现-业绩明细表④'!A:A,'⑥战队统计表-B-a-②呈现-业绩明细表④'!D:D,0),0)</f>
        <v>0</v>
      </c>
      <c r="AF147" s="85">
        <f>IF(AND(E147="T区",E147="门店T区"),"",IF(AD147="",0,IF(R147="",LOOKUP(S147,'②提成标准-B-a-①-增加'!$B$16:$B$20,'②提成标准-B-a-①-增加'!$D$16:$D$20),LOOKUP(S147/Q147,'②提成标准-B-a-①-增加'!$B$23:$B$27,'②提成标准-B-a-①-增加'!$D$23:$D$27))))</f>
        <v>0</v>
      </c>
      <c r="AG147" s="85">
        <f t="shared" si="35"/>
        <v>0</v>
      </c>
      <c r="AH147" s="60">
        <f t="shared" si="44"/>
        <v>0</v>
      </c>
      <c r="AI147" s="86">
        <f t="shared" si="45"/>
        <v>0</v>
      </c>
      <c r="AJ147" s="60">
        <f t="shared" si="38"/>
        <v>0</v>
      </c>
      <c r="AK147" s="87">
        <f>IF(AB147=1,IFERROR(S147/VLOOKUP(F147,'⑥战队统计表-B-a-②呈现-业绩明细表④'!A:C,3,0),0),0)</f>
        <v>0</v>
      </c>
      <c r="AL147" s="85" t="str">
        <f t="shared" si="41"/>
        <v/>
      </c>
      <c r="AM147" s="53" t="str">
        <f>IF(D147="顾问",_xlfn.XLOOKUP(F147,'⑥战队统计表-B-a-②呈现-业绩明细表④'!A:A,'⑥战队统计表-B-a-②呈现-业绩明细表④'!H:H,0),"")</f>
        <v/>
      </c>
      <c r="AN147" s="53" t="str">
        <f t="shared" si="42"/>
        <v>单人</v>
      </c>
    </row>
    <row r="148" spans="1:40" hidden="1" x14ac:dyDescent="0.15">
      <c r="A148" s="79" t="s">
        <v>428</v>
      </c>
      <c r="B148" s="80" t="s">
        <v>162</v>
      </c>
      <c r="C148" s="81" t="s">
        <v>40</v>
      </c>
      <c r="D148" s="82" t="s">
        <v>40</v>
      </c>
      <c r="E148" s="88" t="str">
        <f>F148</f>
        <v>光华+门店T区</v>
      </c>
      <c r="F148" s="53" t="str">
        <f t="shared" si="32"/>
        <v>光华+门店T区</v>
      </c>
      <c r="G148" s="53">
        <f>IFERROR(_xlfn.XLOOKUP(B148,'①门店信息-A-a-①-增加'!B:B,'①门店信息-A-a-①-增加'!E:E,0),"")</f>
        <v>0</v>
      </c>
      <c r="H148" s="54">
        <f>_xlfn.XLOOKUP(B148,'①门店信息-A-a-①-增加'!B:B,'①门店信息-A-a-①-增加'!F:F,0)</f>
        <v>0</v>
      </c>
      <c r="I148" s="55">
        <f>_xlfn.XLOOKUP(E148,'③新店考核-B-a-②呈现-业绩明细表-③'!B:B,'③新店考核-B-a-②呈现-业绩明细表-③'!E:E,0)</f>
        <v>0</v>
      </c>
      <c r="J148" s="54">
        <f>_xlfn.XLOOKUP(E148,'③新店考核-B-a-②呈现-业绩明细表-③'!B:B,'③新店考核-B-a-②呈现-业绩明细表-③'!F:F,0)</f>
        <v>0</v>
      </c>
      <c r="K148" s="55">
        <f>IF(H148="新店一阶段",LOOKUP(I148,'②提成标准-B-a-①-增加'!$M$9:$M$12,'②提成标准-B-a-①-增加'!$O$9:$O$12),0)</f>
        <v>0</v>
      </c>
      <c r="L148" s="56">
        <f t="shared" si="33"/>
        <v>0</v>
      </c>
      <c r="M148" s="57">
        <f>_xlfn.XLOOKUP(E148,'③新店考核-B-a-②呈现-业绩明细表-③'!B:B,'③新店考核-B-a-②呈现-业绩明细表-③'!G:G,0)</f>
        <v>0</v>
      </c>
      <c r="N148" s="58" t="str">
        <f>LOOKUP(M148,'②提成标准-B-a-①-增加'!$M$1:$M$4,'②提成标准-B-a-①-增加'!$O$1:$O$4)</f>
        <v>同老店</v>
      </c>
      <c r="O148" s="57">
        <f>_xlfn.XLOOKUP(E148,'③新店考核-B-a-②呈现-业绩明细表-③'!B:B,'③新店考核-B-a-②呈现-业绩明细表-③'!H:H,0)</f>
        <v>0</v>
      </c>
      <c r="P148" s="57">
        <f t="shared" si="34"/>
        <v>0</v>
      </c>
      <c r="Q148" s="53">
        <f>_xlfn.XLOOKUP(E148,'④考勤-B-a-26考勤汇总表'!D:D,'④考勤-B-a-26考勤汇总表'!AP:AP,0)</f>
        <v>0</v>
      </c>
      <c r="R148" s="53" t="str">
        <f t="shared" si="43"/>
        <v/>
      </c>
      <c r="S148" s="53">
        <f t="shared" si="36"/>
        <v>0</v>
      </c>
      <c r="T148" s="53">
        <v>0</v>
      </c>
      <c r="U148" s="53">
        <v>0</v>
      </c>
      <c r="V148" s="53">
        <v>0</v>
      </c>
      <c r="W148" s="53">
        <f>_xlfn.XLOOKUP(E148,'⑤项目数-B-a-③消耗明细表'!C:C,'⑤项目数-B-a-③消耗明细表'!E:E,0)</f>
        <v>0</v>
      </c>
      <c r="X148" s="53">
        <f>_xlfn.XLOOKUP(E148,'⑤项目数-B-a-③消耗明细表'!C:C,'⑤项目数-B-a-③消耗明细表'!D:D,0)</f>
        <v>0</v>
      </c>
      <c r="Y148" s="53">
        <f>_xlfn.XLOOKUP(E148,'⑤项目数-B-a-③消耗明细表'!C:C,'⑤项目数-B-a-③消耗明细表'!F:F,0)</f>
        <v>0</v>
      </c>
      <c r="Z148" s="53">
        <f>_xlfn.XLOOKUP(E148,'⑤项目数-B-a-③消耗明细表'!C:C,'⑤项目数-B-a-③消耗明细表'!G:G,0)</f>
        <v>0</v>
      </c>
      <c r="AA148" s="84">
        <f t="shared" si="39"/>
        <v>1</v>
      </c>
      <c r="AB148" s="84">
        <f t="shared" si="40"/>
        <v>0</v>
      </c>
      <c r="AC148" s="53">
        <f>_xlfn.XLOOKUP(F148,'⑥战队统计表-B-a-②呈现-业绩明细表④'!A:A,'⑥战队统计表-B-a-②呈现-业绩明细表④'!B:B,0)</f>
        <v>0</v>
      </c>
      <c r="AD148" s="53">
        <f t="shared" si="37"/>
        <v>1</v>
      </c>
      <c r="AE148" s="59">
        <f>IF(AD148="",_xlfn.XLOOKUP(F148,'⑥战队统计表-B-a-②呈现-业绩明细表④'!A:A,'⑥战队统计表-B-a-②呈现-业绩明细表④'!D:D,0),0)</f>
        <v>0</v>
      </c>
      <c r="AF148" s="85">
        <f>IF(AND(E148="T区",E148="门店T区"),"",IF(AD148="",0,IF(R148="",LOOKUP(S148,'②提成标准-B-a-①-增加'!$B$16:$B$20,'②提成标准-B-a-①-增加'!$D$16:$D$20),LOOKUP(S148/Q148,'②提成标准-B-a-①-增加'!$B$23:$B$27,'②提成标准-B-a-①-增加'!$D$23:$D$27))))</f>
        <v>0</v>
      </c>
      <c r="AG148" s="85">
        <f t="shared" si="35"/>
        <v>0</v>
      </c>
      <c r="AH148" s="60">
        <f t="shared" si="44"/>
        <v>0</v>
      </c>
      <c r="AI148" s="86">
        <f t="shared" si="45"/>
        <v>0</v>
      </c>
      <c r="AJ148" s="60">
        <f t="shared" si="38"/>
        <v>0</v>
      </c>
      <c r="AK148" s="87">
        <f>IF(AB148=1,IFERROR(S148/VLOOKUP(F148,'⑥战队统计表-B-a-②呈现-业绩明细表④'!A:C,3,0),0),0)</f>
        <v>0</v>
      </c>
      <c r="AL148" s="85" t="str">
        <f t="shared" si="41"/>
        <v/>
      </c>
      <c r="AM148" s="53" t="str">
        <f>IF(D148="顾问",_xlfn.XLOOKUP(F148,'⑥战队统计表-B-a-②呈现-业绩明细表④'!A:A,'⑥战队统计表-B-a-②呈现-业绩明细表④'!H:H,0),"")</f>
        <v/>
      </c>
      <c r="AN148" s="53" t="str">
        <f t="shared" si="42"/>
        <v>单人</v>
      </c>
    </row>
    <row r="149" spans="1:40" hidden="1" x14ac:dyDescent="0.15">
      <c r="A149" s="79" t="s">
        <v>428</v>
      </c>
      <c r="B149" s="80" t="s">
        <v>169</v>
      </c>
      <c r="C149" s="81" t="s">
        <v>173</v>
      </c>
      <c r="D149" s="82" t="s">
        <v>32</v>
      </c>
      <c r="E149" s="90" t="s">
        <v>174</v>
      </c>
      <c r="F149" s="53" t="str">
        <f t="shared" si="32"/>
        <v>龙湖+必胜队</v>
      </c>
      <c r="G149" s="53">
        <f>IFERROR(_xlfn.XLOOKUP(B149,'①门店信息-A-a-①-增加'!B:B,'①门店信息-A-a-①-增加'!E:E,0),"")</f>
        <v>0</v>
      </c>
      <c r="H149" s="54">
        <f>_xlfn.XLOOKUP(B149,'①门店信息-A-a-①-增加'!B:B,'①门店信息-A-a-①-增加'!F:F,0)</f>
        <v>0</v>
      </c>
      <c r="I149" s="55">
        <f>_xlfn.XLOOKUP(E149,'③新店考核-B-a-②呈现-业绩明细表-③'!B:B,'③新店考核-B-a-②呈现-业绩明细表-③'!E:E,0)</f>
        <v>0</v>
      </c>
      <c r="J149" s="54">
        <f>_xlfn.XLOOKUP(E149,'③新店考核-B-a-②呈现-业绩明细表-③'!B:B,'③新店考核-B-a-②呈现-业绩明细表-③'!F:F,0)</f>
        <v>0</v>
      </c>
      <c r="K149" s="55">
        <f>IF(H149="新店一阶段",LOOKUP(I149,'②提成标准-B-a-①-增加'!$M$9:$M$12,'②提成标准-B-a-①-增加'!$O$9:$O$12),0)</f>
        <v>0</v>
      </c>
      <c r="L149" s="56">
        <f t="shared" si="33"/>
        <v>52166</v>
      </c>
      <c r="M149" s="57">
        <f>_xlfn.XLOOKUP(E149,'③新店考核-B-a-②呈现-业绩明细表-③'!B:B,'③新店考核-B-a-②呈现-业绩明细表-③'!G:G,0)</f>
        <v>0</v>
      </c>
      <c r="N149" s="58" t="str">
        <f>LOOKUP(M149,'②提成标准-B-a-①-增加'!$M$1:$M$4,'②提成标准-B-a-①-增加'!$O$1:$O$4)</f>
        <v>同老店</v>
      </c>
      <c r="O149" s="57">
        <f>_xlfn.XLOOKUP(E149,'③新店考核-B-a-②呈现-业绩明细表-③'!B:B,'③新店考核-B-a-②呈现-业绩明细表-③'!H:H,0)</f>
        <v>0</v>
      </c>
      <c r="P149" s="57">
        <f t="shared" si="34"/>
        <v>52166</v>
      </c>
      <c r="Q149" s="53">
        <f>_xlfn.XLOOKUP(E149,'④考勤-B-a-26考勤汇总表'!D:D,'④考勤-B-a-26考勤汇总表'!AP:AP,0)</f>
        <v>31</v>
      </c>
      <c r="R149" s="53" t="str">
        <f t="shared" si="43"/>
        <v/>
      </c>
      <c r="S149" s="53">
        <f t="shared" si="36"/>
        <v>68146</v>
      </c>
      <c r="T149" s="53">
        <v>52166</v>
      </c>
      <c r="U149" s="53">
        <v>15980</v>
      </c>
      <c r="V149" s="53">
        <v>0</v>
      </c>
      <c r="W149" s="53">
        <f>_xlfn.XLOOKUP(E149,'⑤项目数-B-a-③消耗明细表'!C:C,'⑤项目数-B-a-③消耗明细表'!E:E,0)</f>
        <v>58362.94</v>
      </c>
      <c r="X149" s="53">
        <f>_xlfn.XLOOKUP(E149,'⑤项目数-B-a-③消耗明细表'!C:C,'⑤项目数-B-a-③消耗明细表'!D:D,0)</f>
        <v>133</v>
      </c>
      <c r="Y149" s="53">
        <f>_xlfn.XLOOKUP(E149,'⑤项目数-B-a-③消耗明细表'!C:C,'⑤项目数-B-a-③消耗明细表'!F:F,0)</f>
        <v>1687</v>
      </c>
      <c r="Z149" s="53">
        <f>_xlfn.XLOOKUP(E149,'⑤项目数-B-a-③消耗明细表'!C:C,'⑤项目数-B-a-③消耗明细表'!G:G,0)</f>
        <v>290</v>
      </c>
      <c r="AA149" s="84">
        <f t="shared" si="39"/>
        <v>1</v>
      </c>
      <c r="AB149" s="84">
        <f t="shared" si="40"/>
        <v>1</v>
      </c>
      <c r="AC149" s="53">
        <f>_xlfn.XLOOKUP(F149,'⑥战队统计表-B-a-②呈现-业绩明细表④'!A:A,'⑥战队统计表-B-a-②呈现-业绩明细表④'!B:B,0)</f>
        <v>2</v>
      </c>
      <c r="AD149" s="53" t="str">
        <f t="shared" si="37"/>
        <v/>
      </c>
      <c r="AE149" s="59">
        <f>IF(AD149="",_xlfn.XLOOKUP(F149,'⑥战队统计表-B-a-②呈现-业绩明细表④'!A:A,'⑥战队统计表-B-a-②呈现-业绩明细表④'!D:D,0),0)</f>
        <v>0.06</v>
      </c>
      <c r="AF149" s="85">
        <f>IF(AND(E149="T区",E149="门店T区"),"",IF(AD149="",0,IF(R149="",LOOKUP(S149,'②提成标准-B-a-①-增加'!$B$16:$B$20,'②提成标准-B-a-①-增加'!$D$16:$D$20),LOOKUP(S149/Q149,'②提成标准-B-a-①-增加'!$B$23:$B$27,'②提成标准-B-a-①-增加'!$D$23:$D$27))))</f>
        <v>0</v>
      </c>
      <c r="AG149" s="85">
        <f t="shared" si="35"/>
        <v>0.06</v>
      </c>
      <c r="AH149" s="60">
        <f t="shared" si="44"/>
        <v>2973.462</v>
      </c>
      <c r="AI149" s="86">
        <f t="shared" si="45"/>
        <v>592.05899999999997</v>
      </c>
      <c r="AJ149" s="60">
        <f t="shared" si="38"/>
        <v>3565.5209999999997</v>
      </c>
      <c r="AK149" s="87">
        <f>IF(AB149=1,IFERROR(S149/VLOOKUP(F149,'⑥战队统计表-B-a-②呈现-业绩明细表④'!A:C,3,0),0),0)</f>
        <v>0.67896142196716081</v>
      </c>
      <c r="AL149" s="85">
        <f t="shared" si="41"/>
        <v>0.32103857803283914</v>
      </c>
      <c r="AM149" s="53">
        <f>IF(D149="顾问",_xlfn.XLOOKUP(F149,'⑥战队统计表-B-a-②呈现-业绩明细表④'!A:A,'⑥战队统计表-B-a-②呈现-业绩明细表④'!H:H,0),"")</f>
        <v>301.11</v>
      </c>
      <c r="AN149" s="53" t="str">
        <f t="shared" si="42"/>
        <v>龙湖+必胜队</v>
      </c>
    </row>
    <row r="150" spans="1:40" hidden="1" x14ac:dyDescent="0.15">
      <c r="A150" s="79" t="s">
        <v>428</v>
      </c>
      <c r="B150" s="80" t="s">
        <v>169</v>
      </c>
      <c r="C150" s="81" t="s">
        <v>173</v>
      </c>
      <c r="D150" s="82" t="s">
        <v>6</v>
      </c>
      <c r="E150" s="82" t="s">
        <v>172</v>
      </c>
      <c r="F150" s="53" t="str">
        <f t="shared" si="32"/>
        <v>龙湖+必胜队</v>
      </c>
      <c r="G150" s="53">
        <f>IFERROR(_xlfn.XLOOKUP(B150,'①门店信息-A-a-①-增加'!B:B,'①门店信息-A-a-①-增加'!E:E,0),"")</f>
        <v>0</v>
      </c>
      <c r="H150" s="54">
        <f>_xlfn.XLOOKUP(B150,'①门店信息-A-a-①-增加'!B:B,'①门店信息-A-a-①-增加'!F:F,0)</f>
        <v>0</v>
      </c>
      <c r="I150" s="55">
        <f>_xlfn.XLOOKUP(E150,'③新店考核-B-a-②呈现-业绩明细表-③'!B:B,'③新店考核-B-a-②呈现-业绩明细表-③'!E:E,0)</f>
        <v>0</v>
      </c>
      <c r="J150" s="54">
        <f>_xlfn.XLOOKUP(E150,'③新店考核-B-a-②呈现-业绩明细表-③'!B:B,'③新店考核-B-a-②呈现-业绩明细表-③'!F:F,0)</f>
        <v>0</v>
      </c>
      <c r="K150" s="55">
        <f>IF(H150="新店一阶段",LOOKUP(I150,'②提成标准-B-a-①-增加'!$M$9:$M$12,'②提成标准-B-a-①-增加'!$O$9:$O$12),0)</f>
        <v>0</v>
      </c>
      <c r="L150" s="56">
        <f t="shared" si="33"/>
        <v>25262</v>
      </c>
      <c r="M150" s="57">
        <f>_xlfn.XLOOKUP(E150,'③新店考核-B-a-②呈现-业绩明细表-③'!B:B,'③新店考核-B-a-②呈现-业绩明细表-③'!G:G,0)</f>
        <v>0</v>
      </c>
      <c r="N150" s="58" t="str">
        <f>LOOKUP(M150,'②提成标准-B-a-①-增加'!$M$1:$M$4,'②提成标准-B-a-①-增加'!$O$1:$O$4)</f>
        <v>同老店</v>
      </c>
      <c r="O150" s="57">
        <f>_xlfn.XLOOKUP(E150,'③新店考核-B-a-②呈现-业绩明细表-③'!B:B,'③新店考核-B-a-②呈现-业绩明细表-③'!H:H,0)</f>
        <v>0</v>
      </c>
      <c r="P150" s="57">
        <f t="shared" si="34"/>
        <v>25262</v>
      </c>
      <c r="Q150" s="53">
        <f>_xlfn.XLOOKUP(E150,'④考勤-B-a-26考勤汇总表'!D:D,'④考勤-B-a-26考勤汇总表'!AP:AP,0)</f>
        <v>31</v>
      </c>
      <c r="R150" s="53" t="str">
        <f t="shared" si="43"/>
        <v/>
      </c>
      <c r="S150" s="53">
        <f t="shared" si="36"/>
        <v>32222</v>
      </c>
      <c r="T150" s="53">
        <v>25262</v>
      </c>
      <c r="U150" s="53">
        <v>6960</v>
      </c>
      <c r="V150" s="53">
        <v>0</v>
      </c>
      <c r="W150" s="53">
        <f>_xlfn.XLOOKUP(E150,'⑤项目数-B-a-③消耗明细表'!C:C,'⑤项目数-B-a-③消耗明细表'!E:E,0)</f>
        <v>24568.3</v>
      </c>
      <c r="X150" s="53">
        <f>_xlfn.XLOOKUP(E150,'⑤项目数-B-a-③消耗明细表'!C:C,'⑤项目数-B-a-③消耗明细表'!D:D,0)</f>
        <v>138</v>
      </c>
      <c r="Y150" s="53">
        <f>_xlfn.XLOOKUP(E150,'⑤项目数-B-a-③消耗明细表'!C:C,'⑤项目数-B-a-③消耗明细表'!F:F,0)</f>
        <v>1674</v>
      </c>
      <c r="Z150" s="53">
        <f>_xlfn.XLOOKUP(E150,'⑤项目数-B-a-③消耗明细表'!C:C,'⑤项目数-B-a-③消耗明细表'!G:G,0)</f>
        <v>90</v>
      </c>
      <c r="AA150" s="84">
        <f t="shared" si="39"/>
        <v>1</v>
      </c>
      <c r="AB150" s="84">
        <f t="shared" si="40"/>
        <v>1</v>
      </c>
      <c r="AC150" s="53">
        <f>_xlfn.XLOOKUP(F150,'⑥战队统计表-B-a-②呈现-业绩明细表④'!A:A,'⑥战队统计表-B-a-②呈现-业绩明细表④'!B:B,0)</f>
        <v>2</v>
      </c>
      <c r="AD150" s="53" t="str">
        <f t="shared" si="37"/>
        <v/>
      </c>
      <c r="AE150" s="59">
        <f>IF(AD150="",_xlfn.XLOOKUP(F150,'⑥战队统计表-B-a-②呈现-业绩明细表④'!A:A,'⑥战队统计表-B-a-②呈现-业绩明细表④'!D:D,0),0)</f>
        <v>0.06</v>
      </c>
      <c r="AF150" s="85">
        <f>IF(AND(E150="T区",E150="门店T区"),"",IF(AD150="",0,IF(R150="",LOOKUP(S150,'②提成标准-B-a-①-增加'!$B$16:$B$20,'②提成标准-B-a-①-增加'!$D$16:$D$20),LOOKUP(S150/Q150,'②提成标准-B-a-①-增加'!$B$23:$B$27,'②提成标准-B-a-①-增加'!$D$23:$D$27))))</f>
        <v>0</v>
      </c>
      <c r="AG150" s="85">
        <f t="shared" si="35"/>
        <v>0.06</v>
      </c>
      <c r="AH150" s="60">
        <f t="shared" si="44"/>
        <v>1439.934</v>
      </c>
      <c r="AI150" s="86">
        <f t="shared" si="45"/>
        <v>257.86799999999999</v>
      </c>
      <c r="AJ150" s="60">
        <f t="shared" si="38"/>
        <v>1697.8019999999999</v>
      </c>
      <c r="AK150" s="87">
        <f>IF(AB150=1,IFERROR(S150/VLOOKUP(F150,'⑥战队统计表-B-a-②呈现-业绩明细表④'!A:C,3,0),0),0)</f>
        <v>0.32103857803283914</v>
      </c>
      <c r="AL150" s="85" t="str">
        <f t="shared" si="41"/>
        <v/>
      </c>
      <c r="AM150" s="53" t="str">
        <f>IF(D150="顾问",_xlfn.XLOOKUP(F150,'⑥战队统计表-B-a-②呈现-业绩明细表④'!A:A,'⑥战队统计表-B-a-②呈现-业绩明细表④'!H:H,0),"")</f>
        <v/>
      </c>
      <c r="AN150" s="53" t="str">
        <f t="shared" si="42"/>
        <v>龙湖+必胜队</v>
      </c>
    </row>
    <row r="151" spans="1:40" hidden="1" x14ac:dyDescent="0.15">
      <c r="A151" s="79" t="s">
        <v>428</v>
      </c>
      <c r="B151" s="80" t="s">
        <v>169</v>
      </c>
      <c r="C151" s="81" t="s">
        <v>36</v>
      </c>
      <c r="D151" s="82" t="s">
        <v>36</v>
      </c>
      <c r="E151" s="82" t="s">
        <v>36</v>
      </c>
      <c r="F151" s="53" t="str">
        <f t="shared" si="32"/>
        <v>龙湖+T区</v>
      </c>
      <c r="G151" s="53">
        <f>IFERROR(_xlfn.XLOOKUP(B151,'①门店信息-A-a-①-增加'!B:B,'①门店信息-A-a-①-增加'!E:E,0),"")</f>
        <v>0</v>
      </c>
      <c r="H151" s="54">
        <f>_xlfn.XLOOKUP(B151,'①门店信息-A-a-①-增加'!B:B,'①门店信息-A-a-①-增加'!F:F,0)</f>
        <v>0</v>
      </c>
      <c r="I151" s="55">
        <f>_xlfn.XLOOKUP(E151,'③新店考核-B-a-②呈现-业绩明细表-③'!B:B,'③新店考核-B-a-②呈现-业绩明细表-③'!E:E,0)</f>
        <v>0</v>
      </c>
      <c r="J151" s="54">
        <f>_xlfn.XLOOKUP(E151,'③新店考核-B-a-②呈现-业绩明细表-③'!B:B,'③新店考核-B-a-②呈现-业绩明细表-③'!F:F,0)</f>
        <v>0</v>
      </c>
      <c r="K151" s="55">
        <f>IF(H151="新店一阶段",LOOKUP(I151,'②提成标准-B-a-①-增加'!$M$9:$M$12,'②提成标准-B-a-①-增加'!$O$9:$O$12),0)</f>
        <v>0</v>
      </c>
      <c r="L151" s="56">
        <f t="shared" si="33"/>
        <v>0</v>
      </c>
      <c r="M151" s="57">
        <f>_xlfn.XLOOKUP(E151,'③新店考核-B-a-②呈现-业绩明细表-③'!B:B,'③新店考核-B-a-②呈现-业绩明细表-③'!G:G,0)</f>
        <v>0</v>
      </c>
      <c r="N151" s="58" t="str">
        <f>LOOKUP(M151,'②提成标准-B-a-①-增加'!$M$1:$M$4,'②提成标准-B-a-①-增加'!$O$1:$O$4)</f>
        <v>同老店</v>
      </c>
      <c r="O151" s="57">
        <f>_xlfn.XLOOKUP(E151,'③新店考核-B-a-②呈现-业绩明细表-③'!B:B,'③新店考核-B-a-②呈现-业绩明细表-③'!H:H,0)</f>
        <v>0</v>
      </c>
      <c r="P151" s="57">
        <f t="shared" si="34"/>
        <v>0</v>
      </c>
      <c r="Q151" s="53">
        <f>_xlfn.XLOOKUP(E151,'④考勤-B-a-26考勤汇总表'!D:D,'④考勤-B-a-26考勤汇总表'!AP:AP,0)</f>
        <v>0</v>
      </c>
      <c r="R151" s="53" t="str">
        <f t="shared" si="43"/>
        <v/>
      </c>
      <c r="S151" s="53">
        <f t="shared" si="36"/>
        <v>0</v>
      </c>
      <c r="T151" s="53">
        <v>0</v>
      </c>
      <c r="U151" s="53">
        <v>0</v>
      </c>
      <c r="V151" s="53">
        <v>0</v>
      </c>
      <c r="W151" s="53">
        <f>_xlfn.XLOOKUP(E151,'⑤项目数-B-a-③消耗明细表'!C:C,'⑤项目数-B-a-③消耗明细表'!E:E,0)</f>
        <v>0</v>
      </c>
      <c r="X151" s="53">
        <f>_xlfn.XLOOKUP(E151,'⑤项目数-B-a-③消耗明细表'!C:C,'⑤项目数-B-a-③消耗明细表'!D:D,0)</f>
        <v>0</v>
      </c>
      <c r="Y151" s="53">
        <f>_xlfn.XLOOKUP(E151,'⑤项目数-B-a-③消耗明细表'!C:C,'⑤项目数-B-a-③消耗明细表'!F:F,0)</f>
        <v>0</v>
      </c>
      <c r="Z151" s="53">
        <f>_xlfn.XLOOKUP(E151,'⑤项目数-B-a-③消耗明细表'!C:C,'⑤项目数-B-a-③消耗明细表'!G:G,0)</f>
        <v>0</v>
      </c>
      <c r="AA151" s="84" t="str">
        <f t="shared" si="39"/>
        <v>不属于战队</v>
      </c>
      <c r="AB151" s="84">
        <f t="shared" si="40"/>
        <v>0</v>
      </c>
      <c r="AC151" s="53">
        <f>_xlfn.XLOOKUP(F151,'⑥战队统计表-B-a-②呈现-业绩明细表④'!A:A,'⑥战队统计表-B-a-②呈现-业绩明细表④'!B:B,0)</f>
        <v>0</v>
      </c>
      <c r="AD151" s="53">
        <f t="shared" si="37"/>
        <v>1</v>
      </c>
      <c r="AE151" s="59">
        <f>IF(AD151="",_xlfn.XLOOKUP(F151,'⑥战队统计表-B-a-②呈现-业绩明细表④'!A:A,'⑥战队统计表-B-a-②呈现-业绩明细表④'!D:D,0),0)</f>
        <v>0</v>
      </c>
      <c r="AF151" s="85">
        <f>IF(AND(E151="T区",E151="门店T区"),"",IF(AD151="",0,IF(R151="",LOOKUP(S151,'②提成标准-B-a-①-增加'!$B$16:$B$20,'②提成标准-B-a-①-增加'!$D$16:$D$20),LOOKUP(S151/Q151,'②提成标准-B-a-①-增加'!$B$23:$B$27,'②提成标准-B-a-①-增加'!$D$23:$D$27))))</f>
        <v>0</v>
      </c>
      <c r="AG151" s="85">
        <f t="shared" si="35"/>
        <v>0</v>
      </c>
      <c r="AH151" s="60">
        <f t="shared" si="44"/>
        <v>0</v>
      </c>
      <c r="AI151" s="86">
        <f t="shared" si="45"/>
        <v>0</v>
      </c>
      <c r="AJ151" s="60">
        <f t="shared" si="38"/>
        <v>0</v>
      </c>
      <c r="AK151" s="87">
        <f>IF(AB151=1,IFERROR(S151/VLOOKUP(F151,'⑥战队统计表-B-a-②呈现-业绩明细表④'!A:C,3,0),0),0)</f>
        <v>0</v>
      </c>
      <c r="AL151" s="85" t="str">
        <f t="shared" si="41"/>
        <v/>
      </c>
      <c r="AM151" s="53" t="str">
        <f>IF(D151="顾问",_xlfn.XLOOKUP(F151,'⑥战队统计表-B-a-②呈现-业绩明细表④'!A:A,'⑥战队统计表-B-a-②呈现-业绩明细表④'!H:H,0),"")</f>
        <v/>
      </c>
      <c r="AN151" s="53" t="str">
        <f t="shared" si="42"/>
        <v>单人</v>
      </c>
    </row>
    <row r="152" spans="1:40" hidden="1" x14ac:dyDescent="0.15">
      <c r="A152" s="79" t="s">
        <v>428</v>
      </c>
      <c r="B152" s="80" t="s">
        <v>169</v>
      </c>
      <c r="C152" s="81" t="s">
        <v>170</v>
      </c>
      <c r="D152" s="82" t="s">
        <v>32</v>
      </c>
      <c r="E152" s="82" t="s">
        <v>176</v>
      </c>
      <c r="F152" s="53" t="str">
        <f t="shared" si="32"/>
        <v>龙湖+突破队</v>
      </c>
      <c r="G152" s="53">
        <f>IFERROR(_xlfn.XLOOKUP(B152,'①门店信息-A-a-①-增加'!B:B,'①门店信息-A-a-①-增加'!E:E,0),"")</f>
        <v>0</v>
      </c>
      <c r="H152" s="54">
        <f>_xlfn.XLOOKUP(B152,'①门店信息-A-a-①-增加'!B:B,'①门店信息-A-a-①-增加'!F:F,0)</f>
        <v>0</v>
      </c>
      <c r="I152" s="55">
        <f>_xlfn.XLOOKUP(E152,'③新店考核-B-a-②呈现-业绩明细表-③'!B:B,'③新店考核-B-a-②呈现-业绩明细表-③'!E:E,0)</f>
        <v>0</v>
      </c>
      <c r="J152" s="54">
        <f>_xlfn.XLOOKUP(E152,'③新店考核-B-a-②呈现-业绩明细表-③'!B:B,'③新店考核-B-a-②呈现-业绩明细表-③'!F:F,0)</f>
        <v>0</v>
      </c>
      <c r="K152" s="55">
        <f>IF(H152="新店一阶段",LOOKUP(I152,'②提成标准-B-a-①-增加'!$M$9:$M$12,'②提成标准-B-a-①-增加'!$O$9:$O$12),0)</f>
        <v>0</v>
      </c>
      <c r="L152" s="56">
        <f t="shared" si="33"/>
        <v>34282.400000000001</v>
      </c>
      <c r="M152" s="57">
        <f>_xlfn.XLOOKUP(E152,'③新店考核-B-a-②呈现-业绩明细表-③'!B:B,'③新店考核-B-a-②呈现-业绩明细表-③'!G:G,0)</f>
        <v>0</v>
      </c>
      <c r="N152" s="58" t="str">
        <f>LOOKUP(M152,'②提成标准-B-a-①-增加'!$M$1:$M$4,'②提成标准-B-a-①-增加'!$O$1:$O$4)</f>
        <v>同老店</v>
      </c>
      <c r="O152" s="57">
        <f>_xlfn.XLOOKUP(E152,'③新店考核-B-a-②呈现-业绩明细表-③'!B:B,'③新店考核-B-a-②呈现-业绩明细表-③'!H:H,0)</f>
        <v>0</v>
      </c>
      <c r="P152" s="57">
        <f t="shared" si="34"/>
        <v>34282.400000000001</v>
      </c>
      <c r="Q152" s="53">
        <f>_xlfn.XLOOKUP(E152,'④考勤-B-a-26考勤汇总表'!D:D,'④考勤-B-a-26考勤汇总表'!AP:AP,0)</f>
        <v>31</v>
      </c>
      <c r="R152" s="53" t="str">
        <f t="shared" si="43"/>
        <v/>
      </c>
      <c r="S152" s="53">
        <f t="shared" si="36"/>
        <v>34282.400000000001</v>
      </c>
      <c r="T152" s="53">
        <v>34282.400000000001</v>
      </c>
      <c r="U152" s="53">
        <v>0</v>
      </c>
      <c r="V152" s="53">
        <v>0</v>
      </c>
      <c r="W152" s="53">
        <f>_xlfn.XLOOKUP(E152,'⑤项目数-B-a-③消耗明细表'!C:C,'⑤项目数-B-a-③消耗明细表'!E:E,0)</f>
        <v>46164.46</v>
      </c>
      <c r="X152" s="53">
        <f>_xlfn.XLOOKUP(E152,'⑤项目数-B-a-③消耗明细表'!C:C,'⑤项目数-B-a-③消耗明细表'!D:D,0)</f>
        <v>114</v>
      </c>
      <c r="Y152" s="53">
        <f>_xlfn.XLOOKUP(E152,'⑤项目数-B-a-③消耗明细表'!C:C,'⑤项目数-B-a-③消耗明细表'!F:F,0)</f>
        <v>1296</v>
      </c>
      <c r="Z152" s="53">
        <f>_xlfn.XLOOKUP(E152,'⑤项目数-B-a-③消耗明细表'!C:C,'⑤项目数-B-a-③消耗明细表'!G:G,0)</f>
        <v>70</v>
      </c>
      <c r="AA152" s="84">
        <f t="shared" si="39"/>
        <v>1</v>
      </c>
      <c r="AB152" s="84">
        <f t="shared" si="40"/>
        <v>1</v>
      </c>
      <c r="AC152" s="53">
        <f>_xlfn.XLOOKUP(F152,'⑥战队统计表-B-a-②呈现-业绩明细表④'!A:A,'⑥战队统计表-B-a-②呈现-业绩明细表④'!B:B,0)</f>
        <v>3</v>
      </c>
      <c r="AD152" s="53" t="str">
        <f t="shared" si="37"/>
        <v/>
      </c>
      <c r="AE152" s="59">
        <f>IF(AD152="",_xlfn.XLOOKUP(F152,'⑥战队统计表-B-a-②呈现-业绩明细表④'!A:A,'⑥战队统计表-B-a-②呈现-业绩明细表④'!D:D,0),0)</f>
        <v>0.05</v>
      </c>
      <c r="AF152" s="85">
        <f>IF(AND(E152="T区",E152="门店T区"),"",IF(AD152="",0,IF(R152="",LOOKUP(S152,'②提成标准-B-a-①-增加'!$B$16:$B$20,'②提成标准-B-a-①-增加'!$D$16:$D$20),LOOKUP(S152/Q152,'②提成标准-B-a-①-增加'!$B$23:$B$27,'②提成标准-B-a-①-增加'!$D$23:$D$27))))</f>
        <v>0</v>
      </c>
      <c r="AG152" s="85">
        <f t="shared" si="35"/>
        <v>0.05</v>
      </c>
      <c r="AH152" s="60">
        <f t="shared" si="44"/>
        <v>1628.414</v>
      </c>
      <c r="AI152" s="86">
        <f t="shared" si="45"/>
        <v>0</v>
      </c>
      <c r="AJ152" s="60">
        <f t="shared" si="38"/>
        <v>1628.414</v>
      </c>
      <c r="AK152" s="87">
        <f>IF(AB152=1,IFERROR(S152/VLOOKUP(F152,'⑥战队统计表-B-a-②呈现-业绩明细表④'!A:C,3,0),0),0)</f>
        <v>0.30523438543382453</v>
      </c>
      <c r="AL152" s="85">
        <f t="shared" si="41"/>
        <v>0.69476561456617547</v>
      </c>
      <c r="AM152" s="53">
        <f>IF(D152="顾问",_xlfn.XLOOKUP(F152,'⑥战队统计表-B-a-②呈现-业绩明细表④'!A:A,'⑥战队统计表-B-a-②呈现-业绩明细表④'!H:H,0),"")</f>
        <v>898.52</v>
      </c>
      <c r="AN152" s="53" t="str">
        <f t="shared" si="42"/>
        <v>龙湖+突破队</v>
      </c>
    </row>
    <row r="153" spans="1:40" hidden="1" x14ac:dyDescent="0.15">
      <c r="A153" s="79" t="s">
        <v>428</v>
      </c>
      <c r="B153" s="80" t="s">
        <v>169</v>
      </c>
      <c r="C153" s="81" t="s">
        <v>170</v>
      </c>
      <c r="D153" s="82" t="s">
        <v>6</v>
      </c>
      <c r="E153" s="90" t="s">
        <v>171</v>
      </c>
      <c r="F153" s="53" t="str">
        <f t="shared" si="32"/>
        <v>龙湖+突破队</v>
      </c>
      <c r="G153" s="53">
        <f>IFERROR(_xlfn.XLOOKUP(B153,'①门店信息-A-a-①-增加'!B:B,'①门店信息-A-a-①-增加'!E:E,0),"")</f>
        <v>0</v>
      </c>
      <c r="H153" s="54">
        <f>_xlfn.XLOOKUP(B153,'①门店信息-A-a-①-增加'!B:B,'①门店信息-A-a-①-增加'!F:F,0)</f>
        <v>0</v>
      </c>
      <c r="I153" s="55">
        <f>_xlfn.XLOOKUP(E153,'③新店考核-B-a-②呈现-业绩明细表-③'!B:B,'③新店考核-B-a-②呈现-业绩明细表-③'!E:E,0)</f>
        <v>0</v>
      </c>
      <c r="J153" s="54">
        <f>_xlfn.XLOOKUP(E153,'③新店考核-B-a-②呈现-业绩明细表-③'!B:B,'③新店考核-B-a-②呈现-业绩明细表-③'!F:F,0)</f>
        <v>0</v>
      </c>
      <c r="K153" s="55">
        <f>IF(H153="新店一阶段",LOOKUP(I153,'②提成标准-B-a-①-增加'!$M$9:$M$12,'②提成标准-B-a-①-增加'!$O$9:$O$12),0)</f>
        <v>0</v>
      </c>
      <c r="L153" s="56">
        <f t="shared" si="33"/>
        <v>56616.6</v>
      </c>
      <c r="M153" s="57">
        <f>_xlfn.XLOOKUP(E153,'③新店考核-B-a-②呈现-业绩明细表-③'!B:B,'③新店考核-B-a-②呈现-业绩明细表-③'!G:G,0)</f>
        <v>0</v>
      </c>
      <c r="N153" s="58" t="str">
        <f>LOOKUP(M153,'②提成标准-B-a-①-增加'!$M$1:$M$4,'②提成标准-B-a-①-增加'!$O$1:$O$4)</f>
        <v>同老店</v>
      </c>
      <c r="O153" s="57">
        <f>_xlfn.XLOOKUP(E153,'③新店考核-B-a-②呈现-业绩明细表-③'!B:B,'③新店考核-B-a-②呈现-业绩明细表-③'!H:H,0)</f>
        <v>0</v>
      </c>
      <c r="P153" s="57">
        <f t="shared" si="34"/>
        <v>56616.6</v>
      </c>
      <c r="Q153" s="53">
        <f>_xlfn.XLOOKUP(E153,'④考勤-B-a-26考勤汇总表'!D:D,'④考勤-B-a-26考勤汇总表'!AP:AP,0)</f>
        <v>31</v>
      </c>
      <c r="R153" s="53" t="str">
        <f t="shared" si="43"/>
        <v/>
      </c>
      <c r="S153" s="53">
        <f t="shared" si="36"/>
        <v>57236.6</v>
      </c>
      <c r="T153" s="53">
        <v>56616.6</v>
      </c>
      <c r="U153" s="53">
        <v>0</v>
      </c>
      <c r="V153" s="53">
        <v>620</v>
      </c>
      <c r="W153" s="53">
        <f>_xlfn.XLOOKUP(E153,'⑤项目数-B-a-③消耗明细表'!C:C,'⑤项目数-B-a-③消耗明细表'!E:E,0)</f>
        <v>28082.959999999999</v>
      </c>
      <c r="X153" s="53">
        <f>_xlfn.XLOOKUP(E153,'⑤项目数-B-a-③消耗明细表'!C:C,'⑤项目数-B-a-③消耗明细表'!D:D,0)</f>
        <v>142</v>
      </c>
      <c r="Y153" s="53">
        <f>_xlfn.XLOOKUP(E153,'⑤项目数-B-a-③消耗明细表'!C:C,'⑤项目数-B-a-③消耗明细表'!F:F,0)</f>
        <v>1843</v>
      </c>
      <c r="Z153" s="53">
        <f>_xlfn.XLOOKUP(E153,'⑤项目数-B-a-③消耗明细表'!C:C,'⑤项目数-B-a-③消耗明细表'!G:G,0)</f>
        <v>185</v>
      </c>
      <c r="AA153" s="84">
        <f t="shared" si="39"/>
        <v>1</v>
      </c>
      <c r="AB153" s="84">
        <f t="shared" si="40"/>
        <v>1</v>
      </c>
      <c r="AC153" s="53">
        <f>_xlfn.XLOOKUP(F153,'⑥战队统计表-B-a-②呈现-业绩明细表④'!A:A,'⑥战队统计表-B-a-②呈现-业绩明细表④'!B:B,0)</f>
        <v>3</v>
      </c>
      <c r="AD153" s="53" t="str">
        <f t="shared" si="37"/>
        <v/>
      </c>
      <c r="AE153" s="59">
        <f>IF(AD153="",_xlfn.XLOOKUP(F153,'⑥战队统计表-B-a-②呈现-业绩明细表④'!A:A,'⑥战队统计表-B-a-②呈现-业绩明细表④'!D:D,0),0)</f>
        <v>0.05</v>
      </c>
      <c r="AF153" s="85">
        <f>IF(AND(E153="T区",E153="门店T区"),"",IF(AD153="",0,IF(R153="",LOOKUP(S153,'②提成标准-B-a-①-增加'!$B$16:$B$20,'②提成标准-B-a-①-增加'!$D$16:$D$20),LOOKUP(S153/Q153,'②提成标准-B-a-①-增加'!$B$23:$B$27,'②提成标准-B-a-①-增加'!$D$23:$D$27))))</f>
        <v>0</v>
      </c>
      <c r="AG153" s="85">
        <f t="shared" si="35"/>
        <v>0.05</v>
      </c>
      <c r="AH153" s="60">
        <f t="shared" si="44"/>
        <v>2689.2884999999997</v>
      </c>
      <c r="AI153" s="86">
        <f t="shared" si="45"/>
        <v>0</v>
      </c>
      <c r="AJ153" s="60">
        <f t="shared" si="38"/>
        <v>2689.2884999999997</v>
      </c>
      <c r="AK153" s="87">
        <f>IF(AB153=1,IFERROR(S153/VLOOKUP(F153,'⑥战队统计表-B-a-②呈现-业绩明细表④'!A:C,3,0),0),0)</f>
        <v>0.50960779949249879</v>
      </c>
      <c r="AL153" s="85" t="str">
        <f t="shared" si="41"/>
        <v/>
      </c>
      <c r="AM153" s="53" t="str">
        <f>IF(D153="顾问",_xlfn.XLOOKUP(F153,'⑥战队统计表-B-a-②呈现-业绩明细表④'!A:A,'⑥战队统计表-B-a-②呈现-业绩明细表④'!H:H,0),"")</f>
        <v/>
      </c>
      <c r="AN153" s="53" t="str">
        <f t="shared" si="42"/>
        <v>龙湖+突破队</v>
      </c>
    </row>
    <row r="154" spans="1:40" hidden="1" x14ac:dyDescent="0.15">
      <c r="A154" s="79" t="s">
        <v>428</v>
      </c>
      <c r="B154" s="80" t="s">
        <v>169</v>
      </c>
      <c r="C154" s="81" t="s">
        <v>170</v>
      </c>
      <c r="D154" s="82" t="s">
        <v>6</v>
      </c>
      <c r="E154" s="82" t="s">
        <v>175</v>
      </c>
      <c r="F154" s="53" t="str">
        <f t="shared" si="32"/>
        <v>龙湖+突破队</v>
      </c>
      <c r="G154" s="53">
        <f>IFERROR(_xlfn.XLOOKUP(B154,'①门店信息-A-a-①-增加'!B:B,'①门店信息-A-a-①-增加'!E:E,0),"")</f>
        <v>0</v>
      </c>
      <c r="H154" s="54">
        <f>_xlfn.XLOOKUP(B154,'①门店信息-A-a-①-增加'!B:B,'①门店信息-A-a-①-增加'!F:F,0)</f>
        <v>0</v>
      </c>
      <c r="I154" s="55">
        <f>_xlfn.XLOOKUP(E154,'③新店考核-B-a-②呈现-业绩明细表-③'!B:B,'③新店考核-B-a-②呈现-业绩明细表-③'!E:E,0)</f>
        <v>0</v>
      </c>
      <c r="J154" s="54">
        <f>_xlfn.XLOOKUP(E154,'③新店考核-B-a-②呈现-业绩明细表-③'!B:B,'③新店考核-B-a-②呈现-业绩明细表-③'!F:F,0)</f>
        <v>0</v>
      </c>
      <c r="K154" s="55">
        <f>IF(H154="新店一阶段",LOOKUP(I154,'②提成标准-B-a-①-增加'!$M$9:$M$12,'②提成标准-B-a-①-增加'!$O$9:$O$12),0)</f>
        <v>0</v>
      </c>
      <c r="L154" s="56">
        <f t="shared" si="33"/>
        <v>19076</v>
      </c>
      <c r="M154" s="57">
        <f>_xlfn.XLOOKUP(E154,'③新店考核-B-a-②呈现-业绩明细表-③'!B:B,'③新店考核-B-a-②呈现-业绩明细表-③'!G:G,0)</f>
        <v>0</v>
      </c>
      <c r="N154" s="58" t="str">
        <f>LOOKUP(M154,'②提成标准-B-a-①-增加'!$M$1:$M$4,'②提成标准-B-a-①-增加'!$O$1:$O$4)</f>
        <v>同老店</v>
      </c>
      <c r="O154" s="57">
        <f>_xlfn.XLOOKUP(E154,'③新店考核-B-a-②呈现-业绩明细表-③'!B:B,'③新店考核-B-a-②呈现-业绩明细表-③'!H:H,0)</f>
        <v>0</v>
      </c>
      <c r="P154" s="57">
        <f t="shared" si="34"/>
        <v>19076</v>
      </c>
      <c r="Q154" s="53">
        <f>_xlfn.XLOOKUP(E154,'④考勤-B-a-26考勤汇总表'!D:D,'④考勤-B-a-26考勤汇总表'!AP:AP,0)</f>
        <v>31</v>
      </c>
      <c r="R154" s="53" t="str">
        <f t="shared" si="43"/>
        <v/>
      </c>
      <c r="S154" s="53">
        <f t="shared" si="36"/>
        <v>20796</v>
      </c>
      <c r="T154" s="53">
        <v>19076</v>
      </c>
      <c r="U154" s="53">
        <v>1720</v>
      </c>
      <c r="V154" s="53">
        <v>0</v>
      </c>
      <c r="W154" s="53">
        <f>_xlfn.XLOOKUP(E154,'⑤项目数-B-a-③消耗明细表'!C:C,'⑤项目数-B-a-③消耗明细表'!E:E,0)</f>
        <v>18564.669999999998</v>
      </c>
      <c r="X154" s="53">
        <f>_xlfn.XLOOKUP(E154,'⑤项目数-B-a-③消耗明细表'!C:C,'⑤项目数-B-a-③消耗明细表'!D:D,0)</f>
        <v>116</v>
      </c>
      <c r="Y154" s="53">
        <f>_xlfn.XLOOKUP(E154,'⑤项目数-B-a-③消耗明细表'!C:C,'⑤项目数-B-a-③消耗明细表'!F:F,0)</f>
        <v>1268</v>
      </c>
      <c r="Z154" s="53">
        <f>_xlfn.XLOOKUP(E154,'⑤项目数-B-a-③消耗明细表'!C:C,'⑤项目数-B-a-③消耗明细表'!G:G,0)</f>
        <v>45</v>
      </c>
      <c r="AA154" s="84">
        <f t="shared" si="39"/>
        <v>1</v>
      </c>
      <c r="AB154" s="84">
        <f t="shared" si="40"/>
        <v>1</v>
      </c>
      <c r="AC154" s="53">
        <f>_xlfn.XLOOKUP(F154,'⑥战队统计表-B-a-②呈现-业绩明细表④'!A:A,'⑥战队统计表-B-a-②呈现-业绩明细表④'!B:B,0)</f>
        <v>3</v>
      </c>
      <c r="AD154" s="53" t="str">
        <f t="shared" si="37"/>
        <v/>
      </c>
      <c r="AE154" s="59">
        <f>IF(AD154="",_xlfn.XLOOKUP(F154,'⑥战队统计表-B-a-②呈现-业绩明细表④'!A:A,'⑥战队统计表-B-a-②呈现-业绩明细表④'!D:D,0),0)</f>
        <v>0.05</v>
      </c>
      <c r="AF154" s="85">
        <f>IF(AND(E154="T区",E154="门店T区"),"",IF(AD154="",0,IF(R154="",LOOKUP(S154,'②提成标准-B-a-①-增加'!$B$16:$B$20,'②提成标准-B-a-①-增加'!$D$16:$D$20),LOOKUP(S154/Q154,'②提成标准-B-a-①-增加'!$B$23:$B$27,'②提成标准-B-a-①-增加'!$D$23:$D$27))))</f>
        <v>0</v>
      </c>
      <c r="AG154" s="85">
        <f t="shared" si="35"/>
        <v>0.05</v>
      </c>
      <c r="AH154" s="60">
        <f t="shared" si="44"/>
        <v>906.11</v>
      </c>
      <c r="AI154" s="86">
        <f t="shared" si="45"/>
        <v>53.105000000000004</v>
      </c>
      <c r="AJ154" s="60">
        <f t="shared" si="38"/>
        <v>959.21500000000003</v>
      </c>
      <c r="AK154" s="87">
        <f>IF(AB154=1,IFERROR(S154/VLOOKUP(F154,'⑥战队统计表-B-a-②呈现-业绩明细表④'!A:C,3,0),0),0)</f>
        <v>0.18515781507367671</v>
      </c>
      <c r="AL154" s="85" t="str">
        <f t="shared" si="41"/>
        <v/>
      </c>
      <c r="AM154" s="53" t="str">
        <f>IF(D154="顾问",_xlfn.XLOOKUP(F154,'⑥战队统计表-B-a-②呈现-业绩明细表④'!A:A,'⑥战队统计表-B-a-②呈现-业绩明细表④'!H:H,0),"")</f>
        <v/>
      </c>
      <c r="AN154" s="53" t="str">
        <f t="shared" si="42"/>
        <v>龙湖+突破队</v>
      </c>
    </row>
    <row r="155" spans="1:40" hidden="1" x14ac:dyDescent="0.15">
      <c r="A155" s="79" t="s">
        <v>428</v>
      </c>
      <c r="B155" s="80" t="s">
        <v>169</v>
      </c>
      <c r="C155" s="89" t="s">
        <v>36</v>
      </c>
      <c r="D155" s="90" t="s">
        <v>36</v>
      </c>
      <c r="E155" s="90" t="s">
        <v>36</v>
      </c>
      <c r="F155" s="53" t="str">
        <f t="shared" si="32"/>
        <v>龙湖+T区</v>
      </c>
      <c r="G155" s="53">
        <f>IFERROR(_xlfn.XLOOKUP(B155,'①门店信息-A-a-①-增加'!B:B,'①门店信息-A-a-①-增加'!E:E,0),"")</f>
        <v>0</v>
      </c>
      <c r="H155" s="54">
        <f>_xlfn.XLOOKUP(B155,'①门店信息-A-a-①-增加'!B:B,'①门店信息-A-a-①-增加'!F:F,0)</f>
        <v>0</v>
      </c>
      <c r="I155" s="55">
        <f>_xlfn.XLOOKUP(E155,'③新店考核-B-a-②呈现-业绩明细表-③'!B:B,'③新店考核-B-a-②呈现-业绩明细表-③'!E:E,0)</f>
        <v>0</v>
      </c>
      <c r="J155" s="54">
        <f>_xlfn.XLOOKUP(E155,'③新店考核-B-a-②呈现-业绩明细表-③'!B:B,'③新店考核-B-a-②呈现-业绩明细表-③'!F:F,0)</f>
        <v>0</v>
      </c>
      <c r="K155" s="55">
        <f>IF(H155="新店一阶段",LOOKUP(I155,'②提成标准-B-a-①-增加'!$M$9:$M$12,'②提成标准-B-a-①-增加'!$O$9:$O$12),0)</f>
        <v>0</v>
      </c>
      <c r="L155" s="56">
        <f t="shared" si="33"/>
        <v>0</v>
      </c>
      <c r="M155" s="57">
        <f>_xlfn.XLOOKUP(E155,'③新店考核-B-a-②呈现-业绩明细表-③'!B:B,'③新店考核-B-a-②呈现-业绩明细表-③'!G:G,0)</f>
        <v>0</v>
      </c>
      <c r="N155" s="58" t="str">
        <f>LOOKUP(M155,'②提成标准-B-a-①-增加'!$M$1:$M$4,'②提成标准-B-a-①-增加'!$O$1:$O$4)</f>
        <v>同老店</v>
      </c>
      <c r="O155" s="57">
        <f>_xlfn.XLOOKUP(E155,'③新店考核-B-a-②呈现-业绩明细表-③'!B:B,'③新店考核-B-a-②呈现-业绩明细表-③'!H:H,0)</f>
        <v>0</v>
      </c>
      <c r="P155" s="57">
        <f t="shared" si="34"/>
        <v>0</v>
      </c>
      <c r="Q155" s="53">
        <f>_xlfn.XLOOKUP(E155,'④考勤-B-a-26考勤汇总表'!D:D,'④考勤-B-a-26考勤汇总表'!AP:AP,0)</f>
        <v>0</v>
      </c>
      <c r="R155" s="53" t="str">
        <f t="shared" si="43"/>
        <v/>
      </c>
      <c r="S155" s="53">
        <f t="shared" si="36"/>
        <v>0</v>
      </c>
      <c r="T155" s="53">
        <v>0</v>
      </c>
      <c r="U155" s="53">
        <v>0</v>
      </c>
      <c r="V155" s="53">
        <v>0</v>
      </c>
      <c r="W155" s="53">
        <f>_xlfn.XLOOKUP(E155,'⑤项目数-B-a-③消耗明细表'!C:C,'⑤项目数-B-a-③消耗明细表'!E:E,0)</f>
        <v>0</v>
      </c>
      <c r="X155" s="53">
        <f>_xlfn.XLOOKUP(E155,'⑤项目数-B-a-③消耗明细表'!C:C,'⑤项目数-B-a-③消耗明细表'!D:D,0)</f>
        <v>0</v>
      </c>
      <c r="Y155" s="53">
        <f>_xlfn.XLOOKUP(E155,'⑤项目数-B-a-③消耗明细表'!C:C,'⑤项目数-B-a-③消耗明细表'!F:F,0)</f>
        <v>0</v>
      </c>
      <c r="Z155" s="53">
        <f>_xlfn.XLOOKUP(E155,'⑤项目数-B-a-③消耗明细表'!C:C,'⑤项目数-B-a-③消耗明细表'!G:G,0)</f>
        <v>0</v>
      </c>
      <c r="AA155" s="84" t="str">
        <f t="shared" si="39"/>
        <v>不属于战队</v>
      </c>
      <c r="AB155" s="84">
        <f t="shared" si="40"/>
        <v>0</v>
      </c>
      <c r="AC155" s="53">
        <f>_xlfn.XLOOKUP(F155,'⑥战队统计表-B-a-②呈现-业绩明细表④'!A:A,'⑥战队统计表-B-a-②呈现-业绩明细表④'!B:B,0)</f>
        <v>0</v>
      </c>
      <c r="AD155" s="53">
        <f t="shared" si="37"/>
        <v>1</v>
      </c>
      <c r="AE155" s="59">
        <f>IF(AD155="",_xlfn.XLOOKUP(F155,'⑥战队统计表-B-a-②呈现-业绩明细表④'!A:A,'⑥战队统计表-B-a-②呈现-业绩明细表④'!D:D,0),0)</f>
        <v>0</v>
      </c>
      <c r="AF155" s="85">
        <f>IF(AND(E155="T区",E155="门店T区"),"",IF(AD155="",0,IF(R155="",LOOKUP(S155,'②提成标准-B-a-①-增加'!$B$16:$B$20,'②提成标准-B-a-①-增加'!$D$16:$D$20),LOOKUP(S155/Q155,'②提成标准-B-a-①-增加'!$B$23:$B$27,'②提成标准-B-a-①-增加'!$D$23:$D$27))))</f>
        <v>0</v>
      </c>
      <c r="AG155" s="85">
        <f t="shared" si="35"/>
        <v>0</v>
      </c>
      <c r="AH155" s="60">
        <f t="shared" si="44"/>
        <v>0</v>
      </c>
      <c r="AI155" s="86">
        <f t="shared" si="45"/>
        <v>0</v>
      </c>
      <c r="AJ155" s="60">
        <f t="shared" si="38"/>
        <v>0</v>
      </c>
      <c r="AK155" s="87">
        <f>IF(AB155=1,IFERROR(S155/VLOOKUP(F155,'⑥战队统计表-B-a-②呈现-业绩明细表④'!A:C,3,0),0),0)</f>
        <v>0</v>
      </c>
      <c r="AL155" s="85" t="str">
        <f t="shared" si="41"/>
        <v/>
      </c>
      <c r="AM155" s="53" t="str">
        <f>IF(D155="顾问",_xlfn.XLOOKUP(F155,'⑥战队统计表-B-a-②呈现-业绩明细表④'!A:A,'⑥战队统计表-B-a-②呈现-业绩明细表④'!H:H,0),"")</f>
        <v/>
      </c>
      <c r="AN155" s="53" t="str">
        <f t="shared" si="42"/>
        <v>单人</v>
      </c>
    </row>
    <row r="156" spans="1:40" hidden="1" x14ac:dyDescent="0.15">
      <c r="A156" s="79" t="s">
        <v>428</v>
      </c>
      <c r="B156" s="80" t="s">
        <v>169</v>
      </c>
      <c r="C156" s="81" t="s">
        <v>50</v>
      </c>
      <c r="D156" s="82" t="s">
        <v>6</v>
      </c>
      <c r="E156" s="82" t="s">
        <v>436</v>
      </c>
      <c r="F156" s="53" t="str">
        <f t="shared" si="32"/>
        <v>龙湖+单人</v>
      </c>
      <c r="G156" s="53">
        <f>IFERROR(_xlfn.XLOOKUP(B156,'①门店信息-A-a-①-增加'!B:B,'①门店信息-A-a-①-增加'!E:E,0),"")</f>
        <v>0</v>
      </c>
      <c r="H156" s="54">
        <f>_xlfn.XLOOKUP(B156,'①门店信息-A-a-①-增加'!B:B,'①门店信息-A-a-①-增加'!F:F,0)</f>
        <v>0</v>
      </c>
      <c r="I156" s="55">
        <f>_xlfn.XLOOKUP(E156,'③新店考核-B-a-②呈现-业绩明细表-③'!B:B,'③新店考核-B-a-②呈现-业绩明细表-③'!E:E,0)</f>
        <v>0</v>
      </c>
      <c r="J156" s="54">
        <f>_xlfn.XLOOKUP(E156,'③新店考核-B-a-②呈现-业绩明细表-③'!B:B,'③新店考核-B-a-②呈现-业绩明细表-③'!F:F,0)</f>
        <v>0</v>
      </c>
      <c r="K156" s="55">
        <f>IF(H156="新店一阶段",LOOKUP(I156,'②提成标准-B-a-①-增加'!$M$9:$M$12,'②提成标准-B-a-①-增加'!$O$9:$O$12),0)</f>
        <v>0</v>
      </c>
      <c r="L156" s="56">
        <f t="shared" si="33"/>
        <v>0</v>
      </c>
      <c r="M156" s="57">
        <f>_xlfn.XLOOKUP(E156,'③新店考核-B-a-②呈现-业绩明细表-③'!B:B,'③新店考核-B-a-②呈现-业绩明细表-③'!G:G,0)</f>
        <v>0</v>
      </c>
      <c r="N156" s="58" t="str">
        <f>LOOKUP(M156,'②提成标准-B-a-①-增加'!$M$1:$M$4,'②提成标准-B-a-①-增加'!$O$1:$O$4)</f>
        <v>同老店</v>
      </c>
      <c r="O156" s="57">
        <f>_xlfn.XLOOKUP(E156,'③新店考核-B-a-②呈现-业绩明细表-③'!B:B,'③新店考核-B-a-②呈现-业绩明细表-③'!H:H,0)</f>
        <v>0</v>
      </c>
      <c r="P156" s="57">
        <f t="shared" si="34"/>
        <v>0</v>
      </c>
      <c r="Q156" s="53">
        <f>_xlfn.XLOOKUP(E156,'④考勤-B-a-26考勤汇总表'!D:D,'④考勤-B-a-26考勤汇总表'!AP:AP,0)</f>
        <v>9</v>
      </c>
      <c r="R156" s="53" t="str">
        <f t="shared" si="43"/>
        <v>不足月</v>
      </c>
      <c r="S156" s="53">
        <f t="shared" si="36"/>
        <v>0</v>
      </c>
      <c r="T156" s="53">
        <v>0</v>
      </c>
      <c r="U156" s="53">
        <v>0</v>
      </c>
      <c r="V156" s="53">
        <v>0</v>
      </c>
      <c r="W156" s="53">
        <f>_xlfn.XLOOKUP(E156,'⑤项目数-B-a-③消耗明细表'!C:C,'⑤项目数-B-a-③消耗明细表'!E:E,0)</f>
        <v>1647.92</v>
      </c>
      <c r="X156" s="53">
        <f>_xlfn.XLOOKUP(E156,'⑤项目数-B-a-③消耗明细表'!C:C,'⑤项目数-B-a-③消耗明细表'!D:D,0)</f>
        <v>23</v>
      </c>
      <c r="Y156" s="53">
        <f>_xlfn.XLOOKUP(E156,'⑤项目数-B-a-③消耗明细表'!C:C,'⑤项目数-B-a-③消耗明细表'!F:F,0)</f>
        <v>283</v>
      </c>
      <c r="Z156" s="53">
        <f>_xlfn.XLOOKUP(E156,'⑤项目数-B-a-③消耗明细表'!C:C,'⑤项目数-B-a-③消耗明细表'!G:G,0)</f>
        <v>0</v>
      </c>
      <c r="AA156" s="84" t="str">
        <f t="shared" si="39"/>
        <v>单人</v>
      </c>
      <c r="AB156" s="84">
        <f t="shared" si="40"/>
        <v>0</v>
      </c>
      <c r="AC156" s="53">
        <f>_xlfn.XLOOKUP(F156,'⑥战队统计表-B-a-②呈现-业绩明细表④'!A:A,'⑥战队统计表-B-a-②呈现-业绩明细表④'!B:B,0)</f>
        <v>0</v>
      </c>
      <c r="AD156" s="53">
        <f t="shared" si="37"/>
        <v>1</v>
      </c>
      <c r="AE156" s="59">
        <f>IF(AD156="",_xlfn.XLOOKUP(F156,'⑥战队统计表-B-a-②呈现-业绩明细表④'!A:A,'⑥战队统计表-B-a-②呈现-业绩明细表④'!D:D,0),0)</f>
        <v>0</v>
      </c>
      <c r="AF156" s="85">
        <f>IF(AND(E156="T区",E156="门店T区"),"",IF(AD156="",0,IF(R156="",LOOKUP(S156,'②提成标准-B-a-①-增加'!$B$16:$B$20,'②提成标准-B-a-①-增加'!$D$16:$D$20),LOOKUP(S156/Q156,'②提成标准-B-a-①-增加'!$B$23:$B$27,'②提成标准-B-a-①-增加'!$D$23:$D$27))))</f>
        <v>0</v>
      </c>
      <c r="AG156" s="85">
        <f t="shared" si="35"/>
        <v>0</v>
      </c>
      <c r="AH156" s="60">
        <f t="shared" si="44"/>
        <v>0</v>
      </c>
      <c r="AI156" s="86">
        <f t="shared" si="45"/>
        <v>0</v>
      </c>
      <c r="AJ156" s="60">
        <f t="shared" si="38"/>
        <v>0</v>
      </c>
      <c r="AK156" s="87">
        <f>IF(AB156=1,IFERROR(S156/VLOOKUP(F156,'⑥战队统计表-B-a-②呈现-业绩明细表④'!A:C,3,0),0),0)</f>
        <v>0</v>
      </c>
      <c r="AL156" s="85" t="str">
        <f t="shared" si="41"/>
        <v/>
      </c>
      <c r="AM156" s="53" t="str">
        <f>IF(D156="顾问",_xlfn.XLOOKUP(F156,'⑥战队统计表-B-a-②呈现-业绩明细表④'!A:A,'⑥战队统计表-B-a-②呈现-业绩明细表④'!H:H,0),"")</f>
        <v/>
      </c>
      <c r="AN156" s="53" t="str">
        <f t="shared" si="42"/>
        <v>单人</v>
      </c>
    </row>
    <row r="157" spans="1:40" hidden="1" x14ac:dyDescent="0.15">
      <c r="A157" s="79" t="s">
        <v>428</v>
      </c>
      <c r="B157" s="80" t="s">
        <v>169</v>
      </c>
      <c r="C157" s="81" t="s">
        <v>40</v>
      </c>
      <c r="D157" s="82" t="s">
        <v>40</v>
      </c>
      <c r="E157" s="88" t="str">
        <f>F157</f>
        <v>龙湖+门店T区</v>
      </c>
      <c r="F157" s="53" t="str">
        <f t="shared" si="32"/>
        <v>龙湖+门店T区</v>
      </c>
      <c r="G157" s="53">
        <f>IFERROR(_xlfn.XLOOKUP(B157,'①门店信息-A-a-①-增加'!B:B,'①门店信息-A-a-①-增加'!E:E,0),"")</f>
        <v>0</v>
      </c>
      <c r="H157" s="54">
        <f>_xlfn.XLOOKUP(B157,'①门店信息-A-a-①-增加'!B:B,'①门店信息-A-a-①-增加'!F:F,0)</f>
        <v>0</v>
      </c>
      <c r="I157" s="55">
        <f>_xlfn.XLOOKUP(E157,'③新店考核-B-a-②呈现-业绩明细表-③'!B:B,'③新店考核-B-a-②呈现-业绩明细表-③'!E:E,0)</f>
        <v>0</v>
      </c>
      <c r="J157" s="54">
        <f>_xlfn.XLOOKUP(E157,'③新店考核-B-a-②呈现-业绩明细表-③'!B:B,'③新店考核-B-a-②呈现-业绩明细表-③'!F:F,0)</f>
        <v>0</v>
      </c>
      <c r="K157" s="55">
        <f>IF(H157="新店一阶段",LOOKUP(I157,'②提成标准-B-a-①-增加'!$M$9:$M$12,'②提成标准-B-a-①-增加'!$O$9:$O$12),0)</f>
        <v>0</v>
      </c>
      <c r="L157" s="56">
        <f t="shared" si="33"/>
        <v>-1400</v>
      </c>
      <c r="M157" s="57">
        <f>_xlfn.XLOOKUP(E157,'③新店考核-B-a-②呈现-业绩明细表-③'!B:B,'③新店考核-B-a-②呈现-业绩明细表-③'!G:G,0)</f>
        <v>0</v>
      </c>
      <c r="N157" s="58" t="str">
        <f>LOOKUP(M157,'②提成标准-B-a-①-增加'!$M$1:$M$4,'②提成标准-B-a-①-增加'!$O$1:$O$4)</f>
        <v>同老店</v>
      </c>
      <c r="O157" s="57">
        <f>_xlfn.XLOOKUP(E157,'③新店考核-B-a-②呈现-业绩明细表-③'!B:B,'③新店考核-B-a-②呈现-业绩明细表-③'!H:H,0)</f>
        <v>0</v>
      </c>
      <c r="P157" s="57">
        <f t="shared" si="34"/>
        <v>-1400</v>
      </c>
      <c r="Q157" s="53">
        <f>_xlfn.XLOOKUP(E157,'④考勤-B-a-26考勤汇总表'!D:D,'④考勤-B-a-26考勤汇总表'!AP:AP,0)</f>
        <v>0</v>
      </c>
      <c r="R157" s="53" t="str">
        <f t="shared" si="43"/>
        <v/>
      </c>
      <c r="S157" s="53">
        <f t="shared" si="36"/>
        <v>7540</v>
      </c>
      <c r="T157" s="53">
        <v>-1400</v>
      </c>
      <c r="U157" s="53">
        <v>8940</v>
      </c>
      <c r="V157" s="53">
        <v>0</v>
      </c>
      <c r="W157" s="53">
        <f>_xlfn.XLOOKUP(E157,'⑤项目数-B-a-③消耗明细表'!C:C,'⑤项目数-B-a-③消耗明细表'!E:E,0)</f>
        <v>0</v>
      </c>
      <c r="X157" s="53">
        <f>_xlfn.XLOOKUP(E157,'⑤项目数-B-a-③消耗明细表'!C:C,'⑤项目数-B-a-③消耗明细表'!D:D,0)</f>
        <v>0</v>
      </c>
      <c r="Y157" s="53">
        <f>_xlfn.XLOOKUP(E157,'⑤项目数-B-a-③消耗明细表'!C:C,'⑤项目数-B-a-③消耗明细表'!F:F,0)</f>
        <v>0</v>
      </c>
      <c r="Z157" s="53">
        <f>_xlfn.XLOOKUP(E157,'⑤项目数-B-a-③消耗明细表'!C:C,'⑤项目数-B-a-③消耗明细表'!G:G,0)</f>
        <v>0</v>
      </c>
      <c r="AA157" s="84">
        <f t="shared" si="39"/>
        <v>1</v>
      </c>
      <c r="AB157" s="84">
        <f t="shared" si="40"/>
        <v>0</v>
      </c>
      <c r="AC157" s="53">
        <f>_xlfn.XLOOKUP(F157,'⑥战队统计表-B-a-②呈现-业绩明细表④'!A:A,'⑥战队统计表-B-a-②呈现-业绩明细表④'!B:B,0)</f>
        <v>0</v>
      </c>
      <c r="AD157" s="53">
        <f t="shared" si="37"/>
        <v>1</v>
      </c>
      <c r="AE157" s="59">
        <f>IF(AD157="",_xlfn.XLOOKUP(F157,'⑥战队统计表-B-a-②呈现-业绩明细表④'!A:A,'⑥战队统计表-B-a-②呈现-业绩明细表④'!D:D,0),0)</f>
        <v>0</v>
      </c>
      <c r="AF157" s="85">
        <f>IF(AND(E157="T区",E157="门店T区"),"",IF(AD157="",0,IF(R157="",LOOKUP(S157,'②提成标准-B-a-①-增加'!$B$16:$B$20,'②提成标准-B-a-①-增加'!$D$16:$D$20),LOOKUP(S157/Q157,'②提成标准-B-a-①-增加'!$B$23:$B$27,'②提成标准-B-a-①-增加'!$D$23:$D$27))))</f>
        <v>0</v>
      </c>
      <c r="AG157" s="85">
        <f t="shared" si="35"/>
        <v>0</v>
      </c>
      <c r="AH157" s="60">
        <f t="shared" si="44"/>
        <v>0</v>
      </c>
      <c r="AI157" s="86">
        <f t="shared" si="45"/>
        <v>0</v>
      </c>
      <c r="AJ157" s="60">
        <f t="shared" si="38"/>
        <v>0</v>
      </c>
      <c r="AK157" s="87">
        <f>IF(AB157=1,IFERROR(S157/VLOOKUP(F157,'⑥战队统计表-B-a-②呈现-业绩明细表④'!A:C,3,0),0),0)</f>
        <v>0</v>
      </c>
      <c r="AL157" s="85" t="str">
        <f t="shared" si="41"/>
        <v/>
      </c>
      <c r="AM157" s="53" t="str">
        <f>IF(D157="顾问",_xlfn.XLOOKUP(F157,'⑥战队统计表-B-a-②呈现-业绩明细表④'!A:A,'⑥战队统计表-B-a-②呈现-业绩明细表④'!H:H,0),"")</f>
        <v/>
      </c>
      <c r="AN157" s="53" t="str">
        <f t="shared" si="42"/>
        <v>单人</v>
      </c>
    </row>
    <row r="158" spans="1:40" hidden="1" x14ac:dyDescent="0.15">
      <c r="A158" s="79" t="s">
        <v>428</v>
      </c>
      <c r="B158" s="80" t="s">
        <v>177</v>
      </c>
      <c r="C158" s="81" t="s">
        <v>146</v>
      </c>
      <c r="D158" s="82" t="s">
        <v>32</v>
      </c>
      <c r="E158" s="82" t="s">
        <v>178</v>
      </c>
      <c r="F158" s="53" t="str">
        <f t="shared" si="32"/>
        <v>鹭岛+无敌队</v>
      </c>
      <c r="G158" s="53">
        <f>IFERROR(_xlfn.XLOOKUP(B158,'①门店信息-A-a-①-增加'!B:B,'①门店信息-A-a-①-增加'!E:E,0),"")</f>
        <v>0</v>
      </c>
      <c r="H158" s="54">
        <f>_xlfn.XLOOKUP(B158,'①门店信息-A-a-①-增加'!B:B,'①门店信息-A-a-①-增加'!F:F,0)</f>
        <v>0</v>
      </c>
      <c r="I158" s="55">
        <f>_xlfn.XLOOKUP(E158,'③新店考核-B-a-②呈现-业绩明细表-③'!B:B,'③新店考核-B-a-②呈现-业绩明细表-③'!E:E,0)</f>
        <v>0</v>
      </c>
      <c r="J158" s="54">
        <f>_xlfn.XLOOKUP(E158,'③新店考核-B-a-②呈现-业绩明细表-③'!B:B,'③新店考核-B-a-②呈现-业绩明细表-③'!F:F,0)</f>
        <v>0</v>
      </c>
      <c r="K158" s="55">
        <f>IF(H158="新店一阶段",LOOKUP(I158,'②提成标准-B-a-①-增加'!$M$9:$M$12,'②提成标准-B-a-①-增加'!$O$9:$O$12),0)</f>
        <v>0</v>
      </c>
      <c r="L158" s="56">
        <f t="shared" si="33"/>
        <v>19241.599999999999</v>
      </c>
      <c r="M158" s="57">
        <f>_xlfn.XLOOKUP(E158,'③新店考核-B-a-②呈现-业绩明细表-③'!B:B,'③新店考核-B-a-②呈现-业绩明细表-③'!G:G,0)</f>
        <v>0</v>
      </c>
      <c r="N158" s="58" t="str">
        <f>LOOKUP(M158,'②提成标准-B-a-①-增加'!$M$1:$M$4,'②提成标准-B-a-①-增加'!$O$1:$O$4)</f>
        <v>同老店</v>
      </c>
      <c r="O158" s="57">
        <f>_xlfn.XLOOKUP(E158,'③新店考核-B-a-②呈现-业绩明细表-③'!B:B,'③新店考核-B-a-②呈现-业绩明细表-③'!H:H,0)</f>
        <v>0</v>
      </c>
      <c r="P158" s="57">
        <f t="shared" si="34"/>
        <v>19241.599999999999</v>
      </c>
      <c r="Q158" s="53">
        <f>_xlfn.XLOOKUP(E158,'④考勤-B-a-26考勤汇总表'!D:D,'④考勤-B-a-26考勤汇总表'!AP:AP,0)</f>
        <v>31</v>
      </c>
      <c r="R158" s="53" t="str">
        <f t="shared" si="43"/>
        <v/>
      </c>
      <c r="S158" s="53">
        <f t="shared" si="36"/>
        <v>20241.599999999999</v>
      </c>
      <c r="T158" s="53">
        <v>19241.599999999999</v>
      </c>
      <c r="U158" s="53">
        <v>1000</v>
      </c>
      <c r="V158" s="53">
        <v>0</v>
      </c>
      <c r="W158" s="53">
        <f>_xlfn.XLOOKUP(E158,'⑤项目数-B-a-③消耗明细表'!C:C,'⑤项目数-B-a-③消耗明细表'!E:E,0)</f>
        <v>16834.400000000001</v>
      </c>
      <c r="X158" s="53">
        <f>_xlfn.XLOOKUP(E158,'⑤项目数-B-a-③消耗明细表'!C:C,'⑤项目数-B-a-③消耗明细表'!D:D,0)</f>
        <v>121</v>
      </c>
      <c r="Y158" s="53">
        <f>_xlfn.XLOOKUP(E158,'⑤项目数-B-a-③消耗明细表'!C:C,'⑤项目数-B-a-③消耗明细表'!F:F,0)</f>
        <v>1746</v>
      </c>
      <c r="Z158" s="53">
        <f>_xlfn.XLOOKUP(E158,'⑤项目数-B-a-③消耗明细表'!C:C,'⑤项目数-B-a-③消耗明细表'!G:G,0)</f>
        <v>130</v>
      </c>
      <c r="AA158" s="84">
        <f t="shared" si="39"/>
        <v>1</v>
      </c>
      <c r="AB158" s="84">
        <f t="shared" si="40"/>
        <v>1</v>
      </c>
      <c r="AC158" s="53">
        <f>_xlfn.XLOOKUP(F158,'⑥战队统计表-B-a-②呈现-业绩明细表④'!A:A,'⑥战队统计表-B-a-②呈现-业绩明细表④'!B:B,0)</f>
        <v>2</v>
      </c>
      <c r="AD158" s="53" t="str">
        <f t="shared" si="37"/>
        <v/>
      </c>
      <c r="AE158" s="59">
        <f>IF(AD158="",_xlfn.XLOOKUP(F158,'⑥战队统计表-B-a-②呈现-业绩明细表④'!A:A,'⑥战队统计表-B-a-②呈现-业绩明细表④'!D:D,0),0)</f>
        <v>0.04</v>
      </c>
      <c r="AF158" s="85">
        <f>IF(AND(E158="T区",E158="门店T区"),"",IF(AD158="",0,IF(R158="",LOOKUP(S158,'②提成标准-B-a-①-增加'!$B$16:$B$20,'②提成标准-B-a-①-增加'!$D$16:$D$20),LOOKUP(S158/Q158,'②提成标准-B-a-①-增加'!$B$23:$B$27,'②提成标准-B-a-①-增加'!$D$23:$D$27))))</f>
        <v>0</v>
      </c>
      <c r="AG158" s="85">
        <f t="shared" si="35"/>
        <v>0.04</v>
      </c>
      <c r="AH158" s="60">
        <f t="shared" si="44"/>
        <v>731.18079999999998</v>
      </c>
      <c r="AI158" s="86">
        <f t="shared" si="45"/>
        <v>24.7</v>
      </c>
      <c r="AJ158" s="60">
        <f t="shared" si="38"/>
        <v>755.88080000000002</v>
      </c>
      <c r="AK158" s="87">
        <f>IF(AB158=1,IFERROR(S158/VLOOKUP(F158,'⑥战队统计表-B-a-②呈现-业绩明细表④'!A:C,3,0),0),0)</f>
        <v>0.3913091387819726</v>
      </c>
      <c r="AL158" s="85">
        <f t="shared" si="41"/>
        <v>0.60869086121802751</v>
      </c>
      <c r="AM158" s="53">
        <f>IF(D158="顾问",_xlfn.XLOOKUP(F158,'⑥战队统计表-B-a-②呈现-业绩明细表④'!A:A,'⑥战队统计表-B-a-②呈现-业绩明细表④'!H:H,0),"")</f>
        <v>0</v>
      </c>
      <c r="AN158" s="53" t="str">
        <f t="shared" si="42"/>
        <v>鹭岛+无敌队</v>
      </c>
    </row>
    <row r="159" spans="1:40" hidden="1" x14ac:dyDescent="0.15">
      <c r="A159" s="79" t="s">
        <v>428</v>
      </c>
      <c r="B159" s="80" t="s">
        <v>177</v>
      </c>
      <c r="C159" s="81" t="s">
        <v>146</v>
      </c>
      <c r="D159" s="82" t="s">
        <v>6</v>
      </c>
      <c r="E159" s="82" t="s">
        <v>179</v>
      </c>
      <c r="F159" s="53" t="str">
        <f t="shared" si="32"/>
        <v>鹭岛+无敌队</v>
      </c>
      <c r="G159" s="53">
        <f>IFERROR(_xlfn.XLOOKUP(B159,'①门店信息-A-a-①-增加'!B:B,'①门店信息-A-a-①-增加'!E:E,0),"")</f>
        <v>0</v>
      </c>
      <c r="H159" s="54">
        <f>_xlfn.XLOOKUP(B159,'①门店信息-A-a-①-增加'!B:B,'①门店信息-A-a-①-增加'!F:F,0)</f>
        <v>0</v>
      </c>
      <c r="I159" s="55">
        <f>_xlfn.XLOOKUP(E159,'③新店考核-B-a-②呈现-业绩明细表-③'!B:B,'③新店考核-B-a-②呈现-业绩明细表-③'!E:E,0)</f>
        <v>0</v>
      </c>
      <c r="J159" s="54">
        <f>_xlfn.XLOOKUP(E159,'③新店考核-B-a-②呈现-业绩明细表-③'!B:B,'③新店考核-B-a-②呈现-业绩明细表-③'!F:F,0)</f>
        <v>0</v>
      </c>
      <c r="K159" s="55">
        <f>IF(H159="新店一阶段",LOOKUP(I159,'②提成标准-B-a-①-增加'!$M$9:$M$12,'②提成标准-B-a-①-增加'!$O$9:$O$12),0)</f>
        <v>0</v>
      </c>
      <c r="L159" s="56">
        <f t="shared" si="33"/>
        <v>31486.3</v>
      </c>
      <c r="M159" s="57">
        <f>_xlfn.XLOOKUP(E159,'③新店考核-B-a-②呈现-业绩明细表-③'!B:B,'③新店考核-B-a-②呈现-业绩明细表-③'!G:G,0)</f>
        <v>0</v>
      </c>
      <c r="N159" s="58" t="str">
        <f>LOOKUP(M159,'②提成标准-B-a-①-增加'!$M$1:$M$4,'②提成标准-B-a-①-增加'!$O$1:$O$4)</f>
        <v>同老店</v>
      </c>
      <c r="O159" s="57">
        <f>_xlfn.XLOOKUP(E159,'③新店考核-B-a-②呈现-业绩明细表-③'!B:B,'③新店考核-B-a-②呈现-业绩明细表-③'!H:H,0)</f>
        <v>0</v>
      </c>
      <c r="P159" s="57">
        <f t="shared" si="34"/>
        <v>31486.3</v>
      </c>
      <c r="Q159" s="53">
        <f>_xlfn.XLOOKUP(E159,'④考勤-B-a-26考勤汇总表'!D:D,'④考勤-B-a-26考勤汇总表'!AP:AP,0)</f>
        <v>31</v>
      </c>
      <c r="R159" s="53" t="str">
        <f t="shared" si="43"/>
        <v/>
      </c>
      <c r="S159" s="53">
        <f t="shared" si="36"/>
        <v>31486.3</v>
      </c>
      <c r="T159" s="53">
        <v>31486.3</v>
      </c>
      <c r="U159" s="53">
        <v>0</v>
      </c>
      <c r="V159" s="53">
        <v>0</v>
      </c>
      <c r="W159" s="53">
        <f>_xlfn.XLOOKUP(E159,'⑤项目数-B-a-③消耗明细表'!C:C,'⑤项目数-B-a-③消耗明细表'!E:E,0)</f>
        <v>17565.3</v>
      </c>
      <c r="X159" s="53">
        <f>_xlfn.XLOOKUP(E159,'⑤项目数-B-a-③消耗明细表'!C:C,'⑤项目数-B-a-③消耗明细表'!D:D,0)</f>
        <v>135.5</v>
      </c>
      <c r="Y159" s="53">
        <f>_xlfn.XLOOKUP(E159,'⑤项目数-B-a-③消耗明细表'!C:C,'⑤项目数-B-a-③消耗明细表'!F:F,0)</f>
        <v>1800</v>
      </c>
      <c r="Z159" s="53">
        <f>_xlfn.XLOOKUP(E159,'⑤项目数-B-a-③消耗明细表'!C:C,'⑤项目数-B-a-③消耗明细表'!G:G,0)</f>
        <v>105</v>
      </c>
      <c r="AA159" s="84">
        <f t="shared" si="39"/>
        <v>1</v>
      </c>
      <c r="AB159" s="84">
        <f t="shared" si="40"/>
        <v>1</v>
      </c>
      <c r="AC159" s="53">
        <f>_xlfn.XLOOKUP(F159,'⑥战队统计表-B-a-②呈现-业绩明细表④'!A:A,'⑥战队统计表-B-a-②呈现-业绩明细表④'!B:B,0)</f>
        <v>2</v>
      </c>
      <c r="AD159" s="53" t="str">
        <f t="shared" si="37"/>
        <v/>
      </c>
      <c r="AE159" s="59">
        <f>IF(AD159="",_xlfn.XLOOKUP(F159,'⑥战队统计表-B-a-②呈现-业绩明细表④'!A:A,'⑥战队统计表-B-a-②呈现-业绩明细表④'!D:D,0),0)</f>
        <v>0.04</v>
      </c>
      <c r="AF159" s="85">
        <f>IF(AND(E159="T区",E159="门店T区"),"",IF(AD159="",0,IF(R159="",LOOKUP(S159,'②提成标准-B-a-①-增加'!$B$16:$B$20,'②提成标准-B-a-①-增加'!$D$16:$D$20),LOOKUP(S159/Q159,'②提成标准-B-a-①-增加'!$B$23:$B$27,'②提成标准-B-a-①-增加'!$D$23:$D$27))))</f>
        <v>0</v>
      </c>
      <c r="AG159" s="85">
        <f t="shared" si="35"/>
        <v>0.04</v>
      </c>
      <c r="AH159" s="60">
        <f t="shared" si="44"/>
        <v>1196.4793999999999</v>
      </c>
      <c r="AI159" s="86">
        <f t="shared" si="45"/>
        <v>0</v>
      </c>
      <c r="AJ159" s="60">
        <f t="shared" si="38"/>
        <v>1196.4793999999999</v>
      </c>
      <c r="AK159" s="87">
        <f>IF(AB159=1,IFERROR(S159/VLOOKUP(F159,'⑥战队统计表-B-a-②呈现-业绩明细表④'!A:C,3,0),0),0)</f>
        <v>0.60869086121802751</v>
      </c>
      <c r="AL159" s="85" t="str">
        <f t="shared" si="41"/>
        <v/>
      </c>
      <c r="AM159" s="53" t="str">
        <f>IF(D159="顾问",_xlfn.XLOOKUP(F159,'⑥战队统计表-B-a-②呈现-业绩明细表④'!A:A,'⑥战队统计表-B-a-②呈现-业绩明细表④'!H:H,0),"")</f>
        <v/>
      </c>
      <c r="AN159" s="53" t="str">
        <f t="shared" si="42"/>
        <v>鹭岛+无敌队</v>
      </c>
    </row>
    <row r="160" spans="1:40" hidden="1" x14ac:dyDescent="0.15">
      <c r="A160" s="79" t="s">
        <v>428</v>
      </c>
      <c r="B160" s="80" t="s">
        <v>177</v>
      </c>
      <c r="C160" s="81" t="s">
        <v>36</v>
      </c>
      <c r="D160" s="82" t="s">
        <v>36</v>
      </c>
      <c r="E160" s="82" t="s">
        <v>36</v>
      </c>
      <c r="F160" s="53" t="str">
        <f t="shared" si="32"/>
        <v>鹭岛+T区</v>
      </c>
      <c r="G160" s="53">
        <f>IFERROR(_xlfn.XLOOKUP(B160,'①门店信息-A-a-①-增加'!B:B,'①门店信息-A-a-①-增加'!E:E,0),"")</f>
        <v>0</v>
      </c>
      <c r="H160" s="54">
        <f>_xlfn.XLOOKUP(B160,'①门店信息-A-a-①-增加'!B:B,'①门店信息-A-a-①-增加'!F:F,0)</f>
        <v>0</v>
      </c>
      <c r="I160" s="55">
        <f>_xlfn.XLOOKUP(E160,'③新店考核-B-a-②呈现-业绩明细表-③'!B:B,'③新店考核-B-a-②呈现-业绩明细表-③'!E:E,0)</f>
        <v>0</v>
      </c>
      <c r="J160" s="54">
        <f>_xlfn.XLOOKUP(E160,'③新店考核-B-a-②呈现-业绩明细表-③'!B:B,'③新店考核-B-a-②呈现-业绩明细表-③'!F:F,0)</f>
        <v>0</v>
      </c>
      <c r="K160" s="55">
        <f>IF(H160="新店一阶段",LOOKUP(I160,'②提成标准-B-a-①-增加'!$M$9:$M$12,'②提成标准-B-a-①-增加'!$O$9:$O$12),0)</f>
        <v>0</v>
      </c>
      <c r="L160" s="56">
        <f t="shared" si="33"/>
        <v>0</v>
      </c>
      <c r="M160" s="57">
        <f>_xlfn.XLOOKUP(E160,'③新店考核-B-a-②呈现-业绩明细表-③'!B:B,'③新店考核-B-a-②呈现-业绩明细表-③'!G:G,0)</f>
        <v>0</v>
      </c>
      <c r="N160" s="58" t="str">
        <f>LOOKUP(M160,'②提成标准-B-a-①-增加'!$M$1:$M$4,'②提成标准-B-a-①-增加'!$O$1:$O$4)</f>
        <v>同老店</v>
      </c>
      <c r="O160" s="57">
        <f>_xlfn.XLOOKUP(E160,'③新店考核-B-a-②呈现-业绩明细表-③'!B:B,'③新店考核-B-a-②呈现-业绩明细表-③'!H:H,0)</f>
        <v>0</v>
      </c>
      <c r="P160" s="57">
        <f t="shared" si="34"/>
        <v>0</v>
      </c>
      <c r="Q160" s="53">
        <f>_xlfn.XLOOKUP(E160,'④考勤-B-a-26考勤汇总表'!D:D,'④考勤-B-a-26考勤汇总表'!AP:AP,0)</f>
        <v>0</v>
      </c>
      <c r="R160" s="53" t="str">
        <f t="shared" si="43"/>
        <v/>
      </c>
      <c r="S160" s="53">
        <f t="shared" si="36"/>
        <v>0</v>
      </c>
      <c r="T160" s="53">
        <v>0</v>
      </c>
      <c r="U160" s="53">
        <v>0</v>
      </c>
      <c r="V160" s="53">
        <v>0</v>
      </c>
      <c r="W160" s="53">
        <f>_xlfn.XLOOKUP(E160,'⑤项目数-B-a-③消耗明细表'!C:C,'⑤项目数-B-a-③消耗明细表'!E:E,0)</f>
        <v>0</v>
      </c>
      <c r="X160" s="53">
        <f>_xlfn.XLOOKUP(E160,'⑤项目数-B-a-③消耗明细表'!C:C,'⑤项目数-B-a-③消耗明细表'!D:D,0)</f>
        <v>0</v>
      </c>
      <c r="Y160" s="53">
        <f>_xlfn.XLOOKUP(E160,'⑤项目数-B-a-③消耗明细表'!C:C,'⑤项目数-B-a-③消耗明细表'!F:F,0)</f>
        <v>0</v>
      </c>
      <c r="Z160" s="53">
        <f>_xlfn.XLOOKUP(E160,'⑤项目数-B-a-③消耗明细表'!C:C,'⑤项目数-B-a-③消耗明细表'!G:G,0)</f>
        <v>0</v>
      </c>
      <c r="AA160" s="84" t="str">
        <f t="shared" si="39"/>
        <v>不属于战队</v>
      </c>
      <c r="AB160" s="84">
        <f t="shared" si="40"/>
        <v>0</v>
      </c>
      <c r="AC160" s="53">
        <f>_xlfn.XLOOKUP(F160,'⑥战队统计表-B-a-②呈现-业绩明细表④'!A:A,'⑥战队统计表-B-a-②呈现-业绩明细表④'!B:B,0)</f>
        <v>0</v>
      </c>
      <c r="AD160" s="53">
        <f t="shared" si="37"/>
        <v>1</v>
      </c>
      <c r="AE160" s="59">
        <f>IF(AD160="",_xlfn.XLOOKUP(F160,'⑥战队统计表-B-a-②呈现-业绩明细表④'!A:A,'⑥战队统计表-B-a-②呈现-业绩明细表④'!D:D,0),0)</f>
        <v>0</v>
      </c>
      <c r="AF160" s="85">
        <f>IF(AND(E160="T区",E160="门店T区"),"",IF(AD160="",0,IF(R160="",LOOKUP(S160,'②提成标准-B-a-①-增加'!$B$16:$B$20,'②提成标准-B-a-①-增加'!$D$16:$D$20),LOOKUP(S160/Q160,'②提成标准-B-a-①-增加'!$B$23:$B$27,'②提成标准-B-a-①-增加'!$D$23:$D$27))))</f>
        <v>0</v>
      </c>
      <c r="AG160" s="85">
        <f t="shared" si="35"/>
        <v>0</v>
      </c>
      <c r="AH160" s="60">
        <f t="shared" si="44"/>
        <v>0</v>
      </c>
      <c r="AI160" s="86">
        <f t="shared" si="45"/>
        <v>0</v>
      </c>
      <c r="AJ160" s="60">
        <f t="shared" si="38"/>
        <v>0</v>
      </c>
      <c r="AK160" s="87">
        <f>IF(AB160=1,IFERROR(S160/VLOOKUP(F160,'⑥战队统计表-B-a-②呈现-业绩明细表④'!A:C,3,0),0),0)</f>
        <v>0</v>
      </c>
      <c r="AL160" s="85" t="str">
        <f t="shared" si="41"/>
        <v/>
      </c>
      <c r="AM160" s="53" t="str">
        <f>IF(D160="顾问",_xlfn.XLOOKUP(F160,'⑥战队统计表-B-a-②呈现-业绩明细表④'!A:A,'⑥战队统计表-B-a-②呈现-业绩明细表④'!H:H,0),"")</f>
        <v/>
      </c>
      <c r="AN160" s="53" t="str">
        <f t="shared" si="42"/>
        <v>单人</v>
      </c>
    </row>
    <row r="161" spans="1:40" hidden="1" x14ac:dyDescent="0.15">
      <c r="A161" s="79" t="s">
        <v>428</v>
      </c>
      <c r="B161" s="80" t="s">
        <v>177</v>
      </c>
      <c r="C161" s="81" t="s">
        <v>180</v>
      </c>
      <c r="D161" s="82" t="s">
        <v>32</v>
      </c>
      <c r="E161" s="90" t="s">
        <v>181</v>
      </c>
      <c r="F161" s="53" t="str">
        <f t="shared" si="32"/>
        <v>鹭岛+出单队</v>
      </c>
      <c r="G161" s="53">
        <f>IFERROR(_xlfn.XLOOKUP(B161,'①门店信息-A-a-①-增加'!B:B,'①门店信息-A-a-①-增加'!E:E,0),"")</f>
        <v>0</v>
      </c>
      <c r="H161" s="54">
        <f>_xlfn.XLOOKUP(B161,'①门店信息-A-a-①-增加'!B:B,'①门店信息-A-a-①-增加'!F:F,0)</f>
        <v>0</v>
      </c>
      <c r="I161" s="55">
        <f>_xlfn.XLOOKUP(E161,'③新店考核-B-a-②呈现-业绩明细表-③'!B:B,'③新店考核-B-a-②呈现-业绩明细表-③'!E:E,0)</f>
        <v>0</v>
      </c>
      <c r="J161" s="54">
        <f>_xlfn.XLOOKUP(E161,'③新店考核-B-a-②呈现-业绩明细表-③'!B:B,'③新店考核-B-a-②呈现-业绩明细表-③'!F:F,0)</f>
        <v>0</v>
      </c>
      <c r="K161" s="55">
        <f>IF(H161="新店一阶段",LOOKUP(I161,'②提成标准-B-a-①-增加'!$M$9:$M$12,'②提成标准-B-a-①-增加'!$O$9:$O$12),0)</f>
        <v>0</v>
      </c>
      <c r="L161" s="56">
        <f t="shared" si="33"/>
        <v>21074.5</v>
      </c>
      <c r="M161" s="57">
        <f>_xlfn.XLOOKUP(E161,'③新店考核-B-a-②呈现-业绩明细表-③'!B:B,'③新店考核-B-a-②呈现-业绩明细表-③'!G:G,0)</f>
        <v>0</v>
      </c>
      <c r="N161" s="58" t="str">
        <f>LOOKUP(M161,'②提成标准-B-a-①-增加'!$M$1:$M$4,'②提成标准-B-a-①-增加'!$O$1:$O$4)</f>
        <v>同老店</v>
      </c>
      <c r="O161" s="57">
        <f>_xlfn.XLOOKUP(E161,'③新店考核-B-a-②呈现-业绩明细表-③'!B:B,'③新店考核-B-a-②呈现-业绩明细表-③'!H:H,0)</f>
        <v>0</v>
      </c>
      <c r="P161" s="57">
        <f t="shared" si="34"/>
        <v>21074.5</v>
      </c>
      <c r="Q161" s="53">
        <f>_xlfn.XLOOKUP(E161,'④考勤-B-a-26考勤汇总表'!D:D,'④考勤-B-a-26考勤汇总表'!AP:AP,0)</f>
        <v>31</v>
      </c>
      <c r="R161" s="53" t="str">
        <f t="shared" si="43"/>
        <v/>
      </c>
      <c r="S161" s="53">
        <f t="shared" si="36"/>
        <v>26174.5</v>
      </c>
      <c r="T161" s="53">
        <v>21074.5</v>
      </c>
      <c r="U161" s="53">
        <v>5100</v>
      </c>
      <c r="V161" s="53">
        <v>0</v>
      </c>
      <c r="W161" s="53">
        <f>_xlfn.XLOOKUP(E161,'⑤项目数-B-a-③消耗明细表'!C:C,'⑤项目数-B-a-③消耗明细表'!E:E,0)</f>
        <v>20239.59</v>
      </c>
      <c r="X161" s="53">
        <f>_xlfn.XLOOKUP(E161,'⑤项目数-B-a-③消耗明细表'!C:C,'⑤项目数-B-a-③消耗明细表'!D:D,0)</f>
        <v>105</v>
      </c>
      <c r="Y161" s="53">
        <f>_xlfn.XLOOKUP(E161,'⑤项目数-B-a-③消耗明细表'!C:C,'⑤项目数-B-a-③消耗明细表'!F:F,0)</f>
        <v>1394</v>
      </c>
      <c r="Z161" s="53">
        <f>_xlfn.XLOOKUP(E161,'⑤项目数-B-a-③消耗明细表'!C:C,'⑤项目数-B-a-③消耗明细表'!G:G,0)</f>
        <v>135</v>
      </c>
      <c r="AA161" s="84">
        <f t="shared" si="39"/>
        <v>1</v>
      </c>
      <c r="AB161" s="84">
        <f t="shared" si="40"/>
        <v>1</v>
      </c>
      <c r="AC161" s="53">
        <f>_xlfn.XLOOKUP(F161,'⑥战队统计表-B-a-②呈现-业绩明细表④'!A:A,'⑥战队统计表-B-a-②呈现-业绩明细表④'!B:B,0)</f>
        <v>2</v>
      </c>
      <c r="AD161" s="53" t="str">
        <f t="shared" si="37"/>
        <v/>
      </c>
      <c r="AE161" s="59">
        <f>IF(AD161="",_xlfn.XLOOKUP(F161,'⑥战队统计表-B-a-②呈现-业绩明细表④'!A:A,'⑥战队统计表-B-a-②呈现-业绩明细表④'!D:D,0),0)</f>
        <v>0.04</v>
      </c>
      <c r="AF161" s="85">
        <f>IF(AND(E161="T区",E161="门店T区"),"",IF(AD161="",0,IF(R161="",LOOKUP(S161,'②提成标准-B-a-①-增加'!$B$16:$B$20,'②提成标准-B-a-①-增加'!$D$16:$D$20),LOOKUP(S161/Q161,'②提成标准-B-a-①-增加'!$B$23:$B$27,'②提成标准-B-a-①-增加'!$D$23:$D$27))))</f>
        <v>0</v>
      </c>
      <c r="AG161" s="85">
        <f t="shared" si="35"/>
        <v>0.04</v>
      </c>
      <c r="AH161" s="60">
        <f t="shared" si="44"/>
        <v>800.83100000000002</v>
      </c>
      <c r="AI161" s="86">
        <f t="shared" si="45"/>
        <v>125.97</v>
      </c>
      <c r="AJ161" s="60">
        <f t="shared" si="38"/>
        <v>926.80100000000004</v>
      </c>
      <c r="AK161" s="87">
        <f>IF(AB161=1,IFERROR(S161/VLOOKUP(F161,'⑥战队统计表-B-a-②呈现-业绩明细表④'!A:C,3,0),0),0)</f>
        <v>0.51376343072943043</v>
      </c>
      <c r="AL161" s="85">
        <f t="shared" si="41"/>
        <v>0.48623656927056957</v>
      </c>
      <c r="AM161" s="53">
        <f>IF(D161="顾问",_xlfn.XLOOKUP(F161,'⑥战队统计表-B-a-②呈现-业绩明细表④'!A:A,'⑥战队统计表-B-a-②呈现-业绩明细表④'!H:H,0),"")</f>
        <v>152.84</v>
      </c>
      <c r="AN161" s="53" t="str">
        <f t="shared" si="42"/>
        <v>鹭岛+出单队</v>
      </c>
    </row>
    <row r="162" spans="1:40" hidden="1" x14ac:dyDescent="0.15">
      <c r="A162" s="79" t="s">
        <v>428</v>
      </c>
      <c r="B162" s="80" t="s">
        <v>177</v>
      </c>
      <c r="C162" s="89" t="s">
        <v>180</v>
      </c>
      <c r="D162" s="90" t="s">
        <v>6</v>
      </c>
      <c r="E162" s="90" t="s">
        <v>183</v>
      </c>
      <c r="F162" s="53" t="str">
        <f t="shared" si="32"/>
        <v>鹭岛+出单队</v>
      </c>
      <c r="G162" s="53">
        <f>IFERROR(_xlfn.XLOOKUP(B162,'①门店信息-A-a-①-增加'!B:B,'①门店信息-A-a-①-增加'!E:E,0),"")</f>
        <v>0</v>
      </c>
      <c r="H162" s="54">
        <f>_xlfn.XLOOKUP(B162,'①门店信息-A-a-①-增加'!B:B,'①门店信息-A-a-①-增加'!F:F,0)</f>
        <v>0</v>
      </c>
      <c r="I162" s="55">
        <f>_xlfn.XLOOKUP(E162,'③新店考核-B-a-②呈现-业绩明细表-③'!B:B,'③新店考核-B-a-②呈现-业绩明细表-③'!E:E,0)</f>
        <v>0</v>
      </c>
      <c r="J162" s="54">
        <f>_xlfn.XLOOKUP(E162,'③新店考核-B-a-②呈现-业绩明细表-③'!B:B,'③新店考核-B-a-②呈现-业绩明细表-③'!F:F,0)</f>
        <v>0</v>
      </c>
      <c r="K162" s="55">
        <f>IF(H162="新店一阶段",LOOKUP(I162,'②提成标准-B-a-①-增加'!$M$9:$M$12,'②提成标准-B-a-①-增加'!$O$9:$O$12),0)</f>
        <v>0</v>
      </c>
      <c r="L162" s="56">
        <f t="shared" si="33"/>
        <v>24072.1</v>
      </c>
      <c r="M162" s="57">
        <f>_xlfn.XLOOKUP(E162,'③新店考核-B-a-②呈现-业绩明细表-③'!B:B,'③新店考核-B-a-②呈现-业绩明细表-③'!G:G,0)</f>
        <v>0</v>
      </c>
      <c r="N162" s="58" t="str">
        <f>LOOKUP(M162,'②提成标准-B-a-①-增加'!$M$1:$M$4,'②提成标准-B-a-①-增加'!$O$1:$O$4)</f>
        <v>同老店</v>
      </c>
      <c r="O162" s="57">
        <f>_xlfn.XLOOKUP(E162,'③新店考核-B-a-②呈现-业绩明细表-③'!B:B,'③新店考核-B-a-②呈现-业绩明细表-③'!H:H,0)</f>
        <v>0</v>
      </c>
      <c r="P162" s="57">
        <f t="shared" si="34"/>
        <v>24072.1</v>
      </c>
      <c r="Q162" s="53">
        <f>_xlfn.XLOOKUP(E162,'④考勤-B-a-26考勤汇总表'!D:D,'④考勤-B-a-26考勤汇总表'!AP:AP,0)</f>
        <v>31</v>
      </c>
      <c r="R162" s="53" t="str">
        <f t="shared" si="43"/>
        <v/>
      </c>
      <c r="S162" s="53">
        <f t="shared" si="36"/>
        <v>24772.1</v>
      </c>
      <c r="T162" s="53">
        <v>24072.1</v>
      </c>
      <c r="U162" s="53">
        <v>700</v>
      </c>
      <c r="V162" s="53">
        <v>0</v>
      </c>
      <c r="W162" s="53">
        <f>_xlfn.XLOOKUP(E162,'⑤项目数-B-a-③消耗明细表'!C:C,'⑤项目数-B-a-③消耗明细表'!E:E,0)</f>
        <v>21935.93</v>
      </c>
      <c r="X162" s="53">
        <f>_xlfn.XLOOKUP(E162,'⑤项目数-B-a-③消耗明细表'!C:C,'⑤项目数-B-a-③消耗明细表'!D:D,0)</f>
        <v>108</v>
      </c>
      <c r="Y162" s="53">
        <f>_xlfn.XLOOKUP(E162,'⑤项目数-B-a-③消耗明细表'!C:C,'⑤项目数-B-a-③消耗明细表'!F:F,0)</f>
        <v>1301</v>
      </c>
      <c r="Z162" s="53">
        <f>_xlfn.XLOOKUP(E162,'⑤项目数-B-a-③消耗明细表'!C:C,'⑤项目数-B-a-③消耗明细表'!G:G,0)</f>
        <v>70</v>
      </c>
      <c r="AA162" s="84">
        <f t="shared" si="39"/>
        <v>1</v>
      </c>
      <c r="AB162" s="84">
        <f t="shared" si="40"/>
        <v>1</v>
      </c>
      <c r="AC162" s="53">
        <f>_xlfn.XLOOKUP(F162,'⑥战队统计表-B-a-②呈现-业绩明细表④'!A:A,'⑥战队统计表-B-a-②呈现-业绩明细表④'!B:B,0)</f>
        <v>2</v>
      </c>
      <c r="AD162" s="53" t="str">
        <f t="shared" si="37"/>
        <v/>
      </c>
      <c r="AE162" s="59">
        <f>IF(AD162="",_xlfn.XLOOKUP(F162,'⑥战队统计表-B-a-②呈现-业绩明细表④'!A:A,'⑥战队统计表-B-a-②呈现-业绩明细表④'!D:D,0),0)</f>
        <v>0.04</v>
      </c>
      <c r="AF162" s="85">
        <f>IF(AND(E162="T区",E162="门店T区"),"",IF(AD162="",0,IF(R162="",LOOKUP(S162,'②提成标准-B-a-①-增加'!$B$16:$B$20,'②提成标准-B-a-①-增加'!$D$16:$D$20),LOOKUP(S162/Q162,'②提成标准-B-a-①-增加'!$B$23:$B$27,'②提成标准-B-a-①-增加'!$D$23:$D$27))))</f>
        <v>0</v>
      </c>
      <c r="AG162" s="85">
        <f t="shared" si="35"/>
        <v>0.04</v>
      </c>
      <c r="AH162" s="60">
        <f t="shared" si="44"/>
        <v>914.73979999999995</v>
      </c>
      <c r="AI162" s="86">
        <f t="shared" si="45"/>
        <v>17.29</v>
      </c>
      <c r="AJ162" s="60">
        <f t="shared" si="38"/>
        <v>932.02979999999991</v>
      </c>
      <c r="AK162" s="87">
        <f>IF(AB162=1,IFERROR(S162/VLOOKUP(F162,'⑥战队统计表-B-a-②呈现-业绩明细表④'!A:C,3,0),0),0)</f>
        <v>0.48623656927056957</v>
      </c>
      <c r="AL162" s="85" t="str">
        <f t="shared" si="41"/>
        <v/>
      </c>
      <c r="AM162" s="53" t="str">
        <f>IF(D162="顾问",_xlfn.XLOOKUP(F162,'⑥战队统计表-B-a-②呈现-业绩明细表④'!A:A,'⑥战队统计表-B-a-②呈现-业绩明细表④'!H:H,0),"")</f>
        <v/>
      </c>
      <c r="AN162" s="53" t="str">
        <f t="shared" si="42"/>
        <v>鹭岛+出单队</v>
      </c>
    </row>
    <row r="163" spans="1:40" hidden="1" x14ac:dyDescent="0.15">
      <c r="A163" s="79" t="s">
        <v>428</v>
      </c>
      <c r="B163" s="80" t="s">
        <v>177</v>
      </c>
      <c r="C163" s="81" t="s">
        <v>180</v>
      </c>
      <c r="D163" s="82" t="s">
        <v>6</v>
      </c>
      <c r="E163" s="82" t="s">
        <v>182</v>
      </c>
      <c r="F163" s="53" t="str">
        <f t="shared" si="32"/>
        <v>鹭岛+出单队</v>
      </c>
      <c r="G163" s="53">
        <f>IFERROR(_xlfn.XLOOKUP(B163,'①门店信息-A-a-①-增加'!B:B,'①门店信息-A-a-①-增加'!E:E,0),"")</f>
        <v>0</v>
      </c>
      <c r="H163" s="54">
        <f>_xlfn.XLOOKUP(B163,'①门店信息-A-a-①-增加'!B:B,'①门店信息-A-a-①-增加'!F:F,0)</f>
        <v>0</v>
      </c>
      <c r="I163" s="55">
        <f>_xlfn.XLOOKUP(E163,'③新店考核-B-a-②呈现-业绩明细表-③'!B:B,'③新店考核-B-a-②呈现-业绩明细表-③'!E:E,0)</f>
        <v>0</v>
      </c>
      <c r="J163" s="54">
        <f>_xlfn.XLOOKUP(E163,'③新店考核-B-a-②呈现-业绩明细表-③'!B:B,'③新店考核-B-a-②呈现-业绩明细表-③'!F:F,0)</f>
        <v>0</v>
      </c>
      <c r="K163" s="55">
        <f>IF(H163="新店一阶段",LOOKUP(I163,'②提成标准-B-a-①-增加'!$M$9:$M$12,'②提成标准-B-a-①-增加'!$O$9:$O$12),0)</f>
        <v>0</v>
      </c>
      <c r="L163" s="56">
        <f t="shared" si="33"/>
        <v>1393</v>
      </c>
      <c r="M163" s="57">
        <f>_xlfn.XLOOKUP(E163,'③新店考核-B-a-②呈现-业绩明细表-③'!B:B,'③新店考核-B-a-②呈现-业绩明细表-③'!G:G,0)</f>
        <v>0</v>
      </c>
      <c r="N163" s="58" t="str">
        <f>LOOKUP(M163,'②提成标准-B-a-①-增加'!$M$1:$M$4,'②提成标准-B-a-①-增加'!$O$1:$O$4)</f>
        <v>同老店</v>
      </c>
      <c r="O163" s="57">
        <f>_xlfn.XLOOKUP(E163,'③新店考核-B-a-②呈现-业绩明细表-③'!B:B,'③新店考核-B-a-②呈现-业绩明细表-③'!H:H,0)</f>
        <v>0</v>
      </c>
      <c r="P163" s="57">
        <f t="shared" si="34"/>
        <v>1393</v>
      </c>
      <c r="Q163" s="53">
        <f>_xlfn.XLOOKUP(E163,'④考勤-B-a-26考勤汇总表'!D:D,'④考勤-B-a-26考勤汇总表'!AP:AP,0)</f>
        <v>15</v>
      </c>
      <c r="R163" s="53" t="str">
        <f t="shared" si="43"/>
        <v>不足月</v>
      </c>
      <c r="S163" s="53">
        <f t="shared" si="36"/>
        <v>1393</v>
      </c>
      <c r="T163" s="53">
        <v>1393</v>
      </c>
      <c r="U163" s="53">
        <v>0</v>
      </c>
      <c r="V163" s="53">
        <v>0</v>
      </c>
      <c r="W163" s="53">
        <f>_xlfn.XLOOKUP(E163,'⑤项目数-B-a-③消耗明细表'!C:C,'⑤项目数-B-a-③消耗明细表'!E:E,0)</f>
        <v>3564.77</v>
      </c>
      <c r="X163" s="53">
        <f>_xlfn.XLOOKUP(E163,'⑤项目数-B-a-③消耗明细表'!C:C,'⑤项目数-B-a-③消耗明细表'!D:D,0)</f>
        <v>52</v>
      </c>
      <c r="Y163" s="53">
        <f>_xlfn.XLOOKUP(E163,'⑤项目数-B-a-③消耗明细表'!C:C,'⑤项目数-B-a-③消耗明细表'!F:F,0)</f>
        <v>605</v>
      </c>
      <c r="Z163" s="53">
        <f>_xlfn.XLOOKUP(E163,'⑤项目数-B-a-③消耗明细表'!C:C,'⑤项目数-B-a-③消耗明细表'!G:G,0)</f>
        <v>0</v>
      </c>
      <c r="AA163" s="84">
        <f t="shared" si="39"/>
        <v>1</v>
      </c>
      <c r="AB163" s="84">
        <f t="shared" si="40"/>
        <v>0</v>
      </c>
      <c r="AC163" s="53">
        <f>_xlfn.XLOOKUP(F163,'⑥战队统计表-B-a-②呈现-业绩明细表④'!A:A,'⑥战队统计表-B-a-②呈现-业绩明细表④'!B:B,0)</f>
        <v>2</v>
      </c>
      <c r="AD163" s="53">
        <f t="shared" si="37"/>
        <v>1</v>
      </c>
      <c r="AE163" s="59">
        <f>IF(AD163="",_xlfn.XLOOKUP(F163,'⑥战队统计表-B-a-②呈现-业绩明细表④'!A:A,'⑥战队统计表-B-a-②呈现-业绩明细表④'!D:D,0),0)</f>
        <v>0</v>
      </c>
      <c r="AF163" s="85">
        <f>IF(AND(E163="T区",E163="门店T区"),"",IF(AD163="",0,IF(R163="",LOOKUP(S163,'②提成标准-B-a-①-增加'!$B$16:$B$20,'②提成标准-B-a-①-增加'!$D$16:$D$20),LOOKUP(S163/Q163,'②提成标准-B-a-①-增加'!$B$23:$B$27,'②提成标准-B-a-①-增加'!$D$23:$D$27))))</f>
        <v>0</v>
      </c>
      <c r="AG163" s="85">
        <f t="shared" si="35"/>
        <v>0</v>
      </c>
      <c r="AH163" s="60">
        <f t="shared" si="44"/>
        <v>0</v>
      </c>
      <c r="AI163" s="86">
        <f t="shared" si="45"/>
        <v>0</v>
      </c>
      <c r="AJ163" s="60">
        <f t="shared" si="38"/>
        <v>0</v>
      </c>
      <c r="AK163" s="87">
        <f>IF(AB163=1,IFERROR(S163/VLOOKUP(F163,'⑥战队统计表-B-a-②呈现-业绩明细表④'!A:C,3,0),0),0)</f>
        <v>0</v>
      </c>
      <c r="AL163" s="85" t="str">
        <f t="shared" si="41"/>
        <v/>
      </c>
      <c r="AM163" s="53" t="str">
        <f>IF(D163="顾问",_xlfn.XLOOKUP(F163,'⑥战队统计表-B-a-②呈现-业绩明细表④'!A:A,'⑥战队统计表-B-a-②呈现-业绩明细表④'!H:H,0),"")</f>
        <v/>
      </c>
      <c r="AN163" s="53" t="str">
        <f t="shared" si="42"/>
        <v>单人</v>
      </c>
    </row>
    <row r="164" spans="1:40" hidden="1" x14ac:dyDescent="0.15">
      <c r="A164" s="79" t="s">
        <v>428</v>
      </c>
      <c r="B164" s="80" t="s">
        <v>177</v>
      </c>
      <c r="C164" s="81" t="s">
        <v>36</v>
      </c>
      <c r="D164" s="82" t="s">
        <v>36</v>
      </c>
      <c r="E164" s="82" t="s">
        <v>36</v>
      </c>
      <c r="F164" s="53" t="str">
        <f t="shared" si="32"/>
        <v>鹭岛+T区</v>
      </c>
      <c r="G164" s="53">
        <f>IFERROR(_xlfn.XLOOKUP(B164,'①门店信息-A-a-①-增加'!B:B,'①门店信息-A-a-①-增加'!E:E,0),"")</f>
        <v>0</v>
      </c>
      <c r="H164" s="54">
        <f>_xlfn.XLOOKUP(B164,'①门店信息-A-a-①-增加'!B:B,'①门店信息-A-a-①-增加'!F:F,0)</f>
        <v>0</v>
      </c>
      <c r="I164" s="55">
        <f>_xlfn.XLOOKUP(E164,'③新店考核-B-a-②呈现-业绩明细表-③'!B:B,'③新店考核-B-a-②呈现-业绩明细表-③'!E:E,0)</f>
        <v>0</v>
      </c>
      <c r="J164" s="54">
        <f>_xlfn.XLOOKUP(E164,'③新店考核-B-a-②呈现-业绩明细表-③'!B:B,'③新店考核-B-a-②呈现-业绩明细表-③'!F:F,0)</f>
        <v>0</v>
      </c>
      <c r="K164" s="55">
        <f>IF(H164="新店一阶段",LOOKUP(I164,'②提成标准-B-a-①-增加'!$M$9:$M$12,'②提成标准-B-a-①-增加'!$O$9:$O$12),0)</f>
        <v>0</v>
      </c>
      <c r="L164" s="56">
        <f t="shared" si="33"/>
        <v>0</v>
      </c>
      <c r="M164" s="57">
        <f>_xlfn.XLOOKUP(E164,'③新店考核-B-a-②呈现-业绩明细表-③'!B:B,'③新店考核-B-a-②呈现-业绩明细表-③'!G:G,0)</f>
        <v>0</v>
      </c>
      <c r="N164" s="58" t="str">
        <f>LOOKUP(M164,'②提成标准-B-a-①-增加'!$M$1:$M$4,'②提成标准-B-a-①-增加'!$O$1:$O$4)</f>
        <v>同老店</v>
      </c>
      <c r="O164" s="57">
        <f>_xlfn.XLOOKUP(E164,'③新店考核-B-a-②呈现-业绩明细表-③'!B:B,'③新店考核-B-a-②呈现-业绩明细表-③'!H:H,0)</f>
        <v>0</v>
      </c>
      <c r="P164" s="57">
        <f t="shared" si="34"/>
        <v>0</v>
      </c>
      <c r="Q164" s="53">
        <f>_xlfn.XLOOKUP(E164,'④考勤-B-a-26考勤汇总表'!D:D,'④考勤-B-a-26考勤汇总表'!AP:AP,0)</f>
        <v>0</v>
      </c>
      <c r="R164" s="53" t="str">
        <f t="shared" si="43"/>
        <v/>
      </c>
      <c r="S164" s="53">
        <f t="shared" si="36"/>
        <v>0</v>
      </c>
      <c r="T164" s="53">
        <v>0</v>
      </c>
      <c r="U164" s="53">
        <v>0</v>
      </c>
      <c r="V164" s="53">
        <v>0</v>
      </c>
      <c r="W164" s="53">
        <f>_xlfn.XLOOKUP(E164,'⑤项目数-B-a-③消耗明细表'!C:C,'⑤项目数-B-a-③消耗明细表'!E:E,0)</f>
        <v>0</v>
      </c>
      <c r="X164" s="53">
        <f>_xlfn.XLOOKUP(E164,'⑤项目数-B-a-③消耗明细表'!C:C,'⑤项目数-B-a-③消耗明细表'!D:D,0)</f>
        <v>0</v>
      </c>
      <c r="Y164" s="53">
        <f>_xlfn.XLOOKUP(E164,'⑤项目数-B-a-③消耗明细表'!C:C,'⑤项目数-B-a-③消耗明细表'!F:F,0)</f>
        <v>0</v>
      </c>
      <c r="Z164" s="53">
        <f>_xlfn.XLOOKUP(E164,'⑤项目数-B-a-③消耗明细表'!C:C,'⑤项目数-B-a-③消耗明细表'!G:G,0)</f>
        <v>0</v>
      </c>
      <c r="AA164" s="84" t="str">
        <f t="shared" si="39"/>
        <v>不属于战队</v>
      </c>
      <c r="AB164" s="84">
        <f t="shared" si="40"/>
        <v>0</v>
      </c>
      <c r="AC164" s="53">
        <f>_xlfn.XLOOKUP(F164,'⑥战队统计表-B-a-②呈现-业绩明细表④'!A:A,'⑥战队统计表-B-a-②呈现-业绩明细表④'!B:B,0)</f>
        <v>0</v>
      </c>
      <c r="AD164" s="53">
        <f t="shared" si="37"/>
        <v>1</v>
      </c>
      <c r="AE164" s="59">
        <f>IF(AD164="",_xlfn.XLOOKUP(F164,'⑥战队统计表-B-a-②呈现-业绩明细表④'!A:A,'⑥战队统计表-B-a-②呈现-业绩明细表④'!D:D,0),0)</f>
        <v>0</v>
      </c>
      <c r="AF164" s="85">
        <f>IF(AND(E164="T区",E164="门店T区"),"",IF(AD164="",0,IF(R164="",LOOKUP(S164,'②提成标准-B-a-①-增加'!$B$16:$B$20,'②提成标准-B-a-①-增加'!$D$16:$D$20),LOOKUP(S164/Q164,'②提成标准-B-a-①-增加'!$B$23:$B$27,'②提成标准-B-a-①-增加'!$D$23:$D$27))))</f>
        <v>0</v>
      </c>
      <c r="AG164" s="85">
        <f t="shared" si="35"/>
        <v>0</v>
      </c>
      <c r="AH164" s="60">
        <f t="shared" si="44"/>
        <v>0</v>
      </c>
      <c r="AI164" s="86">
        <f t="shared" si="45"/>
        <v>0</v>
      </c>
      <c r="AJ164" s="60">
        <f t="shared" si="38"/>
        <v>0</v>
      </c>
      <c r="AK164" s="87">
        <f>IF(AB164=1,IFERROR(S164/VLOOKUP(F164,'⑥战队统计表-B-a-②呈现-业绩明细表④'!A:C,3,0),0),0)</f>
        <v>0</v>
      </c>
      <c r="AL164" s="85" t="str">
        <f t="shared" si="41"/>
        <v/>
      </c>
      <c r="AM164" s="53" t="str">
        <f>IF(D164="顾问",_xlfn.XLOOKUP(F164,'⑥战队统计表-B-a-②呈现-业绩明细表④'!A:A,'⑥战队统计表-B-a-②呈现-业绩明细表④'!H:H,0),"")</f>
        <v/>
      </c>
      <c r="AN164" s="53" t="str">
        <f t="shared" si="42"/>
        <v>单人</v>
      </c>
    </row>
    <row r="165" spans="1:40" hidden="1" x14ac:dyDescent="0.15">
      <c r="A165" s="79" t="s">
        <v>428</v>
      </c>
      <c r="B165" s="80" t="s">
        <v>177</v>
      </c>
      <c r="C165" s="81" t="s">
        <v>50</v>
      </c>
      <c r="D165" s="82" t="s">
        <v>6</v>
      </c>
      <c r="E165" s="82" t="s">
        <v>437</v>
      </c>
      <c r="F165" s="53" t="str">
        <f t="shared" si="32"/>
        <v>鹭岛+单人</v>
      </c>
      <c r="G165" s="53">
        <f>IFERROR(_xlfn.XLOOKUP(B165,'①门店信息-A-a-①-增加'!B:B,'①门店信息-A-a-①-增加'!E:E,0),"")</f>
        <v>0</v>
      </c>
      <c r="H165" s="54">
        <f>_xlfn.XLOOKUP(B165,'①门店信息-A-a-①-增加'!B:B,'①门店信息-A-a-①-增加'!F:F,0)</f>
        <v>0</v>
      </c>
      <c r="I165" s="55">
        <f>_xlfn.XLOOKUP(E165,'③新店考核-B-a-②呈现-业绩明细表-③'!B:B,'③新店考核-B-a-②呈现-业绩明细表-③'!E:E,0)</f>
        <v>0</v>
      </c>
      <c r="J165" s="54">
        <f>_xlfn.XLOOKUP(E165,'③新店考核-B-a-②呈现-业绩明细表-③'!B:B,'③新店考核-B-a-②呈现-业绩明细表-③'!F:F,0)</f>
        <v>0</v>
      </c>
      <c r="K165" s="55">
        <f>IF(H165="新店一阶段",LOOKUP(I165,'②提成标准-B-a-①-增加'!$M$9:$M$12,'②提成标准-B-a-①-增加'!$O$9:$O$12),0)</f>
        <v>0</v>
      </c>
      <c r="L165" s="56">
        <f t="shared" si="33"/>
        <v>0</v>
      </c>
      <c r="M165" s="57">
        <f>_xlfn.XLOOKUP(E165,'③新店考核-B-a-②呈现-业绩明细表-③'!B:B,'③新店考核-B-a-②呈现-业绩明细表-③'!G:G,0)</f>
        <v>0</v>
      </c>
      <c r="N165" s="58" t="str">
        <f>LOOKUP(M165,'②提成标准-B-a-①-增加'!$M$1:$M$4,'②提成标准-B-a-①-增加'!$O$1:$O$4)</f>
        <v>同老店</v>
      </c>
      <c r="O165" s="57">
        <f>_xlfn.XLOOKUP(E165,'③新店考核-B-a-②呈现-业绩明细表-③'!B:B,'③新店考核-B-a-②呈现-业绩明细表-③'!H:H,0)</f>
        <v>0</v>
      </c>
      <c r="P165" s="57">
        <f t="shared" si="34"/>
        <v>0</v>
      </c>
      <c r="Q165" s="53">
        <f>_xlfn.XLOOKUP(E165,'④考勤-B-a-26考勤汇总表'!D:D,'④考勤-B-a-26考勤汇总表'!AP:AP,0)</f>
        <v>18</v>
      </c>
      <c r="R165" s="53" t="str">
        <f t="shared" si="43"/>
        <v>不足月</v>
      </c>
      <c r="S165" s="53">
        <f t="shared" si="36"/>
        <v>0</v>
      </c>
      <c r="T165" s="53">
        <v>0</v>
      </c>
      <c r="U165" s="53">
        <v>0</v>
      </c>
      <c r="V165" s="53">
        <v>0</v>
      </c>
      <c r="W165" s="53">
        <f>_xlfn.XLOOKUP(E165,'⑤项目数-B-a-③消耗明细表'!C:C,'⑤项目数-B-a-③消耗明细表'!E:E,0)</f>
        <v>2623.68</v>
      </c>
      <c r="X165" s="53">
        <f>_xlfn.XLOOKUP(E165,'⑤项目数-B-a-③消耗明细表'!C:C,'⑤项目数-B-a-③消耗明细表'!D:D,0)</f>
        <v>37</v>
      </c>
      <c r="Y165" s="53">
        <f>_xlfn.XLOOKUP(E165,'⑤项目数-B-a-③消耗明细表'!C:C,'⑤项目数-B-a-③消耗明细表'!F:F,0)</f>
        <v>493</v>
      </c>
      <c r="Z165" s="53">
        <f>_xlfn.XLOOKUP(E165,'⑤项目数-B-a-③消耗明细表'!C:C,'⑤项目数-B-a-③消耗明细表'!G:G,0)</f>
        <v>0</v>
      </c>
      <c r="AA165" s="84" t="str">
        <f t="shared" si="39"/>
        <v>单人</v>
      </c>
      <c r="AB165" s="84">
        <f t="shared" si="40"/>
        <v>0</v>
      </c>
      <c r="AC165" s="53">
        <f>_xlfn.XLOOKUP(F165,'⑥战队统计表-B-a-②呈现-业绩明细表④'!A:A,'⑥战队统计表-B-a-②呈现-业绩明细表④'!B:B,0)</f>
        <v>0</v>
      </c>
      <c r="AD165" s="53">
        <f t="shared" si="37"/>
        <v>1</v>
      </c>
      <c r="AE165" s="59">
        <f>IF(AD165="",_xlfn.XLOOKUP(F165,'⑥战队统计表-B-a-②呈现-业绩明细表④'!A:A,'⑥战队统计表-B-a-②呈现-业绩明细表④'!D:D,0),0)</f>
        <v>0</v>
      </c>
      <c r="AF165" s="85">
        <f>IF(AND(E165="T区",E165="门店T区"),"",IF(AD165="",0,IF(R165="",LOOKUP(S165,'②提成标准-B-a-①-增加'!$B$16:$B$20,'②提成标准-B-a-①-增加'!$D$16:$D$20),LOOKUP(S165/Q165,'②提成标准-B-a-①-增加'!$B$23:$B$27,'②提成标准-B-a-①-增加'!$D$23:$D$27))))</f>
        <v>0</v>
      </c>
      <c r="AG165" s="85">
        <f t="shared" si="35"/>
        <v>0</v>
      </c>
      <c r="AH165" s="60">
        <f t="shared" si="44"/>
        <v>0</v>
      </c>
      <c r="AI165" s="86">
        <f t="shared" si="45"/>
        <v>0</v>
      </c>
      <c r="AJ165" s="60">
        <f t="shared" si="38"/>
        <v>0</v>
      </c>
      <c r="AK165" s="87">
        <f>IF(AB165=1,IFERROR(S165/VLOOKUP(F165,'⑥战队统计表-B-a-②呈现-业绩明细表④'!A:C,3,0),0),0)</f>
        <v>0</v>
      </c>
      <c r="AL165" s="85" t="str">
        <f t="shared" si="41"/>
        <v/>
      </c>
      <c r="AM165" s="53" t="str">
        <f>IF(D165="顾问",_xlfn.XLOOKUP(F165,'⑥战队统计表-B-a-②呈现-业绩明细表④'!A:A,'⑥战队统计表-B-a-②呈现-业绩明细表④'!H:H,0),"")</f>
        <v/>
      </c>
      <c r="AN165" s="53" t="str">
        <f t="shared" si="42"/>
        <v>单人</v>
      </c>
    </row>
    <row r="166" spans="1:40" hidden="1" x14ac:dyDescent="0.15">
      <c r="A166" s="79" t="s">
        <v>428</v>
      </c>
      <c r="B166" s="80" t="s">
        <v>177</v>
      </c>
      <c r="C166" s="81" t="s">
        <v>40</v>
      </c>
      <c r="D166" s="82" t="s">
        <v>40</v>
      </c>
      <c r="E166" s="88" t="str">
        <f>F166</f>
        <v>鹭岛+门店T区</v>
      </c>
      <c r="F166" s="53" t="str">
        <f t="shared" si="32"/>
        <v>鹭岛+门店T区</v>
      </c>
      <c r="G166" s="53">
        <f>IFERROR(_xlfn.XLOOKUP(B166,'①门店信息-A-a-①-增加'!B:B,'①门店信息-A-a-①-增加'!E:E,0),"")</f>
        <v>0</v>
      </c>
      <c r="H166" s="54">
        <f>_xlfn.XLOOKUP(B166,'①门店信息-A-a-①-增加'!B:B,'①门店信息-A-a-①-增加'!F:F,0)</f>
        <v>0</v>
      </c>
      <c r="I166" s="55">
        <f>_xlfn.XLOOKUP(E166,'③新店考核-B-a-②呈现-业绩明细表-③'!B:B,'③新店考核-B-a-②呈现-业绩明细表-③'!E:E,0)</f>
        <v>0</v>
      </c>
      <c r="J166" s="54">
        <f>_xlfn.XLOOKUP(E166,'③新店考核-B-a-②呈现-业绩明细表-③'!B:B,'③新店考核-B-a-②呈现-业绩明细表-③'!F:F,0)</f>
        <v>0</v>
      </c>
      <c r="K166" s="55">
        <f>IF(H166="新店一阶段",LOOKUP(I166,'②提成标准-B-a-①-增加'!$M$9:$M$12,'②提成标准-B-a-①-增加'!$O$9:$O$12),0)</f>
        <v>0</v>
      </c>
      <c r="L166" s="56">
        <f t="shared" si="33"/>
        <v>3799.5</v>
      </c>
      <c r="M166" s="57">
        <f>_xlfn.XLOOKUP(E166,'③新店考核-B-a-②呈现-业绩明细表-③'!B:B,'③新店考核-B-a-②呈现-业绩明细表-③'!G:G,0)</f>
        <v>0</v>
      </c>
      <c r="N166" s="58" t="str">
        <f>LOOKUP(M166,'②提成标准-B-a-①-增加'!$M$1:$M$4,'②提成标准-B-a-①-增加'!$O$1:$O$4)</f>
        <v>同老店</v>
      </c>
      <c r="O166" s="57">
        <f>_xlfn.XLOOKUP(E166,'③新店考核-B-a-②呈现-业绩明细表-③'!B:B,'③新店考核-B-a-②呈现-业绩明细表-③'!H:H,0)</f>
        <v>0</v>
      </c>
      <c r="P166" s="57">
        <f t="shared" si="34"/>
        <v>3799.5</v>
      </c>
      <c r="Q166" s="53">
        <f>_xlfn.XLOOKUP(E166,'④考勤-B-a-26考勤汇总表'!D:D,'④考勤-B-a-26考勤汇总表'!AP:AP,0)</f>
        <v>0</v>
      </c>
      <c r="R166" s="53" t="str">
        <f t="shared" si="43"/>
        <v/>
      </c>
      <c r="S166" s="53">
        <f t="shared" si="36"/>
        <v>7199.5</v>
      </c>
      <c r="T166" s="53">
        <v>3799.5</v>
      </c>
      <c r="U166" s="53">
        <v>3400</v>
      </c>
      <c r="V166" s="53">
        <v>0</v>
      </c>
      <c r="W166" s="53">
        <f>_xlfn.XLOOKUP(E166,'⑤项目数-B-a-③消耗明细表'!C:C,'⑤项目数-B-a-③消耗明细表'!E:E,0)</f>
        <v>0</v>
      </c>
      <c r="X166" s="53">
        <f>_xlfn.XLOOKUP(E166,'⑤项目数-B-a-③消耗明细表'!C:C,'⑤项目数-B-a-③消耗明细表'!D:D,0)</f>
        <v>0</v>
      </c>
      <c r="Y166" s="53">
        <f>_xlfn.XLOOKUP(E166,'⑤项目数-B-a-③消耗明细表'!C:C,'⑤项目数-B-a-③消耗明细表'!F:F,0)</f>
        <v>0</v>
      </c>
      <c r="Z166" s="53">
        <f>_xlfn.XLOOKUP(E166,'⑤项目数-B-a-③消耗明细表'!C:C,'⑤项目数-B-a-③消耗明细表'!G:G,0)</f>
        <v>0</v>
      </c>
      <c r="AA166" s="84">
        <f t="shared" ref="AA166:AA193" si="46">IF(G166="新店","新店",IF(C166="单人","单人",IF(OR(C166="T区",C166="单人",G166="新店"),"不属于战队",1)))</f>
        <v>1</v>
      </c>
      <c r="AB166" s="84">
        <f t="shared" ref="AB166:AB193" si="47">IF(AA166=1,IF(Q166&gt;=20,1,0),0)</f>
        <v>0</v>
      </c>
      <c r="AC166" s="53">
        <f>_xlfn.XLOOKUP(F166,'⑥战队统计表-B-a-②呈现-业绩明细表④'!A:A,'⑥战队统计表-B-a-②呈现-业绩明细表④'!B:B,0)</f>
        <v>0</v>
      </c>
      <c r="AD166" s="53">
        <f t="shared" si="37"/>
        <v>1</v>
      </c>
      <c r="AE166" s="59">
        <f>IF(AD166="",_xlfn.XLOOKUP(F166,'⑥战队统计表-B-a-②呈现-业绩明细表④'!A:A,'⑥战队统计表-B-a-②呈现-业绩明细表④'!D:D,0),0)</f>
        <v>0</v>
      </c>
      <c r="AF166" s="85">
        <f>IF(AND(E166="T区",E166="门店T区"),"",IF(AD166="",0,IF(R166="",LOOKUP(S166,'②提成标准-B-a-①-增加'!$B$16:$B$20,'②提成标准-B-a-①-增加'!$D$16:$D$20),LOOKUP(S166/Q166,'②提成标准-B-a-①-增加'!$B$23:$B$27,'②提成标准-B-a-①-增加'!$D$23:$D$27))))</f>
        <v>0</v>
      </c>
      <c r="AG166" s="85">
        <f t="shared" si="35"/>
        <v>0</v>
      </c>
      <c r="AH166" s="60">
        <f t="shared" si="44"/>
        <v>0</v>
      </c>
      <c r="AI166" s="86">
        <f t="shared" si="45"/>
        <v>0</v>
      </c>
      <c r="AJ166" s="60">
        <f t="shared" si="38"/>
        <v>0</v>
      </c>
      <c r="AK166" s="87">
        <f>IF(AB166=1,IFERROR(S166/VLOOKUP(F166,'⑥战队统计表-B-a-②呈现-业绩明细表④'!A:C,3,0),0),0)</f>
        <v>0</v>
      </c>
      <c r="AL166" s="85" t="str">
        <f t="shared" si="41"/>
        <v/>
      </c>
      <c r="AM166" s="53" t="str">
        <f>IF(D166="顾问",_xlfn.XLOOKUP(F166,'⑥战队统计表-B-a-②呈现-业绩明细表④'!A:A,'⑥战队统计表-B-a-②呈现-业绩明细表④'!H:H,0),"")</f>
        <v/>
      </c>
      <c r="AN166" s="53" t="str">
        <f t="shared" ref="AN166:AN193" si="48">IF(AND(AB166=1,AD166&lt;&gt;1),F166,"单人")</f>
        <v>单人</v>
      </c>
    </row>
    <row r="167" spans="1:40" hidden="1" x14ac:dyDescent="0.15">
      <c r="A167" s="79" t="s">
        <v>428</v>
      </c>
      <c r="B167" s="80" t="s">
        <v>184</v>
      </c>
      <c r="C167" s="81" t="s">
        <v>185</v>
      </c>
      <c r="D167" s="82" t="s">
        <v>32</v>
      </c>
      <c r="E167" s="82" t="s">
        <v>186</v>
      </c>
      <c r="F167" s="53" t="str">
        <f t="shared" si="32"/>
        <v>南湖+招财队</v>
      </c>
      <c r="G167" s="53">
        <f>IFERROR(_xlfn.XLOOKUP(B167,'①门店信息-A-a-①-增加'!B:B,'①门店信息-A-a-①-增加'!E:E,0),"")</f>
        <v>0</v>
      </c>
      <c r="H167" s="54">
        <f>_xlfn.XLOOKUP(B167,'①门店信息-A-a-①-增加'!B:B,'①门店信息-A-a-①-增加'!F:F,0)</f>
        <v>0</v>
      </c>
      <c r="I167" s="55">
        <f>_xlfn.XLOOKUP(E167,'③新店考核-B-a-②呈现-业绩明细表-③'!B:B,'③新店考核-B-a-②呈现-业绩明细表-③'!E:E,0)</f>
        <v>0</v>
      </c>
      <c r="J167" s="54">
        <f>_xlfn.XLOOKUP(E167,'③新店考核-B-a-②呈现-业绩明细表-③'!B:B,'③新店考核-B-a-②呈现-业绩明细表-③'!F:F,0)</f>
        <v>0</v>
      </c>
      <c r="K167" s="55">
        <f>IF(H167="新店一阶段",LOOKUP(I167,'②提成标准-B-a-①-增加'!$M$9:$M$12,'②提成标准-B-a-①-增加'!$O$9:$O$12),0)</f>
        <v>0</v>
      </c>
      <c r="L167" s="56">
        <f t="shared" si="33"/>
        <v>37500.1</v>
      </c>
      <c r="M167" s="57">
        <f>_xlfn.XLOOKUP(E167,'③新店考核-B-a-②呈现-业绩明细表-③'!B:B,'③新店考核-B-a-②呈现-业绩明细表-③'!G:G,0)</f>
        <v>0</v>
      </c>
      <c r="N167" s="58" t="str">
        <f>LOOKUP(M167,'②提成标准-B-a-①-增加'!$M$1:$M$4,'②提成标准-B-a-①-增加'!$O$1:$O$4)</f>
        <v>同老店</v>
      </c>
      <c r="O167" s="57">
        <f>_xlfn.XLOOKUP(E167,'③新店考核-B-a-②呈现-业绩明细表-③'!B:B,'③新店考核-B-a-②呈现-业绩明细表-③'!H:H,0)</f>
        <v>0</v>
      </c>
      <c r="P167" s="57">
        <f t="shared" si="34"/>
        <v>37500.1</v>
      </c>
      <c r="Q167" s="53">
        <f>_xlfn.XLOOKUP(E167,'④考勤-B-a-26考勤汇总表'!D:D,'④考勤-B-a-26考勤汇总表'!AP:AP,0)</f>
        <v>31</v>
      </c>
      <c r="R167" s="53" t="str">
        <f t="shared" si="43"/>
        <v/>
      </c>
      <c r="S167" s="53">
        <f t="shared" si="36"/>
        <v>25000.1</v>
      </c>
      <c r="T167" s="53">
        <v>37500.1</v>
      </c>
      <c r="U167" s="53">
        <v>-12500</v>
      </c>
      <c r="V167" s="53">
        <v>0</v>
      </c>
      <c r="W167" s="53">
        <f>_xlfn.XLOOKUP(E167,'⑤项目数-B-a-③消耗明细表'!C:C,'⑤项目数-B-a-③消耗明细表'!E:E,0)</f>
        <v>20521.48</v>
      </c>
      <c r="X167" s="53">
        <f>_xlfn.XLOOKUP(E167,'⑤项目数-B-a-③消耗明细表'!C:C,'⑤项目数-B-a-③消耗明细表'!D:D,0)</f>
        <v>121</v>
      </c>
      <c r="Y167" s="53">
        <f>_xlfn.XLOOKUP(E167,'⑤项目数-B-a-③消耗明细表'!C:C,'⑤项目数-B-a-③消耗明细表'!F:F,0)</f>
        <v>1662</v>
      </c>
      <c r="Z167" s="53">
        <f>_xlfn.XLOOKUP(E167,'⑤项目数-B-a-③消耗明细表'!C:C,'⑤项目数-B-a-③消耗明细表'!G:G,0)</f>
        <v>245</v>
      </c>
      <c r="AA167" s="84">
        <f t="shared" si="46"/>
        <v>1</v>
      </c>
      <c r="AB167" s="84">
        <f t="shared" si="47"/>
        <v>1</v>
      </c>
      <c r="AC167" s="53">
        <f>_xlfn.XLOOKUP(F167,'⑥战队统计表-B-a-②呈现-业绩明细表④'!A:A,'⑥战队统计表-B-a-②呈现-业绩明细表④'!B:B,0)</f>
        <v>2</v>
      </c>
      <c r="AD167" s="53" t="str">
        <f t="shared" si="37"/>
        <v/>
      </c>
      <c r="AE167" s="59">
        <f>IF(AD167="",_xlfn.XLOOKUP(F167,'⑥战队统计表-B-a-②呈现-业绩明细表④'!A:A,'⑥战队统计表-B-a-②呈现-业绩明细表④'!D:D,0),0)</f>
        <v>0.04</v>
      </c>
      <c r="AF167" s="85">
        <f>IF(AND(E167="T区",E167="门店T区"),"",IF(AD167="",0,IF(R167="",LOOKUP(S167,'②提成标准-B-a-①-增加'!$B$16:$B$20,'②提成标准-B-a-①-增加'!$D$16:$D$20),LOOKUP(S167/Q167,'②提成标准-B-a-①-增加'!$B$23:$B$27,'②提成标准-B-a-①-增加'!$D$23:$D$27))))</f>
        <v>0</v>
      </c>
      <c r="AG167" s="85">
        <f t="shared" si="35"/>
        <v>0.04</v>
      </c>
      <c r="AH167" s="60">
        <f t="shared" si="44"/>
        <v>1425.0038</v>
      </c>
      <c r="AI167" s="86">
        <f t="shared" si="45"/>
        <v>-308.75</v>
      </c>
      <c r="AJ167" s="60">
        <f t="shared" si="38"/>
        <v>1116.2538</v>
      </c>
      <c r="AK167" s="87">
        <f>IF(AB167=1,IFERROR(S167/VLOOKUP(F167,'⑥战队统计表-B-a-②呈现-业绩明细表④'!A:C,3,0),0),0)</f>
        <v>0.43044249311294763</v>
      </c>
      <c r="AL167" s="85">
        <f t="shared" si="41"/>
        <v>0.56955750688705231</v>
      </c>
      <c r="AM167" s="53">
        <f>IF(D167="顾问",_xlfn.XLOOKUP(F167,'⑥战队统计表-B-a-②呈现-业绩明细表④'!A:A,'⑥战队统计表-B-a-②呈现-业绩明细表④'!H:H,0),"")</f>
        <v>0</v>
      </c>
      <c r="AN167" s="53" t="str">
        <f t="shared" si="48"/>
        <v>南湖+招财队</v>
      </c>
    </row>
    <row r="168" spans="1:40" hidden="1" x14ac:dyDescent="0.15">
      <c r="A168" s="79" t="s">
        <v>428</v>
      </c>
      <c r="B168" s="80" t="s">
        <v>184</v>
      </c>
      <c r="C168" s="81" t="s">
        <v>185</v>
      </c>
      <c r="D168" s="82" t="s">
        <v>6</v>
      </c>
      <c r="E168" s="82" t="s">
        <v>187</v>
      </c>
      <c r="F168" s="53" t="str">
        <f t="shared" si="32"/>
        <v>南湖+招财队</v>
      </c>
      <c r="G168" s="53">
        <f>IFERROR(_xlfn.XLOOKUP(B168,'①门店信息-A-a-①-增加'!B:B,'①门店信息-A-a-①-增加'!E:E,0),"")</f>
        <v>0</v>
      </c>
      <c r="H168" s="54">
        <f>_xlfn.XLOOKUP(B168,'①门店信息-A-a-①-增加'!B:B,'①门店信息-A-a-①-增加'!F:F,0)</f>
        <v>0</v>
      </c>
      <c r="I168" s="55">
        <f>_xlfn.XLOOKUP(E168,'③新店考核-B-a-②呈现-业绩明细表-③'!B:B,'③新店考核-B-a-②呈现-业绩明细表-③'!E:E,0)</f>
        <v>0</v>
      </c>
      <c r="J168" s="54">
        <f>_xlfn.XLOOKUP(E168,'③新店考核-B-a-②呈现-业绩明细表-③'!B:B,'③新店考核-B-a-②呈现-业绩明细表-③'!F:F,0)</f>
        <v>0</v>
      </c>
      <c r="K168" s="55">
        <f>IF(H168="新店一阶段",LOOKUP(I168,'②提成标准-B-a-①-增加'!$M$9:$M$12,'②提成标准-B-a-①-增加'!$O$9:$O$12),0)</f>
        <v>0</v>
      </c>
      <c r="L168" s="56">
        <f t="shared" si="33"/>
        <v>17513.900000000001</v>
      </c>
      <c r="M168" s="57">
        <f>_xlfn.XLOOKUP(E168,'③新店考核-B-a-②呈现-业绩明细表-③'!B:B,'③新店考核-B-a-②呈现-业绩明细表-③'!G:G,0)</f>
        <v>0</v>
      </c>
      <c r="N168" s="58" t="str">
        <f>LOOKUP(M168,'②提成标准-B-a-①-增加'!$M$1:$M$4,'②提成标准-B-a-①-增加'!$O$1:$O$4)</f>
        <v>同老店</v>
      </c>
      <c r="O168" s="57">
        <f>_xlfn.XLOOKUP(E168,'③新店考核-B-a-②呈现-业绩明细表-③'!B:B,'③新店考核-B-a-②呈现-业绩明细表-③'!H:H,0)</f>
        <v>0</v>
      </c>
      <c r="P168" s="57">
        <f t="shared" si="34"/>
        <v>17513.900000000001</v>
      </c>
      <c r="Q168" s="53">
        <f>_xlfn.XLOOKUP(E168,'④考勤-B-a-26考勤汇总表'!D:D,'④考勤-B-a-26考勤汇总表'!AP:AP,0)</f>
        <v>31</v>
      </c>
      <c r="R168" s="53" t="str">
        <f t="shared" si="43"/>
        <v/>
      </c>
      <c r="S168" s="53">
        <f t="shared" si="36"/>
        <v>33079.9</v>
      </c>
      <c r="T168" s="53">
        <v>17513.900000000001</v>
      </c>
      <c r="U168" s="53">
        <v>14900</v>
      </c>
      <c r="V168" s="53">
        <v>666</v>
      </c>
      <c r="W168" s="53">
        <f>_xlfn.XLOOKUP(E168,'⑤项目数-B-a-③消耗明细表'!C:C,'⑤项目数-B-a-③消耗明细表'!E:E,0)</f>
        <v>9635.01</v>
      </c>
      <c r="X168" s="53">
        <f>_xlfn.XLOOKUP(E168,'⑤项目数-B-a-③消耗明细表'!C:C,'⑤项目数-B-a-③消耗明细表'!D:D,0)</f>
        <v>106</v>
      </c>
      <c r="Y168" s="53">
        <f>_xlfn.XLOOKUP(E168,'⑤项目数-B-a-③消耗明细表'!C:C,'⑤项目数-B-a-③消耗明细表'!F:F,0)</f>
        <v>1748</v>
      </c>
      <c r="Z168" s="53">
        <f>_xlfn.XLOOKUP(E168,'⑤项目数-B-a-③消耗明细表'!C:C,'⑤项目数-B-a-③消耗明细表'!G:G,0)</f>
        <v>217.5</v>
      </c>
      <c r="AA168" s="84">
        <f t="shared" si="46"/>
        <v>1</v>
      </c>
      <c r="AB168" s="84">
        <f t="shared" si="47"/>
        <v>1</v>
      </c>
      <c r="AC168" s="53">
        <f>_xlfn.XLOOKUP(F168,'⑥战队统计表-B-a-②呈现-业绩明细表④'!A:A,'⑥战队统计表-B-a-②呈现-业绩明细表④'!B:B,0)</f>
        <v>2</v>
      </c>
      <c r="AD168" s="53" t="str">
        <f t="shared" si="37"/>
        <v/>
      </c>
      <c r="AE168" s="59">
        <f>IF(AD168="",_xlfn.XLOOKUP(F168,'⑥战队统计表-B-a-②呈现-业绩明细表④'!A:A,'⑥战队统计表-B-a-②呈现-业绩明细表④'!D:D,0),0)</f>
        <v>0.04</v>
      </c>
      <c r="AF168" s="85">
        <f>IF(AND(E168="T区",E168="门店T区"),"",IF(AD168="",0,IF(R168="",LOOKUP(S168,'②提成标准-B-a-①-增加'!$B$16:$B$20,'②提成标准-B-a-①-增加'!$D$16:$D$20),LOOKUP(S168/Q168,'②提成标准-B-a-①-增加'!$B$23:$B$27,'②提成标准-B-a-①-增加'!$D$23:$D$27))))</f>
        <v>0</v>
      </c>
      <c r="AG168" s="85">
        <f t="shared" si="35"/>
        <v>0.04</v>
      </c>
      <c r="AH168" s="60">
        <f t="shared" si="44"/>
        <v>665.52819999999997</v>
      </c>
      <c r="AI168" s="86">
        <f t="shared" si="45"/>
        <v>368.03</v>
      </c>
      <c r="AJ168" s="60">
        <f t="shared" si="38"/>
        <v>1033.5581999999999</v>
      </c>
      <c r="AK168" s="87">
        <f>IF(AB168=1,IFERROR(S168/VLOOKUP(F168,'⑥战队统计表-B-a-②呈现-业绩明细表④'!A:C,3,0),0),0)</f>
        <v>0.56955750688705231</v>
      </c>
      <c r="AL168" s="85" t="str">
        <f t="shared" si="41"/>
        <v/>
      </c>
      <c r="AM168" s="53" t="str">
        <f>IF(D168="顾问",_xlfn.XLOOKUP(F168,'⑥战队统计表-B-a-②呈现-业绩明细表④'!A:A,'⑥战队统计表-B-a-②呈现-业绩明细表④'!H:H,0),"")</f>
        <v/>
      </c>
      <c r="AN168" s="53" t="str">
        <f t="shared" si="48"/>
        <v>南湖+招财队</v>
      </c>
    </row>
    <row r="169" spans="1:40" hidden="1" x14ac:dyDescent="0.15">
      <c r="A169" s="79" t="s">
        <v>428</v>
      </c>
      <c r="B169" s="80" t="s">
        <v>184</v>
      </c>
      <c r="C169" s="81" t="s">
        <v>36</v>
      </c>
      <c r="D169" s="82" t="s">
        <v>36</v>
      </c>
      <c r="E169" s="82" t="s">
        <v>36</v>
      </c>
      <c r="F169" s="53" t="str">
        <f t="shared" si="32"/>
        <v>南湖+T区</v>
      </c>
      <c r="G169" s="53">
        <f>IFERROR(_xlfn.XLOOKUP(B169,'①门店信息-A-a-①-增加'!B:B,'①门店信息-A-a-①-增加'!E:E,0),"")</f>
        <v>0</v>
      </c>
      <c r="H169" s="54">
        <f>_xlfn.XLOOKUP(B169,'①门店信息-A-a-①-增加'!B:B,'①门店信息-A-a-①-增加'!F:F,0)</f>
        <v>0</v>
      </c>
      <c r="I169" s="55">
        <f>_xlfn.XLOOKUP(E169,'③新店考核-B-a-②呈现-业绩明细表-③'!B:B,'③新店考核-B-a-②呈现-业绩明细表-③'!E:E,0)</f>
        <v>0</v>
      </c>
      <c r="J169" s="54">
        <f>_xlfn.XLOOKUP(E169,'③新店考核-B-a-②呈现-业绩明细表-③'!B:B,'③新店考核-B-a-②呈现-业绩明细表-③'!F:F,0)</f>
        <v>0</v>
      </c>
      <c r="K169" s="55">
        <f>IF(H169="新店一阶段",LOOKUP(I169,'②提成标准-B-a-①-增加'!$M$9:$M$12,'②提成标准-B-a-①-增加'!$O$9:$O$12),0)</f>
        <v>0</v>
      </c>
      <c r="L169" s="56">
        <f t="shared" si="33"/>
        <v>0</v>
      </c>
      <c r="M169" s="57">
        <f>_xlfn.XLOOKUP(E169,'③新店考核-B-a-②呈现-业绩明细表-③'!B:B,'③新店考核-B-a-②呈现-业绩明细表-③'!G:G,0)</f>
        <v>0</v>
      </c>
      <c r="N169" s="58" t="str">
        <f>LOOKUP(M169,'②提成标准-B-a-①-增加'!$M$1:$M$4,'②提成标准-B-a-①-增加'!$O$1:$O$4)</f>
        <v>同老店</v>
      </c>
      <c r="O169" s="57">
        <f>_xlfn.XLOOKUP(E169,'③新店考核-B-a-②呈现-业绩明细表-③'!B:B,'③新店考核-B-a-②呈现-业绩明细表-③'!H:H,0)</f>
        <v>0</v>
      </c>
      <c r="P169" s="57">
        <f t="shared" si="34"/>
        <v>0</v>
      </c>
      <c r="Q169" s="53">
        <f>_xlfn.XLOOKUP(E169,'④考勤-B-a-26考勤汇总表'!D:D,'④考勤-B-a-26考勤汇总表'!AP:AP,0)</f>
        <v>0</v>
      </c>
      <c r="R169" s="53" t="str">
        <f t="shared" si="43"/>
        <v/>
      </c>
      <c r="S169" s="53">
        <f t="shared" si="36"/>
        <v>0</v>
      </c>
      <c r="T169" s="53">
        <v>0</v>
      </c>
      <c r="U169" s="53">
        <v>0</v>
      </c>
      <c r="V169" s="53">
        <v>0</v>
      </c>
      <c r="W169" s="53">
        <f>_xlfn.XLOOKUP(E169,'⑤项目数-B-a-③消耗明细表'!C:C,'⑤项目数-B-a-③消耗明细表'!E:E,0)</f>
        <v>0</v>
      </c>
      <c r="X169" s="53">
        <f>_xlfn.XLOOKUP(E169,'⑤项目数-B-a-③消耗明细表'!C:C,'⑤项目数-B-a-③消耗明细表'!D:D,0)</f>
        <v>0</v>
      </c>
      <c r="Y169" s="53">
        <f>_xlfn.XLOOKUP(E169,'⑤项目数-B-a-③消耗明细表'!C:C,'⑤项目数-B-a-③消耗明细表'!F:F,0)</f>
        <v>0</v>
      </c>
      <c r="Z169" s="53">
        <f>_xlfn.XLOOKUP(E169,'⑤项目数-B-a-③消耗明细表'!C:C,'⑤项目数-B-a-③消耗明细表'!G:G,0)</f>
        <v>0</v>
      </c>
      <c r="AA169" s="84" t="str">
        <f t="shared" si="46"/>
        <v>不属于战队</v>
      </c>
      <c r="AB169" s="84">
        <f t="shared" si="47"/>
        <v>0</v>
      </c>
      <c r="AC169" s="53">
        <f>_xlfn.XLOOKUP(F169,'⑥战队统计表-B-a-②呈现-业绩明细表④'!A:A,'⑥战队统计表-B-a-②呈现-业绩明细表④'!B:B,0)</f>
        <v>0</v>
      </c>
      <c r="AD169" s="53">
        <f t="shared" si="37"/>
        <v>1</v>
      </c>
      <c r="AE169" s="59">
        <f>IF(AD169="",_xlfn.XLOOKUP(F169,'⑥战队统计表-B-a-②呈现-业绩明细表④'!A:A,'⑥战队统计表-B-a-②呈现-业绩明细表④'!D:D,0),0)</f>
        <v>0</v>
      </c>
      <c r="AF169" s="85">
        <f>IF(AND(E169="T区",E169="门店T区"),"",IF(AD169="",0,IF(R169="",LOOKUP(S169,'②提成标准-B-a-①-增加'!$B$16:$B$20,'②提成标准-B-a-①-增加'!$D$16:$D$20),LOOKUP(S169/Q169,'②提成标准-B-a-①-增加'!$B$23:$B$27,'②提成标准-B-a-①-增加'!$D$23:$D$27))))</f>
        <v>0</v>
      </c>
      <c r="AG169" s="85">
        <f t="shared" si="35"/>
        <v>0</v>
      </c>
      <c r="AH169" s="60">
        <f t="shared" si="44"/>
        <v>0</v>
      </c>
      <c r="AI169" s="86">
        <f t="shared" si="45"/>
        <v>0</v>
      </c>
      <c r="AJ169" s="60">
        <f t="shared" si="38"/>
        <v>0</v>
      </c>
      <c r="AK169" s="87">
        <f>IF(AB169=1,IFERROR(S169/VLOOKUP(F169,'⑥战队统计表-B-a-②呈现-业绩明细表④'!A:C,3,0),0),0)</f>
        <v>0</v>
      </c>
      <c r="AL169" s="85" t="str">
        <f t="shared" si="41"/>
        <v/>
      </c>
      <c r="AM169" s="53" t="str">
        <f>IF(D169="顾问",_xlfn.XLOOKUP(F169,'⑥战队统计表-B-a-②呈现-业绩明细表④'!A:A,'⑥战队统计表-B-a-②呈现-业绩明细表④'!H:H,0),"")</f>
        <v/>
      </c>
      <c r="AN169" s="53" t="str">
        <f t="shared" si="48"/>
        <v>单人</v>
      </c>
    </row>
    <row r="170" spans="1:40" hidden="1" x14ac:dyDescent="0.15">
      <c r="A170" s="79" t="s">
        <v>428</v>
      </c>
      <c r="B170" s="80" t="s">
        <v>184</v>
      </c>
      <c r="C170" s="81" t="s">
        <v>188</v>
      </c>
      <c r="D170" s="82" t="s">
        <v>32</v>
      </c>
      <c r="E170" s="82" t="s">
        <v>189</v>
      </c>
      <c r="F170" s="53" t="str">
        <f t="shared" si="32"/>
        <v>南湖+进宝队</v>
      </c>
      <c r="G170" s="53">
        <f>IFERROR(_xlfn.XLOOKUP(B170,'①门店信息-A-a-①-增加'!B:B,'①门店信息-A-a-①-增加'!E:E,0),"")</f>
        <v>0</v>
      </c>
      <c r="H170" s="54">
        <f>_xlfn.XLOOKUP(B170,'①门店信息-A-a-①-增加'!B:B,'①门店信息-A-a-①-增加'!F:F,0)</f>
        <v>0</v>
      </c>
      <c r="I170" s="55">
        <f>_xlfn.XLOOKUP(E170,'③新店考核-B-a-②呈现-业绩明细表-③'!B:B,'③新店考核-B-a-②呈现-业绩明细表-③'!E:E,0)</f>
        <v>0</v>
      </c>
      <c r="J170" s="54">
        <f>_xlfn.XLOOKUP(E170,'③新店考核-B-a-②呈现-业绩明细表-③'!B:B,'③新店考核-B-a-②呈现-业绩明细表-③'!F:F,0)</f>
        <v>0</v>
      </c>
      <c r="K170" s="55">
        <f>IF(H170="新店一阶段",LOOKUP(I170,'②提成标准-B-a-①-增加'!$M$9:$M$12,'②提成标准-B-a-①-增加'!$O$9:$O$12),0)</f>
        <v>0</v>
      </c>
      <c r="L170" s="56">
        <f t="shared" si="33"/>
        <v>39297.199999999997</v>
      </c>
      <c r="M170" s="57">
        <f>_xlfn.XLOOKUP(E170,'③新店考核-B-a-②呈现-业绩明细表-③'!B:B,'③新店考核-B-a-②呈现-业绩明细表-③'!G:G,0)</f>
        <v>0</v>
      </c>
      <c r="N170" s="58" t="str">
        <f>LOOKUP(M170,'②提成标准-B-a-①-增加'!$M$1:$M$4,'②提成标准-B-a-①-增加'!$O$1:$O$4)</f>
        <v>同老店</v>
      </c>
      <c r="O170" s="57">
        <f>_xlfn.XLOOKUP(E170,'③新店考核-B-a-②呈现-业绩明细表-③'!B:B,'③新店考核-B-a-②呈现-业绩明细表-③'!H:H,0)</f>
        <v>0</v>
      </c>
      <c r="P170" s="57">
        <f t="shared" si="34"/>
        <v>39297.199999999997</v>
      </c>
      <c r="Q170" s="53">
        <f>_xlfn.XLOOKUP(E170,'④考勤-B-a-26考勤汇总表'!D:D,'④考勤-B-a-26考勤汇总表'!AP:AP,0)</f>
        <v>31</v>
      </c>
      <c r="R170" s="53" t="str">
        <f t="shared" si="43"/>
        <v/>
      </c>
      <c r="S170" s="53">
        <f t="shared" si="36"/>
        <v>63805.2</v>
      </c>
      <c r="T170" s="53">
        <v>39297.199999999997</v>
      </c>
      <c r="U170" s="53">
        <v>23620</v>
      </c>
      <c r="V170" s="53">
        <v>888</v>
      </c>
      <c r="W170" s="53">
        <f>_xlfn.XLOOKUP(E170,'⑤项目数-B-a-③消耗明细表'!C:C,'⑤项目数-B-a-③消耗明细表'!E:E,0)</f>
        <v>14073.36</v>
      </c>
      <c r="X170" s="53">
        <f>_xlfn.XLOOKUP(E170,'⑤项目数-B-a-③消耗明细表'!C:C,'⑤项目数-B-a-③消耗明细表'!D:D,0)</f>
        <v>100</v>
      </c>
      <c r="Y170" s="53">
        <f>_xlfn.XLOOKUP(E170,'⑤项目数-B-a-③消耗明细表'!C:C,'⑤项目数-B-a-③消耗明细表'!F:F,0)</f>
        <v>854</v>
      </c>
      <c r="Z170" s="53">
        <f>_xlfn.XLOOKUP(E170,'⑤项目数-B-a-③消耗明细表'!C:C,'⑤项目数-B-a-③消耗明细表'!G:G,0)</f>
        <v>0</v>
      </c>
      <c r="AA170" s="84">
        <f t="shared" si="46"/>
        <v>1</v>
      </c>
      <c r="AB170" s="84">
        <f t="shared" si="47"/>
        <v>1</v>
      </c>
      <c r="AC170" s="53">
        <f>_xlfn.XLOOKUP(F170,'⑥战队统计表-B-a-②呈现-业绩明细表④'!A:A,'⑥战队统计表-B-a-②呈现-业绩明细表④'!B:B,0)</f>
        <v>3</v>
      </c>
      <c r="AD170" s="53" t="str">
        <f t="shared" si="37"/>
        <v/>
      </c>
      <c r="AE170" s="59">
        <f>IF(AD170="",_xlfn.XLOOKUP(F170,'⑥战队统计表-B-a-②呈现-业绩明细表④'!A:A,'⑥战队统计表-B-a-②呈现-业绩明细表④'!D:D,0),0)</f>
        <v>0.04</v>
      </c>
      <c r="AF170" s="85">
        <f>IF(AND(E170="T区",E170="门店T区"),"",IF(AD170="",0,IF(R170="",LOOKUP(S170,'②提成标准-B-a-①-增加'!$B$16:$B$20,'②提成标准-B-a-①-增加'!$D$16:$D$20),LOOKUP(S170/Q170,'②提成标准-B-a-①-增加'!$B$23:$B$27,'②提成标准-B-a-①-增加'!$D$23:$D$27))))</f>
        <v>0</v>
      </c>
      <c r="AG170" s="85">
        <f t="shared" si="35"/>
        <v>0.04</v>
      </c>
      <c r="AH170" s="60">
        <f t="shared" si="44"/>
        <v>1493.2935999999997</v>
      </c>
      <c r="AI170" s="86">
        <f t="shared" si="45"/>
        <v>583.4140000000001</v>
      </c>
      <c r="AJ170" s="60">
        <f t="shared" si="38"/>
        <v>2076.7075999999997</v>
      </c>
      <c r="AK170" s="87">
        <f>IF(AB170=1,IFERROR(S170/VLOOKUP(F170,'⑥战队统计表-B-a-②呈现-业绩明细表④'!A:C,3,0),0),0)</f>
        <v>0.79316294565163337</v>
      </c>
      <c r="AL170" s="85">
        <f t="shared" si="41"/>
        <v>0.20683705434836658</v>
      </c>
      <c r="AM170" s="53">
        <f>IF(D170="顾问",_xlfn.XLOOKUP(F170,'⑥战队统计表-B-a-②呈现-业绩明细表④'!A:A,'⑥战队统计表-B-a-②呈现-业绩明细表④'!H:H,0),"")</f>
        <v>0</v>
      </c>
      <c r="AN170" s="53" t="str">
        <f t="shared" si="48"/>
        <v>南湖+进宝队</v>
      </c>
    </row>
    <row r="171" spans="1:40" hidden="1" x14ac:dyDescent="0.15">
      <c r="A171" s="79" t="s">
        <v>428</v>
      </c>
      <c r="B171" s="80" t="s">
        <v>184</v>
      </c>
      <c r="C171" s="89" t="s">
        <v>188</v>
      </c>
      <c r="D171" s="90" t="s">
        <v>6</v>
      </c>
      <c r="E171" s="90" t="s">
        <v>190</v>
      </c>
      <c r="F171" s="53" t="str">
        <f t="shared" si="32"/>
        <v>南湖+进宝队</v>
      </c>
      <c r="G171" s="53">
        <f>IFERROR(_xlfn.XLOOKUP(B171,'①门店信息-A-a-①-增加'!B:B,'①门店信息-A-a-①-增加'!E:E,0),"")</f>
        <v>0</v>
      </c>
      <c r="H171" s="54">
        <f>_xlfn.XLOOKUP(B171,'①门店信息-A-a-①-增加'!B:B,'①门店信息-A-a-①-增加'!F:F,0)</f>
        <v>0</v>
      </c>
      <c r="I171" s="55">
        <f>_xlfn.XLOOKUP(E171,'③新店考核-B-a-②呈现-业绩明细表-③'!B:B,'③新店考核-B-a-②呈现-业绩明细表-③'!E:E,0)</f>
        <v>0</v>
      </c>
      <c r="J171" s="54">
        <f>_xlfn.XLOOKUP(E171,'③新店考核-B-a-②呈现-业绩明细表-③'!B:B,'③新店考核-B-a-②呈现-业绩明细表-③'!F:F,0)</f>
        <v>0</v>
      </c>
      <c r="K171" s="55">
        <f>IF(H171="新店一阶段",LOOKUP(I171,'②提成标准-B-a-①-增加'!$M$9:$M$12,'②提成标准-B-a-①-增加'!$O$9:$O$12),0)</f>
        <v>0</v>
      </c>
      <c r="L171" s="56">
        <f t="shared" si="33"/>
        <v>16533.400000000001</v>
      </c>
      <c r="M171" s="57">
        <f>_xlfn.XLOOKUP(E171,'③新店考核-B-a-②呈现-业绩明细表-③'!B:B,'③新店考核-B-a-②呈现-业绩明细表-③'!G:G,0)</f>
        <v>0</v>
      </c>
      <c r="N171" s="58" t="str">
        <f>LOOKUP(M171,'②提成标准-B-a-①-增加'!$M$1:$M$4,'②提成标准-B-a-①-增加'!$O$1:$O$4)</f>
        <v>同老店</v>
      </c>
      <c r="O171" s="57">
        <f>_xlfn.XLOOKUP(E171,'③新店考核-B-a-②呈现-业绩明细表-③'!B:B,'③新店考核-B-a-②呈现-业绩明细表-③'!H:H,0)</f>
        <v>0</v>
      </c>
      <c r="P171" s="57">
        <f t="shared" si="34"/>
        <v>16533.400000000001</v>
      </c>
      <c r="Q171" s="53">
        <f>_xlfn.XLOOKUP(E171,'④考勤-B-a-26考勤汇总表'!D:D,'④考勤-B-a-26考勤汇总表'!AP:AP,0)</f>
        <v>31</v>
      </c>
      <c r="R171" s="53" t="str">
        <f t="shared" si="43"/>
        <v/>
      </c>
      <c r="S171" s="53">
        <f t="shared" si="36"/>
        <v>6753.4000000000015</v>
      </c>
      <c r="T171" s="53">
        <v>16533.400000000001</v>
      </c>
      <c r="U171" s="53">
        <v>-9780</v>
      </c>
      <c r="V171" s="53">
        <v>0</v>
      </c>
      <c r="W171" s="53">
        <f>_xlfn.XLOOKUP(E171,'⑤项目数-B-a-③消耗明细表'!C:C,'⑤项目数-B-a-③消耗明细表'!E:E,0)</f>
        <v>9662.0400000000009</v>
      </c>
      <c r="X171" s="53">
        <f>_xlfn.XLOOKUP(E171,'⑤项目数-B-a-③消耗明细表'!C:C,'⑤项目数-B-a-③消耗明细表'!D:D,0)</f>
        <v>110</v>
      </c>
      <c r="Y171" s="53">
        <f>_xlfn.XLOOKUP(E171,'⑤项目数-B-a-③消耗明细表'!C:C,'⑤项目数-B-a-③消耗明细表'!F:F,0)</f>
        <v>1139</v>
      </c>
      <c r="Z171" s="53">
        <f>_xlfn.XLOOKUP(E171,'⑤项目数-B-a-③消耗明细表'!C:C,'⑤项目数-B-a-③消耗明细表'!G:G,0)</f>
        <v>15</v>
      </c>
      <c r="AA171" s="84">
        <f t="shared" si="46"/>
        <v>1</v>
      </c>
      <c r="AB171" s="84">
        <f t="shared" si="47"/>
        <v>1</v>
      </c>
      <c r="AC171" s="53">
        <f>_xlfn.XLOOKUP(F171,'⑥战队统计表-B-a-②呈现-业绩明细表④'!A:A,'⑥战队统计表-B-a-②呈现-业绩明细表④'!B:B,0)</f>
        <v>3</v>
      </c>
      <c r="AD171" s="53" t="str">
        <f t="shared" si="37"/>
        <v/>
      </c>
      <c r="AE171" s="59">
        <f>IF(AD171="",_xlfn.XLOOKUP(F171,'⑥战队统计表-B-a-②呈现-业绩明细表④'!A:A,'⑥战队统计表-B-a-②呈现-业绩明细表④'!D:D,0),0)</f>
        <v>0.04</v>
      </c>
      <c r="AF171" s="85">
        <f>IF(AND(E171="T区",E171="门店T区"),"",IF(AD171="",0,IF(R171="",LOOKUP(S171,'②提成标准-B-a-①-增加'!$B$16:$B$20,'②提成标准-B-a-①-增加'!$D$16:$D$20),LOOKUP(S171/Q171,'②提成标准-B-a-①-增加'!$B$23:$B$27,'②提成标准-B-a-①-增加'!$D$23:$D$27))))</f>
        <v>0</v>
      </c>
      <c r="AG171" s="85">
        <f t="shared" si="35"/>
        <v>0.04</v>
      </c>
      <c r="AH171" s="60">
        <f t="shared" si="44"/>
        <v>628.26920000000007</v>
      </c>
      <c r="AI171" s="86">
        <f t="shared" si="45"/>
        <v>-241.566</v>
      </c>
      <c r="AJ171" s="60">
        <f t="shared" si="38"/>
        <v>386.70320000000004</v>
      </c>
      <c r="AK171" s="87">
        <f>IF(AB171=1,IFERROR(S171/VLOOKUP(F171,'⑥战队统计表-B-a-②呈现-业绩明细表④'!A:C,3,0),0),0)</f>
        <v>8.3951568793197776E-2</v>
      </c>
      <c r="AL171" s="85" t="str">
        <f t="shared" si="41"/>
        <v/>
      </c>
      <c r="AM171" s="53" t="str">
        <f>IF(D171="顾问",_xlfn.XLOOKUP(F171,'⑥战队统计表-B-a-②呈现-业绩明细表④'!A:A,'⑥战队统计表-B-a-②呈现-业绩明细表④'!H:H,0),"")</f>
        <v/>
      </c>
      <c r="AN171" s="53" t="str">
        <f t="shared" si="48"/>
        <v>南湖+进宝队</v>
      </c>
    </row>
    <row r="172" spans="1:40" hidden="1" x14ac:dyDescent="0.15">
      <c r="A172" s="79" t="s">
        <v>428</v>
      </c>
      <c r="B172" s="80" t="s">
        <v>184</v>
      </c>
      <c r="C172" s="81" t="s">
        <v>188</v>
      </c>
      <c r="D172" s="82" t="s">
        <v>6</v>
      </c>
      <c r="E172" s="82" t="s">
        <v>191</v>
      </c>
      <c r="F172" s="53" t="str">
        <f t="shared" si="32"/>
        <v>南湖+进宝队</v>
      </c>
      <c r="G172" s="53">
        <f>IFERROR(_xlfn.XLOOKUP(B172,'①门店信息-A-a-①-增加'!B:B,'①门店信息-A-a-①-增加'!E:E,0),"")</f>
        <v>0</v>
      </c>
      <c r="H172" s="54">
        <f>_xlfn.XLOOKUP(B172,'①门店信息-A-a-①-增加'!B:B,'①门店信息-A-a-①-增加'!F:F,0)</f>
        <v>0</v>
      </c>
      <c r="I172" s="55">
        <f>_xlfn.XLOOKUP(E172,'③新店考核-B-a-②呈现-业绩明细表-③'!B:B,'③新店考核-B-a-②呈现-业绩明细表-③'!E:E,0)</f>
        <v>0</v>
      </c>
      <c r="J172" s="54">
        <f>_xlfn.XLOOKUP(E172,'③新店考核-B-a-②呈现-业绩明细表-③'!B:B,'③新店考核-B-a-②呈现-业绩明细表-③'!F:F,0)</f>
        <v>0</v>
      </c>
      <c r="K172" s="55">
        <f>IF(H172="新店一阶段",LOOKUP(I172,'②提成标准-B-a-①-增加'!$M$9:$M$12,'②提成标准-B-a-①-增加'!$O$9:$O$12),0)</f>
        <v>0</v>
      </c>
      <c r="L172" s="56">
        <f t="shared" si="33"/>
        <v>6926.4</v>
      </c>
      <c r="M172" s="57">
        <f>_xlfn.XLOOKUP(E172,'③新店考核-B-a-②呈现-业绩明细表-③'!B:B,'③新店考核-B-a-②呈现-业绩明细表-③'!G:G,0)</f>
        <v>0</v>
      </c>
      <c r="N172" s="58" t="str">
        <f>LOOKUP(M172,'②提成标准-B-a-①-增加'!$M$1:$M$4,'②提成标准-B-a-①-增加'!$O$1:$O$4)</f>
        <v>同老店</v>
      </c>
      <c r="O172" s="57">
        <f>_xlfn.XLOOKUP(E172,'③新店考核-B-a-②呈现-业绩明细表-③'!B:B,'③新店考核-B-a-②呈现-业绩明细表-③'!H:H,0)</f>
        <v>0</v>
      </c>
      <c r="P172" s="57">
        <f t="shared" si="34"/>
        <v>6926.4</v>
      </c>
      <c r="Q172" s="53">
        <f>_xlfn.XLOOKUP(E172,'④考勤-B-a-26考勤汇总表'!D:D,'④考勤-B-a-26考勤汇总表'!AP:AP,0)</f>
        <v>31</v>
      </c>
      <c r="R172" s="53" t="str">
        <f t="shared" si="43"/>
        <v/>
      </c>
      <c r="S172" s="53">
        <f t="shared" si="36"/>
        <v>9885.4</v>
      </c>
      <c r="T172" s="53">
        <v>6926.4</v>
      </c>
      <c r="U172" s="53">
        <v>2959</v>
      </c>
      <c r="V172" s="53">
        <v>0</v>
      </c>
      <c r="W172" s="53">
        <f>_xlfn.XLOOKUP(E172,'⑤项目数-B-a-③消耗明细表'!C:C,'⑤项目数-B-a-③消耗明细表'!E:E,0)</f>
        <v>6148.22</v>
      </c>
      <c r="X172" s="53">
        <f>_xlfn.XLOOKUP(E172,'⑤项目数-B-a-③消耗明细表'!C:C,'⑤项目数-B-a-③消耗明细表'!D:D,0)</f>
        <v>130</v>
      </c>
      <c r="Y172" s="53">
        <f>_xlfn.XLOOKUP(E172,'⑤项目数-B-a-③消耗明细表'!C:C,'⑤项目数-B-a-③消耗明细表'!F:F,0)</f>
        <v>1339</v>
      </c>
      <c r="Z172" s="53">
        <f>_xlfn.XLOOKUP(E172,'⑤项目数-B-a-③消耗明细表'!C:C,'⑤项目数-B-a-③消耗明细表'!G:G,0)</f>
        <v>45</v>
      </c>
      <c r="AA172" s="84">
        <f t="shared" si="46"/>
        <v>1</v>
      </c>
      <c r="AB172" s="84">
        <f t="shared" si="47"/>
        <v>1</v>
      </c>
      <c r="AC172" s="53">
        <f>_xlfn.XLOOKUP(F172,'⑥战队统计表-B-a-②呈现-业绩明细表④'!A:A,'⑥战队统计表-B-a-②呈现-业绩明细表④'!B:B,0)</f>
        <v>3</v>
      </c>
      <c r="AD172" s="53" t="str">
        <f t="shared" si="37"/>
        <v/>
      </c>
      <c r="AE172" s="59">
        <f>IF(AD172="",_xlfn.XLOOKUP(F172,'⑥战队统计表-B-a-②呈现-业绩明细表④'!A:A,'⑥战队统计表-B-a-②呈现-业绩明细表④'!D:D,0),0)</f>
        <v>0.04</v>
      </c>
      <c r="AF172" s="85">
        <f>IF(AND(E172="T区",E172="门店T区"),"",IF(AD172="",0,IF(R172="",LOOKUP(S172,'②提成标准-B-a-①-增加'!$B$16:$B$20,'②提成标准-B-a-①-增加'!$D$16:$D$20),LOOKUP(S172/Q172,'②提成标准-B-a-①-增加'!$B$23:$B$27,'②提成标准-B-a-①-增加'!$D$23:$D$27))))</f>
        <v>0</v>
      </c>
      <c r="AG172" s="85">
        <f t="shared" si="35"/>
        <v>0.04</v>
      </c>
      <c r="AH172" s="60">
        <f t="shared" si="44"/>
        <v>263.20319999999998</v>
      </c>
      <c r="AI172" s="86">
        <f t="shared" si="45"/>
        <v>73.087299999999999</v>
      </c>
      <c r="AJ172" s="60">
        <f t="shared" si="38"/>
        <v>336.29049999999995</v>
      </c>
      <c r="AK172" s="87">
        <f>IF(AB172=1,IFERROR(S172/VLOOKUP(F172,'⑥战队统计表-B-a-②呈现-业绩明细表④'!A:C,3,0),0),0)</f>
        <v>0.1228854855551688</v>
      </c>
      <c r="AL172" s="85" t="str">
        <f t="shared" si="41"/>
        <v/>
      </c>
      <c r="AM172" s="53" t="str">
        <f>IF(D172="顾问",_xlfn.XLOOKUP(F172,'⑥战队统计表-B-a-②呈现-业绩明细表④'!A:A,'⑥战队统计表-B-a-②呈现-业绩明细表④'!H:H,0),"")</f>
        <v/>
      </c>
      <c r="AN172" s="53" t="str">
        <f t="shared" si="48"/>
        <v>南湖+进宝队</v>
      </c>
    </row>
    <row r="173" spans="1:40" hidden="1" x14ac:dyDescent="0.15">
      <c r="A173" s="79" t="s">
        <v>428</v>
      </c>
      <c r="B173" s="80" t="s">
        <v>184</v>
      </c>
      <c r="C173" s="81" t="s">
        <v>36</v>
      </c>
      <c r="D173" s="82" t="s">
        <v>36</v>
      </c>
      <c r="E173" s="82" t="s">
        <v>36</v>
      </c>
      <c r="F173" s="53" t="str">
        <f t="shared" si="32"/>
        <v>南湖+T区</v>
      </c>
      <c r="G173" s="53">
        <f>IFERROR(_xlfn.XLOOKUP(B173,'①门店信息-A-a-①-增加'!B:B,'①门店信息-A-a-①-增加'!E:E,0),"")</f>
        <v>0</v>
      </c>
      <c r="H173" s="54">
        <f>_xlfn.XLOOKUP(B173,'①门店信息-A-a-①-增加'!B:B,'①门店信息-A-a-①-增加'!F:F,0)</f>
        <v>0</v>
      </c>
      <c r="I173" s="55">
        <f>_xlfn.XLOOKUP(E173,'③新店考核-B-a-②呈现-业绩明细表-③'!B:B,'③新店考核-B-a-②呈现-业绩明细表-③'!E:E,0)</f>
        <v>0</v>
      </c>
      <c r="J173" s="54">
        <f>_xlfn.XLOOKUP(E173,'③新店考核-B-a-②呈现-业绩明细表-③'!B:B,'③新店考核-B-a-②呈现-业绩明细表-③'!F:F,0)</f>
        <v>0</v>
      </c>
      <c r="K173" s="55">
        <f>IF(H173="新店一阶段",LOOKUP(I173,'②提成标准-B-a-①-增加'!$M$9:$M$12,'②提成标准-B-a-①-增加'!$O$9:$O$12),0)</f>
        <v>0</v>
      </c>
      <c r="L173" s="56">
        <f t="shared" si="33"/>
        <v>0</v>
      </c>
      <c r="M173" s="57">
        <f>_xlfn.XLOOKUP(E173,'③新店考核-B-a-②呈现-业绩明细表-③'!B:B,'③新店考核-B-a-②呈现-业绩明细表-③'!G:G,0)</f>
        <v>0</v>
      </c>
      <c r="N173" s="58" t="str">
        <f>LOOKUP(M173,'②提成标准-B-a-①-增加'!$M$1:$M$4,'②提成标准-B-a-①-增加'!$O$1:$O$4)</f>
        <v>同老店</v>
      </c>
      <c r="O173" s="57">
        <f>_xlfn.XLOOKUP(E173,'③新店考核-B-a-②呈现-业绩明细表-③'!B:B,'③新店考核-B-a-②呈现-业绩明细表-③'!H:H,0)</f>
        <v>0</v>
      </c>
      <c r="P173" s="57">
        <f t="shared" si="34"/>
        <v>0</v>
      </c>
      <c r="Q173" s="53">
        <f>_xlfn.XLOOKUP(E173,'④考勤-B-a-26考勤汇总表'!D:D,'④考勤-B-a-26考勤汇总表'!AP:AP,0)</f>
        <v>0</v>
      </c>
      <c r="R173" s="53" t="str">
        <f t="shared" si="43"/>
        <v/>
      </c>
      <c r="S173" s="53">
        <f t="shared" si="36"/>
        <v>0</v>
      </c>
      <c r="T173" s="53">
        <v>0</v>
      </c>
      <c r="U173" s="53">
        <v>0</v>
      </c>
      <c r="V173" s="53">
        <v>0</v>
      </c>
      <c r="W173" s="53">
        <f>_xlfn.XLOOKUP(E173,'⑤项目数-B-a-③消耗明细表'!C:C,'⑤项目数-B-a-③消耗明细表'!E:E,0)</f>
        <v>0</v>
      </c>
      <c r="X173" s="53">
        <f>_xlfn.XLOOKUP(E173,'⑤项目数-B-a-③消耗明细表'!C:C,'⑤项目数-B-a-③消耗明细表'!D:D,0)</f>
        <v>0</v>
      </c>
      <c r="Y173" s="53">
        <f>_xlfn.XLOOKUP(E173,'⑤项目数-B-a-③消耗明细表'!C:C,'⑤项目数-B-a-③消耗明细表'!F:F,0)</f>
        <v>0</v>
      </c>
      <c r="Z173" s="53">
        <f>_xlfn.XLOOKUP(E173,'⑤项目数-B-a-③消耗明细表'!C:C,'⑤项目数-B-a-③消耗明细表'!G:G,0)</f>
        <v>0</v>
      </c>
      <c r="AA173" s="84" t="str">
        <f t="shared" si="46"/>
        <v>不属于战队</v>
      </c>
      <c r="AB173" s="84">
        <f t="shared" si="47"/>
        <v>0</v>
      </c>
      <c r="AC173" s="53">
        <f>_xlfn.XLOOKUP(F173,'⑥战队统计表-B-a-②呈现-业绩明细表④'!A:A,'⑥战队统计表-B-a-②呈现-业绩明细表④'!B:B,0)</f>
        <v>0</v>
      </c>
      <c r="AD173" s="53">
        <f t="shared" si="37"/>
        <v>1</v>
      </c>
      <c r="AE173" s="59">
        <f>IF(AD173="",_xlfn.XLOOKUP(F173,'⑥战队统计表-B-a-②呈现-业绩明细表④'!A:A,'⑥战队统计表-B-a-②呈现-业绩明细表④'!D:D,0),0)</f>
        <v>0</v>
      </c>
      <c r="AF173" s="85">
        <f>IF(AND(E173="T区",E173="门店T区"),"",IF(AD173="",0,IF(R173="",LOOKUP(S173,'②提成标准-B-a-①-增加'!$B$16:$B$20,'②提成标准-B-a-①-增加'!$D$16:$D$20),LOOKUP(S173/Q173,'②提成标准-B-a-①-增加'!$B$23:$B$27,'②提成标准-B-a-①-增加'!$D$23:$D$27))))</f>
        <v>0</v>
      </c>
      <c r="AG173" s="85">
        <f t="shared" si="35"/>
        <v>0</v>
      </c>
      <c r="AH173" s="60">
        <f t="shared" si="44"/>
        <v>0</v>
      </c>
      <c r="AI173" s="86">
        <f t="shared" si="45"/>
        <v>0</v>
      </c>
      <c r="AJ173" s="60">
        <f t="shared" si="38"/>
        <v>0</v>
      </c>
      <c r="AK173" s="87">
        <f>IF(AB173=1,IFERROR(S173/VLOOKUP(F173,'⑥战队统计表-B-a-②呈现-业绩明细表④'!A:C,3,0),0),0)</f>
        <v>0</v>
      </c>
      <c r="AL173" s="85" t="str">
        <f t="shared" si="41"/>
        <v/>
      </c>
      <c r="AM173" s="53" t="str">
        <f>IF(D173="顾问",_xlfn.XLOOKUP(F173,'⑥战队统计表-B-a-②呈现-业绩明细表④'!A:A,'⑥战队统计表-B-a-②呈现-业绩明细表④'!H:H,0),"")</f>
        <v/>
      </c>
      <c r="AN173" s="53" t="str">
        <f t="shared" si="48"/>
        <v>单人</v>
      </c>
    </row>
    <row r="174" spans="1:40" hidden="1" x14ac:dyDescent="0.15">
      <c r="A174" s="79" t="s">
        <v>428</v>
      </c>
      <c r="B174" s="80" t="s">
        <v>184</v>
      </c>
      <c r="C174" s="81" t="s">
        <v>50</v>
      </c>
      <c r="D174" s="82" t="s">
        <v>6</v>
      </c>
      <c r="E174" s="82" t="s">
        <v>192</v>
      </c>
      <c r="F174" s="53" t="str">
        <f t="shared" si="32"/>
        <v>南湖+单人</v>
      </c>
      <c r="G174" s="53">
        <f>IFERROR(_xlfn.XLOOKUP(B174,'①门店信息-A-a-①-增加'!B:B,'①门店信息-A-a-①-增加'!E:E,0),"")</f>
        <v>0</v>
      </c>
      <c r="H174" s="54">
        <f>_xlfn.XLOOKUP(B174,'①门店信息-A-a-①-增加'!B:B,'①门店信息-A-a-①-增加'!F:F,0)</f>
        <v>0</v>
      </c>
      <c r="I174" s="55">
        <f>_xlfn.XLOOKUP(E174,'③新店考核-B-a-②呈现-业绩明细表-③'!B:B,'③新店考核-B-a-②呈现-业绩明细表-③'!E:E,0)</f>
        <v>0</v>
      </c>
      <c r="J174" s="54">
        <f>_xlfn.XLOOKUP(E174,'③新店考核-B-a-②呈现-业绩明细表-③'!B:B,'③新店考核-B-a-②呈现-业绩明细表-③'!F:F,0)</f>
        <v>0</v>
      </c>
      <c r="K174" s="55">
        <f>IF(H174="新店一阶段",LOOKUP(I174,'②提成标准-B-a-①-增加'!$M$9:$M$12,'②提成标准-B-a-①-增加'!$O$9:$O$12),0)</f>
        <v>0</v>
      </c>
      <c r="L174" s="56">
        <f t="shared" si="33"/>
        <v>498</v>
      </c>
      <c r="M174" s="57">
        <f>_xlfn.XLOOKUP(E174,'③新店考核-B-a-②呈现-业绩明细表-③'!B:B,'③新店考核-B-a-②呈现-业绩明细表-③'!G:G,0)</f>
        <v>0</v>
      </c>
      <c r="N174" s="58" t="str">
        <f>LOOKUP(M174,'②提成标准-B-a-①-增加'!$M$1:$M$4,'②提成标准-B-a-①-增加'!$O$1:$O$4)</f>
        <v>同老店</v>
      </c>
      <c r="O174" s="57">
        <f>_xlfn.XLOOKUP(E174,'③新店考核-B-a-②呈现-业绩明细表-③'!B:B,'③新店考核-B-a-②呈现-业绩明细表-③'!H:H,0)</f>
        <v>0</v>
      </c>
      <c r="P174" s="57">
        <f t="shared" si="34"/>
        <v>498</v>
      </c>
      <c r="Q174" s="53">
        <f>_xlfn.XLOOKUP(E174,'④考勤-B-a-26考勤汇总表'!D:D,'④考勤-B-a-26考勤汇总表'!AP:AP,0)</f>
        <v>31</v>
      </c>
      <c r="R174" s="53" t="str">
        <f t="shared" si="43"/>
        <v/>
      </c>
      <c r="S174" s="53">
        <f t="shared" si="36"/>
        <v>498</v>
      </c>
      <c r="T174" s="53">
        <v>498</v>
      </c>
      <c r="U174" s="53">
        <v>0</v>
      </c>
      <c r="V174" s="53">
        <v>0</v>
      </c>
      <c r="W174" s="53">
        <f>_xlfn.XLOOKUP(E174,'⑤项目数-B-a-③消耗明细表'!C:C,'⑤项目数-B-a-③消耗明细表'!E:E,0)</f>
        <v>5287.65</v>
      </c>
      <c r="X174" s="53">
        <f>_xlfn.XLOOKUP(E174,'⑤项目数-B-a-③消耗明细表'!C:C,'⑤项目数-B-a-③消耗明细表'!D:D,0)</f>
        <v>79.5</v>
      </c>
      <c r="Y174" s="53">
        <f>_xlfn.XLOOKUP(E174,'⑤项目数-B-a-③消耗明细表'!C:C,'⑤项目数-B-a-③消耗明细表'!F:F,0)</f>
        <v>1021</v>
      </c>
      <c r="Z174" s="53">
        <f>_xlfn.XLOOKUP(E174,'⑤项目数-B-a-③消耗明细表'!C:C,'⑤项目数-B-a-③消耗明细表'!G:G,0)</f>
        <v>0</v>
      </c>
      <c r="AA174" s="84" t="str">
        <f t="shared" si="46"/>
        <v>单人</v>
      </c>
      <c r="AB174" s="84">
        <f t="shared" si="47"/>
        <v>0</v>
      </c>
      <c r="AC174" s="53">
        <f>_xlfn.XLOOKUP(F174,'⑥战队统计表-B-a-②呈现-业绩明细表④'!A:A,'⑥战队统计表-B-a-②呈现-业绩明细表④'!B:B,0)</f>
        <v>0</v>
      </c>
      <c r="AD174" s="53">
        <f t="shared" si="37"/>
        <v>1</v>
      </c>
      <c r="AE174" s="59">
        <f>IF(AD174="",_xlfn.XLOOKUP(F174,'⑥战队统计表-B-a-②呈现-业绩明细表④'!A:A,'⑥战队统计表-B-a-②呈现-业绩明细表④'!D:D,0),0)</f>
        <v>0</v>
      </c>
      <c r="AF174" s="85">
        <f>IF(AND(E174="T区",E174="门店T区"),"",IF(AD174="",0,IF(R174="",LOOKUP(S174,'②提成标准-B-a-①-增加'!$B$16:$B$20,'②提成标准-B-a-①-增加'!$D$16:$D$20),LOOKUP(S174/Q174,'②提成标准-B-a-①-增加'!$B$23:$B$27,'②提成标准-B-a-①-增加'!$D$23:$D$27))))</f>
        <v>0</v>
      </c>
      <c r="AG174" s="85">
        <f t="shared" si="35"/>
        <v>0</v>
      </c>
      <c r="AH174" s="60">
        <f t="shared" si="44"/>
        <v>0</v>
      </c>
      <c r="AI174" s="86">
        <f t="shared" si="45"/>
        <v>0</v>
      </c>
      <c r="AJ174" s="60">
        <f t="shared" si="38"/>
        <v>0</v>
      </c>
      <c r="AK174" s="87">
        <f>IF(AB174=1,IFERROR(S174/VLOOKUP(F174,'⑥战队统计表-B-a-②呈现-业绩明细表④'!A:C,3,0),0),0)</f>
        <v>0</v>
      </c>
      <c r="AL174" s="85" t="str">
        <f t="shared" si="41"/>
        <v/>
      </c>
      <c r="AM174" s="53" t="str">
        <f>IF(D174="顾问",_xlfn.XLOOKUP(F174,'⑥战队统计表-B-a-②呈现-业绩明细表④'!A:A,'⑥战队统计表-B-a-②呈现-业绩明细表④'!H:H,0),"")</f>
        <v/>
      </c>
      <c r="AN174" s="53" t="str">
        <f t="shared" si="48"/>
        <v>单人</v>
      </c>
    </row>
    <row r="175" spans="1:40" hidden="1" x14ac:dyDescent="0.15">
      <c r="A175" s="79" t="s">
        <v>428</v>
      </c>
      <c r="B175" s="80" t="s">
        <v>184</v>
      </c>
      <c r="C175" s="81" t="s">
        <v>40</v>
      </c>
      <c r="D175" s="82" t="s">
        <v>40</v>
      </c>
      <c r="E175" s="88" t="str">
        <f>F175</f>
        <v>南湖+门店T区</v>
      </c>
      <c r="F175" s="53" t="str">
        <f t="shared" si="32"/>
        <v>南湖+门店T区</v>
      </c>
      <c r="G175" s="53">
        <f>IFERROR(_xlfn.XLOOKUP(B175,'①门店信息-A-a-①-增加'!B:B,'①门店信息-A-a-①-增加'!E:E,0),"")</f>
        <v>0</v>
      </c>
      <c r="H175" s="54">
        <f>_xlfn.XLOOKUP(B175,'①门店信息-A-a-①-增加'!B:B,'①门店信息-A-a-①-增加'!F:F,0)</f>
        <v>0</v>
      </c>
      <c r="I175" s="55">
        <f>_xlfn.XLOOKUP(E175,'③新店考核-B-a-②呈现-业绩明细表-③'!B:B,'③新店考核-B-a-②呈现-业绩明细表-③'!E:E,0)</f>
        <v>0</v>
      </c>
      <c r="J175" s="54">
        <f>_xlfn.XLOOKUP(E175,'③新店考核-B-a-②呈现-业绩明细表-③'!B:B,'③新店考核-B-a-②呈现-业绩明细表-③'!F:F,0)</f>
        <v>0</v>
      </c>
      <c r="K175" s="55">
        <f>IF(H175="新店一阶段",LOOKUP(I175,'②提成标准-B-a-①-增加'!$M$9:$M$12,'②提成标准-B-a-①-增加'!$O$9:$O$12),0)</f>
        <v>0</v>
      </c>
      <c r="L175" s="56">
        <f t="shared" si="33"/>
        <v>0</v>
      </c>
      <c r="M175" s="57">
        <f>_xlfn.XLOOKUP(E175,'③新店考核-B-a-②呈现-业绩明细表-③'!B:B,'③新店考核-B-a-②呈现-业绩明细表-③'!G:G,0)</f>
        <v>0</v>
      </c>
      <c r="N175" s="58" t="str">
        <f>LOOKUP(M175,'②提成标准-B-a-①-增加'!$M$1:$M$4,'②提成标准-B-a-①-增加'!$O$1:$O$4)</f>
        <v>同老店</v>
      </c>
      <c r="O175" s="57">
        <f>_xlfn.XLOOKUP(E175,'③新店考核-B-a-②呈现-业绩明细表-③'!B:B,'③新店考核-B-a-②呈现-业绩明细表-③'!H:H,0)</f>
        <v>0</v>
      </c>
      <c r="P175" s="57">
        <f t="shared" si="34"/>
        <v>0</v>
      </c>
      <c r="Q175" s="53">
        <f>_xlfn.XLOOKUP(E175,'④考勤-B-a-26考勤汇总表'!D:D,'④考勤-B-a-26考勤汇总表'!AP:AP,0)</f>
        <v>0</v>
      </c>
      <c r="R175" s="53" t="str">
        <f t="shared" si="43"/>
        <v/>
      </c>
      <c r="S175" s="53">
        <f t="shared" si="36"/>
        <v>0</v>
      </c>
      <c r="T175" s="53">
        <v>0</v>
      </c>
      <c r="U175" s="53">
        <v>0</v>
      </c>
      <c r="V175" s="53">
        <v>0</v>
      </c>
      <c r="W175" s="53">
        <f>_xlfn.XLOOKUP(E175,'⑤项目数-B-a-③消耗明细表'!C:C,'⑤项目数-B-a-③消耗明细表'!E:E,0)</f>
        <v>0</v>
      </c>
      <c r="X175" s="53">
        <f>_xlfn.XLOOKUP(E175,'⑤项目数-B-a-③消耗明细表'!C:C,'⑤项目数-B-a-③消耗明细表'!D:D,0)</f>
        <v>0</v>
      </c>
      <c r="Y175" s="53">
        <f>_xlfn.XLOOKUP(E175,'⑤项目数-B-a-③消耗明细表'!C:C,'⑤项目数-B-a-③消耗明细表'!F:F,0)</f>
        <v>0</v>
      </c>
      <c r="Z175" s="53">
        <f>_xlfn.XLOOKUP(E175,'⑤项目数-B-a-③消耗明细表'!C:C,'⑤项目数-B-a-③消耗明细表'!G:G,0)</f>
        <v>0</v>
      </c>
      <c r="AA175" s="84">
        <f t="shared" si="46"/>
        <v>1</v>
      </c>
      <c r="AB175" s="84">
        <f t="shared" si="47"/>
        <v>0</v>
      </c>
      <c r="AC175" s="53">
        <f>_xlfn.XLOOKUP(F175,'⑥战队统计表-B-a-②呈现-业绩明细表④'!A:A,'⑥战队统计表-B-a-②呈现-业绩明细表④'!B:B,0)</f>
        <v>0</v>
      </c>
      <c r="AD175" s="53">
        <f t="shared" si="37"/>
        <v>1</v>
      </c>
      <c r="AE175" s="59">
        <f>IF(AD175="",_xlfn.XLOOKUP(F175,'⑥战队统计表-B-a-②呈现-业绩明细表④'!A:A,'⑥战队统计表-B-a-②呈现-业绩明细表④'!D:D,0),0)</f>
        <v>0</v>
      </c>
      <c r="AF175" s="85">
        <f>IF(AND(E175="T区",E175="门店T区"),"",IF(AD175="",0,IF(R175="",LOOKUP(S175,'②提成标准-B-a-①-增加'!$B$16:$B$20,'②提成标准-B-a-①-增加'!$D$16:$D$20),LOOKUP(S175/Q175,'②提成标准-B-a-①-增加'!$B$23:$B$27,'②提成标准-B-a-①-增加'!$D$23:$D$27))))</f>
        <v>0</v>
      </c>
      <c r="AG175" s="85">
        <f t="shared" si="35"/>
        <v>0</v>
      </c>
      <c r="AH175" s="60">
        <f t="shared" si="44"/>
        <v>0</v>
      </c>
      <c r="AI175" s="86">
        <f t="shared" si="45"/>
        <v>0</v>
      </c>
      <c r="AJ175" s="60">
        <f t="shared" si="38"/>
        <v>0</v>
      </c>
      <c r="AK175" s="87">
        <f>IF(AB175=1,IFERROR(S175/VLOOKUP(F175,'⑥战队统计表-B-a-②呈现-业绩明细表④'!A:C,3,0),0),0)</f>
        <v>0</v>
      </c>
      <c r="AL175" s="85" t="str">
        <f t="shared" si="41"/>
        <v/>
      </c>
      <c r="AM175" s="53" t="str">
        <f>IF(D175="顾问",_xlfn.XLOOKUP(F175,'⑥战队统计表-B-a-②呈现-业绩明细表④'!A:A,'⑥战队统计表-B-a-②呈现-业绩明细表④'!H:H,0),"")</f>
        <v/>
      </c>
      <c r="AN175" s="53" t="str">
        <f t="shared" si="48"/>
        <v>单人</v>
      </c>
    </row>
    <row r="176" spans="1:40" hidden="1" x14ac:dyDescent="0.15">
      <c r="A176" s="79" t="s">
        <v>428</v>
      </c>
      <c r="B176" s="82" t="s">
        <v>193</v>
      </c>
      <c r="C176" s="81" t="s">
        <v>46</v>
      </c>
      <c r="D176" s="82" t="s">
        <v>32</v>
      </c>
      <c r="E176" s="82" t="s">
        <v>194</v>
      </c>
      <c r="F176" s="53" t="str">
        <f t="shared" si="32"/>
        <v>荣华北路+飞跃队</v>
      </c>
      <c r="G176" s="53">
        <f>IFERROR(_xlfn.XLOOKUP(B176,'①门店信息-A-a-①-增加'!B:B,'①门店信息-A-a-①-增加'!E:E,0),"")</f>
        <v>0</v>
      </c>
      <c r="H176" s="53">
        <f>_xlfn.XLOOKUP(B176,'①门店信息-A-a-①-增加'!B:B,'①门店信息-A-a-①-增加'!F:F,0)</f>
        <v>0</v>
      </c>
      <c r="I176" s="59">
        <f>_xlfn.XLOOKUP(E176,'③新店考核-B-a-②呈现-业绩明细表-③'!B:B,'③新店考核-B-a-②呈现-业绩明细表-③'!E:E,0)</f>
        <v>0</v>
      </c>
      <c r="J176" s="53">
        <f>_xlfn.XLOOKUP(E176,'③新店考核-B-a-②呈现-业绩明细表-③'!B:B,'③新店考核-B-a-②呈现-业绩明细表-③'!F:F,0)</f>
        <v>0</v>
      </c>
      <c r="K176" s="59">
        <f>IF(H176="新店一阶段",LOOKUP(I176,'②提成标准-B-a-①-增加'!$M$9:$M$12,'②提成标准-B-a-①-增加'!$O$9:$O$12),0)</f>
        <v>0</v>
      </c>
      <c r="L176" s="86">
        <f t="shared" si="33"/>
        <v>54654.2</v>
      </c>
      <c r="M176" s="53">
        <f>_xlfn.XLOOKUP(E176,'③新店考核-B-a-②呈现-业绩明细表-③'!B:B,'③新店考核-B-a-②呈现-业绩明细表-③'!G:G,0)</f>
        <v>0</v>
      </c>
      <c r="N176" s="59" t="str">
        <f>LOOKUP(M176,'②提成标准-B-a-①-增加'!$M$1:$M$4,'②提成标准-B-a-①-增加'!$O$1:$O$4)</f>
        <v>同老店</v>
      </c>
      <c r="O176" s="53">
        <f>_xlfn.XLOOKUP(E176,'③新店考核-B-a-②呈现-业绩明细表-③'!B:B,'③新店考核-B-a-②呈现-业绩明细表-③'!H:H,0)</f>
        <v>0</v>
      </c>
      <c r="P176" s="53">
        <f t="shared" si="34"/>
        <v>54654.2</v>
      </c>
      <c r="Q176" s="53">
        <f>_xlfn.XLOOKUP(E176,'④考勤-B-a-26考勤汇总表'!D:D,'④考勤-B-a-26考勤汇总表'!AP:AP,0)</f>
        <v>31</v>
      </c>
      <c r="R176" s="53" t="str">
        <f t="shared" si="43"/>
        <v/>
      </c>
      <c r="S176" s="53">
        <f t="shared" si="36"/>
        <v>54654.2</v>
      </c>
      <c r="T176" s="53">
        <v>54654.2</v>
      </c>
      <c r="U176" s="53">
        <v>0</v>
      </c>
      <c r="V176" s="53">
        <v>0</v>
      </c>
      <c r="W176" s="53">
        <f>_xlfn.XLOOKUP(E176,'⑤项目数-B-a-③消耗明细表'!C:C,'⑤项目数-B-a-③消耗明细表'!E:E,0)</f>
        <v>42959.34</v>
      </c>
      <c r="X176" s="53">
        <f>_xlfn.XLOOKUP(E176,'⑤项目数-B-a-③消耗明细表'!C:C,'⑤项目数-B-a-③消耗明细表'!D:D,0)</f>
        <v>117</v>
      </c>
      <c r="Y176" s="53">
        <f>_xlfn.XLOOKUP(E176,'⑤项目数-B-a-③消耗明细表'!C:C,'⑤项目数-B-a-③消耗明细表'!F:F,0)</f>
        <v>1851</v>
      </c>
      <c r="Z176" s="53">
        <f>_xlfn.XLOOKUP(E176,'⑤项目数-B-a-③消耗明细表'!C:C,'⑤项目数-B-a-③消耗明细表'!G:G,0)</f>
        <v>235</v>
      </c>
      <c r="AA176" s="84">
        <f t="shared" si="46"/>
        <v>1</v>
      </c>
      <c r="AB176" s="84">
        <f t="shared" si="47"/>
        <v>1</v>
      </c>
      <c r="AC176" s="53">
        <f>_xlfn.XLOOKUP(F176,'⑥战队统计表-B-a-②呈现-业绩明细表④'!A:A,'⑥战队统计表-B-a-②呈现-业绩明细表④'!B:B,0)</f>
        <v>2</v>
      </c>
      <c r="AD176" s="53" t="str">
        <f t="shared" si="37"/>
        <v/>
      </c>
      <c r="AE176" s="59">
        <f>IF(AD176="",_xlfn.XLOOKUP(F176,'⑥战队统计表-B-a-②呈现-业绩明细表④'!A:A,'⑥战队统计表-B-a-②呈现-业绩明细表④'!D:D,0),0)</f>
        <v>0.04</v>
      </c>
      <c r="AF176" s="85">
        <f>IF(AND(E176="T区",E176="门店T区"),"",IF(AD176="",0,IF(R176="",LOOKUP(S176,'②提成标准-B-a-①-增加'!$B$16:$B$20,'②提成标准-B-a-①-增加'!$D$16:$D$20),LOOKUP(S176/Q176,'②提成标准-B-a-①-增加'!$B$23:$B$27,'②提成标准-B-a-①-增加'!$D$23:$D$27))))</f>
        <v>0</v>
      </c>
      <c r="AG176" s="85">
        <f t="shared" si="35"/>
        <v>0.04</v>
      </c>
      <c r="AH176" s="60">
        <f t="shared" si="44"/>
        <v>2076.8596000000002</v>
      </c>
      <c r="AI176" s="86">
        <f t="shared" si="45"/>
        <v>0</v>
      </c>
      <c r="AJ176" s="60">
        <f t="shared" si="38"/>
        <v>2076.8596000000002</v>
      </c>
      <c r="AK176" s="145">
        <f>IF(AB176=1,IFERROR(S176/VLOOKUP(F176,'⑥战队统计表-B-a-②呈现-业绩明细表④'!A:C,3,0),0),0)</f>
        <v>0.97444354901974761</v>
      </c>
      <c r="AL176" s="85">
        <f t="shared" si="41"/>
        <v>2.5556450980252322E-2</v>
      </c>
      <c r="AM176" s="53">
        <f>IF(D176="顾问",_xlfn.XLOOKUP(F176,'⑥战队统计表-B-a-②呈现-业绩明细表④'!A:A,'⑥战队统计表-B-a-②呈现-业绩明细表④'!H:H,0),"")</f>
        <v>0</v>
      </c>
      <c r="AN176" s="53" t="str">
        <f t="shared" si="48"/>
        <v>荣华北路+飞跃队</v>
      </c>
    </row>
    <row r="177" spans="1:40" hidden="1" x14ac:dyDescent="0.15">
      <c r="A177" s="79" t="s">
        <v>428</v>
      </c>
      <c r="B177" s="82" t="s">
        <v>193</v>
      </c>
      <c r="C177" s="81" t="s">
        <v>46</v>
      </c>
      <c r="D177" s="82" t="s">
        <v>6</v>
      </c>
      <c r="E177" s="82" t="s">
        <v>657</v>
      </c>
      <c r="F177" s="53" t="str">
        <f t="shared" si="32"/>
        <v>荣华北路+飞跃队</v>
      </c>
      <c r="G177" s="53">
        <f>IFERROR(_xlfn.XLOOKUP(B177,'①门店信息-A-a-①-增加'!B:B,'①门店信息-A-a-①-增加'!E:E,0),"")</f>
        <v>0</v>
      </c>
      <c r="H177" s="53">
        <f>_xlfn.XLOOKUP(B177,'①门店信息-A-a-①-增加'!B:B,'①门店信息-A-a-①-增加'!F:F,0)</f>
        <v>0</v>
      </c>
      <c r="I177" s="59">
        <f>_xlfn.XLOOKUP(E177,'③新店考核-B-a-②呈现-业绩明细表-③'!B:B,'③新店考核-B-a-②呈现-业绩明细表-③'!E:E,0)</f>
        <v>0</v>
      </c>
      <c r="J177" s="53">
        <f>_xlfn.XLOOKUP(E177,'③新店考核-B-a-②呈现-业绩明细表-③'!B:B,'③新店考核-B-a-②呈现-业绩明细表-③'!F:F,0)</f>
        <v>0</v>
      </c>
      <c r="K177" s="59">
        <f>IF(H177="新店一阶段",LOOKUP(I177,'②提成标准-B-a-①-增加'!$M$9:$M$12,'②提成标准-B-a-①-增加'!$O$9:$O$12),0)</f>
        <v>0</v>
      </c>
      <c r="L177" s="86">
        <f t="shared" si="33"/>
        <v>1433.4</v>
      </c>
      <c r="M177" s="53">
        <f>_xlfn.XLOOKUP(E177,'③新店考核-B-a-②呈现-业绩明细表-③'!B:B,'③新店考核-B-a-②呈现-业绩明细表-③'!G:G,0)</f>
        <v>0</v>
      </c>
      <c r="N177" s="59" t="str">
        <f>LOOKUP(M177,'②提成标准-B-a-①-增加'!$M$1:$M$4,'②提成标准-B-a-①-增加'!$O$1:$O$4)</f>
        <v>同老店</v>
      </c>
      <c r="O177" s="53">
        <f>_xlfn.XLOOKUP(E177,'③新店考核-B-a-②呈现-业绩明细表-③'!B:B,'③新店考核-B-a-②呈现-业绩明细表-③'!H:H,0)</f>
        <v>0</v>
      </c>
      <c r="P177" s="53">
        <f t="shared" si="34"/>
        <v>1433.4</v>
      </c>
      <c r="Q177" s="53">
        <f>_xlfn.XLOOKUP(E177,'④考勤-B-a-26考勤汇总表'!D:D,'④考勤-B-a-26考勤汇总表'!AP:AP,0)</f>
        <v>31</v>
      </c>
      <c r="R177" s="53" t="str">
        <f t="shared" si="43"/>
        <v/>
      </c>
      <c r="S177" s="53">
        <f t="shared" si="36"/>
        <v>1433.4</v>
      </c>
      <c r="T177" s="53">
        <v>1433.4</v>
      </c>
      <c r="U177" s="53">
        <v>0</v>
      </c>
      <c r="V177" s="53">
        <v>0</v>
      </c>
      <c r="W177" s="53">
        <f>_xlfn.XLOOKUP(E177,'⑤项目数-B-a-③消耗明细表'!C:C,'⑤项目数-B-a-③消耗明细表'!E:E,0)</f>
        <v>4249.66</v>
      </c>
      <c r="X177" s="53">
        <f>_xlfn.XLOOKUP(E177,'⑤项目数-B-a-③消耗明细表'!C:C,'⑤项目数-B-a-③消耗明细表'!D:D,0)</f>
        <v>73</v>
      </c>
      <c r="Y177" s="53">
        <f>_xlfn.XLOOKUP(E177,'⑤项目数-B-a-③消耗明细表'!C:C,'⑤项目数-B-a-③消耗明细表'!F:F,0)</f>
        <v>865</v>
      </c>
      <c r="Z177" s="53">
        <f>_xlfn.XLOOKUP(E177,'⑤项目数-B-a-③消耗明细表'!C:C,'⑤项目数-B-a-③消耗明细表'!G:G,0)</f>
        <v>0</v>
      </c>
      <c r="AA177" s="84">
        <f t="shared" si="46"/>
        <v>1</v>
      </c>
      <c r="AB177" s="84">
        <f t="shared" si="47"/>
        <v>1</v>
      </c>
      <c r="AC177" s="53">
        <f>_xlfn.XLOOKUP(F177,'⑥战队统计表-B-a-②呈现-业绩明细表④'!A:A,'⑥战队统计表-B-a-②呈现-业绩明细表④'!B:B,0)</f>
        <v>2</v>
      </c>
      <c r="AD177" s="53" t="str">
        <f t="shared" si="37"/>
        <v/>
      </c>
      <c r="AE177" s="59">
        <f>IF(AD177="",_xlfn.XLOOKUP(F177,'⑥战队统计表-B-a-②呈现-业绩明细表④'!A:A,'⑥战队统计表-B-a-②呈现-业绩明细表④'!D:D,0),0)</f>
        <v>0.04</v>
      </c>
      <c r="AF177" s="85">
        <f>IF(AND(E177="T区",E177="门店T区"),"",IF(AD177="",0,IF(R177="",LOOKUP(S177,'②提成标准-B-a-①-增加'!$B$16:$B$20,'②提成标准-B-a-①-增加'!$D$16:$D$20),LOOKUP(S177/Q177,'②提成标准-B-a-①-增加'!$B$23:$B$27,'②提成标准-B-a-①-增加'!$D$23:$D$27))))</f>
        <v>0</v>
      </c>
      <c r="AG177" s="85">
        <f t="shared" si="35"/>
        <v>0.04</v>
      </c>
      <c r="AH177" s="60">
        <f t="shared" si="44"/>
        <v>54.469200000000001</v>
      </c>
      <c r="AI177" s="86">
        <f t="shared" si="45"/>
        <v>0</v>
      </c>
      <c r="AJ177" s="60">
        <f t="shared" si="38"/>
        <v>54.469200000000001</v>
      </c>
      <c r="AK177" s="145">
        <f>IF(AB177=1,IFERROR(S177/VLOOKUP(F177,'⑥战队统计表-B-a-②呈现-业绩明细表④'!A:C,3,0),0),0)</f>
        <v>2.5556450980252322E-2</v>
      </c>
      <c r="AL177" s="85" t="str">
        <f t="shared" si="41"/>
        <v/>
      </c>
      <c r="AM177" s="53" t="str">
        <f>IF(D177="顾问",_xlfn.XLOOKUP(F177,'⑥战队统计表-B-a-②呈现-业绩明细表④'!A:A,'⑥战队统计表-B-a-②呈现-业绩明细表④'!H:H,0),"")</f>
        <v/>
      </c>
      <c r="AN177" s="53" t="str">
        <f t="shared" si="48"/>
        <v>荣华北路+飞跃队</v>
      </c>
    </row>
    <row r="178" spans="1:40" hidden="1" x14ac:dyDescent="0.15">
      <c r="A178" s="79" t="s">
        <v>428</v>
      </c>
      <c r="B178" s="82" t="s">
        <v>193</v>
      </c>
      <c r="C178" s="81" t="s">
        <v>46</v>
      </c>
      <c r="D178" s="82" t="s">
        <v>6</v>
      </c>
      <c r="E178" s="82" t="s">
        <v>438</v>
      </c>
      <c r="F178" s="53" t="str">
        <f t="shared" si="32"/>
        <v>荣华北路+飞跃队</v>
      </c>
      <c r="G178" s="53">
        <f>IFERROR(_xlfn.XLOOKUP(B178,'①门店信息-A-a-①-增加'!B:B,'①门店信息-A-a-①-增加'!E:E,0),"")</f>
        <v>0</v>
      </c>
      <c r="H178" s="53">
        <f>_xlfn.XLOOKUP(B178,'①门店信息-A-a-①-增加'!B:B,'①门店信息-A-a-①-增加'!F:F,0)</f>
        <v>0</v>
      </c>
      <c r="I178" s="59">
        <f>_xlfn.XLOOKUP(E178,'③新店考核-B-a-②呈现-业绩明细表-③'!B:B,'③新店考核-B-a-②呈现-业绩明细表-③'!E:E,0)</f>
        <v>0</v>
      </c>
      <c r="J178" s="53">
        <f>_xlfn.XLOOKUP(E178,'③新店考核-B-a-②呈现-业绩明细表-③'!B:B,'③新店考核-B-a-②呈现-业绩明细表-③'!F:F,0)</f>
        <v>0</v>
      </c>
      <c r="K178" s="59">
        <f>IF(H178="新店一阶段",LOOKUP(I178,'②提成标准-B-a-①-增加'!$M$9:$M$12,'②提成标准-B-a-①-增加'!$O$9:$O$12),0)</f>
        <v>0</v>
      </c>
      <c r="L178" s="86">
        <f t="shared" si="33"/>
        <v>0</v>
      </c>
      <c r="M178" s="53">
        <f>_xlfn.XLOOKUP(E178,'③新店考核-B-a-②呈现-业绩明细表-③'!B:B,'③新店考核-B-a-②呈现-业绩明细表-③'!G:G,0)</f>
        <v>0</v>
      </c>
      <c r="N178" s="59" t="str">
        <f>LOOKUP(M178,'②提成标准-B-a-①-增加'!$M$1:$M$4,'②提成标准-B-a-①-增加'!$O$1:$O$4)</f>
        <v>同老店</v>
      </c>
      <c r="O178" s="53">
        <f>_xlfn.XLOOKUP(E178,'③新店考核-B-a-②呈现-业绩明细表-③'!B:B,'③新店考核-B-a-②呈现-业绩明细表-③'!H:H,0)</f>
        <v>0</v>
      </c>
      <c r="P178" s="53">
        <f t="shared" si="34"/>
        <v>0</v>
      </c>
      <c r="Q178" s="53">
        <f>_xlfn.XLOOKUP(E178,'④考勤-B-a-26考勤汇总表'!D:D,'④考勤-B-a-26考勤汇总表'!AP:AP,0)</f>
        <v>10</v>
      </c>
      <c r="R178" s="53" t="str">
        <f t="shared" si="43"/>
        <v>不足月</v>
      </c>
      <c r="S178" s="53">
        <f t="shared" si="36"/>
        <v>0</v>
      </c>
      <c r="T178" s="53">
        <v>0</v>
      </c>
      <c r="U178" s="53">
        <v>0</v>
      </c>
      <c r="V178" s="53">
        <v>0</v>
      </c>
      <c r="W178" s="53">
        <f>_xlfn.XLOOKUP(E178,'⑤项目数-B-a-③消耗明细表'!C:C,'⑤项目数-B-a-③消耗明细表'!E:E,0)</f>
        <v>1149.21</v>
      </c>
      <c r="X178" s="53">
        <f>_xlfn.XLOOKUP(E178,'⑤项目数-B-a-③消耗明细表'!C:C,'⑤项目数-B-a-③消耗明细表'!D:D,0)</f>
        <v>14</v>
      </c>
      <c r="Y178" s="53">
        <f>_xlfn.XLOOKUP(E178,'⑤项目数-B-a-③消耗明细表'!C:C,'⑤项目数-B-a-③消耗明细表'!F:F,0)</f>
        <v>178</v>
      </c>
      <c r="Z178" s="53">
        <f>_xlfn.XLOOKUP(E178,'⑤项目数-B-a-③消耗明细表'!C:C,'⑤项目数-B-a-③消耗明细表'!G:G,0)</f>
        <v>0</v>
      </c>
      <c r="AA178" s="84">
        <f t="shared" si="46"/>
        <v>1</v>
      </c>
      <c r="AB178" s="84">
        <f t="shared" si="47"/>
        <v>0</v>
      </c>
      <c r="AC178" s="53">
        <f>_xlfn.XLOOKUP(F178,'⑥战队统计表-B-a-②呈现-业绩明细表④'!A:A,'⑥战队统计表-B-a-②呈现-业绩明细表④'!B:B,0)</f>
        <v>2</v>
      </c>
      <c r="AD178" s="53">
        <f t="shared" si="37"/>
        <v>1</v>
      </c>
      <c r="AE178" s="59">
        <f>IF(AD178="",_xlfn.XLOOKUP(F178,'⑥战队统计表-B-a-②呈现-业绩明细表④'!A:A,'⑥战队统计表-B-a-②呈现-业绩明细表④'!D:D,0),0)</f>
        <v>0</v>
      </c>
      <c r="AF178" s="85">
        <f>IF(AND(E178="T区",E178="门店T区"),"",IF(AD178="",0,IF(R178="",LOOKUP(S178,'②提成标准-B-a-①-增加'!$B$16:$B$20,'②提成标准-B-a-①-增加'!$D$16:$D$20),LOOKUP(S178/Q178,'②提成标准-B-a-①-增加'!$B$23:$B$27,'②提成标准-B-a-①-增加'!$D$23:$D$27))))</f>
        <v>0</v>
      </c>
      <c r="AG178" s="85">
        <f t="shared" si="35"/>
        <v>0</v>
      </c>
      <c r="AH178" s="60">
        <f t="shared" si="44"/>
        <v>0</v>
      </c>
      <c r="AI178" s="86">
        <f t="shared" si="45"/>
        <v>0</v>
      </c>
      <c r="AJ178" s="60">
        <f t="shared" si="38"/>
        <v>0</v>
      </c>
      <c r="AK178" s="145">
        <f>IF(AB178=1,IFERROR(S178/VLOOKUP(F178,'⑥战队统计表-B-a-②呈现-业绩明细表④'!A:C,3,0),0),0)</f>
        <v>0</v>
      </c>
      <c r="AL178" s="85" t="str">
        <f t="shared" si="41"/>
        <v/>
      </c>
      <c r="AM178" s="53" t="str">
        <f>IF(D178="顾问",_xlfn.XLOOKUP(F178,'⑥战队统计表-B-a-②呈现-业绩明细表④'!A:A,'⑥战队统计表-B-a-②呈现-业绩明细表④'!H:H,0),"")</f>
        <v/>
      </c>
      <c r="AN178" s="53" t="str">
        <f t="shared" si="48"/>
        <v>单人</v>
      </c>
    </row>
    <row r="179" spans="1:40" hidden="1" x14ac:dyDescent="0.15">
      <c r="A179" s="79" t="s">
        <v>428</v>
      </c>
      <c r="B179" s="80" t="s">
        <v>193</v>
      </c>
      <c r="C179" s="81" t="s">
        <v>36</v>
      </c>
      <c r="D179" s="82" t="s">
        <v>36</v>
      </c>
      <c r="E179" s="82" t="s">
        <v>36</v>
      </c>
      <c r="F179" s="53" t="str">
        <f t="shared" si="32"/>
        <v>荣华北路+T区</v>
      </c>
      <c r="G179" s="53">
        <f>IFERROR(_xlfn.XLOOKUP(B179,'①门店信息-A-a-①-增加'!B:B,'①门店信息-A-a-①-增加'!E:E,0),"")</f>
        <v>0</v>
      </c>
      <c r="H179" s="54">
        <f>_xlfn.XLOOKUP(B179,'①门店信息-A-a-①-增加'!B:B,'①门店信息-A-a-①-增加'!F:F,0)</f>
        <v>0</v>
      </c>
      <c r="I179" s="55">
        <f>_xlfn.XLOOKUP(E179,'③新店考核-B-a-②呈现-业绩明细表-③'!B:B,'③新店考核-B-a-②呈现-业绩明细表-③'!E:E,0)</f>
        <v>0</v>
      </c>
      <c r="J179" s="54">
        <f>_xlfn.XLOOKUP(E179,'③新店考核-B-a-②呈现-业绩明细表-③'!B:B,'③新店考核-B-a-②呈现-业绩明细表-③'!F:F,0)</f>
        <v>0</v>
      </c>
      <c r="K179" s="55">
        <f>IF(H179="新店一阶段",LOOKUP(I179,'②提成标准-B-a-①-增加'!$M$9:$M$12,'②提成标准-B-a-①-增加'!$O$9:$O$12),0)</f>
        <v>0</v>
      </c>
      <c r="L179" s="56">
        <f t="shared" si="33"/>
        <v>0</v>
      </c>
      <c r="M179" s="57">
        <f>_xlfn.XLOOKUP(E179,'③新店考核-B-a-②呈现-业绩明细表-③'!B:B,'③新店考核-B-a-②呈现-业绩明细表-③'!G:G,0)</f>
        <v>0</v>
      </c>
      <c r="N179" s="58" t="str">
        <f>LOOKUP(M179,'②提成标准-B-a-①-增加'!$M$1:$M$4,'②提成标准-B-a-①-增加'!$O$1:$O$4)</f>
        <v>同老店</v>
      </c>
      <c r="O179" s="57">
        <f>_xlfn.XLOOKUP(E179,'③新店考核-B-a-②呈现-业绩明细表-③'!B:B,'③新店考核-B-a-②呈现-业绩明细表-③'!H:H,0)</f>
        <v>0</v>
      </c>
      <c r="P179" s="57">
        <f t="shared" si="34"/>
        <v>0</v>
      </c>
      <c r="Q179" s="53">
        <f>_xlfn.XLOOKUP(E179,'④考勤-B-a-26考勤汇总表'!D:D,'④考勤-B-a-26考勤汇总表'!AP:AP,0)</f>
        <v>0</v>
      </c>
      <c r="R179" s="53" t="str">
        <f t="shared" si="43"/>
        <v/>
      </c>
      <c r="S179" s="53">
        <f t="shared" si="36"/>
        <v>0</v>
      </c>
      <c r="T179" s="53">
        <v>0</v>
      </c>
      <c r="U179" s="53">
        <v>0</v>
      </c>
      <c r="V179" s="53">
        <v>0</v>
      </c>
      <c r="W179" s="53">
        <f>_xlfn.XLOOKUP(E179,'⑤项目数-B-a-③消耗明细表'!C:C,'⑤项目数-B-a-③消耗明细表'!E:E,0)</f>
        <v>0</v>
      </c>
      <c r="X179" s="53">
        <f>_xlfn.XLOOKUP(E179,'⑤项目数-B-a-③消耗明细表'!C:C,'⑤项目数-B-a-③消耗明细表'!D:D,0)</f>
        <v>0</v>
      </c>
      <c r="Y179" s="53">
        <f>_xlfn.XLOOKUP(E179,'⑤项目数-B-a-③消耗明细表'!C:C,'⑤项目数-B-a-③消耗明细表'!F:F,0)</f>
        <v>0</v>
      </c>
      <c r="Z179" s="53">
        <f>_xlfn.XLOOKUP(E179,'⑤项目数-B-a-③消耗明细表'!C:C,'⑤项目数-B-a-③消耗明细表'!G:G,0)</f>
        <v>0</v>
      </c>
      <c r="AA179" s="84" t="str">
        <f t="shared" si="46"/>
        <v>不属于战队</v>
      </c>
      <c r="AB179" s="84">
        <f t="shared" si="47"/>
        <v>0</v>
      </c>
      <c r="AC179" s="53">
        <f>_xlfn.XLOOKUP(F179,'⑥战队统计表-B-a-②呈现-业绩明细表④'!A:A,'⑥战队统计表-B-a-②呈现-业绩明细表④'!B:B,0)</f>
        <v>0</v>
      </c>
      <c r="AD179" s="53">
        <f t="shared" si="37"/>
        <v>1</v>
      </c>
      <c r="AE179" s="59">
        <f>IF(AD179="",_xlfn.XLOOKUP(F179,'⑥战队统计表-B-a-②呈现-业绩明细表④'!A:A,'⑥战队统计表-B-a-②呈现-业绩明细表④'!D:D,0),0)</f>
        <v>0</v>
      </c>
      <c r="AF179" s="85">
        <f>IF(AND(E179="T区",E179="门店T区"),"",IF(AD179="",0,IF(R179="",LOOKUP(S179,'②提成标准-B-a-①-增加'!$B$16:$B$20,'②提成标准-B-a-①-增加'!$D$16:$D$20),LOOKUP(S179/Q179,'②提成标准-B-a-①-增加'!$B$23:$B$27,'②提成标准-B-a-①-增加'!$D$23:$D$27))))</f>
        <v>0</v>
      </c>
      <c r="AG179" s="85">
        <f t="shared" si="35"/>
        <v>0</v>
      </c>
      <c r="AH179" s="60">
        <f t="shared" si="44"/>
        <v>0</v>
      </c>
      <c r="AI179" s="86">
        <f t="shared" si="45"/>
        <v>0</v>
      </c>
      <c r="AJ179" s="60">
        <f t="shared" si="38"/>
        <v>0</v>
      </c>
      <c r="AK179" s="87">
        <f>IF(AB179=1,IFERROR(S179/VLOOKUP(F179,'⑥战队统计表-B-a-②呈现-业绩明细表④'!A:C,3,0),0),0)</f>
        <v>0</v>
      </c>
      <c r="AL179" s="85" t="str">
        <f t="shared" si="41"/>
        <v/>
      </c>
      <c r="AM179" s="53" t="str">
        <f>IF(D179="顾问",_xlfn.XLOOKUP(F179,'⑥战队统计表-B-a-②呈现-业绩明细表④'!A:A,'⑥战队统计表-B-a-②呈现-业绩明细表④'!H:H,0),"")</f>
        <v/>
      </c>
      <c r="AN179" s="53" t="str">
        <f t="shared" si="48"/>
        <v>单人</v>
      </c>
    </row>
    <row r="180" spans="1:40" hidden="1" x14ac:dyDescent="0.15">
      <c r="A180" s="79" t="s">
        <v>428</v>
      </c>
      <c r="B180" s="80" t="s">
        <v>193</v>
      </c>
      <c r="C180" s="89" t="s">
        <v>146</v>
      </c>
      <c r="D180" s="90" t="s">
        <v>32</v>
      </c>
      <c r="E180" s="90" t="s">
        <v>195</v>
      </c>
      <c r="F180" s="53" t="str">
        <f t="shared" si="32"/>
        <v>荣华北路+无敌队</v>
      </c>
      <c r="G180" s="53">
        <f>IFERROR(_xlfn.XLOOKUP(B180,'①门店信息-A-a-①-增加'!B:B,'①门店信息-A-a-①-增加'!E:E,0),"")</f>
        <v>0</v>
      </c>
      <c r="H180" s="54">
        <f>_xlfn.XLOOKUP(B180,'①门店信息-A-a-①-增加'!B:B,'①门店信息-A-a-①-增加'!F:F,0)</f>
        <v>0</v>
      </c>
      <c r="I180" s="55">
        <f>_xlfn.XLOOKUP(E180,'③新店考核-B-a-②呈现-业绩明细表-③'!B:B,'③新店考核-B-a-②呈现-业绩明细表-③'!E:E,0)</f>
        <v>0</v>
      </c>
      <c r="J180" s="54">
        <f>_xlfn.XLOOKUP(E180,'③新店考核-B-a-②呈现-业绩明细表-③'!B:B,'③新店考核-B-a-②呈现-业绩明细表-③'!F:F,0)</f>
        <v>0</v>
      </c>
      <c r="K180" s="55">
        <f>IF(H180="新店一阶段",LOOKUP(I180,'②提成标准-B-a-①-增加'!$M$9:$M$12,'②提成标准-B-a-①-增加'!$O$9:$O$12),0)</f>
        <v>0</v>
      </c>
      <c r="L180" s="56">
        <f t="shared" si="33"/>
        <v>34626.800000000003</v>
      </c>
      <c r="M180" s="57">
        <f>_xlfn.XLOOKUP(E180,'③新店考核-B-a-②呈现-业绩明细表-③'!B:B,'③新店考核-B-a-②呈现-业绩明细表-③'!G:G,0)</f>
        <v>0</v>
      </c>
      <c r="N180" s="58" t="str">
        <f>LOOKUP(M180,'②提成标准-B-a-①-增加'!$M$1:$M$4,'②提成标准-B-a-①-增加'!$O$1:$O$4)</f>
        <v>同老店</v>
      </c>
      <c r="O180" s="57">
        <f>_xlfn.XLOOKUP(E180,'③新店考核-B-a-②呈现-业绩明细表-③'!B:B,'③新店考核-B-a-②呈现-业绩明细表-③'!H:H,0)</f>
        <v>0</v>
      </c>
      <c r="P180" s="57">
        <f t="shared" si="34"/>
        <v>34626.800000000003</v>
      </c>
      <c r="Q180" s="53">
        <f>_xlfn.XLOOKUP(E180,'④考勤-B-a-26考勤汇总表'!D:D,'④考勤-B-a-26考勤汇总表'!AP:AP,0)</f>
        <v>31</v>
      </c>
      <c r="R180" s="53" t="str">
        <f t="shared" si="43"/>
        <v/>
      </c>
      <c r="S180" s="53">
        <f t="shared" si="36"/>
        <v>40390.800000000003</v>
      </c>
      <c r="T180" s="53">
        <v>34626.800000000003</v>
      </c>
      <c r="U180" s="53">
        <v>3400</v>
      </c>
      <c r="V180" s="53">
        <v>2364</v>
      </c>
      <c r="W180" s="53">
        <f>_xlfn.XLOOKUP(E180,'⑤项目数-B-a-③消耗明细表'!C:C,'⑤项目数-B-a-③消耗明细表'!E:E,0)</f>
        <v>25746.36</v>
      </c>
      <c r="X180" s="53">
        <f>_xlfn.XLOOKUP(E180,'⑤项目数-B-a-③消耗明细表'!C:C,'⑤项目数-B-a-③消耗明细表'!D:D,0)</f>
        <v>123</v>
      </c>
      <c r="Y180" s="53">
        <f>_xlfn.XLOOKUP(E180,'⑤项目数-B-a-③消耗明细表'!C:C,'⑤项目数-B-a-③消耗明细表'!F:F,0)</f>
        <v>2035</v>
      </c>
      <c r="Z180" s="53">
        <f>_xlfn.XLOOKUP(E180,'⑤项目数-B-a-③消耗明细表'!C:C,'⑤项目数-B-a-③消耗明细表'!G:G,0)</f>
        <v>250</v>
      </c>
      <c r="AA180" s="84">
        <f t="shared" si="46"/>
        <v>1</v>
      </c>
      <c r="AB180" s="84">
        <f t="shared" si="47"/>
        <v>1</v>
      </c>
      <c r="AC180" s="53">
        <f>_xlfn.XLOOKUP(F180,'⑥战队统计表-B-a-②呈现-业绩明细表④'!A:A,'⑥战队统计表-B-a-②呈现-业绩明细表④'!B:B,0)</f>
        <v>3</v>
      </c>
      <c r="AD180" s="53" t="str">
        <f t="shared" si="37"/>
        <v/>
      </c>
      <c r="AE180" s="59">
        <f>IF(AD180="",_xlfn.XLOOKUP(F180,'⑥战队统计表-B-a-②呈现-业绩明细表④'!A:A,'⑥战队统计表-B-a-②呈现-业绩明细表④'!D:D,0),0)</f>
        <v>0.05</v>
      </c>
      <c r="AF180" s="85">
        <f>IF(AND(E180="T区",E180="门店T区"),"",IF(AD180="",0,IF(R180="",LOOKUP(S180,'②提成标准-B-a-①-增加'!$B$16:$B$20,'②提成标准-B-a-①-增加'!$D$16:$D$20),LOOKUP(S180/Q180,'②提成标准-B-a-①-增加'!$B$23:$B$27,'②提成标准-B-a-①-增加'!$D$23:$D$27))))</f>
        <v>0</v>
      </c>
      <c r="AG180" s="85">
        <f t="shared" si="35"/>
        <v>0.05</v>
      </c>
      <c r="AH180" s="60">
        <f t="shared" si="44"/>
        <v>1644.7730000000001</v>
      </c>
      <c r="AI180" s="86">
        <f t="shared" si="45"/>
        <v>104.97500000000001</v>
      </c>
      <c r="AJ180" s="60">
        <f t="shared" si="38"/>
        <v>1749.748</v>
      </c>
      <c r="AK180" s="87">
        <f>IF(AB180=1,IFERROR(S180/VLOOKUP(F180,'⑥战队统计表-B-a-②呈现-业绩明细表④'!A:C,3,0),0),0)</f>
        <v>0.41715517989267176</v>
      </c>
      <c r="AL180" s="85">
        <f t="shared" si="41"/>
        <v>0.5828448201073283</v>
      </c>
      <c r="AM180" s="53">
        <f>IF(D180="顾问",_xlfn.XLOOKUP(F180,'⑥战队统计表-B-a-②呈现-业绩明细表④'!A:A,'⑥战队统计表-B-a-②呈现-业绩明细表④'!H:H,0),"")</f>
        <v>774.6</v>
      </c>
      <c r="AN180" s="53" t="str">
        <f t="shared" si="48"/>
        <v>荣华北路+无敌队</v>
      </c>
    </row>
    <row r="181" spans="1:40" hidden="1" x14ac:dyDescent="0.15">
      <c r="A181" s="79" t="s">
        <v>428</v>
      </c>
      <c r="B181" s="80" t="s">
        <v>193</v>
      </c>
      <c r="C181" s="81" t="s">
        <v>146</v>
      </c>
      <c r="D181" s="82" t="s">
        <v>6</v>
      </c>
      <c r="E181" s="82" t="s">
        <v>196</v>
      </c>
      <c r="F181" s="53" t="str">
        <f t="shared" si="32"/>
        <v>荣华北路+无敌队</v>
      </c>
      <c r="G181" s="53">
        <f>IFERROR(_xlfn.XLOOKUP(B181,'①门店信息-A-a-①-增加'!B:B,'①门店信息-A-a-①-增加'!E:E,0),"")</f>
        <v>0</v>
      </c>
      <c r="H181" s="54">
        <f>_xlfn.XLOOKUP(B181,'①门店信息-A-a-①-增加'!B:B,'①门店信息-A-a-①-增加'!F:F,0)</f>
        <v>0</v>
      </c>
      <c r="I181" s="55">
        <f>_xlfn.XLOOKUP(E181,'③新店考核-B-a-②呈现-业绩明细表-③'!B:B,'③新店考核-B-a-②呈现-业绩明细表-③'!E:E,0)</f>
        <v>0</v>
      </c>
      <c r="J181" s="54">
        <f>_xlfn.XLOOKUP(E181,'③新店考核-B-a-②呈现-业绩明细表-③'!B:B,'③新店考核-B-a-②呈现-业绩明细表-③'!F:F,0)</f>
        <v>0</v>
      </c>
      <c r="K181" s="55">
        <f>IF(H181="新店一阶段",LOOKUP(I181,'②提成标准-B-a-①-增加'!$M$9:$M$12,'②提成标准-B-a-①-增加'!$O$9:$O$12),0)</f>
        <v>0</v>
      </c>
      <c r="L181" s="56">
        <f t="shared" si="33"/>
        <v>40748.1</v>
      </c>
      <c r="M181" s="57">
        <f>_xlfn.XLOOKUP(E181,'③新店考核-B-a-②呈现-业绩明细表-③'!B:B,'③新店考核-B-a-②呈现-业绩明细表-③'!G:G,0)</f>
        <v>0</v>
      </c>
      <c r="N181" s="58" t="str">
        <f>LOOKUP(M181,'②提成标准-B-a-①-增加'!$M$1:$M$4,'②提成标准-B-a-①-增加'!$O$1:$O$4)</f>
        <v>同老店</v>
      </c>
      <c r="O181" s="57">
        <f>_xlfn.XLOOKUP(E181,'③新店考核-B-a-②呈现-业绩明细表-③'!B:B,'③新店考核-B-a-②呈现-业绩明细表-③'!H:H,0)</f>
        <v>0</v>
      </c>
      <c r="P181" s="57">
        <f t="shared" si="34"/>
        <v>40748.1</v>
      </c>
      <c r="Q181" s="53">
        <f>_xlfn.XLOOKUP(E181,'④考勤-B-a-26考勤汇总表'!D:D,'④考勤-B-a-26考勤汇总表'!AP:AP,0)</f>
        <v>31</v>
      </c>
      <c r="R181" s="53" t="str">
        <f t="shared" si="43"/>
        <v/>
      </c>
      <c r="S181" s="53">
        <f t="shared" si="36"/>
        <v>40748.1</v>
      </c>
      <c r="T181" s="53">
        <v>40748.1</v>
      </c>
      <c r="U181" s="53">
        <v>0</v>
      </c>
      <c r="V181" s="53">
        <v>0</v>
      </c>
      <c r="W181" s="53">
        <f>_xlfn.XLOOKUP(E181,'⑤项目数-B-a-③消耗明细表'!C:C,'⑤项目数-B-a-③消耗明细表'!E:E,0)</f>
        <v>37325.57</v>
      </c>
      <c r="X181" s="53">
        <f>_xlfn.XLOOKUP(E181,'⑤项目数-B-a-③消耗明细表'!C:C,'⑤项目数-B-a-③消耗明细表'!D:D,0)</f>
        <v>116</v>
      </c>
      <c r="Y181" s="53">
        <f>_xlfn.XLOOKUP(E181,'⑤项目数-B-a-③消耗明细表'!C:C,'⑤项目数-B-a-③消耗明细表'!F:F,0)</f>
        <v>1256</v>
      </c>
      <c r="Z181" s="53">
        <f>_xlfn.XLOOKUP(E181,'⑤项目数-B-a-③消耗明细表'!C:C,'⑤项目数-B-a-③消耗明细表'!G:G,0)</f>
        <v>45</v>
      </c>
      <c r="AA181" s="84">
        <f t="shared" si="46"/>
        <v>1</v>
      </c>
      <c r="AB181" s="84">
        <f t="shared" si="47"/>
        <v>1</v>
      </c>
      <c r="AC181" s="53">
        <f>_xlfn.XLOOKUP(F181,'⑥战队统计表-B-a-②呈现-业绩明细表④'!A:A,'⑥战队统计表-B-a-②呈现-业绩明细表④'!B:B,0)</f>
        <v>3</v>
      </c>
      <c r="AD181" s="53" t="str">
        <f t="shared" si="37"/>
        <v/>
      </c>
      <c r="AE181" s="59">
        <f>IF(AD181="",_xlfn.XLOOKUP(F181,'⑥战队统计表-B-a-②呈现-业绩明细表④'!A:A,'⑥战队统计表-B-a-②呈现-业绩明细表④'!D:D,0),0)</f>
        <v>0.05</v>
      </c>
      <c r="AF181" s="85">
        <f>IF(AND(E181="T区",E181="门店T区"),"",IF(AD181="",0,IF(R181="",LOOKUP(S181,'②提成标准-B-a-①-增加'!$B$16:$B$20,'②提成标准-B-a-①-增加'!$D$16:$D$20),LOOKUP(S181/Q181,'②提成标准-B-a-①-增加'!$B$23:$B$27,'②提成标准-B-a-①-增加'!$D$23:$D$27))))</f>
        <v>0</v>
      </c>
      <c r="AG181" s="85">
        <f t="shared" si="35"/>
        <v>0.05</v>
      </c>
      <c r="AH181" s="60">
        <f t="shared" si="44"/>
        <v>1935.5347499999998</v>
      </c>
      <c r="AI181" s="86">
        <f t="shared" si="45"/>
        <v>0</v>
      </c>
      <c r="AJ181" s="60">
        <f t="shared" si="38"/>
        <v>1935.5347499999998</v>
      </c>
      <c r="AK181" s="87">
        <f>IF(AB181=1,IFERROR(S181/VLOOKUP(F181,'⑥战队统计表-B-a-②呈现-业绩明细表④'!A:C,3,0),0),0)</f>
        <v>0.42084536542441781</v>
      </c>
      <c r="AL181" s="85" t="str">
        <f t="shared" si="41"/>
        <v/>
      </c>
      <c r="AM181" s="53" t="str">
        <f>IF(D181="顾问",_xlfn.XLOOKUP(F181,'⑥战队统计表-B-a-②呈现-业绩明细表④'!A:A,'⑥战队统计表-B-a-②呈现-业绩明细表④'!H:H,0),"")</f>
        <v/>
      </c>
      <c r="AN181" s="53" t="str">
        <f t="shared" si="48"/>
        <v>荣华北路+无敌队</v>
      </c>
    </row>
    <row r="182" spans="1:40" hidden="1" x14ac:dyDescent="0.15">
      <c r="A182" s="79" t="s">
        <v>428</v>
      </c>
      <c r="B182" s="80" t="s">
        <v>193</v>
      </c>
      <c r="C182" s="81" t="s">
        <v>146</v>
      </c>
      <c r="D182" s="82" t="s">
        <v>6</v>
      </c>
      <c r="E182" s="82" t="s">
        <v>197</v>
      </c>
      <c r="F182" s="53" t="str">
        <f t="shared" si="32"/>
        <v>荣华北路+无敌队</v>
      </c>
      <c r="G182" s="53">
        <f>IFERROR(_xlfn.XLOOKUP(B182,'①门店信息-A-a-①-增加'!B:B,'①门店信息-A-a-①-增加'!E:E,0),"")</f>
        <v>0</v>
      </c>
      <c r="H182" s="54">
        <f>_xlfn.XLOOKUP(B182,'①门店信息-A-a-①-增加'!B:B,'①门店信息-A-a-①-增加'!F:F,0)</f>
        <v>0</v>
      </c>
      <c r="I182" s="55">
        <f>_xlfn.XLOOKUP(E182,'③新店考核-B-a-②呈现-业绩明细表-③'!B:B,'③新店考核-B-a-②呈现-业绩明细表-③'!E:E,0)</f>
        <v>0</v>
      </c>
      <c r="J182" s="54">
        <f>_xlfn.XLOOKUP(E182,'③新店考核-B-a-②呈现-业绩明细表-③'!B:B,'③新店考核-B-a-②呈现-业绩明细表-③'!F:F,0)</f>
        <v>0</v>
      </c>
      <c r="K182" s="55">
        <f>IF(H182="新店一阶段",LOOKUP(I182,'②提成标准-B-a-①-增加'!$M$9:$M$12,'②提成标准-B-a-①-增加'!$O$9:$O$12),0)</f>
        <v>0</v>
      </c>
      <c r="L182" s="56">
        <f t="shared" si="33"/>
        <v>12285.5</v>
      </c>
      <c r="M182" s="57">
        <f>_xlfn.XLOOKUP(E182,'③新店考核-B-a-②呈现-业绩明细表-③'!B:B,'③新店考核-B-a-②呈现-业绩明细表-③'!G:G,0)</f>
        <v>0</v>
      </c>
      <c r="N182" s="58" t="str">
        <f>LOOKUP(M182,'②提成标准-B-a-①-增加'!$M$1:$M$4,'②提成标准-B-a-①-增加'!$O$1:$O$4)</f>
        <v>同老店</v>
      </c>
      <c r="O182" s="57">
        <f>_xlfn.XLOOKUP(E182,'③新店考核-B-a-②呈现-业绩明细表-③'!B:B,'③新店考核-B-a-②呈现-业绩明细表-③'!H:H,0)</f>
        <v>0</v>
      </c>
      <c r="P182" s="57">
        <f t="shared" si="34"/>
        <v>12285.5</v>
      </c>
      <c r="Q182" s="53">
        <f>_xlfn.XLOOKUP(E182,'④考勤-B-a-26考勤汇总表'!D:D,'④考勤-B-a-26考勤汇总表'!AP:AP,0)</f>
        <v>31</v>
      </c>
      <c r="R182" s="53" t="str">
        <f t="shared" si="43"/>
        <v/>
      </c>
      <c r="S182" s="53">
        <f t="shared" si="36"/>
        <v>15685.5</v>
      </c>
      <c r="T182" s="53">
        <v>12285.5</v>
      </c>
      <c r="U182" s="53">
        <v>3400</v>
      </c>
      <c r="V182" s="53">
        <v>0</v>
      </c>
      <c r="W182" s="53">
        <f>_xlfn.XLOOKUP(E182,'⑤项目数-B-a-③消耗明细表'!C:C,'⑤项目数-B-a-③消耗明细表'!E:E,0)</f>
        <v>14841.44</v>
      </c>
      <c r="X182" s="53">
        <f>_xlfn.XLOOKUP(E182,'⑤项目数-B-a-③消耗明细表'!C:C,'⑤项目数-B-a-③消耗明细表'!D:D,0)</f>
        <v>104.5</v>
      </c>
      <c r="Y182" s="53">
        <f>_xlfn.XLOOKUP(E182,'⑤项目数-B-a-③消耗明细表'!C:C,'⑤项目数-B-a-③消耗明细表'!F:F,0)</f>
        <v>1112</v>
      </c>
      <c r="Z182" s="53">
        <f>_xlfn.XLOOKUP(E182,'⑤项目数-B-a-③消耗明细表'!C:C,'⑤项目数-B-a-③消耗明细表'!G:G,0)</f>
        <v>0</v>
      </c>
      <c r="AA182" s="84">
        <f t="shared" si="46"/>
        <v>1</v>
      </c>
      <c r="AB182" s="84">
        <f t="shared" si="47"/>
        <v>1</v>
      </c>
      <c r="AC182" s="53">
        <f>_xlfn.XLOOKUP(F182,'⑥战队统计表-B-a-②呈现-业绩明细表④'!A:A,'⑥战队统计表-B-a-②呈现-业绩明细表④'!B:B,0)</f>
        <v>3</v>
      </c>
      <c r="AD182" s="53" t="str">
        <f t="shared" si="37"/>
        <v/>
      </c>
      <c r="AE182" s="59">
        <f>IF(AD182="",_xlfn.XLOOKUP(F182,'⑥战队统计表-B-a-②呈现-业绩明细表④'!A:A,'⑥战队统计表-B-a-②呈现-业绩明细表④'!D:D,0),0)</f>
        <v>0.05</v>
      </c>
      <c r="AF182" s="85">
        <f>IF(AND(E182="T区",E182="门店T区"),"",IF(AD182="",0,IF(R182="",LOOKUP(S182,'②提成标准-B-a-①-增加'!$B$16:$B$20,'②提成标准-B-a-①-增加'!$D$16:$D$20),LOOKUP(S182/Q182,'②提成标准-B-a-①-增加'!$B$23:$B$27,'②提成标准-B-a-①-增加'!$D$23:$D$27))))</f>
        <v>0</v>
      </c>
      <c r="AG182" s="85">
        <f t="shared" si="35"/>
        <v>0.05</v>
      </c>
      <c r="AH182" s="60">
        <f t="shared" si="44"/>
        <v>583.56125000000009</v>
      </c>
      <c r="AI182" s="86">
        <f t="shared" si="45"/>
        <v>104.97500000000001</v>
      </c>
      <c r="AJ182" s="60">
        <f t="shared" si="38"/>
        <v>688.53625000000011</v>
      </c>
      <c r="AK182" s="87">
        <f>IF(AB182=1,IFERROR(S182/VLOOKUP(F182,'⑥战队统计表-B-a-②呈现-业绩明细表④'!A:C,3,0),0),0)</f>
        <v>0.16199945468291052</v>
      </c>
      <c r="AL182" s="85" t="str">
        <f t="shared" si="41"/>
        <v/>
      </c>
      <c r="AM182" s="53" t="str">
        <f>IF(D182="顾问",_xlfn.XLOOKUP(F182,'⑥战队统计表-B-a-②呈现-业绩明细表④'!A:A,'⑥战队统计表-B-a-②呈现-业绩明细表④'!H:H,0),"")</f>
        <v/>
      </c>
      <c r="AN182" s="53" t="str">
        <f t="shared" si="48"/>
        <v>荣华北路+无敌队</v>
      </c>
    </row>
    <row r="183" spans="1:40" hidden="1" x14ac:dyDescent="0.15">
      <c r="A183" s="79" t="s">
        <v>428</v>
      </c>
      <c r="B183" s="80" t="s">
        <v>193</v>
      </c>
      <c r="C183" s="81" t="s">
        <v>36</v>
      </c>
      <c r="D183" s="82" t="s">
        <v>36</v>
      </c>
      <c r="E183" s="82" t="s">
        <v>36</v>
      </c>
      <c r="F183" s="53" t="str">
        <f t="shared" si="32"/>
        <v>荣华北路+T区</v>
      </c>
      <c r="G183" s="53">
        <f>IFERROR(_xlfn.XLOOKUP(B183,'①门店信息-A-a-①-增加'!B:B,'①门店信息-A-a-①-增加'!E:E,0),"")</f>
        <v>0</v>
      </c>
      <c r="H183" s="54">
        <f>_xlfn.XLOOKUP(B183,'①门店信息-A-a-①-增加'!B:B,'①门店信息-A-a-①-增加'!F:F,0)</f>
        <v>0</v>
      </c>
      <c r="I183" s="55">
        <f>_xlfn.XLOOKUP(E183,'③新店考核-B-a-②呈现-业绩明细表-③'!B:B,'③新店考核-B-a-②呈现-业绩明细表-③'!E:E,0)</f>
        <v>0</v>
      </c>
      <c r="J183" s="54">
        <f>_xlfn.XLOOKUP(E183,'③新店考核-B-a-②呈现-业绩明细表-③'!B:B,'③新店考核-B-a-②呈现-业绩明细表-③'!F:F,0)</f>
        <v>0</v>
      </c>
      <c r="K183" s="55">
        <f>IF(H183="新店一阶段",LOOKUP(I183,'②提成标准-B-a-①-增加'!$M$9:$M$12,'②提成标准-B-a-①-增加'!$O$9:$O$12),0)</f>
        <v>0</v>
      </c>
      <c r="L183" s="56">
        <f t="shared" si="33"/>
        <v>0</v>
      </c>
      <c r="M183" s="57">
        <f>_xlfn.XLOOKUP(E183,'③新店考核-B-a-②呈现-业绩明细表-③'!B:B,'③新店考核-B-a-②呈现-业绩明细表-③'!G:G,0)</f>
        <v>0</v>
      </c>
      <c r="N183" s="58" t="str">
        <f>LOOKUP(M183,'②提成标准-B-a-①-增加'!$M$1:$M$4,'②提成标准-B-a-①-增加'!$O$1:$O$4)</f>
        <v>同老店</v>
      </c>
      <c r="O183" s="57">
        <f>_xlfn.XLOOKUP(E183,'③新店考核-B-a-②呈现-业绩明细表-③'!B:B,'③新店考核-B-a-②呈现-业绩明细表-③'!H:H,0)</f>
        <v>0</v>
      </c>
      <c r="P183" s="57">
        <f t="shared" si="34"/>
        <v>0</v>
      </c>
      <c r="Q183" s="53">
        <f>_xlfn.XLOOKUP(E183,'④考勤-B-a-26考勤汇总表'!D:D,'④考勤-B-a-26考勤汇总表'!AP:AP,0)</f>
        <v>0</v>
      </c>
      <c r="R183" s="53" t="str">
        <f t="shared" si="43"/>
        <v/>
      </c>
      <c r="S183" s="53">
        <f t="shared" si="36"/>
        <v>0</v>
      </c>
      <c r="T183" s="53">
        <v>0</v>
      </c>
      <c r="U183" s="53">
        <v>0</v>
      </c>
      <c r="V183" s="53">
        <v>0</v>
      </c>
      <c r="W183" s="53">
        <f>_xlfn.XLOOKUP(E183,'⑤项目数-B-a-③消耗明细表'!C:C,'⑤项目数-B-a-③消耗明细表'!E:E,0)</f>
        <v>0</v>
      </c>
      <c r="X183" s="53">
        <f>_xlfn.XLOOKUP(E183,'⑤项目数-B-a-③消耗明细表'!C:C,'⑤项目数-B-a-③消耗明细表'!D:D,0)</f>
        <v>0</v>
      </c>
      <c r="Y183" s="53">
        <f>_xlfn.XLOOKUP(E183,'⑤项目数-B-a-③消耗明细表'!C:C,'⑤项目数-B-a-③消耗明细表'!F:F,0)</f>
        <v>0</v>
      </c>
      <c r="Z183" s="53">
        <f>_xlfn.XLOOKUP(E183,'⑤项目数-B-a-③消耗明细表'!C:C,'⑤项目数-B-a-③消耗明细表'!G:G,0)</f>
        <v>0</v>
      </c>
      <c r="AA183" s="84" t="str">
        <f t="shared" si="46"/>
        <v>不属于战队</v>
      </c>
      <c r="AB183" s="84">
        <f t="shared" si="47"/>
        <v>0</v>
      </c>
      <c r="AC183" s="53">
        <f>_xlfn.XLOOKUP(F183,'⑥战队统计表-B-a-②呈现-业绩明细表④'!A:A,'⑥战队统计表-B-a-②呈现-业绩明细表④'!B:B,0)</f>
        <v>0</v>
      </c>
      <c r="AD183" s="53">
        <f t="shared" si="37"/>
        <v>1</v>
      </c>
      <c r="AE183" s="59">
        <f>IF(AD183="",_xlfn.XLOOKUP(F183,'⑥战队统计表-B-a-②呈现-业绩明细表④'!A:A,'⑥战队统计表-B-a-②呈现-业绩明细表④'!D:D,0),0)</f>
        <v>0</v>
      </c>
      <c r="AF183" s="85">
        <f>IF(AND(E183="T区",E183="门店T区"),"",IF(AD183="",0,IF(R183="",LOOKUP(S183,'②提成标准-B-a-①-增加'!$B$16:$B$20,'②提成标准-B-a-①-增加'!$D$16:$D$20),LOOKUP(S183/Q183,'②提成标准-B-a-①-增加'!$B$23:$B$27,'②提成标准-B-a-①-增加'!$D$23:$D$27))))</f>
        <v>0</v>
      </c>
      <c r="AG183" s="85">
        <f t="shared" si="35"/>
        <v>0</v>
      </c>
      <c r="AH183" s="60">
        <f t="shared" si="44"/>
        <v>0</v>
      </c>
      <c r="AI183" s="86">
        <f t="shared" si="45"/>
        <v>0</v>
      </c>
      <c r="AJ183" s="60">
        <f t="shared" si="38"/>
        <v>0</v>
      </c>
      <c r="AK183" s="87">
        <f>IF(AB183=1,IFERROR(S183/VLOOKUP(F183,'⑥战队统计表-B-a-②呈现-业绩明细表④'!A:C,3,0),0),0)</f>
        <v>0</v>
      </c>
      <c r="AL183" s="85" t="str">
        <f t="shared" si="41"/>
        <v/>
      </c>
      <c r="AM183" s="53" t="str">
        <f>IF(D183="顾问",_xlfn.XLOOKUP(F183,'⑥战队统计表-B-a-②呈现-业绩明细表④'!A:A,'⑥战队统计表-B-a-②呈现-业绩明细表④'!H:H,0),"")</f>
        <v/>
      </c>
      <c r="AN183" s="53" t="str">
        <f t="shared" si="48"/>
        <v>单人</v>
      </c>
    </row>
    <row r="184" spans="1:40" hidden="1" x14ac:dyDescent="0.15">
      <c r="A184" s="79" t="s">
        <v>428</v>
      </c>
      <c r="B184" s="80" t="s">
        <v>193</v>
      </c>
      <c r="C184" s="81" t="s">
        <v>40</v>
      </c>
      <c r="D184" s="82" t="s">
        <v>40</v>
      </c>
      <c r="E184" s="88" t="str">
        <f>F184</f>
        <v>荣华北路+门店T区</v>
      </c>
      <c r="F184" s="53" t="str">
        <f t="shared" si="32"/>
        <v>荣华北路+门店T区</v>
      </c>
      <c r="G184" s="53">
        <f>IFERROR(_xlfn.XLOOKUP(B184,'①门店信息-A-a-①-增加'!B:B,'①门店信息-A-a-①-增加'!E:E,0),"")</f>
        <v>0</v>
      </c>
      <c r="H184" s="54">
        <f>_xlfn.XLOOKUP(B184,'①门店信息-A-a-①-增加'!B:B,'①门店信息-A-a-①-增加'!F:F,0)</f>
        <v>0</v>
      </c>
      <c r="I184" s="55">
        <f>_xlfn.XLOOKUP(E184,'③新店考核-B-a-②呈现-业绩明细表-③'!B:B,'③新店考核-B-a-②呈现-业绩明细表-③'!E:E,0)</f>
        <v>0</v>
      </c>
      <c r="J184" s="54">
        <f>_xlfn.XLOOKUP(E184,'③新店考核-B-a-②呈现-业绩明细表-③'!B:B,'③新店考核-B-a-②呈现-业绩明细表-③'!F:F,0)</f>
        <v>0</v>
      </c>
      <c r="K184" s="55">
        <f>IF(H184="新店一阶段",LOOKUP(I184,'②提成标准-B-a-①-增加'!$M$9:$M$12,'②提成标准-B-a-①-增加'!$O$9:$O$12),0)</f>
        <v>0</v>
      </c>
      <c r="L184" s="56">
        <f t="shared" si="33"/>
        <v>1038.5999999999999</v>
      </c>
      <c r="M184" s="57">
        <f>_xlfn.XLOOKUP(E184,'③新店考核-B-a-②呈现-业绩明细表-③'!B:B,'③新店考核-B-a-②呈现-业绩明细表-③'!G:G,0)</f>
        <v>0</v>
      </c>
      <c r="N184" s="58" t="str">
        <f>LOOKUP(M184,'②提成标准-B-a-①-增加'!$M$1:$M$4,'②提成标准-B-a-①-增加'!$O$1:$O$4)</f>
        <v>同老店</v>
      </c>
      <c r="O184" s="57">
        <f>_xlfn.XLOOKUP(E184,'③新店考核-B-a-②呈现-业绩明细表-③'!B:B,'③新店考核-B-a-②呈现-业绩明细表-③'!H:H,0)</f>
        <v>0</v>
      </c>
      <c r="P184" s="57">
        <f t="shared" si="34"/>
        <v>1038.5999999999999</v>
      </c>
      <c r="Q184" s="53">
        <f>_xlfn.XLOOKUP(E184,'④考勤-B-a-26考勤汇总表'!D:D,'④考勤-B-a-26考勤汇总表'!AP:AP,0)</f>
        <v>0</v>
      </c>
      <c r="R184" s="53" t="str">
        <f t="shared" si="43"/>
        <v/>
      </c>
      <c r="S184" s="53">
        <f t="shared" si="36"/>
        <v>1038.5999999999999</v>
      </c>
      <c r="T184" s="53">
        <v>1038.5999999999999</v>
      </c>
      <c r="U184" s="53">
        <v>0</v>
      </c>
      <c r="V184" s="53">
        <v>0</v>
      </c>
      <c r="W184" s="53">
        <f>_xlfn.XLOOKUP(E184,'⑤项目数-B-a-③消耗明细表'!C:C,'⑤项目数-B-a-③消耗明细表'!E:E,0)</f>
        <v>0</v>
      </c>
      <c r="X184" s="53">
        <f>_xlfn.XLOOKUP(E184,'⑤项目数-B-a-③消耗明细表'!C:C,'⑤项目数-B-a-③消耗明细表'!D:D,0)</f>
        <v>0</v>
      </c>
      <c r="Y184" s="53">
        <f>_xlfn.XLOOKUP(E184,'⑤项目数-B-a-③消耗明细表'!C:C,'⑤项目数-B-a-③消耗明细表'!F:F,0)</f>
        <v>0</v>
      </c>
      <c r="Z184" s="53">
        <f>_xlfn.XLOOKUP(E184,'⑤项目数-B-a-③消耗明细表'!C:C,'⑤项目数-B-a-③消耗明细表'!G:G,0)</f>
        <v>0</v>
      </c>
      <c r="AA184" s="84">
        <f t="shared" si="46"/>
        <v>1</v>
      </c>
      <c r="AB184" s="84">
        <f t="shared" si="47"/>
        <v>0</v>
      </c>
      <c r="AC184" s="53">
        <f>_xlfn.XLOOKUP(F184,'⑥战队统计表-B-a-②呈现-业绩明细表④'!A:A,'⑥战队统计表-B-a-②呈现-业绩明细表④'!B:B,0)</f>
        <v>0</v>
      </c>
      <c r="AD184" s="53">
        <f t="shared" si="37"/>
        <v>1</v>
      </c>
      <c r="AE184" s="59">
        <f>IF(AD184="",_xlfn.XLOOKUP(F184,'⑥战队统计表-B-a-②呈现-业绩明细表④'!A:A,'⑥战队统计表-B-a-②呈现-业绩明细表④'!D:D,0),0)</f>
        <v>0</v>
      </c>
      <c r="AF184" s="85">
        <f>IF(AND(E184="T区",E184="门店T区"),"",IF(AD184="",0,IF(R184="",LOOKUP(S184,'②提成标准-B-a-①-增加'!$B$16:$B$20,'②提成标准-B-a-①-增加'!$D$16:$D$20),LOOKUP(S184/Q184,'②提成标准-B-a-①-增加'!$B$23:$B$27,'②提成标准-B-a-①-增加'!$D$23:$D$27))))</f>
        <v>0</v>
      </c>
      <c r="AG184" s="85">
        <f t="shared" si="35"/>
        <v>0</v>
      </c>
      <c r="AH184" s="60">
        <f t="shared" si="44"/>
        <v>0</v>
      </c>
      <c r="AI184" s="86">
        <f t="shared" si="45"/>
        <v>0</v>
      </c>
      <c r="AJ184" s="60">
        <f t="shared" si="38"/>
        <v>0</v>
      </c>
      <c r="AK184" s="87">
        <f>IF(AB184=1,IFERROR(S184/VLOOKUP(F184,'⑥战队统计表-B-a-②呈现-业绩明细表④'!A:C,3,0),0),0)</f>
        <v>0</v>
      </c>
      <c r="AL184" s="85" t="str">
        <f t="shared" si="41"/>
        <v/>
      </c>
      <c r="AM184" s="53" t="str">
        <f>IF(D184="顾问",_xlfn.XLOOKUP(F184,'⑥战队统计表-B-a-②呈现-业绩明细表④'!A:A,'⑥战队统计表-B-a-②呈现-业绩明细表④'!H:H,0),"")</f>
        <v/>
      </c>
      <c r="AN184" s="53" t="str">
        <f t="shared" si="48"/>
        <v>单人</v>
      </c>
    </row>
    <row r="185" spans="1:40" hidden="1" x14ac:dyDescent="0.15">
      <c r="A185" s="79" t="s">
        <v>428</v>
      </c>
      <c r="B185" s="80" t="s">
        <v>198</v>
      </c>
      <c r="C185" s="81" t="s">
        <v>199</v>
      </c>
      <c r="D185" s="82" t="s">
        <v>32</v>
      </c>
      <c r="E185" s="82" t="s">
        <v>200</v>
      </c>
      <c r="F185" s="53" t="str">
        <f t="shared" si="32"/>
        <v>紫荆+雄鹰队</v>
      </c>
      <c r="G185" s="53">
        <f>IFERROR(_xlfn.XLOOKUP(B185,'①门店信息-A-a-①-增加'!B:B,'①门店信息-A-a-①-增加'!E:E,0),"")</f>
        <v>0</v>
      </c>
      <c r="H185" s="54">
        <f>_xlfn.XLOOKUP(B185,'①门店信息-A-a-①-增加'!B:B,'①门店信息-A-a-①-增加'!F:F,0)</f>
        <v>0</v>
      </c>
      <c r="I185" s="55">
        <f>_xlfn.XLOOKUP(E185,'③新店考核-B-a-②呈现-业绩明细表-③'!B:B,'③新店考核-B-a-②呈现-业绩明细表-③'!E:E,0)</f>
        <v>0</v>
      </c>
      <c r="J185" s="54">
        <f>_xlfn.XLOOKUP(E185,'③新店考核-B-a-②呈现-业绩明细表-③'!B:B,'③新店考核-B-a-②呈现-业绩明细表-③'!F:F,0)</f>
        <v>0</v>
      </c>
      <c r="K185" s="55">
        <f>IF(H185="新店一阶段",LOOKUP(I185,'②提成标准-B-a-①-增加'!$M$9:$M$12,'②提成标准-B-a-①-增加'!$O$9:$O$12),0)</f>
        <v>0</v>
      </c>
      <c r="L185" s="56">
        <f t="shared" si="33"/>
        <v>96576.9</v>
      </c>
      <c r="M185" s="57">
        <f>_xlfn.XLOOKUP(E185,'③新店考核-B-a-②呈现-业绩明细表-③'!B:B,'③新店考核-B-a-②呈现-业绩明细表-③'!G:G,0)</f>
        <v>0</v>
      </c>
      <c r="N185" s="58" t="str">
        <f>LOOKUP(M185,'②提成标准-B-a-①-增加'!$M$1:$M$4,'②提成标准-B-a-①-增加'!$O$1:$O$4)</f>
        <v>同老店</v>
      </c>
      <c r="O185" s="57">
        <f>_xlfn.XLOOKUP(E185,'③新店考核-B-a-②呈现-业绩明细表-③'!B:B,'③新店考核-B-a-②呈现-业绩明细表-③'!H:H,0)</f>
        <v>0</v>
      </c>
      <c r="P185" s="57">
        <f t="shared" si="34"/>
        <v>96576.9</v>
      </c>
      <c r="Q185" s="53">
        <f>_xlfn.XLOOKUP(E185,'④考勤-B-a-26考勤汇总表'!D:D,'④考勤-B-a-26考勤汇总表'!AP:AP,0)</f>
        <v>31</v>
      </c>
      <c r="R185" s="53" t="str">
        <f t="shared" si="43"/>
        <v/>
      </c>
      <c r="S185" s="53">
        <f t="shared" si="36"/>
        <v>106558.9</v>
      </c>
      <c r="T185" s="53">
        <v>96576.9</v>
      </c>
      <c r="U185" s="53">
        <v>9982</v>
      </c>
      <c r="V185" s="53">
        <v>0</v>
      </c>
      <c r="W185" s="53">
        <f>_xlfn.XLOOKUP(E185,'⑤项目数-B-a-③消耗明细表'!C:C,'⑤项目数-B-a-③消耗明细表'!E:E,0)</f>
        <v>53433.05</v>
      </c>
      <c r="X185" s="53">
        <f>_xlfn.XLOOKUP(E185,'⑤项目数-B-a-③消耗明细表'!C:C,'⑤项目数-B-a-③消耗明细表'!D:D,0)</f>
        <v>120.5</v>
      </c>
      <c r="Y185" s="53">
        <f>_xlfn.XLOOKUP(E185,'⑤项目数-B-a-③消耗明细表'!C:C,'⑤项目数-B-a-③消耗明细表'!F:F,0)</f>
        <v>1692</v>
      </c>
      <c r="Z185" s="53">
        <f>_xlfn.XLOOKUP(E185,'⑤项目数-B-a-③消耗明细表'!C:C,'⑤项目数-B-a-③消耗明细表'!G:G,0)</f>
        <v>235</v>
      </c>
      <c r="AA185" s="84">
        <f t="shared" si="46"/>
        <v>1</v>
      </c>
      <c r="AB185" s="84">
        <f t="shared" si="47"/>
        <v>1</v>
      </c>
      <c r="AC185" s="53">
        <f>_xlfn.XLOOKUP(F185,'⑥战队统计表-B-a-②呈现-业绩明细表④'!A:A,'⑥战队统计表-B-a-②呈现-业绩明细表④'!B:B,0)</f>
        <v>3</v>
      </c>
      <c r="AD185" s="53" t="str">
        <f t="shared" si="37"/>
        <v/>
      </c>
      <c r="AE185" s="59">
        <f>IF(AD185="",_xlfn.XLOOKUP(F185,'⑥战队统计表-B-a-②呈现-业绩明细表④'!A:A,'⑥战队统计表-B-a-②呈现-业绩明细表④'!D:D,0),0)</f>
        <v>7.0000000000000007E-2</v>
      </c>
      <c r="AF185" s="85">
        <f>IF(AND(E185="T区",E185="门店T区"),"",IF(AD185="",0,IF(R185="",LOOKUP(S185,'②提成标准-B-a-①-增加'!$B$16:$B$20,'②提成标准-B-a-①-增加'!$D$16:$D$20),LOOKUP(S185/Q185,'②提成标准-B-a-①-增加'!$B$23:$B$27,'②提成标准-B-a-①-增加'!$D$23:$D$27))))</f>
        <v>0</v>
      </c>
      <c r="AG185" s="85">
        <f t="shared" si="35"/>
        <v>7.0000000000000007E-2</v>
      </c>
      <c r="AH185" s="60">
        <f t="shared" si="44"/>
        <v>6422.3638499999997</v>
      </c>
      <c r="AI185" s="86">
        <f t="shared" si="45"/>
        <v>431.47195000000011</v>
      </c>
      <c r="AJ185" s="60">
        <f t="shared" si="38"/>
        <v>6853.8357999999998</v>
      </c>
      <c r="AK185" s="87">
        <f>IF(AB185=1,IFERROR(S185/VLOOKUP(F185,'⑥战队统计表-B-a-②呈现-业绩明细表④'!A:C,3,0),0),0)</f>
        <v>0.41580975258752151</v>
      </c>
      <c r="AL185" s="85">
        <f t="shared" si="41"/>
        <v>0.58419024741247849</v>
      </c>
      <c r="AM185" s="53">
        <f>IF(D185="顾问",_xlfn.XLOOKUP(F185,'⑥战队统计表-B-a-②呈现-业绩明细表④'!A:A,'⑥战队统计表-B-a-②呈现-业绩明细表④'!H:H,0),"")</f>
        <v>2050.15</v>
      </c>
      <c r="AN185" s="53" t="str">
        <f t="shared" si="48"/>
        <v>紫荆+雄鹰队</v>
      </c>
    </row>
    <row r="186" spans="1:40" hidden="1" x14ac:dyDescent="0.15">
      <c r="A186" s="79" t="s">
        <v>428</v>
      </c>
      <c r="B186" s="80" t="s">
        <v>198</v>
      </c>
      <c r="C186" s="81" t="s">
        <v>199</v>
      </c>
      <c r="D186" s="82" t="s">
        <v>6</v>
      </c>
      <c r="E186" s="82" t="s">
        <v>201</v>
      </c>
      <c r="F186" s="53" t="str">
        <f t="shared" si="32"/>
        <v>紫荆+雄鹰队</v>
      </c>
      <c r="G186" s="53">
        <f>IFERROR(_xlfn.XLOOKUP(B186,'①门店信息-A-a-①-增加'!B:B,'①门店信息-A-a-①-增加'!E:E,0),"")</f>
        <v>0</v>
      </c>
      <c r="H186" s="54">
        <f>_xlfn.XLOOKUP(B186,'①门店信息-A-a-①-增加'!B:B,'①门店信息-A-a-①-增加'!F:F,0)</f>
        <v>0</v>
      </c>
      <c r="I186" s="55">
        <f>_xlfn.XLOOKUP(E186,'③新店考核-B-a-②呈现-业绩明细表-③'!B:B,'③新店考核-B-a-②呈现-业绩明细表-③'!E:E,0)</f>
        <v>0</v>
      </c>
      <c r="J186" s="54">
        <f>_xlfn.XLOOKUP(E186,'③新店考核-B-a-②呈现-业绩明细表-③'!B:B,'③新店考核-B-a-②呈现-业绩明细表-③'!F:F,0)</f>
        <v>0</v>
      </c>
      <c r="K186" s="55">
        <f>IF(H186="新店一阶段",LOOKUP(I186,'②提成标准-B-a-①-增加'!$M$9:$M$12,'②提成标准-B-a-①-增加'!$O$9:$O$12),0)</f>
        <v>0</v>
      </c>
      <c r="L186" s="56">
        <f t="shared" si="33"/>
        <v>105738.5</v>
      </c>
      <c r="M186" s="57">
        <f>_xlfn.XLOOKUP(E186,'③新店考核-B-a-②呈现-业绩明细表-③'!B:B,'③新店考核-B-a-②呈现-业绩明细表-③'!G:G,0)</f>
        <v>0</v>
      </c>
      <c r="N186" s="58" t="str">
        <f>LOOKUP(M186,'②提成标准-B-a-①-增加'!$M$1:$M$4,'②提成标准-B-a-①-增加'!$O$1:$O$4)</f>
        <v>同老店</v>
      </c>
      <c r="O186" s="57">
        <f>_xlfn.XLOOKUP(E186,'③新店考核-B-a-②呈现-业绩明细表-③'!B:B,'③新店考核-B-a-②呈现-业绩明细表-③'!H:H,0)</f>
        <v>0</v>
      </c>
      <c r="P186" s="57">
        <f t="shared" si="34"/>
        <v>105738.5</v>
      </c>
      <c r="Q186" s="53">
        <f>_xlfn.XLOOKUP(E186,'④考勤-B-a-26考勤汇总表'!D:D,'④考勤-B-a-26考勤汇总表'!AP:AP,0)</f>
        <v>31</v>
      </c>
      <c r="R186" s="53" t="str">
        <f t="shared" si="43"/>
        <v/>
      </c>
      <c r="S186" s="53">
        <f t="shared" si="36"/>
        <v>112622.5</v>
      </c>
      <c r="T186" s="53">
        <v>105738.5</v>
      </c>
      <c r="U186" s="53">
        <v>6884</v>
      </c>
      <c r="V186" s="53">
        <v>0</v>
      </c>
      <c r="W186" s="53">
        <f>_xlfn.XLOOKUP(E186,'⑤项目数-B-a-③消耗明细表'!C:C,'⑤项目数-B-a-③消耗明细表'!E:E,0)</f>
        <v>33731.67</v>
      </c>
      <c r="X186" s="53">
        <f>_xlfn.XLOOKUP(E186,'⑤项目数-B-a-③消耗明细表'!C:C,'⑤项目数-B-a-③消耗明细表'!D:D,0)</f>
        <v>128</v>
      </c>
      <c r="Y186" s="53">
        <f>_xlfn.XLOOKUP(E186,'⑤项目数-B-a-③消耗明细表'!C:C,'⑤项目数-B-a-③消耗明细表'!F:F,0)</f>
        <v>1541</v>
      </c>
      <c r="Z186" s="53">
        <f>_xlfn.XLOOKUP(E186,'⑤项目数-B-a-③消耗明细表'!C:C,'⑤项目数-B-a-③消耗明细表'!G:G,0)</f>
        <v>95</v>
      </c>
      <c r="AA186" s="84">
        <f t="shared" si="46"/>
        <v>1</v>
      </c>
      <c r="AB186" s="84">
        <f t="shared" si="47"/>
        <v>1</v>
      </c>
      <c r="AC186" s="53">
        <f>_xlfn.XLOOKUP(F186,'⑥战队统计表-B-a-②呈现-业绩明细表④'!A:A,'⑥战队统计表-B-a-②呈现-业绩明细表④'!B:B,0)</f>
        <v>3</v>
      </c>
      <c r="AD186" s="53" t="str">
        <f t="shared" si="37"/>
        <v/>
      </c>
      <c r="AE186" s="59">
        <f>IF(AD186="",_xlfn.XLOOKUP(F186,'⑥战队统计表-B-a-②呈现-业绩明细表④'!A:A,'⑥战队统计表-B-a-②呈现-业绩明细表④'!D:D,0),0)</f>
        <v>7.0000000000000007E-2</v>
      </c>
      <c r="AF186" s="85">
        <f>IF(AND(E186="T区",E186="门店T区"),"",IF(AD186="",0,IF(R186="",LOOKUP(S186,'②提成标准-B-a-①-增加'!$B$16:$B$20,'②提成标准-B-a-①-增加'!$D$16:$D$20),LOOKUP(S186/Q186,'②提成标准-B-a-①-增加'!$B$23:$B$27,'②提成标准-B-a-①-增加'!$D$23:$D$27))))</f>
        <v>0</v>
      </c>
      <c r="AG186" s="85">
        <f t="shared" si="35"/>
        <v>7.0000000000000007E-2</v>
      </c>
      <c r="AH186" s="60">
        <f t="shared" si="44"/>
        <v>7031.6102500000006</v>
      </c>
      <c r="AI186" s="86">
        <f t="shared" si="45"/>
        <v>297.5609</v>
      </c>
      <c r="AJ186" s="60">
        <f t="shared" si="38"/>
        <v>7329.171150000001</v>
      </c>
      <c r="AK186" s="87">
        <f>IF(AB186=1,IFERROR(S186/VLOOKUP(F186,'⑥战队统计表-B-a-②呈现-业绩明细表④'!A:C,3,0),0),0)</f>
        <v>0.4394708828712397</v>
      </c>
      <c r="AL186" s="85" t="str">
        <f t="shared" si="41"/>
        <v/>
      </c>
      <c r="AM186" s="53" t="str">
        <f>IF(D186="顾问",_xlfn.XLOOKUP(F186,'⑥战队统计表-B-a-②呈现-业绩明细表④'!A:A,'⑥战队统计表-B-a-②呈现-业绩明细表④'!H:H,0),"")</f>
        <v/>
      </c>
      <c r="AN186" s="53" t="str">
        <f t="shared" si="48"/>
        <v>紫荆+雄鹰队</v>
      </c>
    </row>
    <row r="187" spans="1:40" hidden="1" x14ac:dyDescent="0.15">
      <c r="A187" s="79" t="s">
        <v>428</v>
      </c>
      <c r="B187" s="80" t="s">
        <v>198</v>
      </c>
      <c r="C187" s="81" t="s">
        <v>199</v>
      </c>
      <c r="D187" s="82" t="s">
        <v>6</v>
      </c>
      <c r="E187" s="82" t="s">
        <v>202</v>
      </c>
      <c r="F187" s="53" t="str">
        <f t="shared" si="32"/>
        <v>紫荆+雄鹰队</v>
      </c>
      <c r="G187" s="53">
        <f>IFERROR(_xlfn.XLOOKUP(B187,'①门店信息-A-a-①-增加'!B:B,'①门店信息-A-a-①-增加'!E:E,0),"")</f>
        <v>0</v>
      </c>
      <c r="H187" s="54">
        <f>_xlfn.XLOOKUP(B187,'①门店信息-A-a-①-增加'!B:B,'①门店信息-A-a-①-增加'!F:F,0)</f>
        <v>0</v>
      </c>
      <c r="I187" s="55">
        <f>_xlfn.XLOOKUP(E187,'③新店考核-B-a-②呈现-业绩明细表-③'!B:B,'③新店考核-B-a-②呈现-业绩明细表-③'!E:E,0)</f>
        <v>0</v>
      </c>
      <c r="J187" s="54">
        <f>_xlfn.XLOOKUP(E187,'③新店考核-B-a-②呈现-业绩明细表-③'!B:B,'③新店考核-B-a-②呈现-业绩明细表-③'!F:F,0)</f>
        <v>0</v>
      </c>
      <c r="K187" s="55">
        <f>IF(H187="新店一阶段",LOOKUP(I187,'②提成标准-B-a-①-增加'!$M$9:$M$12,'②提成标准-B-a-①-增加'!$O$9:$O$12),0)</f>
        <v>0</v>
      </c>
      <c r="L187" s="56">
        <f t="shared" si="33"/>
        <v>12376</v>
      </c>
      <c r="M187" s="57">
        <f>_xlfn.XLOOKUP(E187,'③新店考核-B-a-②呈现-业绩明细表-③'!B:B,'③新店考核-B-a-②呈现-业绩明细表-③'!G:G,0)</f>
        <v>0</v>
      </c>
      <c r="N187" s="58" t="str">
        <f>LOOKUP(M187,'②提成标准-B-a-①-增加'!$M$1:$M$4,'②提成标准-B-a-①-增加'!$O$1:$O$4)</f>
        <v>同老店</v>
      </c>
      <c r="O187" s="57">
        <f>_xlfn.XLOOKUP(E187,'③新店考核-B-a-②呈现-业绩明细表-③'!B:B,'③新店考核-B-a-②呈现-业绩明细表-③'!H:H,0)</f>
        <v>0</v>
      </c>
      <c r="P187" s="57">
        <f t="shared" si="34"/>
        <v>12376</v>
      </c>
      <c r="Q187" s="53">
        <f>_xlfn.XLOOKUP(E187,'④考勤-B-a-26考勤汇总表'!D:D,'④考勤-B-a-26考勤汇总表'!AP:AP,0)</f>
        <v>31</v>
      </c>
      <c r="R187" s="53" t="str">
        <f t="shared" si="43"/>
        <v/>
      </c>
      <c r="S187" s="53">
        <f t="shared" si="36"/>
        <v>37087</v>
      </c>
      <c r="T187" s="53">
        <v>12376</v>
      </c>
      <c r="U187" s="53">
        <v>24091</v>
      </c>
      <c r="V187" s="53">
        <v>620</v>
      </c>
      <c r="W187" s="53">
        <f>_xlfn.XLOOKUP(E187,'⑤项目数-B-a-③消耗明细表'!C:C,'⑤项目数-B-a-③消耗明细表'!E:E,0)</f>
        <v>7885.26</v>
      </c>
      <c r="X187" s="53">
        <f>_xlfn.XLOOKUP(E187,'⑤项目数-B-a-③消耗明细表'!C:C,'⑤项目数-B-a-③消耗明细表'!D:D,0)</f>
        <v>99</v>
      </c>
      <c r="Y187" s="53">
        <f>_xlfn.XLOOKUP(E187,'⑤项目数-B-a-③消耗明细表'!C:C,'⑤项目数-B-a-③消耗明细表'!F:F,0)</f>
        <v>1208</v>
      </c>
      <c r="Z187" s="53">
        <f>_xlfn.XLOOKUP(E187,'⑤项目数-B-a-③消耗明细表'!C:C,'⑤项目数-B-a-③消耗明细表'!G:G,0)</f>
        <v>37.5</v>
      </c>
      <c r="AA187" s="84">
        <f t="shared" si="46"/>
        <v>1</v>
      </c>
      <c r="AB187" s="84">
        <f t="shared" si="47"/>
        <v>1</v>
      </c>
      <c r="AC187" s="53">
        <f>_xlfn.XLOOKUP(F187,'⑥战队统计表-B-a-②呈现-业绩明细表④'!A:A,'⑥战队统计表-B-a-②呈现-业绩明细表④'!B:B,0)</f>
        <v>3</v>
      </c>
      <c r="AD187" s="53" t="str">
        <f t="shared" si="37"/>
        <v/>
      </c>
      <c r="AE187" s="59">
        <f>IF(AD187="",_xlfn.XLOOKUP(F187,'⑥战队统计表-B-a-②呈现-业绩明细表④'!A:A,'⑥战队统计表-B-a-②呈现-业绩明细表④'!D:D,0),0)</f>
        <v>7.0000000000000007E-2</v>
      </c>
      <c r="AF187" s="85">
        <f>IF(AND(E187="T区",E187="门店T区"),"",IF(AD187="",0,IF(R187="",LOOKUP(S187,'②提成标准-B-a-①-增加'!$B$16:$B$20,'②提成标准-B-a-①-增加'!$D$16:$D$20),LOOKUP(S187/Q187,'②提成标准-B-a-①-增加'!$B$23:$B$27,'②提成标准-B-a-①-增加'!$D$23:$D$27))))</f>
        <v>0</v>
      </c>
      <c r="AG187" s="85">
        <f t="shared" si="35"/>
        <v>7.0000000000000007E-2</v>
      </c>
      <c r="AH187" s="60">
        <f t="shared" si="44"/>
        <v>823.00400000000002</v>
      </c>
      <c r="AI187" s="86">
        <f t="shared" si="45"/>
        <v>1041.3334750000001</v>
      </c>
      <c r="AJ187" s="60">
        <f t="shared" si="38"/>
        <v>1864.3374750000003</v>
      </c>
      <c r="AK187" s="87">
        <f>IF(AB187=1,IFERROR(S187/VLOOKUP(F187,'⑥战队统计表-B-a-②呈现-业绩明细表④'!A:C,3,0),0),0)</f>
        <v>0.14471936454123879</v>
      </c>
      <c r="AL187" s="85" t="str">
        <f t="shared" si="41"/>
        <v/>
      </c>
      <c r="AM187" s="53" t="str">
        <f>IF(D187="顾问",_xlfn.XLOOKUP(F187,'⑥战队统计表-B-a-②呈现-业绩明细表④'!A:A,'⑥战队统计表-B-a-②呈现-业绩明细表④'!H:H,0),"")</f>
        <v/>
      </c>
      <c r="AN187" s="53" t="str">
        <f t="shared" si="48"/>
        <v>紫荆+雄鹰队</v>
      </c>
    </row>
    <row r="188" spans="1:40" hidden="1" x14ac:dyDescent="0.15">
      <c r="A188" s="79" t="s">
        <v>428</v>
      </c>
      <c r="B188" s="80" t="s">
        <v>198</v>
      </c>
      <c r="C188" s="81" t="s">
        <v>36</v>
      </c>
      <c r="D188" s="82" t="s">
        <v>36</v>
      </c>
      <c r="E188" s="82" t="s">
        <v>36</v>
      </c>
      <c r="F188" s="53" t="str">
        <f t="shared" si="32"/>
        <v>紫荆+T区</v>
      </c>
      <c r="G188" s="53">
        <f>IFERROR(_xlfn.XLOOKUP(B188,'①门店信息-A-a-①-增加'!B:B,'①门店信息-A-a-①-增加'!E:E,0),"")</f>
        <v>0</v>
      </c>
      <c r="H188" s="54">
        <f>_xlfn.XLOOKUP(B188,'①门店信息-A-a-①-增加'!B:B,'①门店信息-A-a-①-增加'!F:F,0)</f>
        <v>0</v>
      </c>
      <c r="I188" s="55">
        <f>_xlfn.XLOOKUP(E188,'③新店考核-B-a-②呈现-业绩明细表-③'!B:B,'③新店考核-B-a-②呈现-业绩明细表-③'!E:E,0)</f>
        <v>0</v>
      </c>
      <c r="J188" s="54">
        <f>_xlfn.XLOOKUP(E188,'③新店考核-B-a-②呈现-业绩明细表-③'!B:B,'③新店考核-B-a-②呈现-业绩明细表-③'!F:F,0)</f>
        <v>0</v>
      </c>
      <c r="K188" s="55">
        <f>IF(H188="新店一阶段",LOOKUP(I188,'②提成标准-B-a-①-增加'!$M$9:$M$12,'②提成标准-B-a-①-增加'!$O$9:$O$12),0)</f>
        <v>0</v>
      </c>
      <c r="L188" s="56">
        <f t="shared" si="33"/>
        <v>0</v>
      </c>
      <c r="M188" s="57">
        <f>_xlfn.XLOOKUP(E188,'③新店考核-B-a-②呈现-业绩明细表-③'!B:B,'③新店考核-B-a-②呈现-业绩明细表-③'!G:G,0)</f>
        <v>0</v>
      </c>
      <c r="N188" s="58" t="str">
        <f>LOOKUP(M188,'②提成标准-B-a-①-增加'!$M$1:$M$4,'②提成标准-B-a-①-增加'!$O$1:$O$4)</f>
        <v>同老店</v>
      </c>
      <c r="O188" s="57">
        <f>_xlfn.XLOOKUP(E188,'③新店考核-B-a-②呈现-业绩明细表-③'!B:B,'③新店考核-B-a-②呈现-业绩明细表-③'!H:H,0)</f>
        <v>0</v>
      </c>
      <c r="P188" s="57">
        <f t="shared" si="34"/>
        <v>0</v>
      </c>
      <c r="Q188" s="53">
        <f>_xlfn.XLOOKUP(E188,'④考勤-B-a-26考勤汇总表'!D:D,'④考勤-B-a-26考勤汇总表'!AP:AP,0)</f>
        <v>0</v>
      </c>
      <c r="R188" s="53" t="str">
        <f t="shared" si="43"/>
        <v/>
      </c>
      <c r="S188" s="53">
        <f t="shared" si="36"/>
        <v>0</v>
      </c>
      <c r="T188" s="53">
        <v>0</v>
      </c>
      <c r="U188" s="53">
        <v>0</v>
      </c>
      <c r="V188" s="53">
        <v>0</v>
      </c>
      <c r="W188" s="53">
        <f>_xlfn.XLOOKUP(E188,'⑤项目数-B-a-③消耗明细表'!C:C,'⑤项目数-B-a-③消耗明细表'!E:E,0)</f>
        <v>0</v>
      </c>
      <c r="X188" s="53">
        <f>_xlfn.XLOOKUP(E188,'⑤项目数-B-a-③消耗明细表'!C:C,'⑤项目数-B-a-③消耗明细表'!D:D,0)</f>
        <v>0</v>
      </c>
      <c r="Y188" s="53">
        <f>_xlfn.XLOOKUP(E188,'⑤项目数-B-a-③消耗明细表'!C:C,'⑤项目数-B-a-③消耗明细表'!F:F,0)</f>
        <v>0</v>
      </c>
      <c r="Z188" s="53">
        <f>_xlfn.XLOOKUP(E188,'⑤项目数-B-a-③消耗明细表'!C:C,'⑤项目数-B-a-③消耗明细表'!G:G,0)</f>
        <v>0</v>
      </c>
      <c r="AA188" s="84" t="str">
        <f t="shared" si="46"/>
        <v>不属于战队</v>
      </c>
      <c r="AB188" s="84">
        <f t="shared" si="47"/>
        <v>0</v>
      </c>
      <c r="AC188" s="53">
        <f>_xlfn.XLOOKUP(F188,'⑥战队统计表-B-a-②呈现-业绩明细表④'!A:A,'⑥战队统计表-B-a-②呈现-业绩明细表④'!B:B,0)</f>
        <v>0</v>
      </c>
      <c r="AD188" s="53">
        <f t="shared" si="37"/>
        <v>1</v>
      </c>
      <c r="AE188" s="59">
        <f>IF(AD188="",_xlfn.XLOOKUP(F188,'⑥战队统计表-B-a-②呈现-业绩明细表④'!A:A,'⑥战队统计表-B-a-②呈现-业绩明细表④'!D:D,0),0)</f>
        <v>0</v>
      </c>
      <c r="AF188" s="85">
        <f>IF(AND(E188="T区",E188="门店T区"),"",IF(AD188="",0,IF(R188="",LOOKUP(S188,'②提成标准-B-a-①-增加'!$B$16:$B$20,'②提成标准-B-a-①-增加'!$D$16:$D$20),LOOKUP(S188/Q188,'②提成标准-B-a-①-增加'!$B$23:$B$27,'②提成标准-B-a-①-增加'!$D$23:$D$27))))</f>
        <v>0</v>
      </c>
      <c r="AG188" s="85">
        <f t="shared" si="35"/>
        <v>0</v>
      </c>
      <c r="AH188" s="60">
        <f t="shared" si="44"/>
        <v>0</v>
      </c>
      <c r="AI188" s="86">
        <f t="shared" si="45"/>
        <v>0</v>
      </c>
      <c r="AJ188" s="60">
        <f t="shared" si="38"/>
        <v>0</v>
      </c>
      <c r="AK188" s="87">
        <f>IF(AB188=1,IFERROR(S188/VLOOKUP(F188,'⑥战队统计表-B-a-②呈现-业绩明细表④'!A:C,3,0),0),0)</f>
        <v>0</v>
      </c>
      <c r="AL188" s="85" t="str">
        <f t="shared" si="41"/>
        <v/>
      </c>
      <c r="AM188" s="53" t="str">
        <f>IF(D188="顾问",_xlfn.XLOOKUP(F188,'⑥战队统计表-B-a-②呈现-业绩明细表④'!A:A,'⑥战队统计表-B-a-②呈现-业绩明细表④'!H:H,0),"")</f>
        <v/>
      </c>
      <c r="AN188" s="53" t="str">
        <f t="shared" si="48"/>
        <v>单人</v>
      </c>
    </row>
    <row r="189" spans="1:40" hidden="1" x14ac:dyDescent="0.15">
      <c r="A189" s="79" t="s">
        <v>428</v>
      </c>
      <c r="B189" s="80" t="s">
        <v>198</v>
      </c>
      <c r="C189" s="108" t="s">
        <v>203</v>
      </c>
      <c r="D189" s="109" t="s">
        <v>32</v>
      </c>
      <c r="E189" s="82" t="s">
        <v>204</v>
      </c>
      <c r="F189" s="53" t="str">
        <f t="shared" si="32"/>
        <v>紫荆+团结队</v>
      </c>
      <c r="G189" s="53">
        <f>IFERROR(_xlfn.XLOOKUP(B189,'①门店信息-A-a-①-增加'!B:B,'①门店信息-A-a-①-增加'!E:E,0),"")</f>
        <v>0</v>
      </c>
      <c r="H189" s="54">
        <f>_xlfn.XLOOKUP(B189,'①门店信息-A-a-①-增加'!B:B,'①门店信息-A-a-①-增加'!F:F,0)</f>
        <v>0</v>
      </c>
      <c r="I189" s="55">
        <f>_xlfn.XLOOKUP(E189,'③新店考核-B-a-②呈现-业绩明细表-③'!B:B,'③新店考核-B-a-②呈现-业绩明细表-③'!E:E,0)</f>
        <v>0</v>
      </c>
      <c r="J189" s="54">
        <f>_xlfn.XLOOKUP(E189,'③新店考核-B-a-②呈现-业绩明细表-③'!B:B,'③新店考核-B-a-②呈现-业绩明细表-③'!F:F,0)</f>
        <v>0</v>
      </c>
      <c r="K189" s="55">
        <f>IF(H189="新店一阶段",LOOKUP(I189,'②提成标准-B-a-①-增加'!$M$9:$M$12,'②提成标准-B-a-①-增加'!$O$9:$O$12),0)</f>
        <v>0</v>
      </c>
      <c r="L189" s="56">
        <f t="shared" si="33"/>
        <v>107961.05</v>
      </c>
      <c r="M189" s="57">
        <f>_xlfn.XLOOKUP(E189,'③新店考核-B-a-②呈现-业绩明细表-③'!B:B,'③新店考核-B-a-②呈现-业绩明细表-③'!G:G,0)</f>
        <v>0</v>
      </c>
      <c r="N189" s="58" t="str">
        <f>LOOKUP(M189,'②提成标准-B-a-①-增加'!$M$1:$M$4,'②提成标准-B-a-①-增加'!$O$1:$O$4)</f>
        <v>同老店</v>
      </c>
      <c r="O189" s="57">
        <f>_xlfn.XLOOKUP(E189,'③新店考核-B-a-②呈现-业绩明细表-③'!B:B,'③新店考核-B-a-②呈现-业绩明细表-③'!H:H,0)</f>
        <v>0</v>
      </c>
      <c r="P189" s="57">
        <f t="shared" si="34"/>
        <v>107961.05</v>
      </c>
      <c r="Q189" s="53">
        <f>_xlfn.XLOOKUP(E189,'④考勤-B-a-26考勤汇总表'!D:D,'④考勤-B-a-26考勤汇总表'!AP:AP,0)</f>
        <v>31</v>
      </c>
      <c r="R189" s="53" t="str">
        <f t="shared" si="43"/>
        <v/>
      </c>
      <c r="S189" s="53">
        <f t="shared" si="36"/>
        <v>107961.05</v>
      </c>
      <c r="T189" s="53">
        <v>107961.05</v>
      </c>
      <c r="U189" s="53">
        <v>0</v>
      </c>
      <c r="V189" s="53">
        <v>0</v>
      </c>
      <c r="W189" s="53">
        <f>_xlfn.XLOOKUP(E189,'⑤项目数-B-a-③消耗明细表'!C:C,'⑤项目数-B-a-③消耗明细表'!E:E,0)</f>
        <v>69681.67</v>
      </c>
      <c r="X189" s="53">
        <f>_xlfn.XLOOKUP(E189,'⑤项目数-B-a-③消耗明细表'!C:C,'⑤项目数-B-a-③消耗明细表'!D:D,0)</f>
        <v>88</v>
      </c>
      <c r="Y189" s="53">
        <f>_xlfn.XLOOKUP(E189,'⑤项目数-B-a-③消耗明细表'!C:C,'⑤项目数-B-a-③消耗明细表'!F:F,0)</f>
        <v>1160</v>
      </c>
      <c r="Z189" s="53">
        <f>_xlfn.XLOOKUP(E189,'⑤项目数-B-a-③消耗明细表'!C:C,'⑤项目数-B-a-③消耗明细表'!G:G,0)</f>
        <v>130</v>
      </c>
      <c r="AA189" s="84">
        <f t="shared" si="46"/>
        <v>1</v>
      </c>
      <c r="AB189" s="84">
        <f t="shared" si="47"/>
        <v>1</v>
      </c>
      <c r="AC189" s="53">
        <f>_xlfn.XLOOKUP(F189,'⑥战队统计表-B-a-②呈现-业绩明细表④'!A:A,'⑥战队统计表-B-a-②呈现-业绩明细表④'!B:B,0)</f>
        <v>2</v>
      </c>
      <c r="AD189" s="53" t="str">
        <f t="shared" si="37"/>
        <v/>
      </c>
      <c r="AE189" s="59">
        <f>IF(AD189="",_xlfn.XLOOKUP(F189,'⑥战队统计表-B-a-②呈现-业绩明细表④'!A:A,'⑥战队统计表-B-a-②呈现-业绩明细表④'!D:D,0),0)</f>
        <v>0.06</v>
      </c>
      <c r="AF189" s="85">
        <f>IF(AND(E189="T区",E189="门店T区"),"",IF(AD189="",0,IF(R189="",LOOKUP(S189,'②提成标准-B-a-①-增加'!$B$16:$B$20,'②提成标准-B-a-①-增加'!$D$16:$D$20),LOOKUP(S189/Q189,'②提成标准-B-a-①-增加'!$B$23:$B$27,'②提成标准-B-a-①-增加'!$D$23:$D$27))))</f>
        <v>0</v>
      </c>
      <c r="AG189" s="85">
        <f t="shared" si="35"/>
        <v>0.06</v>
      </c>
      <c r="AH189" s="60">
        <f t="shared" si="44"/>
        <v>6153.779849999999</v>
      </c>
      <c r="AI189" s="86">
        <f t="shared" si="45"/>
        <v>0</v>
      </c>
      <c r="AJ189" s="60">
        <f t="shared" si="38"/>
        <v>6153.779849999999</v>
      </c>
      <c r="AK189" s="87">
        <f>IF(AB189=1,IFERROR(S189/VLOOKUP(F189,'⑥战队统计表-B-a-②呈现-业绩明细表④'!A:C,3,0),0),0)</f>
        <v>0.61006352035324118</v>
      </c>
      <c r="AL189" s="85">
        <f t="shared" si="41"/>
        <v>0.38993647964675876</v>
      </c>
      <c r="AM189" s="53">
        <f>IF(D189="顾问",_xlfn.XLOOKUP(F189,'⑥战队统计表-B-a-②呈现-业绩明细表④'!A:A,'⑥战队统计表-B-a-②呈现-业绩明细表④'!H:H,0),"")</f>
        <v>530.91</v>
      </c>
      <c r="AN189" s="53" t="str">
        <f t="shared" si="48"/>
        <v>紫荆+团结队</v>
      </c>
    </row>
    <row r="190" spans="1:40" hidden="1" x14ac:dyDescent="0.15">
      <c r="A190" s="79" t="s">
        <v>428</v>
      </c>
      <c r="B190" s="80" t="s">
        <v>198</v>
      </c>
      <c r="C190" s="108" t="s">
        <v>203</v>
      </c>
      <c r="D190" s="109" t="s">
        <v>6</v>
      </c>
      <c r="E190" s="82" t="s">
        <v>205</v>
      </c>
      <c r="F190" s="53" t="str">
        <f t="shared" si="32"/>
        <v>紫荆+团结队</v>
      </c>
      <c r="G190" s="53">
        <f>IFERROR(_xlfn.XLOOKUP(B190,'①门店信息-A-a-①-增加'!B:B,'①门店信息-A-a-①-增加'!E:E,0),"")</f>
        <v>0</v>
      </c>
      <c r="H190" s="54">
        <f>_xlfn.XLOOKUP(B190,'①门店信息-A-a-①-增加'!B:B,'①门店信息-A-a-①-增加'!F:F,0)</f>
        <v>0</v>
      </c>
      <c r="I190" s="55">
        <f>_xlfn.XLOOKUP(E190,'③新店考核-B-a-②呈现-业绩明细表-③'!B:B,'③新店考核-B-a-②呈现-业绩明细表-③'!E:E,0)</f>
        <v>0</v>
      </c>
      <c r="J190" s="54">
        <f>_xlfn.XLOOKUP(E190,'③新店考核-B-a-②呈现-业绩明细表-③'!B:B,'③新店考核-B-a-②呈现-业绩明细表-③'!F:F,0)</f>
        <v>0</v>
      </c>
      <c r="K190" s="55">
        <f>IF(H190="新店一阶段",LOOKUP(I190,'②提成标准-B-a-①-增加'!$M$9:$M$12,'②提成标准-B-a-①-增加'!$O$9:$O$12),0)</f>
        <v>0</v>
      </c>
      <c r="L190" s="56">
        <f t="shared" si="33"/>
        <v>40027.85</v>
      </c>
      <c r="M190" s="57">
        <f>_xlfn.XLOOKUP(E190,'③新店考核-B-a-②呈现-业绩明细表-③'!B:B,'③新店考核-B-a-②呈现-业绩明细表-③'!G:G,0)</f>
        <v>0</v>
      </c>
      <c r="N190" s="58" t="str">
        <f>LOOKUP(M190,'②提成标准-B-a-①-增加'!$M$1:$M$4,'②提成标准-B-a-①-增加'!$O$1:$O$4)</f>
        <v>同老店</v>
      </c>
      <c r="O190" s="57">
        <f>_xlfn.XLOOKUP(E190,'③新店考核-B-a-②呈现-业绩明细表-③'!B:B,'③新店考核-B-a-②呈现-业绩明细表-③'!H:H,0)</f>
        <v>0</v>
      </c>
      <c r="P190" s="57">
        <f t="shared" si="34"/>
        <v>40027.85</v>
      </c>
      <c r="Q190" s="53">
        <f>_xlfn.XLOOKUP(E190,'④考勤-B-a-26考勤汇总表'!D:D,'④考勤-B-a-26考勤汇总表'!AP:AP,0)</f>
        <v>31</v>
      </c>
      <c r="R190" s="53" t="str">
        <f t="shared" si="43"/>
        <v/>
      </c>
      <c r="S190" s="53">
        <f t="shared" si="36"/>
        <v>69005.850000000006</v>
      </c>
      <c r="T190" s="53">
        <v>40027.85</v>
      </c>
      <c r="U190" s="53">
        <v>28978</v>
      </c>
      <c r="V190" s="53">
        <v>0</v>
      </c>
      <c r="W190" s="53">
        <f>_xlfn.XLOOKUP(E190,'⑤项目数-B-a-③消耗明细表'!C:C,'⑤项目数-B-a-③消耗明细表'!E:E,0)</f>
        <v>24707.94</v>
      </c>
      <c r="X190" s="53">
        <f>_xlfn.XLOOKUP(E190,'⑤项目数-B-a-③消耗明细表'!C:C,'⑤项目数-B-a-③消耗明细表'!D:D,0)</f>
        <v>114</v>
      </c>
      <c r="Y190" s="53">
        <f>_xlfn.XLOOKUP(E190,'⑤项目数-B-a-③消耗明细表'!C:C,'⑤项目数-B-a-③消耗明细表'!F:F,0)</f>
        <v>1173.5</v>
      </c>
      <c r="Z190" s="53">
        <f>_xlfn.XLOOKUP(E190,'⑤项目数-B-a-③消耗明细表'!C:C,'⑤项目数-B-a-③消耗明细表'!G:G,0)</f>
        <v>70</v>
      </c>
      <c r="AA190" s="84">
        <f t="shared" si="46"/>
        <v>1</v>
      </c>
      <c r="AB190" s="84">
        <f t="shared" si="47"/>
        <v>1</v>
      </c>
      <c r="AC190" s="53">
        <f>_xlfn.XLOOKUP(F190,'⑥战队统计表-B-a-②呈现-业绩明细表④'!A:A,'⑥战队统计表-B-a-②呈现-业绩明细表④'!B:B,0)</f>
        <v>2</v>
      </c>
      <c r="AD190" s="53" t="str">
        <f t="shared" si="37"/>
        <v/>
      </c>
      <c r="AE190" s="59">
        <f>IF(AD190="",_xlfn.XLOOKUP(F190,'⑥战队统计表-B-a-②呈现-业绩明细表④'!A:A,'⑥战队统计表-B-a-②呈现-业绩明细表④'!D:D,0),0)</f>
        <v>0.06</v>
      </c>
      <c r="AF190" s="85">
        <f>IF(AND(E190="T区",E190="门店T区"),"",IF(AD190="",0,IF(R190="",LOOKUP(S190,'②提成标准-B-a-①-增加'!$B$16:$B$20,'②提成标准-B-a-①-增加'!$D$16:$D$20),LOOKUP(S190/Q190,'②提成标准-B-a-①-增加'!$B$23:$B$27,'②提成标准-B-a-①-增加'!$D$23:$D$27))))</f>
        <v>0</v>
      </c>
      <c r="AG190" s="85">
        <f t="shared" si="35"/>
        <v>0.06</v>
      </c>
      <c r="AH190" s="60">
        <f t="shared" si="44"/>
        <v>2281.5874499999995</v>
      </c>
      <c r="AI190" s="86">
        <f t="shared" si="45"/>
        <v>1073.6349</v>
      </c>
      <c r="AJ190" s="60">
        <f t="shared" si="38"/>
        <v>3355.2223499999996</v>
      </c>
      <c r="AK190" s="87">
        <f>IF(AB190=1,IFERROR(S190/VLOOKUP(F190,'⑥战队统计表-B-a-②呈现-业绩明细表④'!A:C,3,0),0),0)</f>
        <v>0.38993647964675876</v>
      </c>
      <c r="AL190" s="85" t="str">
        <f t="shared" si="41"/>
        <v/>
      </c>
      <c r="AM190" s="53" t="str">
        <f>IF(D190="顾问",_xlfn.XLOOKUP(F190,'⑥战队统计表-B-a-②呈现-业绩明细表④'!A:A,'⑥战队统计表-B-a-②呈现-业绩明细表④'!H:H,0),"")</f>
        <v/>
      </c>
      <c r="AN190" s="53" t="str">
        <f t="shared" si="48"/>
        <v>紫荆+团结队</v>
      </c>
    </row>
    <row r="191" spans="1:40" hidden="1" x14ac:dyDescent="0.15">
      <c r="A191" s="79" t="s">
        <v>428</v>
      </c>
      <c r="B191" s="80" t="s">
        <v>198</v>
      </c>
      <c r="C191" s="108" t="s">
        <v>36</v>
      </c>
      <c r="D191" s="109" t="s">
        <v>36</v>
      </c>
      <c r="E191" s="82" t="s">
        <v>36</v>
      </c>
      <c r="F191" s="53" t="str">
        <f t="shared" si="32"/>
        <v>紫荆+T区</v>
      </c>
      <c r="G191" s="53">
        <f>IFERROR(_xlfn.XLOOKUP(B191,'①门店信息-A-a-①-增加'!B:B,'①门店信息-A-a-①-增加'!E:E,0),"")</f>
        <v>0</v>
      </c>
      <c r="H191" s="54">
        <f>_xlfn.XLOOKUP(B191,'①门店信息-A-a-①-增加'!B:B,'①门店信息-A-a-①-增加'!F:F,0)</f>
        <v>0</v>
      </c>
      <c r="I191" s="55">
        <f>_xlfn.XLOOKUP(E191,'③新店考核-B-a-②呈现-业绩明细表-③'!B:B,'③新店考核-B-a-②呈现-业绩明细表-③'!E:E,0)</f>
        <v>0</v>
      </c>
      <c r="J191" s="54">
        <f>_xlfn.XLOOKUP(E191,'③新店考核-B-a-②呈现-业绩明细表-③'!B:B,'③新店考核-B-a-②呈现-业绩明细表-③'!F:F,0)</f>
        <v>0</v>
      </c>
      <c r="K191" s="55">
        <f>IF(H191="新店一阶段",LOOKUP(I191,'②提成标准-B-a-①-增加'!$M$9:$M$12,'②提成标准-B-a-①-增加'!$O$9:$O$12),0)</f>
        <v>0</v>
      </c>
      <c r="L191" s="56">
        <f t="shared" si="33"/>
        <v>0</v>
      </c>
      <c r="M191" s="57">
        <f>_xlfn.XLOOKUP(E191,'③新店考核-B-a-②呈现-业绩明细表-③'!B:B,'③新店考核-B-a-②呈现-业绩明细表-③'!G:G,0)</f>
        <v>0</v>
      </c>
      <c r="N191" s="58" t="str">
        <f>LOOKUP(M191,'②提成标准-B-a-①-增加'!$M$1:$M$4,'②提成标准-B-a-①-增加'!$O$1:$O$4)</f>
        <v>同老店</v>
      </c>
      <c r="O191" s="57">
        <f>_xlfn.XLOOKUP(E191,'③新店考核-B-a-②呈现-业绩明细表-③'!B:B,'③新店考核-B-a-②呈现-业绩明细表-③'!H:H,0)</f>
        <v>0</v>
      </c>
      <c r="P191" s="57">
        <f t="shared" si="34"/>
        <v>0</v>
      </c>
      <c r="Q191" s="53">
        <f>_xlfn.XLOOKUP(E191,'④考勤-B-a-26考勤汇总表'!D:D,'④考勤-B-a-26考勤汇总表'!AP:AP,0)</f>
        <v>0</v>
      </c>
      <c r="R191" s="53" t="str">
        <f t="shared" si="43"/>
        <v/>
      </c>
      <c r="S191" s="53">
        <f t="shared" si="36"/>
        <v>0</v>
      </c>
      <c r="T191" s="53">
        <v>0</v>
      </c>
      <c r="U191" s="53">
        <v>0</v>
      </c>
      <c r="V191" s="53">
        <v>0</v>
      </c>
      <c r="W191" s="53">
        <f>_xlfn.XLOOKUP(E191,'⑤项目数-B-a-③消耗明细表'!C:C,'⑤项目数-B-a-③消耗明细表'!E:E,0)</f>
        <v>0</v>
      </c>
      <c r="X191" s="53">
        <f>_xlfn.XLOOKUP(E191,'⑤项目数-B-a-③消耗明细表'!C:C,'⑤项目数-B-a-③消耗明细表'!D:D,0)</f>
        <v>0</v>
      </c>
      <c r="Y191" s="53">
        <f>_xlfn.XLOOKUP(E191,'⑤项目数-B-a-③消耗明细表'!C:C,'⑤项目数-B-a-③消耗明细表'!F:F,0)</f>
        <v>0</v>
      </c>
      <c r="Z191" s="53">
        <f>_xlfn.XLOOKUP(E191,'⑤项目数-B-a-③消耗明细表'!C:C,'⑤项目数-B-a-③消耗明细表'!G:G,0)</f>
        <v>0</v>
      </c>
      <c r="AA191" s="84" t="str">
        <f t="shared" si="46"/>
        <v>不属于战队</v>
      </c>
      <c r="AB191" s="84">
        <f t="shared" si="47"/>
        <v>0</v>
      </c>
      <c r="AC191" s="53">
        <f>_xlfn.XLOOKUP(F191,'⑥战队统计表-B-a-②呈现-业绩明细表④'!A:A,'⑥战队统计表-B-a-②呈现-业绩明细表④'!B:B,0)</f>
        <v>0</v>
      </c>
      <c r="AD191" s="53">
        <f t="shared" si="37"/>
        <v>1</v>
      </c>
      <c r="AE191" s="59">
        <f>IF(AD191="",_xlfn.XLOOKUP(F191,'⑥战队统计表-B-a-②呈现-业绩明细表④'!A:A,'⑥战队统计表-B-a-②呈现-业绩明细表④'!D:D,0),0)</f>
        <v>0</v>
      </c>
      <c r="AF191" s="85">
        <f>IF(AND(E191="T区",E191="门店T区"),"",IF(AD191="",0,IF(R191="",LOOKUP(S191,'②提成标准-B-a-①-增加'!$B$16:$B$20,'②提成标准-B-a-①-增加'!$D$16:$D$20),LOOKUP(S191/Q191,'②提成标准-B-a-①-增加'!$B$23:$B$27,'②提成标准-B-a-①-增加'!$D$23:$D$27))))</f>
        <v>0</v>
      </c>
      <c r="AG191" s="85">
        <f t="shared" si="35"/>
        <v>0</v>
      </c>
      <c r="AH191" s="60">
        <f t="shared" si="44"/>
        <v>0</v>
      </c>
      <c r="AI191" s="86">
        <f t="shared" si="45"/>
        <v>0</v>
      </c>
      <c r="AJ191" s="60">
        <f t="shared" si="38"/>
        <v>0</v>
      </c>
      <c r="AK191" s="87">
        <f>IF(AB191=1,IFERROR(S191/VLOOKUP(F191,'⑥战队统计表-B-a-②呈现-业绩明细表④'!A:C,3,0),0),0)</f>
        <v>0</v>
      </c>
      <c r="AL191" s="85" t="str">
        <f t="shared" si="41"/>
        <v/>
      </c>
      <c r="AM191" s="53" t="str">
        <f>IF(D191="顾问",_xlfn.XLOOKUP(F191,'⑥战队统计表-B-a-②呈现-业绩明细表④'!A:A,'⑥战队统计表-B-a-②呈现-业绩明细表④'!H:H,0),"")</f>
        <v/>
      </c>
      <c r="AN191" s="53" t="str">
        <f t="shared" si="48"/>
        <v>单人</v>
      </c>
    </row>
    <row r="192" spans="1:40" hidden="1" x14ac:dyDescent="0.15">
      <c r="A192" s="79" t="s">
        <v>428</v>
      </c>
      <c r="B192" s="80" t="s">
        <v>198</v>
      </c>
      <c r="C192" s="110" t="s">
        <v>137</v>
      </c>
      <c r="D192" s="111" t="s">
        <v>32</v>
      </c>
      <c r="E192" s="90" t="s">
        <v>206</v>
      </c>
      <c r="F192" s="53" t="str">
        <f t="shared" si="32"/>
        <v>紫荆+冲刺队</v>
      </c>
      <c r="G192" s="53">
        <f>IFERROR(_xlfn.XLOOKUP(B192,'①门店信息-A-a-①-增加'!B:B,'①门店信息-A-a-①-增加'!E:E,0),"")</f>
        <v>0</v>
      </c>
      <c r="H192" s="54">
        <f>_xlfn.XLOOKUP(B192,'①门店信息-A-a-①-增加'!B:B,'①门店信息-A-a-①-增加'!F:F,0)</f>
        <v>0</v>
      </c>
      <c r="I192" s="55">
        <f>_xlfn.XLOOKUP(E192,'③新店考核-B-a-②呈现-业绩明细表-③'!B:B,'③新店考核-B-a-②呈现-业绩明细表-③'!E:E,0)</f>
        <v>0</v>
      </c>
      <c r="J192" s="54">
        <f>_xlfn.XLOOKUP(E192,'③新店考核-B-a-②呈现-业绩明细表-③'!B:B,'③新店考核-B-a-②呈现-业绩明细表-③'!F:F,0)</f>
        <v>0</v>
      </c>
      <c r="K192" s="55">
        <f>IF(H192="新店一阶段",LOOKUP(I192,'②提成标准-B-a-①-增加'!$M$9:$M$12,'②提成标准-B-a-①-增加'!$O$9:$O$12),0)</f>
        <v>0</v>
      </c>
      <c r="L192" s="56">
        <f t="shared" si="33"/>
        <v>37511.800000000003</v>
      </c>
      <c r="M192" s="57">
        <f>_xlfn.XLOOKUP(E192,'③新店考核-B-a-②呈现-业绩明细表-③'!B:B,'③新店考核-B-a-②呈现-业绩明细表-③'!G:G,0)</f>
        <v>0</v>
      </c>
      <c r="N192" s="58" t="str">
        <f>LOOKUP(M192,'②提成标准-B-a-①-增加'!$M$1:$M$4,'②提成标准-B-a-①-增加'!$O$1:$O$4)</f>
        <v>同老店</v>
      </c>
      <c r="O192" s="57">
        <f>_xlfn.XLOOKUP(E192,'③新店考核-B-a-②呈现-业绩明细表-③'!B:B,'③新店考核-B-a-②呈现-业绩明细表-③'!H:H,0)</f>
        <v>0</v>
      </c>
      <c r="P192" s="57">
        <f t="shared" si="34"/>
        <v>37511.800000000003</v>
      </c>
      <c r="Q192" s="53">
        <f>_xlfn.XLOOKUP(E192,'④考勤-B-a-26考勤汇总表'!D:D,'④考勤-B-a-26考勤汇总表'!AP:AP,0)</f>
        <v>31</v>
      </c>
      <c r="R192" s="53" t="str">
        <f t="shared" si="43"/>
        <v/>
      </c>
      <c r="S192" s="53">
        <f t="shared" si="36"/>
        <v>45839.8</v>
      </c>
      <c r="T192" s="53">
        <v>37511.800000000003</v>
      </c>
      <c r="U192" s="53">
        <v>6884</v>
      </c>
      <c r="V192" s="53">
        <v>1444</v>
      </c>
      <c r="W192" s="53">
        <f>_xlfn.XLOOKUP(E192,'⑤项目数-B-a-③消耗明细表'!C:C,'⑤项目数-B-a-③消耗明细表'!E:E,0)</f>
        <v>29465.21</v>
      </c>
      <c r="X192" s="53">
        <f>_xlfn.XLOOKUP(E192,'⑤项目数-B-a-③消耗明细表'!C:C,'⑤项目数-B-a-③消耗明细表'!D:D,0)</f>
        <v>120.5</v>
      </c>
      <c r="Y192" s="53">
        <f>_xlfn.XLOOKUP(E192,'⑤项目数-B-a-③消耗明细表'!C:C,'⑤项目数-B-a-③消耗明细表'!F:F,0)</f>
        <v>1585</v>
      </c>
      <c r="Z192" s="53">
        <f>_xlfn.XLOOKUP(E192,'⑤项目数-B-a-③消耗明细表'!C:C,'⑤项目数-B-a-③消耗明细表'!G:G,0)</f>
        <v>150</v>
      </c>
      <c r="AA192" s="84">
        <f t="shared" si="46"/>
        <v>1</v>
      </c>
      <c r="AB192" s="84">
        <f t="shared" si="47"/>
        <v>1</v>
      </c>
      <c r="AC192" s="53">
        <f>_xlfn.XLOOKUP(F192,'⑥战队统计表-B-a-②呈现-业绩明细表④'!A:A,'⑥战队统计表-B-a-②呈现-业绩明细表④'!B:B,0)</f>
        <v>3</v>
      </c>
      <c r="AD192" s="53" t="str">
        <f t="shared" si="37"/>
        <v/>
      </c>
      <c r="AE192" s="59">
        <f>IF(AD192="",_xlfn.XLOOKUP(F192,'⑥战队统计表-B-a-②呈现-业绩明细表④'!A:A,'⑥战队统计表-B-a-②呈现-业绩明细表④'!D:D,0),0)</f>
        <v>0.04</v>
      </c>
      <c r="AF192" s="85">
        <f>IF(AND(E192="T区",E192="门店T区"),"",IF(AD192="",0,IF(R192="",LOOKUP(S192,'②提成标准-B-a-①-增加'!$B$16:$B$20,'②提成标准-B-a-①-增加'!$D$16:$D$20),LOOKUP(S192/Q192,'②提成标准-B-a-①-增加'!$B$23:$B$27,'②提成标准-B-a-①-增加'!$D$23:$D$27))))</f>
        <v>0</v>
      </c>
      <c r="AG192" s="85">
        <f t="shared" si="35"/>
        <v>0.04</v>
      </c>
      <c r="AH192" s="60">
        <f t="shared" si="44"/>
        <v>1425.4484000000002</v>
      </c>
      <c r="AI192" s="86">
        <f t="shared" si="45"/>
        <v>170.03479999999999</v>
      </c>
      <c r="AJ192" s="60">
        <f t="shared" si="38"/>
        <v>1595.4832000000001</v>
      </c>
      <c r="AK192" s="87">
        <f>IF(AB192=1,IFERROR(S192/VLOOKUP(F192,'⑥战队统计表-B-a-②呈现-业绩明细表④'!A:C,3,0),0),0)</f>
        <v>0.52375952203307341</v>
      </c>
      <c r="AL192" s="85">
        <f t="shared" si="41"/>
        <v>0.4762404779669267</v>
      </c>
      <c r="AM192" s="53">
        <f>IF(D192="顾问",_xlfn.XLOOKUP(F192,'⑥战队统计表-B-a-②呈现-业绩明细表④'!A:A,'⑥战队统计表-B-a-②呈现-业绩明细表④'!H:H,0),"")</f>
        <v>700.17</v>
      </c>
      <c r="AN192" s="53" t="str">
        <f t="shared" si="48"/>
        <v>紫荆+冲刺队</v>
      </c>
    </row>
    <row r="193" spans="1:40" hidden="1" x14ac:dyDescent="0.15">
      <c r="A193" s="79" t="s">
        <v>428</v>
      </c>
      <c r="B193" s="80" t="s">
        <v>198</v>
      </c>
      <c r="C193" s="81" t="s">
        <v>137</v>
      </c>
      <c r="D193" s="82" t="s">
        <v>6</v>
      </c>
      <c r="E193" s="82" t="s">
        <v>207</v>
      </c>
      <c r="F193" s="53" t="str">
        <f t="shared" si="32"/>
        <v>紫荆+冲刺队</v>
      </c>
      <c r="G193" s="53">
        <f>IFERROR(_xlfn.XLOOKUP(B193,'①门店信息-A-a-①-增加'!B:B,'①门店信息-A-a-①-增加'!E:E,0),"")</f>
        <v>0</v>
      </c>
      <c r="H193" s="54">
        <f>_xlfn.XLOOKUP(B193,'①门店信息-A-a-①-增加'!B:B,'①门店信息-A-a-①-增加'!F:F,0)</f>
        <v>0</v>
      </c>
      <c r="I193" s="55">
        <f>_xlfn.XLOOKUP(E193,'③新店考核-B-a-②呈现-业绩明细表-③'!B:B,'③新店考核-B-a-②呈现-业绩明细表-③'!E:E,0)</f>
        <v>0</v>
      </c>
      <c r="J193" s="54">
        <f>_xlfn.XLOOKUP(E193,'③新店考核-B-a-②呈现-业绩明细表-③'!B:B,'③新店考核-B-a-②呈现-业绩明细表-③'!F:F,0)</f>
        <v>0</v>
      </c>
      <c r="K193" s="55">
        <f>IF(H193="新店一阶段",LOOKUP(I193,'②提成标准-B-a-①-增加'!$M$9:$M$12,'②提成标准-B-a-①-增加'!$O$9:$O$12),0)</f>
        <v>0</v>
      </c>
      <c r="L193" s="56">
        <f t="shared" si="33"/>
        <v>22890.5</v>
      </c>
      <c r="M193" s="57">
        <f>_xlfn.XLOOKUP(E193,'③新店考核-B-a-②呈现-业绩明细表-③'!B:B,'③新店考核-B-a-②呈现-业绩明细表-③'!G:G,0)</f>
        <v>0</v>
      </c>
      <c r="N193" s="58" t="str">
        <f>LOOKUP(M193,'②提成标准-B-a-①-增加'!$M$1:$M$4,'②提成标准-B-a-①-增加'!$O$1:$O$4)</f>
        <v>同老店</v>
      </c>
      <c r="O193" s="57">
        <f>_xlfn.XLOOKUP(E193,'③新店考核-B-a-②呈现-业绩明细表-③'!B:B,'③新店考核-B-a-②呈现-业绩明细表-③'!H:H,0)</f>
        <v>0</v>
      </c>
      <c r="P193" s="57">
        <f t="shared" si="34"/>
        <v>22890.5</v>
      </c>
      <c r="Q193" s="53">
        <f>_xlfn.XLOOKUP(E193,'④考勤-B-a-26考勤汇总表'!D:D,'④考勤-B-a-26考勤汇总表'!AP:AP,0)</f>
        <v>31</v>
      </c>
      <c r="R193" s="53" t="str">
        <f t="shared" si="43"/>
        <v/>
      </c>
      <c r="S193" s="53">
        <f t="shared" si="36"/>
        <v>32030.5</v>
      </c>
      <c r="T193" s="53">
        <v>22890.5</v>
      </c>
      <c r="U193" s="53">
        <v>9140</v>
      </c>
      <c r="V193" s="53">
        <v>0</v>
      </c>
      <c r="W193" s="53">
        <f>_xlfn.XLOOKUP(E193,'⑤项目数-B-a-③消耗明细表'!C:C,'⑤项目数-B-a-③消耗明细表'!E:E,0)</f>
        <v>31398.68</v>
      </c>
      <c r="X193" s="53">
        <f>_xlfn.XLOOKUP(E193,'⑤项目数-B-a-③消耗明细表'!C:C,'⑤项目数-B-a-③消耗明细表'!D:D,0)</f>
        <v>100</v>
      </c>
      <c r="Y193" s="53">
        <f>_xlfn.XLOOKUP(E193,'⑤项目数-B-a-③消耗明细表'!C:C,'⑤项目数-B-a-③消耗明细表'!F:F,0)</f>
        <v>1087.5</v>
      </c>
      <c r="Z193" s="53">
        <f>_xlfn.XLOOKUP(E193,'⑤项目数-B-a-③消耗明细表'!C:C,'⑤项目数-B-a-③消耗明细表'!G:G,0)</f>
        <v>0</v>
      </c>
      <c r="AA193" s="84">
        <f t="shared" si="46"/>
        <v>1</v>
      </c>
      <c r="AB193" s="84">
        <f t="shared" si="47"/>
        <v>1</v>
      </c>
      <c r="AC193" s="53">
        <f>_xlfn.XLOOKUP(F193,'⑥战队统计表-B-a-②呈现-业绩明细表④'!A:A,'⑥战队统计表-B-a-②呈现-业绩明细表④'!B:B,0)</f>
        <v>3</v>
      </c>
      <c r="AD193" s="53" t="str">
        <f t="shared" si="37"/>
        <v/>
      </c>
      <c r="AE193" s="59">
        <f>IF(AD193="",_xlfn.XLOOKUP(F193,'⑥战队统计表-B-a-②呈现-业绩明细表④'!A:A,'⑥战队统计表-B-a-②呈现-业绩明细表④'!D:D,0),0)</f>
        <v>0.04</v>
      </c>
      <c r="AF193" s="85">
        <f>IF(AND(E193="T区",E193="门店T区"),"",IF(AD193="",0,IF(R193="",LOOKUP(S193,'②提成标准-B-a-①-增加'!$B$16:$B$20,'②提成标准-B-a-①-增加'!$D$16:$D$20),LOOKUP(S193/Q193,'②提成标准-B-a-①-增加'!$B$23:$B$27,'②提成标准-B-a-①-增加'!$D$23:$D$27))))</f>
        <v>0</v>
      </c>
      <c r="AG193" s="85">
        <f t="shared" si="35"/>
        <v>0.04</v>
      </c>
      <c r="AH193" s="60">
        <f t="shared" si="44"/>
        <v>869.83899999999994</v>
      </c>
      <c r="AI193" s="86">
        <f t="shared" si="45"/>
        <v>225.75800000000001</v>
      </c>
      <c r="AJ193" s="60">
        <f t="shared" si="38"/>
        <v>1095.597</v>
      </c>
      <c r="AK193" s="87">
        <f>IF(AB193=1,IFERROR(S193/VLOOKUP(F193,'⑥战队统计表-B-a-②呈现-业绩明细表④'!A:C,3,0),0),0)</f>
        <v>0.36597627761203921</v>
      </c>
      <c r="AL193" s="85" t="str">
        <f t="shared" si="41"/>
        <v/>
      </c>
      <c r="AM193" s="53" t="str">
        <f>IF(D193="顾问",_xlfn.XLOOKUP(F193,'⑥战队统计表-B-a-②呈现-业绩明细表④'!A:A,'⑥战队统计表-B-a-②呈现-业绩明细表④'!H:H,0),"")</f>
        <v/>
      </c>
      <c r="AN193" s="53" t="str">
        <f t="shared" si="48"/>
        <v>紫荆+冲刺队</v>
      </c>
    </row>
    <row r="194" spans="1:40" hidden="1" x14ac:dyDescent="0.15">
      <c r="A194" s="79" t="s">
        <v>428</v>
      </c>
      <c r="B194" s="80" t="s">
        <v>198</v>
      </c>
      <c r="C194" s="81" t="s">
        <v>137</v>
      </c>
      <c r="D194" s="82" t="s">
        <v>6</v>
      </c>
      <c r="E194" s="82" t="s">
        <v>208</v>
      </c>
      <c r="F194" s="53" t="str">
        <f t="shared" ref="F194:F256" si="49">B194&amp;"+"&amp;C194</f>
        <v>紫荆+冲刺队</v>
      </c>
      <c r="G194" s="53">
        <f>IFERROR(_xlfn.XLOOKUP(B194,'①门店信息-A-a-①-增加'!B:B,'①门店信息-A-a-①-增加'!E:E,0),"")</f>
        <v>0</v>
      </c>
      <c r="H194" s="54">
        <f>_xlfn.XLOOKUP(B194,'①门店信息-A-a-①-增加'!B:B,'①门店信息-A-a-①-增加'!F:F,0)</f>
        <v>0</v>
      </c>
      <c r="I194" s="55">
        <f>_xlfn.XLOOKUP(E194,'③新店考核-B-a-②呈现-业绩明细表-③'!B:B,'③新店考核-B-a-②呈现-业绩明细表-③'!E:E,0)</f>
        <v>0</v>
      </c>
      <c r="J194" s="54">
        <f>_xlfn.XLOOKUP(E194,'③新店考核-B-a-②呈现-业绩明细表-③'!B:B,'③新店考核-B-a-②呈现-业绩明细表-③'!F:F,0)</f>
        <v>0</v>
      </c>
      <c r="K194" s="55">
        <f>IF(H194="新店一阶段",LOOKUP(I194,'②提成标准-B-a-①-增加'!$M$9:$M$12,'②提成标准-B-a-①-增加'!$O$9:$O$12),0)</f>
        <v>0</v>
      </c>
      <c r="L194" s="56">
        <f t="shared" ref="L194:L256" si="50">T194-J194</f>
        <v>9650.4</v>
      </c>
      <c r="M194" s="57">
        <f>_xlfn.XLOOKUP(E194,'③新店考核-B-a-②呈现-业绩明细表-③'!B:B,'③新店考核-B-a-②呈现-业绩明细表-③'!G:G,0)</f>
        <v>0</v>
      </c>
      <c r="N194" s="58" t="str">
        <f>LOOKUP(M194,'②提成标准-B-a-①-增加'!$M$1:$M$4,'②提成标准-B-a-①-增加'!$O$1:$O$4)</f>
        <v>同老店</v>
      </c>
      <c r="O194" s="57">
        <f>_xlfn.XLOOKUP(E194,'③新店考核-B-a-②呈现-业绩明细表-③'!B:B,'③新店考核-B-a-②呈现-业绩明细表-③'!H:H,0)</f>
        <v>0</v>
      </c>
      <c r="P194" s="57">
        <f t="shared" ref="P194:P256" si="51">T194-O194</f>
        <v>9650.4</v>
      </c>
      <c r="Q194" s="53">
        <f>_xlfn.XLOOKUP(E194,'④考勤-B-a-26考勤汇总表'!D:D,'④考勤-B-a-26考勤汇总表'!AP:AP,0)</f>
        <v>26</v>
      </c>
      <c r="R194" s="53" t="str">
        <f t="shared" si="43"/>
        <v>不足月</v>
      </c>
      <c r="S194" s="53">
        <f t="shared" si="36"/>
        <v>9650.4</v>
      </c>
      <c r="T194" s="53">
        <v>9650.4</v>
      </c>
      <c r="U194" s="53">
        <v>0</v>
      </c>
      <c r="V194" s="53">
        <v>0</v>
      </c>
      <c r="W194" s="53">
        <f>_xlfn.XLOOKUP(E194,'⑤项目数-B-a-③消耗明细表'!C:C,'⑤项目数-B-a-③消耗明细表'!E:E,0)</f>
        <v>15849.5</v>
      </c>
      <c r="X194" s="53">
        <f>_xlfn.XLOOKUP(E194,'⑤项目数-B-a-③消耗明细表'!C:C,'⑤项目数-B-a-③消耗明细表'!D:D,0)</f>
        <v>83</v>
      </c>
      <c r="Y194" s="53">
        <f>_xlfn.XLOOKUP(E194,'⑤项目数-B-a-③消耗明细表'!C:C,'⑤项目数-B-a-③消耗明细表'!F:F,0)</f>
        <v>1037</v>
      </c>
      <c r="Z194" s="53">
        <f>_xlfn.XLOOKUP(E194,'⑤项目数-B-a-③消耗明细表'!C:C,'⑤项目数-B-a-③消耗明细表'!G:G,0)</f>
        <v>37.5</v>
      </c>
      <c r="AA194" s="84">
        <f t="shared" ref="AA194:AA256" si="52">IF(G194="新店","新店",IF(C194="单人","单人",IF(OR(C194="T区",C194="单人",G194="新店"),"不属于战队",1)))</f>
        <v>1</v>
      </c>
      <c r="AB194" s="84">
        <f t="shared" ref="AB194:AB256" si="53">IF(AA194=1,IF(Q194&gt;=20,1,0),0)</f>
        <v>1</v>
      </c>
      <c r="AC194" s="53">
        <f>_xlfn.XLOOKUP(F194,'⑥战队统计表-B-a-②呈现-业绩明细表④'!A:A,'⑥战队统计表-B-a-②呈现-业绩明细表④'!B:B,0)</f>
        <v>3</v>
      </c>
      <c r="AD194" s="53" t="str">
        <f t="shared" si="37"/>
        <v/>
      </c>
      <c r="AE194" s="59">
        <f>IF(AD194="",_xlfn.XLOOKUP(F194,'⑥战队统计表-B-a-②呈现-业绩明细表④'!A:A,'⑥战队统计表-B-a-②呈现-业绩明细表④'!D:D,0),0)</f>
        <v>0.04</v>
      </c>
      <c r="AF194" s="85">
        <f>IF(AND(E194="T区",E194="门店T区"),"",IF(AD194="",0,IF(R194="",LOOKUP(S194,'②提成标准-B-a-①-增加'!$B$16:$B$20,'②提成标准-B-a-①-增加'!$D$16:$D$20),LOOKUP(S194/Q194,'②提成标准-B-a-①-增加'!$B$23:$B$27,'②提成标准-B-a-①-增加'!$D$23:$D$27))))</f>
        <v>0</v>
      </c>
      <c r="AG194" s="85">
        <f t="shared" ref="AG194:AG256" si="54">AE194+AF194</f>
        <v>0.04</v>
      </c>
      <c r="AH194" s="60">
        <f t="shared" si="44"/>
        <v>366.71519999999998</v>
      </c>
      <c r="AI194" s="86">
        <f t="shared" si="45"/>
        <v>0</v>
      </c>
      <c r="AJ194" s="60">
        <f t="shared" si="38"/>
        <v>366.71519999999998</v>
      </c>
      <c r="AK194" s="87">
        <f>IF(AB194=1,IFERROR(S194/VLOOKUP(F194,'⑥战队统计表-B-a-②呈现-业绩明细表④'!A:C,3,0),0),0)</f>
        <v>0.11026420035488747</v>
      </c>
      <c r="AL194" s="85" t="str">
        <f t="shared" si="41"/>
        <v/>
      </c>
      <c r="AM194" s="53" t="str">
        <f>IF(D194="顾问",_xlfn.XLOOKUP(F194,'⑥战队统计表-B-a-②呈现-业绩明细表④'!A:A,'⑥战队统计表-B-a-②呈现-业绩明细表④'!H:H,0),"")</f>
        <v/>
      </c>
      <c r="AN194" s="53" t="str">
        <f t="shared" ref="AN194:AN256" si="55">IF(AND(AB194=1,AD194&lt;&gt;1),F194,"单人")</f>
        <v>紫荆+冲刺队</v>
      </c>
    </row>
    <row r="195" spans="1:40" hidden="1" x14ac:dyDescent="0.15">
      <c r="A195" s="79" t="s">
        <v>428</v>
      </c>
      <c r="B195" s="80" t="s">
        <v>198</v>
      </c>
      <c r="C195" s="81" t="s">
        <v>36</v>
      </c>
      <c r="D195" s="82" t="s">
        <v>36</v>
      </c>
      <c r="E195" s="82" t="s">
        <v>36</v>
      </c>
      <c r="F195" s="53" t="str">
        <f t="shared" si="49"/>
        <v>紫荆+T区</v>
      </c>
      <c r="G195" s="53">
        <f>IFERROR(_xlfn.XLOOKUP(B195,'①门店信息-A-a-①-增加'!B:B,'①门店信息-A-a-①-增加'!E:E,0),"")</f>
        <v>0</v>
      </c>
      <c r="H195" s="54">
        <f>_xlfn.XLOOKUP(B195,'①门店信息-A-a-①-增加'!B:B,'①门店信息-A-a-①-增加'!F:F,0)</f>
        <v>0</v>
      </c>
      <c r="I195" s="55">
        <f>_xlfn.XLOOKUP(E195,'③新店考核-B-a-②呈现-业绩明细表-③'!B:B,'③新店考核-B-a-②呈现-业绩明细表-③'!E:E,0)</f>
        <v>0</v>
      </c>
      <c r="J195" s="54">
        <f>_xlfn.XLOOKUP(E195,'③新店考核-B-a-②呈现-业绩明细表-③'!B:B,'③新店考核-B-a-②呈现-业绩明细表-③'!F:F,0)</f>
        <v>0</v>
      </c>
      <c r="K195" s="55">
        <f>IF(H195="新店一阶段",LOOKUP(I195,'②提成标准-B-a-①-增加'!$M$9:$M$12,'②提成标准-B-a-①-增加'!$O$9:$O$12),0)</f>
        <v>0</v>
      </c>
      <c r="L195" s="56">
        <f t="shared" si="50"/>
        <v>0</v>
      </c>
      <c r="M195" s="57">
        <f>_xlfn.XLOOKUP(E195,'③新店考核-B-a-②呈现-业绩明细表-③'!B:B,'③新店考核-B-a-②呈现-业绩明细表-③'!G:G,0)</f>
        <v>0</v>
      </c>
      <c r="N195" s="58" t="str">
        <f>LOOKUP(M195,'②提成标准-B-a-①-增加'!$M$1:$M$4,'②提成标准-B-a-①-增加'!$O$1:$O$4)</f>
        <v>同老店</v>
      </c>
      <c r="O195" s="57">
        <f>_xlfn.XLOOKUP(E195,'③新店考核-B-a-②呈现-业绩明细表-③'!B:B,'③新店考核-B-a-②呈现-业绩明细表-③'!H:H,0)</f>
        <v>0</v>
      </c>
      <c r="P195" s="57">
        <f t="shared" si="51"/>
        <v>0</v>
      </c>
      <c r="Q195" s="53">
        <f>_xlfn.XLOOKUP(E195,'④考勤-B-a-26考勤汇总表'!D:D,'④考勤-B-a-26考勤汇总表'!AP:AP,0)</f>
        <v>0</v>
      </c>
      <c r="R195" s="53" t="str">
        <f t="shared" si="43"/>
        <v/>
      </c>
      <c r="S195" s="53">
        <f t="shared" ref="S195:S257" si="56">T195+U195+V195</f>
        <v>0</v>
      </c>
      <c r="T195" s="53">
        <v>0</v>
      </c>
      <c r="U195" s="53">
        <v>0</v>
      </c>
      <c r="V195" s="53">
        <v>0</v>
      </c>
      <c r="W195" s="53">
        <f>_xlfn.XLOOKUP(E195,'⑤项目数-B-a-③消耗明细表'!C:C,'⑤项目数-B-a-③消耗明细表'!E:E,0)</f>
        <v>0</v>
      </c>
      <c r="X195" s="53">
        <f>_xlfn.XLOOKUP(E195,'⑤项目数-B-a-③消耗明细表'!C:C,'⑤项目数-B-a-③消耗明细表'!D:D,0)</f>
        <v>0</v>
      </c>
      <c r="Y195" s="53">
        <f>_xlfn.XLOOKUP(E195,'⑤项目数-B-a-③消耗明细表'!C:C,'⑤项目数-B-a-③消耗明细表'!F:F,0)</f>
        <v>0</v>
      </c>
      <c r="Z195" s="53">
        <f>_xlfn.XLOOKUP(E195,'⑤项目数-B-a-③消耗明细表'!C:C,'⑤项目数-B-a-③消耗明细表'!G:G,0)</f>
        <v>0</v>
      </c>
      <c r="AA195" s="84" t="str">
        <f t="shared" si="52"/>
        <v>不属于战队</v>
      </c>
      <c r="AB195" s="84">
        <f t="shared" si="53"/>
        <v>0</v>
      </c>
      <c r="AC195" s="53">
        <f>_xlfn.XLOOKUP(F195,'⑥战队统计表-B-a-②呈现-业绩明细表④'!A:A,'⑥战队统计表-B-a-②呈现-业绩明细表④'!B:B,0)</f>
        <v>0</v>
      </c>
      <c r="AD195" s="53">
        <f t="shared" ref="AD195:AD257" si="57">IF(OR(AA195="单人",AA195="新店",AC195&lt;=1,AB195=0),1,"")</f>
        <v>1</v>
      </c>
      <c r="AE195" s="59">
        <f>IF(AD195="",_xlfn.XLOOKUP(F195,'⑥战队统计表-B-a-②呈现-业绩明细表④'!A:A,'⑥战队统计表-B-a-②呈现-业绩明细表④'!D:D,0),0)</f>
        <v>0</v>
      </c>
      <c r="AF195" s="85">
        <f>IF(AND(E195="T区",E195="门店T区"),"",IF(AD195="",0,IF(R195="",LOOKUP(S195,'②提成标准-B-a-①-增加'!$B$16:$B$20,'②提成标准-B-a-①-增加'!$D$16:$D$20),LOOKUP(S195/Q195,'②提成标准-B-a-①-增加'!$B$23:$B$27,'②提成标准-B-a-①-增加'!$D$23:$D$27))))</f>
        <v>0</v>
      </c>
      <c r="AG195" s="85">
        <f t="shared" si="54"/>
        <v>0</v>
      </c>
      <c r="AH195" s="60">
        <f t="shared" si="44"/>
        <v>0</v>
      </c>
      <c r="AI195" s="86">
        <f t="shared" si="45"/>
        <v>0</v>
      </c>
      <c r="AJ195" s="60">
        <f t="shared" ref="AJ195:AJ257" si="58">AI195+AH195</f>
        <v>0</v>
      </c>
      <c r="AK195" s="87">
        <f>IF(AB195=1,IFERROR(S195/VLOOKUP(F195,'⑥战队统计表-B-a-②呈现-业绩明细表④'!A:C,3,0),0),0)</f>
        <v>0</v>
      </c>
      <c r="AL195" s="85" t="str">
        <f t="shared" si="41"/>
        <v/>
      </c>
      <c r="AM195" s="53" t="str">
        <f>IF(D195="顾问",_xlfn.XLOOKUP(F195,'⑥战队统计表-B-a-②呈现-业绩明细表④'!A:A,'⑥战队统计表-B-a-②呈现-业绩明细表④'!H:H,0),"")</f>
        <v/>
      </c>
      <c r="AN195" s="53" t="str">
        <f t="shared" si="55"/>
        <v>单人</v>
      </c>
    </row>
    <row r="196" spans="1:40" hidden="1" x14ac:dyDescent="0.15">
      <c r="A196" s="79" t="s">
        <v>428</v>
      </c>
      <c r="B196" s="80" t="s">
        <v>198</v>
      </c>
      <c r="C196" s="81" t="s">
        <v>40</v>
      </c>
      <c r="D196" s="82" t="s">
        <v>40</v>
      </c>
      <c r="E196" s="88" t="str">
        <f>F196</f>
        <v>紫荆+门店T区</v>
      </c>
      <c r="F196" s="53" t="str">
        <f t="shared" si="49"/>
        <v>紫荆+门店T区</v>
      </c>
      <c r="G196" s="53">
        <f>IFERROR(_xlfn.XLOOKUP(B196,'①门店信息-A-a-①-增加'!B:B,'①门店信息-A-a-①-增加'!E:E,0),"")</f>
        <v>0</v>
      </c>
      <c r="H196" s="54">
        <f>_xlfn.XLOOKUP(B196,'①门店信息-A-a-①-增加'!B:B,'①门店信息-A-a-①-增加'!F:F,0)</f>
        <v>0</v>
      </c>
      <c r="I196" s="55">
        <f>_xlfn.XLOOKUP(E196,'③新店考核-B-a-②呈现-业绩明细表-③'!B:B,'③新店考核-B-a-②呈现-业绩明细表-③'!E:E,0)</f>
        <v>0</v>
      </c>
      <c r="J196" s="54">
        <f>_xlfn.XLOOKUP(E196,'③新店考核-B-a-②呈现-业绩明细表-③'!B:B,'③新店考核-B-a-②呈现-业绩明细表-③'!F:F,0)</f>
        <v>0</v>
      </c>
      <c r="K196" s="55">
        <f>IF(H196="新店一阶段",LOOKUP(I196,'②提成标准-B-a-①-增加'!$M$9:$M$12,'②提成标准-B-a-①-增加'!$O$9:$O$12),0)</f>
        <v>0</v>
      </c>
      <c r="L196" s="56">
        <f t="shared" si="50"/>
        <v>2000</v>
      </c>
      <c r="M196" s="57">
        <f>_xlfn.XLOOKUP(E196,'③新店考核-B-a-②呈现-业绩明细表-③'!B:B,'③新店考核-B-a-②呈现-业绩明细表-③'!G:G,0)</f>
        <v>0</v>
      </c>
      <c r="N196" s="58" t="str">
        <f>LOOKUP(M196,'②提成标准-B-a-①-增加'!$M$1:$M$4,'②提成标准-B-a-①-增加'!$O$1:$O$4)</f>
        <v>同老店</v>
      </c>
      <c r="O196" s="57">
        <f>_xlfn.XLOOKUP(E196,'③新店考核-B-a-②呈现-业绩明细表-③'!B:B,'③新店考核-B-a-②呈现-业绩明细表-③'!H:H,0)</f>
        <v>0</v>
      </c>
      <c r="P196" s="57">
        <f t="shared" si="51"/>
        <v>2000</v>
      </c>
      <c r="Q196" s="53">
        <f>_xlfn.XLOOKUP(E196,'④考勤-B-a-26考勤汇总表'!D:D,'④考勤-B-a-26考勤汇总表'!AP:AP,0)</f>
        <v>0</v>
      </c>
      <c r="R196" s="53" t="str">
        <f t="shared" si="43"/>
        <v/>
      </c>
      <c r="S196" s="53">
        <f t="shared" si="56"/>
        <v>2000</v>
      </c>
      <c r="T196" s="53">
        <v>2000</v>
      </c>
      <c r="U196" s="53">
        <v>0</v>
      </c>
      <c r="V196" s="53">
        <v>0</v>
      </c>
      <c r="W196" s="53">
        <f>_xlfn.XLOOKUP(E196,'⑤项目数-B-a-③消耗明细表'!C:C,'⑤项目数-B-a-③消耗明细表'!E:E,0)</f>
        <v>0</v>
      </c>
      <c r="X196" s="53">
        <f>_xlfn.XLOOKUP(E196,'⑤项目数-B-a-③消耗明细表'!C:C,'⑤项目数-B-a-③消耗明细表'!D:D,0)</f>
        <v>0</v>
      </c>
      <c r="Y196" s="53">
        <f>_xlfn.XLOOKUP(E196,'⑤项目数-B-a-③消耗明细表'!C:C,'⑤项目数-B-a-③消耗明细表'!F:F,0)</f>
        <v>0</v>
      </c>
      <c r="Z196" s="53">
        <f>_xlfn.XLOOKUP(E196,'⑤项目数-B-a-③消耗明细表'!C:C,'⑤项目数-B-a-③消耗明细表'!G:G,0)</f>
        <v>0</v>
      </c>
      <c r="AA196" s="84">
        <f t="shared" si="52"/>
        <v>1</v>
      </c>
      <c r="AB196" s="84">
        <f t="shared" si="53"/>
        <v>0</v>
      </c>
      <c r="AC196" s="53">
        <f>_xlfn.XLOOKUP(F196,'⑥战队统计表-B-a-②呈现-业绩明细表④'!A:A,'⑥战队统计表-B-a-②呈现-业绩明细表④'!B:B,0)</f>
        <v>0</v>
      </c>
      <c r="AD196" s="53">
        <f t="shared" si="57"/>
        <v>1</v>
      </c>
      <c r="AE196" s="59">
        <f>IF(AD196="",_xlfn.XLOOKUP(F196,'⑥战队统计表-B-a-②呈现-业绩明细表④'!A:A,'⑥战队统计表-B-a-②呈现-业绩明细表④'!D:D,0),0)</f>
        <v>0</v>
      </c>
      <c r="AF196" s="85">
        <f>IF(AND(E196="T区",E196="门店T区"),"",IF(AD196="",0,IF(R196="",LOOKUP(S196,'②提成标准-B-a-①-增加'!$B$16:$B$20,'②提成标准-B-a-①-增加'!$D$16:$D$20),LOOKUP(S196/Q196,'②提成标准-B-a-①-增加'!$B$23:$B$27,'②提成标准-B-a-①-增加'!$D$23:$D$27))))</f>
        <v>0</v>
      </c>
      <c r="AG196" s="85">
        <f t="shared" si="54"/>
        <v>0</v>
      </c>
      <c r="AH196" s="60">
        <f t="shared" si="44"/>
        <v>0</v>
      </c>
      <c r="AI196" s="86">
        <f t="shared" si="45"/>
        <v>0</v>
      </c>
      <c r="AJ196" s="60">
        <f t="shared" si="58"/>
        <v>0</v>
      </c>
      <c r="AK196" s="87">
        <f>IF(AB196=1,IFERROR(S196/VLOOKUP(F196,'⑥战队统计表-B-a-②呈现-业绩明细表④'!A:C,3,0),0),0)</f>
        <v>0</v>
      </c>
      <c r="AL196" s="85" t="str">
        <f t="shared" si="41"/>
        <v/>
      </c>
      <c r="AM196" s="53" t="str">
        <f>IF(D196="顾问",_xlfn.XLOOKUP(F196,'⑥战队统计表-B-a-②呈现-业绩明细表④'!A:A,'⑥战队统计表-B-a-②呈现-业绩明细表④'!H:H,0),"")</f>
        <v/>
      </c>
      <c r="AN196" s="53" t="str">
        <f t="shared" si="55"/>
        <v>单人</v>
      </c>
    </row>
    <row r="197" spans="1:40" hidden="1" x14ac:dyDescent="0.15">
      <c r="A197" s="79" t="s">
        <v>428</v>
      </c>
      <c r="B197" s="80" t="s">
        <v>209</v>
      </c>
      <c r="C197" s="81" t="s">
        <v>210</v>
      </c>
      <c r="D197" s="82" t="s">
        <v>32</v>
      </c>
      <c r="E197" s="82" t="s">
        <v>211</v>
      </c>
      <c r="F197" s="53" t="str">
        <f t="shared" si="49"/>
        <v>双流+超越队</v>
      </c>
      <c r="G197" s="53">
        <f>IFERROR(_xlfn.XLOOKUP(B197,'①门店信息-A-a-①-增加'!B:B,'①门店信息-A-a-①-增加'!E:E,0),"")</f>
        <v>0</v>
      </c>
      <c r="H197" s="54">
        <f>_xlfn.XLOOKUP(B197,'①门店信息-A-a-①-增加'!B:B,'①门店信息-A-a-①-增加'!F:F,0)</f>
        <v>0</v>
      </c>
      <c r="I197" s="55">
        <f>_xlfn.XLOOKUP(E197,'③新店考核-B-a-②呈现-业绩明细表-③'!B:B,'③新店考核-B-a-②呈现-业绩明细表-③'!E:E,0)</f>
        <v>0</v>
      </c>
      <c r="J197" s="54">
        <f>_xlfn.XLOOKUP(E197,'③新店考核-B-a-②呈现-业绩明细表-③'!B:B,'③新店考核-B-a-②呈现-业绩明细表-③'!F:F,0)</f>
        <v>0</v>
      </c>
      <c r="K197" s="55">
        <f>IF(H197="新店一阶段",LOOKUP(I197,'②提成标准-B-a-①-增加'!$M$9:$M$12,'②提成标准-B-a-①-增加'!$O$9:$O$12),0)</f>
        <v>0</v>
      </c>
      <c r="L197" s="56">
        <f t="shared" si="50"/>
        <v>22234</v>
      </c>
      <c r="M197" s="57">
        <f>_xlfn.XLOOKUP(E197,'③新店考核-B-a-②呈现-业绩明细表-③'!B:B,'③新店考核-B-a-②呈现-业绩明细表-③'!G:G,0)</f>
        <v>0</v>
      </c>
      <c r="N197" s="58" t="str">
        <f>LOOKUP(M197,'②提成标准-B-a-①-增加'!$M$1:$M$4,'②提成标准-B-a-①-增加'!$O$1:$O$4)</f>
        <v>同老店</v>
      </c>
      <c r="O197" s="57">
        <f>_xlfn.XLOOKUP(E197,'③新店考核-B-a-②呈现-业绩明细表-③'!B:B,'③新店考核-B-a-②呈现-业绩明细表-③'!H:H,0)</f>
        <v>0</v>
      </c>
      <c r="P197" s="57">
        <f t="shared" si="51"/>
        <v>22234</v>
      </c>
      <c r="Q197" s="53">
        <f>_xlfn.XLOOKUP(E197,'④考勤-B-a-26考勤汇总表'!D:D,'④考勤-B-a-26考勤汇总表'!AP:AP,0)</f>
        <v>31</v>
      </c>
      <c r="R197" s="53" t="str">
        <f t="shared" si="43"/>
        <v/>
      </c>
      <c r="S197" s="53">
        <f t="shared" si="56"/>
        <v>113442</v>
      </c>
      <c r="T197" s="53">
        <v>22234</v>
      </c>
      <c r="U197" s="53">
        <v>89700</v>
      </c>
      <c r="V197" s="53">
        <v>1508</v>
      </c>
      <c r="W197" s="53">
        <f>_xlfn.XLOOKUP(E197,'⑤项目数-B-a-③消耗明细表'!C:C,'⑤项目数-B-a-③消耗明细表'!E:E,0)</f>
        <v>28989.86</v>
      </c>
      <c r="X197" s="53">
        <f>_xlfn.XLOOKUP(E197,'⑤项目数-B-a-③消耗明细表'!C:C,'⑤项目数-B-a-③消耗明细表'!D:D,0)</f>
        <v>144.5</v>
      </c>
      <c r="Y197" s="53">
        <f>_xlfn.XLOOKUP(E197,'⑤项目数-B-a-③消耗明细表'!C:C,'⑤项目数-B-a-③消耗明细表'!F:F,0)</f>
        <v>1752.5</v>
      </c>
      <c r="Z197" s="53">
        <f>_xlfn.XLOOKUP(E197,'⑤项目数-B-a-③消耗明细表'!C:C,'⑤项目数-B-a-③消耗明细表'!G:G,0)</f>
        <v>142.5</v>
      </c>
      <c r="AA197" s="84">
        <f t="shared" si="52"/>
        <v>1</v>
      </c>
      <c r="AB197" s="84">
        <f t="shared" si="53"/>
        <v>1</v>
      </c>
      <c r="AC197" s="53">
        <f>_xlfn.XLOOKUP(F197,'⑥战队统计表-B-a-②呈现-业绩明细表④'!A:A,'⑥战队统计表-B-a-②呈现-业绩明细表④'!B:B,0)</f>
        <v>3</v>
      </c>
      <c r="AD197" s="53" t="str">
        <f t="shared" si="57"/>
        <v/>
      </c>
      <c r="AE197" s="59">
        <f>IF(AD197="",_xlfn.XLOOKUP(F197,'⑥战队统计表-B-a-②呈现-业绩明细表④'!A:A,'⑥战队统计表-B-a-②呈现-业绩明细表④'!D:D,0),0)</f>
        <v>7.0000000000000007E-2</v>
      </c>
      <c r="AF197" s="85">
        <f>IF(AND(E197="T区",E197="门店T区"),"",IF(AD197="",0,IF(R197="",LOOKUP(S197,'②提成标准-B-a-①-增加'!$B$16:$B$20,'②提成标准-B-a-①-增加'!$D$16:$D$20),LOOKUP(S197/Q197,'②提成标准-B-a-①-增加'!$B$23:$B$27,'②提成标准-B-a-①-增加'!$D$23:$D$27))))</f>
        <v>0</v>
      </c>
      <c r="AG197" s="85">
        <f t="shared" si="54"/>
        <v>7.0000000000000007E-2</v>
      </c>
      <c r="AH197" s="60">
        <f t="shared" si="44"/>
        <v>1478.5609999999999</v>
      </c>
      <c r="AI197" s="86">
        <f t="shared" si="45"/>
        <v>3877.2825000000003</v>
      </c>
      <c r="AJ197" s="60">
        <f t="shared" si="58"/>
        <v>5355.8434999999999</v>
      </c>
      <c r="AK197" s="87">
        <f>IF(AB197=1,IFERROR(S197/VLOOKUP(F197,'⑥战队统计表-B-a-②呈现-业绩明细表④'!A:C,3,0),0),0)</f>
        <v>0.65722139987312334</v>
      </c>
      <c r="AL197" s="85">
        <f t="shared" si="41"/>
        <v>0.34277860012687672</v>
      </c>
      <c r="AM197" s="53">
        <f>IF(D197="顾问",_xlfn.XLOOKUP(F197,'⑥战队统计表-B-a-②呈现-业绩明细表④'!A:A,'⑥战队统计表-B-a-②呈现-业绩明细表④'!H:H,0),"")</f>
        <v>0</v>
      </c>
      <c r="AN197" s="53" t="str">
        <f t="shared" si="55"/>
        <v>双流+超越队</v>
      </c>
    </row>
    <row r="198" spans="1:40" hidden="1" x14ac:dyDescent="0.15">
      <c r="A198" s="79" t="s">
        <v>428</v>
      </c>
      <c r="B198" s="80" t="s">
        <v>209</v>
      </c>
      <c r="C198" s="81" t="s">
        <v>210</v>
      </c>
      <c r="D198" s="82" t="s">
        <v>6</v>
      </c>
      <c r="E198" s="82" t="s">
        <v>212</v>
      </c>
      <c r="F198" s="53" t="str">
        <f t="shared" si="49"/>
        <v>双流+超越队</v>
      </c>
      <c r="G198" s="53">
        <f>IFERROR(_xlfn.XLOOKUP(B198,'①门店信息-A-a-①-增加'!B:B,'①门店信息-A-a-①-增加'!E:E,0),"")</f>
        <v>0</v>
      </c>
      <c r="H198" s="54">
        <f>_xlfn.XLOOKUP(B198,'①门店信息-A-a-①-增加'!B:B,'①门店信息-A-a-①-增加'!F:F,0)</f>
        <v>0</v>
      </c>
      <c r="I198" s="55">
        <f>_xlfn.XLOOKUP(E198,'③新店考核-B-a-②呈现-业绩明细表-③'!B:B,'③新店考核-B-a-②呈现-业绩明细表-③'!E:E,0)</f>
        <v>0</v>
      </c>
      <c r="J198" s="54">
        <f>_xlfn.XLOOKUP(E198,'③新店考核-B-a-②呈现-业绩明细表-③'!B:B,'③新店考核-B-a-②呈现-业绩明细表-③'!F:F,0)</f>
        <v>0</v>
      </c>
      <c r="K198" s="55">
        <f>IF(H198="新店一阶段",LOOKUP(I198,'②提成标准-B-a-①-增加'!$M$9:$M$12,'②提成标准-B-a-①-增加'!$O$9:$O$12),0)</f>
        <v>0</v>
      </c>
      <c r="L198" s="56">
        <f t="shared" si="50"/>
        <v>22458.5</v>
      </c>
      <c r="M198" s="57">
        <f>_xlfn.XLOOKUP(E198,'③新店考核-B-a-②呈现-业绩明细表-③'!B:B,'③新店考核-B-a-②呈现-业绩明细表-③'!G:G,0)</f>
        <v>0</v>
      </c>
      <c r="N198" s="58" t="str">
        <f>LOOKUP(M198,'②提成标准-B-a-①-增加'!$M$1:$M$4,'②提成标准-B-a-①-增加'!$O$1:$O$4)</f>
        <v>同老店</v>
      </c>
      <c r="O198" s="57">
        <f>_xlfn.XLOOKUP(E198,'③新店考核-B-a-②呈现-业绩明细表-③'!B:B,'③新店考核-B-a-②呈现-业绩明细表-③'!H:H,0)</f>
        <v>0</v>
      </c>
      <c r="P198" s="57">
        <f t="shared" si="51"/>
        <v>22458.5</v>
      </c>
      <c r="Q198" s="53">
        <f>_xlfn.XLOOKUP(E198,'④考勤-B-a-26考勤汇总表'!D:D,'④考勤-B-a-26考勤汇总表'!AP:AP,0)</f>
        <v>31</v>
      </c>
      <c r="R198" s="53" t="str">
        <f t="shared" si="43"/>
        <v/>
      </c>
      <c r="S198" s="53">
        <f t="shared" si="56"/>
        <v>49998.5</v>
      </c>
      <c r="T198" s="53">
        <v>22458.5</v>
      </c>
      <c r="U198" s="53">
        <v>27540</v>
      </c>
      <c r="V198" s="53">
        <v>0</v>
      </c>
      <c r="W198" s="53">
        <f>_xlfn.XLOOKUP(E198,'⑤项目数-B-a-③消耗明细表'!C:C,'⑤项目数-B-a-③消耗明细表'!E:E,0)</f>
        <v>20314.169999999998</v>
      </c>
      <c r="X198" s="53">
        <f>_xlfn.XLOOKUP(E198,'⑤项目数-B-a-③消耗明细表'!C:C,'⑤项目数-B-a-③消耗明细表'!D:D,0)</f>
        <v>139.5</v>
      </c>
      <c r="Y198" s="53">
        <f>_xlfn.XLOOKUP(E198,'⑤项目数-B-a-③消耗明细表'!C:C,'⑤项目数-B-a-③消耗明细表'!F:F,0)</f>
        <v>1693</v>
      </c>
      <c r="Z198" s="53">
        <f>_xlfn.XLOOKUP(E198,'⑤项目数-B-a-③消耗明细表'!C:C,'⑤项目数-B-a-③消耗明细表'!G:G,0)</f>
        <v>70</v>
      </c>
      <c r="AA198" s="84">
        <f t="shared" si="52"/>
        <v>1</v>
      </c>
      <c r="AB198" s="84">
        <f t="shared" si="53"/>
        <v>1</v>
      </c>
      <c r="AC198" s="53">
        <f>_xlfn.XLOOKUP(F198,'⑥战队统计表-B-a-②呈现-业绩明细表④'!A:A,'⑥战队统计表-B-a-②呈现-业绩明细表④'!B:B,0)</f>
        <v>3</v>
      </c>
      <c r="AD198" s="53" t="str">
        <f t="shared" si="57"/>
        <v/>
      </c>
      <c r="AE198" s="59">
        <f>IF(AD198="",_xlfn.XLOOKUP(F198,'⑥战队统计表-B-a-②呈现-业绩明细表④'!A:A,'⑥战队统计表-B-a-②呈现-业绩明细表④'!D:D,0),0)</f>
        <v>7.0000000000000007E-2</v>
      </c>
      <c r="AF198" s="85">
        <f>IF(AND(E198="T区",E198="门店T区"),"",IF(AD198="",0,IF(R198="",LOOKUP(S198,'②提成标准-B-a-①-增加'!$B$16:$B$20,'②提成标准-B-a-①-增加'!$D$16:$D$20),LOOKUP(S198/Q198,'②提成标准-B-a-①-增加'!$B$23:$B$27,'②提成标准-B-a-①-增加'!$D$23:$D$27))))</f>
        <v>0</v>
      </c>
      <c r="AG198" s="85">
        <f t="shared" si="54"/>
        <v>7.0000000000000007E-2</v>
      </c>
      <c r="AH198" s="60">
        <f t="shared" si="44"/>
        <v>1493.4902500000001</v>
      </c>
      <c r="AI198" s="86">
        <f t="shared" si="45"/>
        <v>1190.4165</v>
      </c>
      <c r="AJ198" s="60">
        <f t="shared" si="58"/>
        <v>2683.9067500000001</v>
      </c>
      <c r="AK198" s="87">
        <f>IF(AB198=1,IFERROR(S198/VLOOKUP(F198,'⑥战队统计表-B-a-②呈现-业绩明细表④'!A:C,3,0),0),0)</f>
        <v>0.28966418223899748</v>
      </c>
      <c r="AL198" s="85" t="str">
        <f t="shared" ref="AL198:AL231" si="59">IF(D198="顾问",SUMIFS(AK:AK,$F:$F,F198,$D:$D,"健康师"),"")</f>
        <v/>
      </c>
      <c r="AM198" s="53" t="str">
        <f>IF(D198="顾问",_xlfn.XLOOKUP(F198,'⑥战队统计表-B-a-②呈现-业绩明细表④'!A:A,'⑥战队统计表-B-a-②呈现-业绩明细表④'!H:H,0),"")</f>
        <v/>
      </c>
      <c r="AN198" s="53" t="str">
        <f t="shared" si="55"/>
        <v>双流+超越队</v>
      </c>
    </row>
    <row r="199" spans="1:40" hidden="1" x14ac:dyDescent="0.15">
      <c r="A199" s="79" t="s">
        <v>428</v>
      </c>
      <c r="B199" s="80" t="s">
        <v>209</v>
      </c>
      <c r="C199" s="81" t="s">
        <v>210</v>
      </c>
      <c r="D199" s="82" t="s">
        <v>6</v>
      </c>
      <c r="E199" s="82" t="s">
        <v>216</v>
      </c>
      <c r="F199" s="53" t="str">
        <f t="shared" si="49"/>
        <v>双流+超越队</v>
      </c>
      <c r="G199" s="53">
        <f>IFERROR(_xlfn.XLOOKUP(B199,'①门店信息-A-a-①-增加'!B:B,'①门店信息-A-a-①-增加'!E:E,0),"")</f>
        <v>0</v>
      </c>
      <c r="H199" s="54">
        <f>_xlfn.XLOOKUP(B199,'①门店信息-A-a-①-增加'!B:B,'①门店信息-A-a-①-增加'!F:F,0)</f>
        <v>0</v>
      </c>
      <c r="I199" s="55">
        <f>_xlfn.XLOOKUP(E199,'③新店考核-B-a-②呈现-业绩明细表-③'!B:B,'③新店考核-B-a-②呈现-业绩明细表-③'!E:E,0)</f>
        <v>0</v>
      </c>
      <c r="J199" s="54">
        <f>_xlfn.XLOOKUP(E199,'③新店考核-B-a-②呈现-业绩明细表-③'!B:B,'③新店考核-B-a-②呈现-业绩明细表-③'!F:F,0)</f>
        <v>0</v>
      </c>
      <c r="K199" s="55">
        <f>IF(H199="新店一阶段",LOOKUP(I199,'②提成标准-B-a-①-增加'!$M$9:$M$12,'②提成标准-B-a-①-增加'!$O$9:$O$12),0)</f>
        <v>0</v>
      </c>
      <c r="L199" s="56">
        <f t="shared" si="50"/>
        <v>398</v>
      </c>
      <c r="M199" s="57">
        <f>_xlfn.XLOOKUP(E199,'③新店考核-B-a-②呈现-业绩明细表-③'!B:B,'③新店考核-B-a-②呈现-业绩明细表-③'!G:G,0)</f>
        <v>0</v>
      </c>
      <c r="N199" s="58" t="str">
        <f>LOOKUP(M199,'②提成标准-B-a-①-增加'!$M$1:$M$4,'②提成标准-B-a-①-增加'!$O$1:$O$4)</f>
        <v>同老店</v>
      </c>
      <c r="O199" s="57">
        <f>_xlfn.XLOOKUP(E199,'③新店考核-B-a-②呈现-业绩明细表-③'!B:B,'③新店考核-B-a-②呈现-业绩明细表-③'!H:H,0)</f>
        <v>0</v>
      </c>
      <c r="P199" s="57">
        <f t="shared" si="51"/>
        <v>398</v>
      </c>
      <c r="Q199" s="53">
        <f>_xlfn.XLOOKUP(E199,'④考勤-B-a-26考勤汇总表'!D:D,'④考勤-B-a-26考勤汇总表'!AP:AP,0)</f>
        <v>31</v>
      </c>
      <c r="R199" s="53" t="str">
        <f t="shared" ref="R199:R262" si="60">IF(Q199=0,"",IF(Q199&lt;$R$1,"不足月",""))</f>
        <v/>
      </c>
      <c r="S199" s="53">
        <f t="shared" si="56"/>
        <v>9168</v>
      </c>
      <c r="T199" s="53">
        <v>398</v>
      </c>
      <c r="U199" s="53">
        <v>8770</v>
      </c>
      <c r="V199" s="53">
        <v>0</v>
      </c>
      <c r="W199" s="53">
        <f>_xlfn.XLOOKUP(E199,'⑤项目数-B-a-③消耗明细表'!C:C,'⑤项目数-B-a-③消耗明细表'!E:E,0)</f>
        <v>8687.26</v>
      </c>
      <c r="X199" s="53">
        <f>_xlfn.XLOOKUP(E199,'⑤项目数-B-a-③消耗明细表'!C:C,'⑤项目数-B-a-③消耗明细表'!D:D,0)</f>
        <v>114</v>
      </c>
      <c r="Y199" s="53">
        <f>_xlfn.XLOOKUP(E199,'⑤项目数-B-a-③消耗明细表'!C:C,'⑤项目数-B-a-③消耗明细表'!F:F,0)</f>
        <v>1449</v>
      </c>
      <c r="Z199" s="53">
        <f>_xlfn.XLOOKUP(E199,'⑤项目数-B-a-③消耗明细表'!C:C,'⑤项目数-B-a-③消耗明细表'!G:G,0)</f>
        <v>0</v>
      </c>
      <c r="AA199" s="84">
        <f t="shared" si="52"/>
        <v>1</v>
      </c>
      <c r="AB199" s="84">
        <f t="shared" si="53"/>
        <v>1</v>
      </c>
      <c r="AC199" s="53">
        <f>_xlfn.XLOOKUP(F199,'⑥战队统计表-B-a-②呈现-业绩明细表④'!A:A,'⑥战队统计表-B-a-②呈现-业绩明细表④'!B:B,0)</f>
        <v>3</v>
      </c>
      <c r="AD199" s="53" t="str">
        <f t="shared" si="57"/>
        <v/>
      </c>
      <c r="AE199" s="59">
        <f>IF(AD199="",_xlfn.XLOOKUP(F199,'⑥战队统计表-B-a-②呈现-业绩明细表④'!A:A,'⑥战队统计表-B-a-②呈现-业绩明细表④'!D:D,0),0)</f>
        <v>7.0000000000000007E-2</v>
      </c>
      <c r="AF199" s="85">
        <f>IF(AND(E199="T区",E199="门店T区"),"",IF(AD199="",0,IF(R199="",LOOKUP(S199,'②提成标准-B-a-①-增加'!$B$16:$B$20,'②提成标准-B-a-①-增加'!$D$16:$D$20),LOOKUP(S199/Q199,'②提成标准-B-a-①-增加'!$B$23:$B$27,'②提成标准-B-a-①-增加'!$D$23:$D$27))))</f>
        <v>0</v>
      </c>
      <c r="AG199" s="85">
        <f t="shared" si="54"/>
        <v>7.0000000000000007E-2</v>
      </c>
      <c r="AH199" s="60">
        <f t="shared" ref="AH199:AH262" si="61">IF(D199="门店T区",0,IF(H199="新店一阶段",J199*K199*0.95+L199*AF199*0.95,IF(N199="同老店",IF(AND($E$6="T区",$E$6="门店T区"),"",AG199*T199*0.95),O199*N199*0.95+P199*0.95*AG199)))</f>
        <v>26.467000000000002</v>
      </c>
      <c r="AI199" s="86">
        <f t="shared" ref="AI199:AI262" si="62">IF(D199="门店T区",0,IF(AND($E$6="T区",$E$6="门店T区"),"",AG199*U199*0.95*0.65))</f>
        <v>379.08325000000002</v>
      </c>
      <c r="AJ199" s="60">
        <f t="shared" si="58"/>
        <v>405.55025000000001</v>
      </c>
      <c r="AK199" s="87">
        <f>IF(AB199=1,IFERROR(S199/VLOOKUP(F199,'⑥战队统计表-B-a-②呈现-业绩明细表④'!A:C,3,0),0),0)</f>
        <v>5.3114417887879219E-2</v>
      </c>
      <c r="AL199" s="85" t="str">
        <f t="shared" si="59"/>
        <v/>
      </c>
      <c r="AM199" s="53" t="str">
        <f>IF(D199="顾问",_xlfn.XLOOKUP(F199,'⑥战队统计表-B-a-②呈现-业绩明细表④'!A:A,'⑥战队统计表-B-a-②呈现-业绩明细表④'!H:H,0),"")</f>
        <v/>
      </c>
      <c r="AN199" s="53" t="str">
        <f t="shared" si="55"/>
        <v>双流+超越队</v>
      </c>
    </row>
    <row r="200" spans="1:40" hidden="1" x14ac:dyDescent="0.15">
      <c r="A200" s="79" t="s">
        <v>428</v>
      </c>
      <c r="B200" s="80" t="s">
        <v>209</v>
      </c>
      <c r="C200" s="89" t="s">
        <v>36</v>
      </c>
      <c r="D200" s="90" t="s">
        <v>36</v>
      </c>
      <c r="E200" s="90" t="s">
        <v>36</v>
      </c>
      <c r="F200" s="53" t="str">
        <f t="shared" si="49"/>
        <v>双流+T区</v>
      </c>
      <c r="G200" s="53">
        <f>IFERROR(_xlfn.XLOOKUP(B200,'①门店信息-A-a-①-增加'!B:B,'①门店信息-A-a-①-增加'!E:E,0),"")</f>
        <v>0</v>
      </c>
      <c r="H200" s="54">
        <f>_xlfn.XLOOKUP(B200,'①门店信息-A-a-①-增加'!B:B,'①门店信息-A-a-①-增加'!F:F,0)</f>
        <v>0</v>
      </c>
      <c r="I200" s="55">
        <f>_xlfn.XLOOKUP(E200,'③新店考核-B-a-②呈现-业绩明细表-③'!B:B,'③新店考核-B-a-②呈现-业绩明细表-③'!E:E,0)</f>
        <v>0</v>
      </c>
      <c r="J200" s="54">
        <f>_xlfn.XLOOKUP(E200,'③新店考核-B-a-②呈现-业绩明细表-③'!B:B,'③新店考核-B-a-②呈现-业绩明细表-③'!F:F,0)</f>
        <v>0</v>
      </c>
      <c r="K200" s="55">
        <f>IF(H200="新店一阶段",LOOKUP(I200,'②提成标准-B-a-①-增加'!$M$9:$M$12,'②提成标准-B-a-①-增加'!$O$9:$O$12),0)</f>
        <v>0</v>
      </c>
      <c r="L200" s="56">
        <f t="shared" si="50"/>
        <v>0</v>
      </c>
      <c r="M200" s="57">
        <f>_xlfn.XLOOKUP(E200,'③新店考核-B-a-②呈现-业绩明细表-③'!B:B,'③新店考核-B-a-②呈现-业绩明细表-③'!G:G,0)</f>
        <v>0</v>
      </c>
      <c r="N200" s="58" t="str">
        <f>LOOKUP(M200,'②提成标准-B-a-①-增加'!$M$1:$M$4,'②提成标准-B-a-①-增加'!$O$1:$O$4)</f>
        <v>同老店</v>
      </c>
      <c r="O200" s="57">
        <f>_xlfn.XLOOKUP(E200,'③新店考核-B-a-②呈现-业绩明细表-③'!B:B,'③新店考核-B-a-②呈现-业绩明细表-③'!H:H,0)</f>
        <v>0</v>
      </c>
      <c r="P200" s="57">
        <f t="shared" si="51"/>
        <v>0</v>
      </c>
      <c r="Q200" s="53">
        <f>_xlfn.XLOOKUP(E200,'④考勤-B-a-26考勤汇总表'!D:D,'④考勤-B-a-26考勤汇总表'!AP:AP,0)</f>
        <v>0</v>
      </c>
      <c r="R200" s="53" t="str">
        <f t="shared" si="60"/>
        <v/>
      </c>
      <c r="S200" s="53">
        <f t="shared" si="56"/>
        <v>0</v>
      </c>
      <c r="T200" s="53">
        <v>0</v>
      </c>
      <c r="U200" s="53">
        <v>0</v>
      </c>
      <c r="V200" s="53">
        <v>0</v>
      </c>
      <c r="W200" s="53">
        <f>_xlfn.XLOOKUP(E200,'⑤项目数-B-a-③消耗明细表'!C:C,'⑤项目数-B-a-③消耗明细表'!E:E,0)</f>
        <v>0</v>
      </c>
      <c r="X200" s="53">
        <f>_xlfn.XLOOKUP(E200,'⑤项目数-B-a-③消耗明细表'!C:C,'⑤项目数-B-a-③消耗明细表'!D:D,0)</f>
        <v>0</v>
      </c>
      <c r="Y200" s="53">
        <f>_xlfn.XLOOKUP(E200,'⑤项目数-B-a-③消耗明细表'!C:C,'⑤项目数-B-a-③消耗明细表'!F:F,0)</f>
        <v>0</v>
      </c>
      <c r="Z200" s="53">
        <f>_xlfn.XLOOKUP(E200,'⑤项目数-B-a-③消耗明细表'!C:C,'⑤项目数-B-a-③消耗明细表'!G:G,0)</f>
        <v>0</v>
      </c>
      <c r="AA200" s="84" t="str">
        <f t="shared" si="52"/>
        <v>不属于战队</v>
      </c>
      <c r="AB200" s="84">
        <f t="shared" si="53"/>
        <v>0</v>
      </c>
      <c r="AC200" s="53">
        <f>_xlfn.XLOOKUP(F200,'⑥战队统计表-B-a-②呈现-业绩明细表④'!A:A,'⑥战队统计表-B-a-②呈现-业绩明细表④'!B:B,0)</f>
        <v>0</v>
      </c>
      <c r="AD200" s="53">
        <f t="shared" si="57"/>
        <v>1</v>
      </c>
      <c r="AE200" s="59">
        <f>IF(AD200="",_xlfn.XLOOKUP(F200,'⑥战队统计表-B-a-②呈现-业绩明细表④'!A:A,'⑥战队统计表-B-a-②呈现-业绩明细表④'!D:D,0),0)</f>
        <v>0</v>
      </c>
      <c r="AF200" s="85">
        <f>IF(AND(E200="T区",E200="门店T区"),"",IF(AD200="",0,IF(R200="",LOOKUP(S200,'②提成标准-B-a-①-增加'!$B$16:$B$20,'②提成标准-B-a-①-增加'!$D$16:$D$20),LOOKUP(S200/Q200,'②提成标准-B-a-①-增加'!$B$23:$B$27,'②提成标准-B-a-①-增加'!$D$23:$D$27))))</f>
        <v>0</v>
      </c>
      <c r="AG200" s="85">
        <f t="shared" si="54"/>
        <v>0</v>
      </c>
      <c r="AH200" s="60">
        <f t="shared" si="61"/>
        <v>0</v>
      </c>
      <c r="AI200" s="86">
        <f t="shared" si="62"/>
        <v>0</v>
      </c>
      <c r="AJ200" s="60">
        <f t="shared" si="58"/>
        <v>0</v>
      </c>
      <c r="AK200" s="87">
        <f>IF(AB200=1,IFERROR(S200/VLOOKUP(F200,'⑥战队统计表-B-a-②呈现-业绩明细表④'!A:C,3,0),0),0)</f>
        <v>0</v>
      </c>
      <c r="AL200" s="85" t="str">
        <f t="shared" si="59"/>
        <v/>
      </c>
      <c r="AM200" s="53" t="str">
        <f>IF(D200="顾问",_xlfn.XLOOKUP(F200,'⑥战队统计表-B-a-②呈现-业绩明细表④'!A:A,'⑥战队统计表-B-a-②呈现-业绩明细表④'!H:H,0),"")</f>
        <v/>
      </c>
      <c r="AN200" s="53" t="str">
        <f t="shared" si="55"/>
        <v>单人</v>
      </c>
    </row>
    <row r="201" spans="1:40" hidden="1" x14ac:dyDescent="0.15">
      <c r="A201" s="79" t="s">
        <v>428</v>
      </c>
      <c r="B201" s="80" t="s">
        <v>209</v>
      </c>
      <c r="C201" s="81" t="s">
        <v>213</v>
      </c>
      <c r="D201" s="82" t="s">
        <v>32</v>
      </c>
      <c r="E201" s="82" t="s">
        <v>214</v>
      </c>
      <c r="F201" s="53" t="str">
        <f t="shared" si="49"/>
        <v>双流+星耀队</v>
      </c>
      <c r="G201" s="53">
        <f>IFERROR(_xlfn.XLOOKUP(B201,'①门店信息-A-a-①-增加'!B:B,'①门店信息-A-a-①-增加'!E:E,0),"")</f>
        <v>0</v>
      </c>
      <c r="H201" s="54">
        <f>_xlfn.XLOOKUP(B201,'①门店信息-A-a-①-增加'!B:B,'①门店信息-A-a-①-增加'!F:F,0)</f>
        <v>0</v>
      </c>
      <c r="I201" s="55">
        <f>_xlfn.XLOOKUP(E201,'③新店考核-B-a-②呈现-业绩明细表-③'!B:B,'③新店考核-B-a-②呈现-业绩明细表-③'!E:E,0)</f>
        <v>0</v>
      </c>
      <c r="J201" s="54">
        <f>_xlfn.XLOOKUP(E201,'③新店考核-B-a-②呈现-业绩明细表-③'!B:B,'③新店考核-B-a-②呈现-业绩明细表-③'!F:F,0)</f>
        <v>0</v>
      </c>
      <c r="K201" s="55">
        <f>IF(H201="新店一阶段",LOOKUP(I201,'②提成标准-B-a-①-增加'!$M$9:$M$12,'②提成标准-B-a-①-增加'!$O$9:$O$12),0)</f>
        <v>0</v>
      </c>
      <c r="L201" s="56">
        <f t="shared" si="50"/>
        <v>27310</v>
      </c>
      <c r="M201" s="57">
        <f>_xlfn.XLOOKUP(E201,'③新店考核-B-a-②呈现-业绩明细表-③'!B:B,'③新店考核-B-a-②呈现-业绩明细表-③'!G:G,0)</f>
        <v>0</v>
      </c>
      <c r="N201" s="58" t="str">
        <f>LOOKUP(M201,'②提成标准-B-a-①-增加'!$M$1:$M$4,'②提成标准-B-a-①-增加'!$O$1:$O$4)</f>
        <v>同老店</v>
      </c>
      <c r="O201" s="57">
        <f>_xlfn.XLOOKUP(E201,'③新店考核-B-a-②呈现-业绩明细表-③'!B:B,'③新店考核-B-a-②呈现-业绩明细表-③'!H:H,0)</f>
        <v>0</v>
      </c>
      <c r="P201" s="57">
        <f t="shared" si="51"/>
        <v>27310</v>
      </c>
      <c r="Q201" s="53">
        <f>_xlfn.XLOOKUP(E201,'④考勤-B-a-26考勤汇总表'!D:D,'④考勤-B-a-26考勤汇总表'!AP:AP,0)</f>
        <v>31</v>
      </c>
      <c r="R201" s="53" t="str">
        <f t="shared" si="60"/>
        <v/>
      </c>
      <c r="S201" s="53">
        <f t="shared" si="56"/>
        <v>96356</v>
      </c>
      <c r="T201" s="53">
        <v>27310</v>
      </c>
      <c r="U201" s="53">
        <v>66750</v>
      </c>
      <c r="V201" s="53">
        <v>2296</v>
      </c>
      <c r="W201" s="53">
        <f>_xlfn.XLOOKUP(E201,'⑤项目数-B-a-③消耗明细表'!C:C,'⑤项目数-B-a-③消耗明细表'!E:E,0)</f>
        <v>25042.22</v>
      </c>
      <c r="X201" s="53">
        <f>_xlfn.XLOOKUP(E201,'⑤项目数-B-a-③消耗明细表'!C:C,'⑤项目数-B-a-③消耗明细表'!D:D,0)</f>
        <v>129.5</v>
      </c>
      <c r="Y201" s="53">
        <f>_xlfn.XLOOKUP(E201,'⑤项目数-B-a-③消耗明细表'!C:C,'⑤项目数-B-a-③消耗明细表'!F:F,0)</f>
        <v>1869</v>
      </c>
      <c r="Z201" s="53">
        <f>_xlfn.XLOOKUP(E201,'⑤项目数-B-a-③消耗明细表'!C:C,'⑤项目数-B-a-③消耗明细表'!G:G,0)</f>
        <v>240</v>
      </c>
      <c r="AA201" s="84">
        <f t="shared" si="52"/>
        <v>1</v>
      </c>
      <c r="AB201" s="84">
        <f t="shared" si="53"/>
        <v>1</v>
      </c>
      <c r="AC201" s="53">
        <f>_xlfn.XLOOKUP(F201,'⑥战队统计表-B-a-②呈现-业绩明细表④'!A:A,'⑥战队统计表-B-a-②呈现-业绩明细表④'!B:B,0)</f>
        <v>2</v>
      </c>
      <c r="AD201" s="53" t="str">
        <f t="shared" si="57"/>
        <v/>
      </c>
      <c r="AE201" s="59">
        <f>IF(AD201="",_xlfn.XLOOKUP(F201,'⑥战队统计表-B-a-②呈现-业绩明细表④'!A:A,'⑥战队统计表-B-a-②呈现-业绩明细表④'!D:D,0),0)</f>
        <v>0.06</v>
      </c>
      <c r="AF201" s="85">
        <f>IF(AND(E201="T区",E201="门店T区"),"",IF(AD201="",0,IF(R201="",LOOKUP(S201,'②提成标准-B-a-①-增加'!$B$16:$B$20,'②提成标准-B-a-①-增加'!$D$16:$D$20),LOOKUP(S201/Q201,'②提成标准-B-a-①-增加'!$B$23:$B$27,'②提成标准-B-a-①-增加'!$D$23:$D$27))))</f>
        <v>0</v>
      </c>
      <c r="AG201" s="85">
        <f t="shared" si="54"/>
        <v>0.06</v>
      </c>
      <c r="AH201" s="60">
        <f t="shared" si="61"/>
        <v>1556.6699999999998</v>
      </c>
      <c r="AI201" s="86">
        <f t="shared" si="62"/>
        <v>2473.0875000000001</v>
      </c>
      <c r="AJ201" s="60">
        <f t="shared" si="58"/>
        <v>4029.7574999999997</v>
      </c>
      <c r="AK201" s="87">
        <f>IF(AB201=1,IFERROR(S201/VLOOKUP(F201,'⑥战队统计表-B-a-②呈现-业绩明细表④'!A:C,3,0),0),0)</f>
        <v>0.69112283432374955</v>
      </c>
      <c r="AL201" s="85">
        <f t="shared" si="59"/>
        <v>0.30887716567625045</v>
      </c>
      <c r="AM201" s="53">
        <f>IF(D201="顾问",_xlfn.XLOOKUP(F201,'⑥战队统计表-B-a-②呈现-业绩明细表④'!A:A,'⑥战队统计表-B-a-②呈现-业绩明细表④'!H:H,0),"")</f>
        <v>418.26</v>
      </c>
      <c r="AN201" s="53" t="str">
        <f t="shared" si="55"/>
        <v>双流+星耀队</v>
      </c>
    </row>
    <row r="202" spans="1:40" hidden="1" x14ac:dyDescent="0.15">
      <c r="A202" s="79" t="s">
        <v>428</v>
      </c>
      <c r="B202" s="80" t="s">
        <v>209</v>
      </c>
      <c r="C202" s="81" t="s">
        <v>213</v>
      </c>
      <c r="D202" s="82" t="s">
        <v>6</v>
      </c>
      <c r="E202" s="82" t="s">
        <v>215</v>
      </c>
      <c r="F202" s="53" t="str">
        <f t="shared" si="49"/>
        <v>双流+星耀队</v>
      </c>
      <c r="G202" s="53">
        <f>IFERROR(_xlfn.XLOOKUP(B202,'①门店信息-A-a-①-增加'!B:B,'①门店信息-A-a-①-增加'!E:E,0),"")</f>
        <v>0</v>
      </c>
      <c r="H202" s="54">
        <f>_xlfn.XLOOKUP(B202,'①门店信息-A-a-①-增加'!B:B,'①门店信息-A-a-①-增加'!F:F,0)</f>
        <v>0</v>
      </c>
      <c r="I202" s="55">
        <f>_xlfn.XLOOKUP(E202,'③新店考核-B-a-②呈现-业绩明细表-③'!B:B,'③新店考核-B-a-②呈现-业绩明细表-③'!E:E,0)</f>
        <v>0</v>
      </c>
      <c r="J202" s="54">
        <f>_xlfn.XLOOKUP(E202,'③新店考核-B-a-②呈现-业绩明细表-③'!B:B,'③新店考核-B-a-②呈现-业绩明细表-③'!F:F,0)</f>
        <v>0</v>
      </c>
      <c r="K202" s="55">
        <f>IF(H202="新店一阶段",LOOKUP(I202,'②提成标准-B-a-①-增加'!$M$9:$M$12,'②提成标准-B-a-①-增加'!$O$9:$O$12),0)</f>
        <v>0</v>
      </c>
      <c r="L202" s="56">
        <f t="shared" si="50"/>
        <v>16423.5</v>
      </c>
      <c r="M202" s="57">
        <f>_xlfn.XLOOKUP(E202,'③新店考核-B-a-②呈现-业绩明细表-③'!B:B,'③新店考核-B-a-②呈现-业绩明细表-③'!G:G,0)</f>
        <v>0</v>
      </c>
      <c r="N202" s="58" t="str">
        <f>LOOKUP(M202,'②提成标准-B-a-①-增加'!$M$1:$M$4,'②提成标准-B-a-①-增加'!$O$1:$O$4)</f>
        <v>同老店</v>
      </c>
      <c r="O202" s="57">
        <f>_xlfn.XLOOKUP(E202,'③新店考核-B-a-②呈现-业绩明细表-③'!B:B,'③新店考核-B-a-②呈现-业绩明细表-③'!H:H,0)</f>
        <v>0</v>
      </c>
      <c r="P202" s="57">
        <f t="shared" si="51"/>
        <v>16423.5</v>
      </c>
      <c r="Q202" s="53">
        <f>_xlfn.XLOOKUP(E202,'④考勤-B-a-26考勤汇总表'!D:D,'④考勤-B-a-26考勤汇总表'!AP:AP,0)</f>
        <v>31</v>
      </c>
      <c r="R202" s="53" t="str">
        <f t="shared" si="60"/>
        <v/>
      </c>
      <c r="S202" s="53">
        <f t="shared" si="56"/>
        <v>43063.5</v>
      </c>
      <c r="T202" s="53">
        <v>16423.5</v>
      </c>
      <c r="U202" s="53">
        <v>26640</v>
      </c>
      <c r="V202" s="53">
        <v>0</v>
      </c>
      <c r="W202" s="53">
        <f>_xlfn.XLOOKUP(E202,'⑤项目数-B-a-③消耗明细表'!C:C,'⑤项目数-B-a-③消耗明细表'!E:E,0)</f>
        <v>21667.48</v>
      </c>
      <c r="X202" s="53">
        <f>_xlfn.XLOOKUP(E202,'⑤项目数-B-a-③消耗明细表'!C:C,'⑤项目数-B-a-③消耗明细表'!D:D,0)</f>
        <v>130</v>
      </c>
      <c r="Y202" s="53">
        <f>_xlfn.XLOOKUP(E202,'⑤项目数-B-a-③消耗明细表'!C:C,'⑤项目数-B-a-③消耗明细表'!F:F,0)</f>
        <v>1322.5</v>
      </c>
      <c r="Z202" s="53">
        <f>_xlfn.XLOOKUP(E202,'⑤项目数-B-a-③消耗明细表'!C:C,'⑤项目数-B-a-③消耗明细表'!G:G,0)</f>
        <v>20</v>
      </c>
      <c r="AA202" s="84">
        <f t="shared" si="52"/>
        <v>1</v>
      </c>
      <c r="AB202" s="84">
        <f t="shared" si="53"/>
        <v>1</v>
      </c>
      <c r="AC202" s="53">
        <f>_xlfn.XLOOKUP(F202,'⑥战队统计表-B-a-②呈现-业绩明细表④'!A:A,'⑥战队统计表-B-a-②呈现-业绩明细表④'!B:B,0)</f>
        <v>2</v>
      </c>
      <c r="AD202" s="53" t="str">
        <f t="shared" si="57"/>
        <v/>
      </c>
      <c r="AE202" s="59">
        <f>IF(AD202="",_xlfn.XLOOKUP(F202,'⑥战队统计表-B-a-②呈现-业绩明细表④'!A:A,'⑥战队统计表-B-a-②呈现-业绩明细表④'!D:D,0),0)</f>
        <v>0.06</v>
      </c>
      <c r="AF202" s="85">
        <f>IF(AND(E202="T区",E202="门店T区"),"",IF(AD202="",0,IF(R202="",LOOKUP(S202,'②提成标准-B-a-①-增加'!$B$16:$B$20,'②提成标准-B-a-①-增加'!$D$16:$D$20),LOOKUP(S202/Q202,'②提成标准-B-a-①-增加'!$B$23:$B$27,'②提成标准-B-a-①-增加'!$D$23:$D$27))))</f>
        <v>0</v>
      </c>
      <c r="AG202" s="85">
        <f t="shared" si="54"/>
        <v>0.06</v>
      </c>
      <c r="AH202" s="60">
        <f t="shared" si="61"/>
        <v>936.13949999999988</v>
      </c>
      <c r="AI202" s="86">
        <f t="shared" si="62"/>
        <v>987.01199999999994</v>
      </c>
      <c r="AJ202" s="60">
        <f t="shared" si="58"/>
        <v>1923.1514999999999</v>
      </c>
      <c r="AK202" s="87">
        <f>IF(AB202=1,IFERROR(S202/VLOOKUP(F202,'⑥战队统计表-B-a-②呈现-业绩明细表④'!A:C,3,0),0),0)</f>
        <v>0.30887716567625045</v>
      </c>
      <c r="AL202" s="85" t="str">
        <f t="shared" si="59"/>
        <v/>
      </c>
      <c r="AM202" s="53" t="str">
        <f>IF(D202="顾问",_xlfn.XLOOKUP(F202,'⑥战队统计表-B-a-②呈现-业绩明细表④'!A:A,'⑥战队统计表-B-a-②呈现-业绩明细表④'!H:H,0),"")</f>
        <v/>
      </c>
      <c r="AN202" s="53" t="str">
        <f t="shared" si="55"/>
        <v>双流+星耀队</v>
      </c>
    </row>
    <row r="203" spans="1:40" hidden="1" x14ac:dyDescent="0.15">
      <c r="A203" s="79" t="s">
        <v>428</v>
      </c>
      <c r="B203" s="80" t="s">
        <v>209</v>
      </c>
      <c r="C203" s="81" t="s">
        <v>36</v>
      </c>
      <c r="D203" s="82" t="s">
        <v>36</v>
      </c>
      <c r="E203" s="82" t="s">
        <v>36</v>
      </c>
      <c r="F203" s="53" t="str">
        <f t="shared" si="49"/>
        <v>双流+T区</v>
      </c>
      <c r="G203" s="53">
        <f>IFERROR(_xlfn.XLOOKUP(B203,'①门店信息-A-a-①-增加'!B:B,'①门店信息-A-a-①-增加'!E:E,0),"")</f>
        <v>0</v>
      </c>
      <c r="H203" s="54">
        <f>_xlfn.XLOOKUP(B203,'①门店信息-A-a-①-增加'!B:B,'①门店信息-A-a-①-增加'!F:F,0)</f>
        <v>0</v>
      </c>
      <c r="I203" s="55">
        <f>_xlfn.XLOOKUP(E203,'③新店考核-B-a-②呈现-业绩明细表-③'!B:B,'③新店考核-B-a-②呈现-业绩明细表-③'!E:E,0)</f>
        <v>0</v>
      </c>
      <c r="J203" s="54">
        <f>_xlfn.XLOOKUP(E203,'③新店考核-B-a-②呈现-业绩明细表-③'!B:B,'③新店考核-B-a-②呈现-业绩明细表-③'!F:F,0)</f>
        <v>0</v>
      </c>
      <c r="K203" s="55">
        <f>IF(H203="新店一阶段",LOOKUP(I203,'②提成标准-B-a-①-增加'!$M$9:$M$12,'②提成标准-B-a-①-增加'!$O$9:$O$12),0)</f>
        <v>0</v>
      </c>
      <c r="L203" s="56">
        <f t="shared" si="50"/>
        <v>0</v>
      </c>
      <c r="M203" s="57">
        <f>_xlfn.XLOOKUP(E203,'③新店考核-B-a-②呈现-业绩明细表-③'!B:B,'③新店考核-B-a-②呈现-业绩明细表-③'!G:G,0)</f>
        <v>0</v>
      </c>
      <c r="N203" s="58" t="str">
        <f>LOOKUP(M203,'②提成标准-B-a-①-增加'!$M$1:$M$4,'②提成标准-B-a-①-增加'!$O$1:$O$4)</f>
        <v>同老店</v>
      </c>
      <c r="O203" s="57">
        <f>_xlfn.XLOOKUP(E203,'③新店考核-B-a-②呈现-业绩明细表-③'!B:B,'③新店考核-B-a-②呈现-业绩明细表-③'!H:H,0)</f>
        <v>0</v>
      </c>
      <c r="P203" s="57">
        <f t="shared" si="51"/>
        <v>0</v>
      </c>
      <c r="Q203" s="53">
        <f>_xlfn.XLOOKUP(E203,'④考勤-B-a-26考勤汇总表'!D:D,'④考勤-B-a-26考勤汇总表'!AP:AP,0)</f>
        <v>0</v>
      </c>
      <c r="R203" s="53" t="str">
        <f t="shared" si="60"/>
        <v/>
      </c>
      <c r="S203" s="53">
        <f t="shared" si="56"/>
        <v>0</v>
      </c>
      <c r="T203" s="53">
        <v>0</v>
      </c>
      <c r="U203" s="53">
        <v>0</v>
      </c>
      <c r="V203" s="53">
        <v>0</v>
      </c>
      <c r="W203" s="53">
        <f>_xlfn.XLOOKUP(E203,'⑤项目数-B-a-③消耗明细表'!C:C,'⑤项目数-B-a-③消耗明细表'!E:E,0)</f>
        <v>0</v>
      </c>
      <c r="X203" s="53">
        <f>_xlfn.XLOOKUP(E203,'⑤项目数-B-a-③消耗明细表'!C:C,'⑤项目数-B-a-③消耗明细表'!D:D,0)</f>
        <v>0</v>
      </c>
      <c r="Y203" s="53">
        <f>_xlfn.XLOOKUP(E203,'⑤项目数-B-a-③消耗明细表'!C:C,'⑤项目数-B-a-③消耗明细表'!F:F,0)</f>
        <v>0</v>
      </c>
      <c r="Z203" s="53">
        <f>_xlfn.XLOOKUP(E203,'⑤项目数-B-a-③消耗明细表'!C:C,'⑤项目数-B-a-③消耗明细表'!G:G,0)</f>
        <v>0</v>
      </c>
      <c r="AA203" s="84" t="str">
        <f t="shared" si="52"/>
        <v>不属于战队</v>
      </c>
      <c r="AB203" s="84">
        <f t="shared" si="53"/>
        <v>0</v>
      </c>
      <c r="AC203" s="53">
        <f>_xlfn.XLOOKUP(F203,'⑥战队统计表-B-a-②呈现-业绩明细表④'!A:A,'⑥战队统计表-B-a-②呈现-业绩明细表④'!B:B,0)</f>
        <v>0</v>
      </c>
      <c r="AD203" s="53">
        <f t="shared" si="57"/>
        <v>1</v>
      </c>
      <c r="AE203" s="59">
        <f>IF(AD203="",_xlfn.XLOOKUP(F203,'⑥战队统计表-B-a-②呈现-业绩明细表④'!A:A,'⑥战队统计表-B-a-②呈现-业绩明细表④'!D:D,0),0)</f>
        <v>0</v>
      </c>
      <c r="AF203" s="85">
        <f>IF(AND(E203="T区",E203="门店T区"),"",IF(AD203="",0,IF(R203="",LOOKUP(S203,'②提成标准-B-a-①-增加'!$B$16:$B$20,'②提成标准-B-a-①-增加'!$D$16:$D$20),LOOKUP(S203/Q203,'②提成标准-B-a-①-增加'!$B$23:$B$27,'②提成标准-B-a-①-增加'!$D$23:$D$27))))</f>
        <v>0</v>
      </c>
      <c r="AG203" s="85">
        <f t="shared" si="54"/>
        <v>0</v>
      </c>
      <c r="AH203" s="60">
        <f t="shared" si="61"/>
        <v>0</v>
      </c>
      <c r="AI203" s="86">
        <f t="shared" si="62"/>
        <v>0</v>
      </c>
      <c r="AJ203" s="60">
        <f t="shared" si="58"/>
        <v>0</v>
      </c>
      <c r="AK203" s="87">
        <f>IF(AB203=1,IFERROR(S203/VLOOKUP(F203,'⑥战队统计表-B-a-②呈现-业绩明细表④'!A:C,3,0),0),0)</f>
        <v>0</v>
      </c>
      <c r="AL203" s="85" t="str">
        <f t="shared" si="59"/>
        <v/>
      </c>
      <c r="AM203" s="53" t="str">
        <f>IF(D203="顾问",_xlfn.XLOOKUP(F203,'⑥战队统计表-B-a-②呈现-业绩明细表④'!A:A,'⑥战队统计表-B-a-②呈现-业绩明细表④'!H:H,0),"")</f>
        <v/>
      </c>
      <c r="AN203" s="53" t="str">
        <f t="shared" si="55"/>
        <v>单人</v>
      </c>
    </row>
    <row r="204" spans="1:40" hidden="1" x14ac:dyDescent="0.15">
      <c r="A204" s="79" t="s">
        <v>428</v>
      </c>
      <c r="B204" s="80" t="s">
        <v>209</v>
      </c>
      <c r="C204" s="81" t="s">
        <v>40</v>
      </c>
      <c r="D204" s="82" t="s">
        <v>40</v>
      </c>
      <c r="E204" s="88" t="str">
        <f>F204</f>
        <v>双流+门店T区</v>
      </c>
      <c r="F204" s="53" t="str">
        <f t="shared" si="49"/>
        <v>双流+门店T区</v>
      </c>
      <c r="G204" s="53">
        <f>IFERROR(_xlfn.XLOOKUP(B204,'①门店信息-A-a-①-增加'!B:B,'①门店信息-A-a-①-增加'!E:E,0),"")</f>
        <v>0</v>
      </c>
      <c r="H204" s="54">
        <f>_xlfn.XLOOKUP(B204,'①门店信息-A-a-①-增加'!B:B,'①门店信息-A-a-①-增加'!F:F,0)</f>
        <v>0</v>
      </c>
      <c r="I204" s="55">
        <f>_xlfn.XLOOKUP(E204,'③新店考核-B-a-②呈现-业绩明细表-③'!B:B,'③新店考核-B-a-②呈现-业绩明细表-③'!E:E,0)</f>
        <v>0</v>
      </c>
      <c r="J204" s="54">
        <f>_xlfn.XLOOKUP(E204,'③新店考核-B-a-②呈现-业绩明细表-③'!B:B,'③新店考核-B-a-②呈现-业绩明细表-③'!F:F,0)</f>
        <v>0</v>
      </c>
      <c r="K204" s="55">
        <f>IF(H204="新店一阶段",LOOKUP(I204,'②提成标准-B-a-①-增加'!$M$9:$M$12,'②提成标准-B-a-①-增加'!$O$9:$O$12),0)</f>
        <v>0</v>
      </c>
      <c r="L204" s="56">
        <f t="shared" si="50"/>
        <v>-920</v>
      </c>
      <c r="M204" s="57">
        <f>_xlfn.XLOOKUP(E204,'③新店考核-B-a-②呈现-业绩明细表-③'!B:B,'③新店考核-B-a-②呈现-业绩明细表-③'!G:G,0)</f>
        <v>0</v>
      </c>
      <c r="N204" s="58" t="str">
        <f>LOOKUP(M204,'②提成标准-B-a-①-增加'!$M$1:$M$4,'②提成标准-B-a-①-增加'!$O$1:$O$4)</f>
        <v>同老店</v>
      </c>
      <c r="O204" s="57">
        <f>_xlfn.XLOOKUP(E204,'③新店考核-B-a-②呈现-业绩明细表-③'!B:B,'③新店考核-B-a-②呈现-业绩明细表-③'!H:H,0)</f>
        <v>0</v>
      </c>
      <c r="P204" s="57">
        <f t="shared" si="51"/>
        <v>-920</v>
      </c>
      <c r="Q204" s="53">
        <f>_xlfn.XLOOKUP(E204,'④考勤-B-a-26考勤汇总表'!D:D,'④考勤-B-a-26考勤汇总表'!AP:AP,0)</f>
        <v>0</v>
      </c>
      <c r="R204" s="53" t="str">
        <f t="shared" si="60"/>
        <v/>
      </c>
      <c r="S204" s="53">
        <f t="shared" si="56"/>
        <v>-920</v>
      </c>
      <c r="T204" s="53">
        <v>-920</v>
      </c>
      <c r="U204" s="53">
        <v>0</v>
      </c>
      <c r="V204" s="53">
        <v>0</v>
      </c>
      <c r="W204" s="53">
        <f>_xlfn.XLOOKUP(E204,'⑤项目数-B-a-③消耗明细表'!C:C,'⑤项目数-B-a-③消耗明细表'!E:E,0)</f>
        <v>0</v>
      </c>
      <c r="X204" s="53">
        <f>_xlfn.XLOOKUP(E204,'⑤项目数-B-a-③消耗明细表'!C:C,'⑤项目数-B-a-③消耗明细表'!D:D,0)</f>
        <v>0</v>
      </c>
      <c r="Y204" s="53">
        <f>_xlfn.XLOOKUP(E204,'⑤项目数-B-a-③消耗明细表'!C:C,'⑤项目数-B-a-③消耗明细表'!F:F,0)</f>
        <v>0</v>
      </c>
      <c r="Z204" s="53">
        <f>_xlfn.XLOOKUP(E204,'⑤项目数-B-a-③消耗明细表'!C:C,'⑤项目数-B-a-③消耗明细表'!G:G,0)</f>
        <v>0</v>
      </c>
      <c r="AA204" s="84">
        <f t="shared" si="52"/>
        <v>1</v>
      </c>
      <c r="AB204" s="84">
        <f t="shared" si="53"/>
        <v>0</v>
      </c>
      <c r="AC204" s="53">
        <f>_xlfn.XLOOKUP(F204,'⑥战队统计表-B-a-②呈现-业绩明细表④'!A:A,'⑥战队统计表-B-a-②呈现-业绩明细表④'!B:B,0)</f>
        <v>0</v>
      </c>
      <c r="AD204" s="53">
        <f t="shared" si="57"/>
        <v>1</v>
      </c>
      <c r="AE204" s="59">
        <f>IF(AD204="",_xlfn.XLOOKUP(F204,'⑥战队统计表-B-a-②呈现-业绩明细表④'!A:A,'⑥战队统计表-B-a-②呈现-业绩明细表④'!D:D,0),0)</f>
        <v>0</v>
      </c>
      <c r="AF204" s="85">
        <f>IF(AND(E204="T区",E204="门店T区"),"",IF(AD204="",0,IF(R204="",LOOKUP(S204,'②提成标准-B-a-①-增加'!$B$16:$B$20,'②提成标准-B-a-①-增加'!$D$16:$D$20),LOOKUP(S204/Q204,'②提成标准-B-a-①-增加'!$B$23:$B$27,'②提成标准-B-a-①-增加'!$D$23:$D$27))))</f>
        <v>0</v>
      </c>
      <c r="AG204" s="85">
        <f t="shared" si="54"/>
        <v>0</v>
      </c>
      <c r="AH204" s="60">
        <f t="shared" si="61"/>
        <v>0</v>
      </c>
      <c r="AI204" s="86">
        <f t="shared" si="62"/>
        <v>0</v>
      </c>
      <c r="AJ204" s="60">
        <f t="shared" si="58"/>
        <v>0</v>
      </c>
      <c r="AK204" s="87">
        <f>IF(AB204=1,IFERROR(S204/VLOOKUP(F204,'⑥战队统计表-B-a-②呈现-业绩明细表④'!A:C,3,0),0),0)</f>
        <v>0</v>
      </c>
      <c r="AL204" s="85" t="str">
        <f t="shared" si="59"/>
        <v/>
      </c>
      <c r="AM204" s="53" t="str">
        <f>IF(D204="顾问",_xlfn.XLOOKUP(F204,'⑥战队统计表-B-a-②呈现-业绩明细表④'!A:A,'⑥战队统计表-B-a-②呈现-业绩明细表④'!H:H,0),"")</f>
        <v/>
      </c>
      <c r="AN204" s="53" t="str">
        <f t="shared" si="55"/>
        <v>单人</v>
      </c>
    </row>
    <row r="205" spans="1:40" hidden="1" x14ac:dyDescent="0.15">
      <c r="A205" s="79" t="s">
        <v>428</v>
      </c>
      <c r="B205" s="80" t="s">
        <v>217</v>
      </c>
      <c r="C205" s="81" t="s">
        <v>218</v>
      </c>
      <c r="D205" s="82" t="s">
        <v>32</v>
      </c>
      <c r="E205" s="82" t="s">
        <v>219</v>
      </c>
      <c r="F205" s="53" t="str">
        <f t="shared" si="49"/>
        <v>亚洲湾+钱进队</v>
      </c>
      <c r="G205" s="53">
        <f>IFERROR(_xlfn.XLOOKUP(B205,'①门店信息-A-a-①-增加'!B:B,'①门店信息-A-a-①-增加'!E:E,0),"")</f>
        <v>0</v>
      </c>
      <c r="H205" s="54">
        <f>_xlfn.XLOOKUP(B205,'①门店信息-A-a-①-增加'!B:B,'①门店信息-A-a-①-增加'!F:F,0)</f>
        <v>0</v>
      </c>
      <c r="I205" s="55">
        <f>_xlfn.XLOOKUP(E205,'③新店考核-B-a-②呈现-业绩明细表-③'!B:B,'③新店考核-B-a-②呈现-业绩明细表-③'!E:E,0)</f>
        <v>0</v>
      </c>
      <c r="J205" s="54">
        <f>_xlfn.XLOOKUP(E205,'③新店考核-B-a-②呈现-业绩明细表-③'!B:B,'③新店考核-B-a-②呈现-业绩明细表-③'!F:F,0)</f>
        <v>0</v>
      </c>
      <c r="K205" s="55">
        <f>IF(H205="新店一阶段",LOOKUP(I205,'②提成标准-B-a-①-增加'!$M$9:$M$12,'②提成标准-B-a-①-增加'!$O$9:$O$12),0)</f>
        <v>0</v>
      </c>
      <c r="L205" s="56">
        <f t="shared" si="50"/>
        <v>14865.8</v>
      </c>
      <c r="M205" s="57">
        <f>_xlfn.XLOOKUP(E205,'③新店考核-B-a-②呈现-业绩明细表-③'!B:B,'③新店考核-B-a-②呈现-业绩明细表-③'!G:G,0)</f>
        <v>0</v>
      </c>
      <c r="N205" s="58" t="str">
        <f>LOOKUP(M205,'②提成标准-B-a-①-增加'!$M$1:$M$4,'②提成标准-B-a-①-增加'!$O$1:$O$4)</f>
        <v>同老店</v>
      </c>
      <c r="O205" s="57">
        <f>_xlfn.XLOOKUP(E205,'③新店考核-B-a-②呈现-业绩明细表-③'!B:B,'③新店考核-B-a-②呈现-业绩明细表-③'!H:H,0)</f>
        <v>0</v>
      </c>
      <c r="P205" s="57">
        <f t="shared" si="51"/>
        <v>14865.8</v>
      </c>
      <c r="Q205" s="53">
        <f>_xlfn.XLOOKUP(E205,'④考勤-B-a-26考勤汇总表'!D:D,'④考勤-B-a-26考勤汇总表'!AP:AP,0)</f>
        <v>31</v>
      </c>
      <c r="R205" s="53" t="str">
        <f t="shared" si="60"/>
        <v/>
      </c>
      <c r="S205" s="53">
        <f t="shared" si="56"/>
        <v>17665.8</v>
      </c>
      <c r="T205" s="53">
        <v>14865.8</v>
      </c>
      <c r="U205" s="53">
        <v>2800</v>
      </c>
      <c r="V205" s="53">
        <v>0</v>
      </c>
      <c r="W205" s="53">
        <f>_xlfn.XLOOKUP(E205,'⑤项目数-B-a-③消耗明细表'!C:C,'⑤项目数-B-a-③消耗明细表'!E:E,0)</f>
        <v>12053.89</v>
      </c>
      <c r="X205" s="53">
        <f>_xlfn.XLOOKUP(E205,'⑤项目数-B-a-③消耗明细表'!C:C,'⑤项目数-B-a-③消耗明细表'!D:D,0)</f>
        <v>78</v>
      </c>
      <c r="Y205" s="53">
        <f>_xlfn.XLOOKUP(E205,'⑤项目数-B-a-③消耗明细表'!C:C,'⑤项目数-B-a-③消耗明细表'!F:F,0)</f>
        <v>819</v>
      </c>
      <c r="Z205" s="53">
        <f>_xlfn.XLOOKUP(E205,'⑤项目数-B-a-③消耗明细表'!C:C,'⑤项目数-B-a-③消耗明细表'!G:G,0)</f>
        <v>0</v>
      </c>
      <c r="AA205" s="84">
        <f t="shared" si="52"/>
        <v>1</v>
      </c>
      <c r="AB205" s="84">
        <f t="shared" si="53"/>
        <v>1</v>
      </c>
      <c r="AC205" s="53">
        <f>_xlfn.XLOOKUP(F205,'⑥战队统计表-B-a-②呈现-业绩明细表④'!A:A,'⑥战队统计表-B-a-②呈现-业绩明细表④'!B:B,0)</f>
        <v>3</v>
      </c>
      <c r="AD205" s="53" t="str">
        <f t="shared" si="57"/>
        <v/>
      </c>
      <c r="AE205" s="59">
        <f>IF(AD205="",_xlfn.XLOOKUP(F205,'⑥战队统计表-B-a-②呈现-业绩明细表④'!A:A,'⑥战队统计表-B-a-②呈现-业绩明细表④'!D:D,0),0)</f>
        <v>0.03</v>
      </c>
      <c r="AF205" s="85">
        <f>IF(AND(E205="T区",E205="门店T区"),"",IF(AD205="",0,IF(R205="",LOOKUP(S205,'②提成标准-B-a-①-增加'!$B$16:$B$20,'②提成标准-B-a-①-增加'!$D$16:$D$20),LOOKUP(S205/Q205,'②提成标准-B-a-①-增加'!$B$23:$B$27,'②提成标准-B-a-①-增加'!$D$23:$D$27))))</f>
        <v>0</v>
      </c>
      <c r="AG205" s="85">
        <f t="shared" si="54"/>
        <v>0.03</v>
      </c>
      <c r="AH205" s="60">
        <f t="shared" si="61"/>
        <v>423.67529999999999</v>
      </c>
      <c r="AI205" s="86">
        <f t="shared" si="62"/>
        <v>51.87</v>
      </c>
      <c r="AJ205" s="60">
        <f t="shared" si="58"/>
        <v>475.5453</v>
      </c>
      <c r="AK205" s="87">
        <f>IF(AB205=1,IFERROR(S205/VLOOKUP(F205,'⑥战队统计表-B-a-②呈现-业绩明细表④'!A:C,3,0),0),0)</f>
        <v>0.30694251148050267</v>
      </c>
      <c r="AL205" s="85">
        <f t="shared" si="59"/>
        <v>0.69305748851949733</v>
      </c>
      <c r="AM205" s="53">
        <f>IF(D205="顾问",_xlfn.XLOOKUP(F205,'⑥战队统计表-B-a-②呈现-业绩明细表④'!A:A,'⑥战队统计表-B-a-②呈现-业绩明细表④'!H:H,0),"")</f>
        <v>0</v>
      </c>
      <c r="AN205" s="53" t="str">
        <f t="shared" si="55"/>
        <v>亚洲湾+钱进队</v>
      </c>
    </row>
    <row r="206" spans="1:40" hidden="1" x14ac:dyDescent="0.15">
      <c r="A206" s="79" t="s">
        <v>428</v>
      </c>
      <c r="B206" s="80" t="s">
        <v>217</v>
      </c>
      <c r="C206" s="81" t="s">
        <v>218</v>
      </c>
      <c r="D206" s="82" t="s">
        <v>6</v>
      </c>
      <c r="E206" s="82" t="s">
        <v>220</v>
      </c>
      <c r="F206" s="53" t="str">
        <f t="shared" si="49"/>
        <v>亚洲湾+钱进队</v>
      </c>
      <c r="G206" s="53">
        <f>IFERROR(_xlfn.XLOOKUP(B206,'①门店信息-A-a-①-增加'!B:B,'①门店信息-A-a-①-增加'!E:E,0),"")</f>
        <v>0</v>
      </c>
      <c r="H206" s="54">
        <f>_xlfn.XLOOKUP(B206,'①门店信息-A-a-①-增加'!B:B,'①门店信息-A-a-①-增加'!F:F,0)</f>
        <v>0</v>
      </c>
      <c r="I206" s="55">
        <f>_xlfn.XLOOKUP(E206,'③新店考核-B-a-②呈现-业绩明细表-③'!B:B,'③新店考核-B-a-②呈现-业绩明细表-③'!E:E,0)</f>
        <v>0</v>
      </c>
      <c r="J206" s="54">
        <f>_xlfn.XLOOKUP(E206,'③新店考核-B-a-②呈现-业绩明细表-③'!B:B,'③新店考核-B-a-②呈现-业绩明细表-③'!F:F,0)</f>
        <v>0</v>
      </c>
      <c r="K206" s="55">
        <f>IF(H206="新店一阶段",LOOKUP(I206,'②提成标准-B-a-①-增加'!$M$9:$M$12,'②提成标准-B-a-①-增加'!$O$9:$O$12),0)</f>
        <v>0</v>
      </c>
      <c r="L206" s="56">
        <f t="shared" si="50"/>
        <v>6435.7</v>
      </c>
      <c r="M206" s="57">
        <f>_xlfn.XLOOKUP(E206,'③新店考核-B-a-②呈现-业绩明细表-③'!B:B,'③新店考核-B-a-②呈现-业绩明细表-③'!G:G,0)</f>
        <v>0</v>
      </c>
      <c r="N206" s="58" t="str">
        <f>LOOKUP(M206,'②提成标准-B-a-①-增加'!$M$1:$M$4,'②提成标准-B-a-①-增加'!$O$1:$O$4)</f>
        <v>同老店</v>
      </c>
      <c r="O206" s="57">
        <f>_xlfn.XLOOKUP(E206,'③新店考核-B-a-②呈现-业绩明细表-③'!B:B,'③新店考核-B-a-②呈现-业绩明细表-③'!H:H,0)</f>
        <v>0</v>
      </c>
      <c r="P206" s="57">
        <f t="shared" si="51"/>
        <v>6435.7</v>
      </c>
      <c r="Q206" s="53">
        <f>_xlfn.XLOOKUP(E206,'④考勤-B-a-26考勤汇总表'!D:D,'④考勤-B-a-26考勤汇总表'!AP:AP,0)</f>
        <v>31</v>
      </c>
      <c r="R206" s="53" t="str">
        <f t="shared" si="60"/>
        <v/>
      </c>
      <c r="S206" s="53">
        <f t="shared" si="56"/>
        <v>14795.7</v>
      </c>
      <c r="T206" s="53">
        <v>6435.7</v>
      </c>
      <c r="U206" s="53">
        <v>7360</v>
      </c>
      <c r="V206" s="53">
        <v>1000</v>
      </c>
      <c r="W206" s="53">
        <f>_xlfn.XLOOKUP(E206,'⑤项目数-B-a-③消耗明细表'!C:C,'⑤项目数-B-a-③消耗明细表'!E:E,0)</f>
        <v>13323.72</v>
      </c>
      <c r="X206" s="53">
        <f>_xlfn.XLOOKUP(E206,'⑤项目数-B-a-③消耗明细表'!C:C,'⑤项目数-B-a-③消耗明细表'!D:D,0)</f>
        <v>94.5</v>
      </c>
      <c r="Y206" s="53">
        <f>_xlfn.XLOOKUP(E206,'⑤项目数-B-a-③消耗明细表'!C:C,'⑤项目数-B-a-③消耗明细表'!F:F,0)</f>
        <v>1155</v>
      </c>
      <c r="Z206" s="53">
        <f>_xlfn.XLOOKUP(E206,'⑤项目数-B-a-③消耗明细表'!C:C,'⑤项目数-B-a-③消耗明细表'!G:G,0)</f>
        <v>45</v>
      </c>
      <c r="AA206" s="84">
        <f t="shared" si="52"/>
        <v>1</v>
      </c>
      <c r="AB206" s="84">
        <f t="shared" si="53"/>
        <v>1</v>
      </c>
      <c r="AC206" s="53">
        <f>_xlfn.XLOOKUP(F206,'⑥战队统计表-B-a-②呈现-业绩明细表④'!A:A,'⑥战队统计表-B-a-②呈现-业绩明细表④'!B:B,0)</f>
        <v>3</v>
      </c>
      <c r="AD206" s="53" t="str">
        <f t="shared" si="57"/>
        <v/>
      </c>
      <c r="AE206" s="59">
        <f>IF(AD206="",_xlfn.XLOOKUP(F206,'⑥战队统计表-B-a-②呈现-业绩明细表④'!A:A,'⑥战队统计表-B-a-②呈现-业绩明细表④'!D:D,0),0)</f>
        <v>0.03</v>
      </c>
      <c r="AF206" s="85">
        <f>IF(AND(E206="T区",E206="门店T区"),"",IF(AD206="",0,IF(R206="",LOOKUP(S206,'②提成标准-B-a-①-增加'!$B$16:$B$20,'②提成标准-B-a-①-增加'!$D$16:$D$20),LOOKUP(S206/Q206,'②提成标准-B-a-①-增加'!$B$23:$B$27,'②提成标准-B-a-①-增加'!$D$23:$D$27))))</f>
        <v>0</v>
      </c>
      <c r="AG206" s="85">
        <f t="shared" si="54"/>
        <v>0.03</v>
      </c>
      <c r="AH206" s="60">
        <f t="shared" si="61"/>
        <v>183.41745</v>
      </c>
      <c r="AI206" s="86">
        <f t="shared" si="62"/>
        <v>136.34399999999999</v>
      </c>
      <c r="AJ206" s="60">
        <f t="shared" si="58"/>
        <v>319.76144999999997</v>
      </c>
      <c r="AK206" s="87">
        <f>IF(AB206=1,IFERROR(S206/VLOOKUP(F206,'⑥战队统计表-B-a-②呈现-业绩明细表④'!A:C,3,0),0),0)</f>
        <v>0.25707464802681307</v>
      </c>
      <c r="AL206" s="85" t="str">
        <f t="shared" si="59"/>
        <v/>
      </c>
      <c r="AM206" s="53" t="str">
        <f>IF(D206="顾问",_xlfn.XLOOKUP(F206,'⑥战队统计表-B-a-②呈现-业绩明细表④'!A:A,'⑥战队统计表-B-a-②呈现-业绩明细表④'!H:H,0),"")</f>
        <v/>
      </c>
      <c r="AN206" s="53" t="str">
        <f t="shared" si="55"/>
        <v>亚洲湾+钱进队</v>
      </c>
    </row>
    <row r="207" spans="1:40" hidden="1" x14ac:dyDescent="0.15">
      <c r="A207" s="79" t="s">
        <v>428</v>
      </c>
      <c r="B207" s="80" t="s">
        <v>217</v>
      </c>
      <c r="C207" s="81" t="s">
        <v>218</v>
      </c>
      <c r="D207" s="82" t="s">
        <v>6</v>
      </c>
      <c r="E207" s="82" t="s">
        <v>221</v>
      </c>
      <c r="F207" s="53" t="str">
        <f t="shared" si="49"/>
        <v>亚洲湾+钱进队</v>
      </c>
      <c r="G207" s="53">
        <f>IFERROR(_xlfn.XLOOKUP(B207,'①门店信息-A-a-①-增加'!B:B,'①门店信息-A-a-①-增加'!E:E,0),"")</f>
        <v>0</v>
      </c>
      <c r="H207" s="54">
        <f>_xlfn.XLOOKUP(B207,'①门店信息-A-a-①-增加'!B:B,'①门店信息-A-a-①-增加'!F:F,0)</f>
        <v>0</v>
      </c>
      <c r="I207" s="55">
        <f>_xlfn.XLOOKUP(E207,'③新店考核-B-a-②呈现-业绩明细表-③'!B:B,'③新店考核-B-a-②呈现-业绩明细表-③'!E:E,0)</f>
        <v>0</v>
      </c>
      <c r="J207" s="54">
        <f>_xlfn.XLOOKUP(E207,'③新店考核-B-a-②呈现-业绩明细表-③'!B:B,'③新店考核-B-a-②呈现-业绩明细表-③'!F:F,0)</f>
        <v>0</v>
      </c>
      <c r="K207" s="55">
        <f>IF(H207="新店一阶段",LOOKUP(I207,'②提成标准-B-a-①-增加'!$M$9:$M$12,'②提成标准-B-a-①-增加'!$O$9:$O$12),0)</f>
        <v>0</v>
      </c>
      <c r="L207" s="56">
        <f t="shared" si="50"/>
        <v>10792.6</v>
      </c>
      <c r="M207" s="57">
        <f>_xlfn.XLOOKUP(E207,'③新店考核-B-a-②呈现-业绩明细表-③'!B:B,'③新店考核-B-a-②呈现-业绩明细表-③'!G:G,0)</f>
        <v>0</v>
      </c>
      <c r="N207" s="58" t="str">
        <f>LOOKUP(M207,'②提成标准-B-a-①-增加'!$M$1:$M$4,'②提成标准-B-a-①-增加'!$O$1:$O$4)</f>
        <v>同老店</v>
      </c>
      <c r="O207" s="57">
        <f>_xlfn.XLOOKUP(E207,'③新店考核-B-a-②呈现-业绩明细表-③'!B:B,'③新店考核-B-a-②呈现-业绩明细表-③'!H:H,0)</f>
        <v>0</v>
      </c>
      <c r="P207" s="57">
        <f t="shared" si="51"/>
        <v>10792.6</v>
      </c>
      <c r="Q207" s="53">
        <f>_xlfn.XLOOKUP(E207,'④考勤-B-a-26考勤汇总表'!D:D,'④考勤-B-a-26考勤汇总表'!AP:AP,0)</f>
        <v>31</v>
      </c>
      <c r="R207" s="53" t="str">
        <f t="shared" si="60"/>
        <v/>
      </c>
      <c r="S207" s="53">
        <f t="shared" si="56"/>
        <v>25092.6</v>
      </c>
      <c r="T207" s="53">
        <v>10792.6</v>
      </c>
      <c r="U207" s="53">
        <v>14300</v>
      </c>
      <c r="V207" s="53">
        <v>0</v>
      </c>
      <c r="W207" s="53">
        <f>_xlfn.XLOOKUP(E207,'⑤项目数-B-a-③消耗明细表'!C:C,'⑤项目数-B-a-③消耗明细表'!E:E,0)</f>
        <v>5913.88</v>
      </c>
      <c r="X207" s="53">
        <f>_xlfn.XLOOKUP(E207,'⑤项目数-B-a-③消耗明细表'!C:C,'⑤项目数-B-a-③消耗明细表'!D:D,0)</f>
        <v>102</v>
      </c>
      <c r="Y207" s="53">
        <f>_xlfn.XLOOKUP(E207,'⑤项目数-B-a-③消耗明细表'!C:C,'⑤项目数-B-a-③消耗明细表'!F:F,0)</f>
        <v>1110</v>
      </c>
      <c r="Z207" s="53">
        <f>_xlfn.XLOOKUP(E207,'⑤项目数-B-a-③消耗明细表'!C:C,'⑤项目数-B-a-③消耗明细表'!G:G,0)</f>
        <v>5</v>
      </c>
      <c r="AA207" s="84">
        <f t="shared" si="52"/>
        <v>1</v>
      </c>
      <c r="AB207" s="84">
        <f t="shared" si="53"/>
        <v>1</v>
      </c>
      <c r="AC207" s="53">
        <f>_xlfn.XLOOKUP(F207,'⑥战队统计表-B-a-②呈现-业绩明细表④'!A:A,'⑥战队统计表-B-a-②呈现-业绩明细表④'!B:B,0)</f>
        <v>3</v>
      </c>
      <c r="AD207" s="53" t="str">
        <f t="shared" si="57"/>
        <v/>
      </c>
      <c r="AE207" s="59">
        <f>IF(AD207="",_xlfn.XLOOKUP(F207,'⑥战队统计表-B-a-②呈现-业绩明细表④'!A:A,'⑥战队统计表-B-a-②呈现-业绩明细表④'!D:D,0),0)</f>
        <v>0.03</v>
      </c>
      <c r="AF207" s="85">
        <f>IF(AND(E207="T区",E207="门店T区"),"",IF(AD207="",0,IF(R207="",LOOKUP(S207,'②提成标准-B-a-①-增加'!$B$16:$B$20,'②提成标准-B-a-①-增加'!$D$16:$D$20),LOOKUP(S207/Q207,'②提成标准-B-a-①-增加'!$B$23:$B$27,'②提成标准-B-a-①-增加'!$D$23:$D$27))))</f>
        <v>0</v>
      </c>
      <c r="AG207" s="85">
        <f t="shared" si="54"/>
        <v>0.03</v>
      </c>
      <c r="AH207" s="60">
        <f t="shared" si="61"/>
        <v>307.58910000000003</v>
      </c>
      <c r="AI207" s="86">
        <f t="shared" si="62"/>
        <v>264.90749999999997</v>
      </c>
      <c r="AJ207" s="60">
        <f t="shared" si="58"/>
        <v>572.49659999999994</v>
      </c>
      <c r="AK207" s="87">
        <f>IF(AB207=1,IFERROR(S207/VLOOKUP(F207,'⑥战队统计表-B-a-②呈现-业绩明细表④'!A:C,3,0),0),0)</f>
        <v>0.43598284049268426</v>
      </c>
      <c r="AL207" s="85" t="str">
        <f t="shared" si="59"/>
        <v/>
      </c>
      <c r="AM207" s="53" t="str">
        <f>IF(D207="顾问",_xlfn.XLOOKUP(F207,'⑥战队统计表-B-a-②呈现-业绩明细表④'!A:A,'⑥战队统计表-B-a-②呈现-业绩明细表④'!H:H,0),"")</f>
        <v/>
      </c>
      <c r="AN207" s="53" t="str">
        <f t="shared" si="55"/>
        <v>亚洲湾+钱进队</v>
      </c>
    </row>
    <row r="208" spans="1:40" hidden="1" x14ac:dyDescent="0.15">
      <c r="A208" s="79" t="s">
        <v>428</v>
      </c>
      <c r="B208" s="80" t="s">
        <v>217</v>
      </c>
      <c r="C208" s="89" t="s">
        <v>36</v>
      </c>
      <c r="D208" s="90" t="s">
        <v>36</v>
      </c>
      <c r="E208" s="90" t="s">
        <v>36</v>
      </c>
      <c r="F208" s="53" t="str">
        <f t="shared" si="49"/>
        <v>亚洲湾+T区</v>
      </c>
      <c r="G208" s="53">
        <f>IFERROR(_xlfn.XLOOKUP(B208,'①门店信息-A-a-①-增加'!B:B,'①门店信息-A-a-①-增加'!E:E,0),"")</f>
        <v>0</v>
      </c>
      <c r="H208" s="54">
        <f>_xlfn.XLOOKUP(B208,'①门店信息-A-a-①-增加'!B:B,'①门店信息-A-a-①-增加'!F:F,0)</f>
        <v>0</v>
      </c>
      <c r="I208" s="55">
        <f>_xlfn.XLOOKUP(E208,'③新店考核-B-a-②呈现-业绩明细表-③'!B:B,'③新店考核-B-a-②呈现-业绩明细表-③'!E:E,0)</f>
        <v>0</v>
      </c>
      <c r="J208" s="54">
        <f>_xlfn.XLOOKUP(E208,'③新店考核-B-a-②呈现-业绩明细表-③'!B:B,'③新店考核-B-a-②呈现-业绩明细表-③'!F:F,0)</f>
        <v>0</v>
      </c>
      <c r="K208" s="55">
        <f>IF(H208="新店一阶段",LOOKUP(I208,'②提成标准-B-a-①-增加'!$M$9:$M$12,'②提成标准-B-a-①-增加'!$O$9:$O$12),0)</f>
        <v>0</v>
      </c>
      <c r="L208" s="56">
        <f t="shared" si="50"/>
        <v>0</v>
      </c>
      <c r="M208" s="57">
        <f>_xlfn.XLOOKUP(E208,'③新店考核-B-a-②呈现-业绩明细表-③'!B:B,'③新店考核-B-a-②呈现-业绩明细表-③'!G:G,0)</f>
        <v>0</v>
      </c>
      <c r="N208" s="58" t="str">
        <f>LOOKUP(M208,'②提成标准-B-a-①-增加'!$M$1:$M$4,'②提成标准-B-a-①-增加'!$O$1:$O$4)</f>
        <v>同老店</v>
      </c>
      <c r="O208" s="57">
        <f>_xlfn.XLOOKUP(E208,'③新店考核-B-a-②呈现-业绩明细表-③'!B:B,'③新店考核-B-a-②呈现-业绩明细表-③'!H:H,0)</f>
        <v>0</v>
      </c>
      <c r="P208" s="57">
        <f t="shared" si="51"/>
        <v>0</v>
      </c>
      <c r="Q208" s="53">
        <f>_xlfn.XLOOKUP(E208,'④考勤-B-a-26考勤汇总表'!D:D,'④考勤-B-a-26考勤汇总表'!AP:AP,0)</f>
        <v>0</v>
      </c>
      <c r="R208" s="53" t="str">
        <f t="shared" si="60"/>
        <v/>
      </c>
      <c r="S208" s="53">
        <f t="shared" si="56"/>
        <v>0</v>
      </c>
      <c r="T208" s="53">
        <v>0</v>
      </c>
      <c r="U208" s="53">
        <v>0</v>
      </c>
      <c r="V208" s="53">
        <v>0</v>
      </c>
      <c r="W208" s="53">
        <f>_xlfn.XLOOKUP(E208,'⑤项目数-B-a-③消耗明细表'!C:C,'⑤项目数-B-a-③消耗明细表'!E:E,0)</f>
        <v>0</v>
      </c>
      <c r="X208" s="53">
        <f>_xlfn.XLOOKUP(E208,'⑤项目数-B-a-③消耗明细表'!C:C,'⑤项目数-B-a-③消耗明细表'!D:D,0)</f>
        <v>0</v>
      </c>
      <c r="Y208" s="53">
        <f>_xlfn.XLOOKUP(E208,'⑤项目数-B-a-③消耗明细表'!C:C,'⑤项目数-B-a-③消耗明细表'!F:F,0)</f>
        <v>0</v>
      </c>
      <c r="Z208" s="53">
        <f>_xlfn.XLOOKUP(E208,'⑤项目数-B-a-③消耗明细表'!C:C,'⑤项目数-B-a-③消耗明细表'!G:G,0)</f>
        <v>0</v>
      </c>
      <c r="AA208" s="84" t="str">
        <f t="shared" si="52"/>
        <v>不属于战队</v>
      </c>
      <c r="AB208" s="84">
        <f t="shared" si="53"/>
        <v>0</v>
      </c>
      <c r="AC208" s="53">
        <f>_xlfn.XLOOKUP(F208,'⑥战队统计表-B-a-②呈现-业绩明细表④'!A:A,'⑥战队统计表-B-a-②呈现-业绩明细表④'!B:B,0)</f>
        <v>0</v>
      </c>
      <c r="AD208" s="53">
        <f t="shared" si="57"/>
        <v>1</v>
      </c>
      <c r="AE208" s="59">
        <f>IF(AD208="",_xlfn.XLOOKUP(F208,'⑥战队统计表-B-a-②呈现-业绩明细表④'!A:A,'⑥战队统计表-B-a-②呈现-业绩明细表④'!D:D,0),0)</f>
        <v>0</v>
      </c>
      <c r="AF208" s="85">
        <f>IF(AND(E208="T区",E208="门店T区"),"",IF(AD208="",0,IF(R208="",LOOKUP(S208,'②提成标准-B-a-①-增加'!$B$16:$B$20,'②提成标准-B-a-①-增加'!$D$16:$D$20),LOOKUP(S208/Q208,'②提成标准-B-a-①-增加'!$B$23:$B$27,'②提成标准-B-a-①-增加'!$D$23:$D$27))))</f>
        <v>0</v>
      </c>
      <c r="AG208" s="85">
        <f t="shared" si="54"/>
        <v>0</v>
      </c>
      <c r="AH208" s="60">
        <f t="shared" si="61"/>
        <v>0</v>
      </c>
      <c r="AI208" s="86">
        <f t="shared" si="62"/>
        <v>0</v>
      </c>
      <c r="AJ208" s="60">
        <f t="shared" si="58"/>
        <v>0</v>
      </c>
      <c r="AK208" s="87">
        <f>IF(AB208=1,IFERROR(S208/VLOOKUP(F208,'⑥战队统计表-B-a-②呈现-业绩明细表④'!A:C,3,0),0),0)</f>
        <v>0</v>
      </c>
      <c r="AL208" s="85" t="str">
        <f t="shared" si="59"/>
        <v/>
      </c>
      <c r="AM208" s="53" t="str">
        <f>IF(D208="顾问",_xlfn.XLOOKUP(F208,'⑥战队统计表-B-a-②呈现-业绩明细表④'!A:A,'⑥战队统计表-B-a-②呈现-业绩明细表④'!H:H,0),"")</f>
        <v/>
      </c>
      <c r="AN208" s="53" t="str">
        <f t="shared" si="55"/>
        <v>单人</v>
      </c>
    </row>
    <row r="209" spans="1:40" hidden="1" x14ac:dyDescent="0.15">
      <c r="A209" s="79" t="s">
        <v>428</v>
      </c>
      <c r="B209" s="80" t="s">
        <v>217</v>
      </c>
      <c r="C209" s="81" t="s">
        <v>222</v>
      </c>
      <c r="D209" s="82" t="s">
        <v>32</v>
      </c>
      <c r="E209" s="82" t="s">
        <v>223</v>
      </c>
      <c r="F209" s="53" t="str">
        <f t="shared" si="49"/>
        <v>亚洲湾+龙腾队</v>
      </c>
      <c r="G209" s="53">
        <f>IFERROR(_xlfn.XLOOKUP(B209,'①门店信息-A-a-①-增加'!B:B,'①门店信息-A-a-①-增加'!E:E,0),"")</f>
        <v>0</v>
      </c>
      <c r="H209" s="54">
        <f>_xlfn.XLOOKUP(B209,'①门店信息-A-a-①-增加'!B:B,'①门店信息-A-a-①-增加'!F:F,0)</f>
        <v>0</v>
      </c>
      <c r="I209" s="55">
        <f>_xlfn.XLOOKUP(E209,'③新店考核-B-a-②呈现-业绩明细表-③'!B:B,'③新店考核-B-a-②呈现-业绩明细表-③'!E:E,0)</f>
        <v>0</v>
      </c>
      <c r="J209" s="54">
        <f>_xlfn.XLOOKUP(E209,'③新店考核-B-a-②呈现-业绩明细表-③'!B:B,'③新店考核-B-a-②呈现-业绩明细表-③'!F:F,0)</f>
        <v>0</v>
      </c>
      <c r="K209" s="55">
        <f>IF(H209="新店一阶段",LOOKUP(I209,'②提成标准-B-a-①-增加'!$M$9:$M$12,'②提成标准-B-a-①-增加'!$O$9:$O$12),0)</f>
        <v>0</v>
      </c>
      <c r="L209" s="56">
        <f t="shared" si="50"/>
        <v>41778</v>
      </c>
      <c r="M209" s="57">
        <f>_xlfn.XLOOKUP(E209,'③新店考核-B-a-②呈现-业绩明细表-③'!B:B,'③新店考核-B-a-②呈现-业绩明细表-③'!G:G,0)</f>
        <v>0</v>
      </c>
      <c r="N209" s="58" t="str">
        <f>LOOKUP(M209,'②提成标准-B-a-①-增加'!$M$1:$M$4,'②提成标准-B-a-①-增加'!$O$1:$O$4)</f>
        <v>同老店</v>
      </c>
      <c r="O209" s="57">
        <f>_xlfn.XLOOKUP(E209,'③新店考核-B-a-②呈现-业绩明细表-③'!B:B,'③新店考核-B-a-②呈现-业绩明细表-③'!H:H,0)</f>
        <v>0</v>
      </c>
      <c r="P209" s="57">
        <f t="shared" si="51"/>
        <v>41778</v>
      </c>
      <c r="Q209" s="53">
        <f>_xlfn.XLOOKUP(E209,'④考勤-B-a-26考勤汇总表'!D:D,'④考勤-B-a-26考勤汇总表'!AP:AP,0)</f>
        <v>31</v>
      </c>
      <c r="R209" s="53" t="str">
        <f t="shared" si="60"/>
        <v/>
      </c>
      <c r="S209" s="53">
        <f t="shared" si="56"/>
        <v>51450</v>
      </c>
      <c r="T209" s="53">
        <v>41778</v>
      </c>
      <c r="U209" s="53">
        <v>9672</v>
      </c>
      <c r="V209" s="53">
        <v>0</v>
      </c>
      <c r="W209" s="53">
        <f>_xlfn.XLOOKUP(E209,'⑤项目数-B-a-③消耗明细表'!C:C,'⑤项目数-B-a-③消耗明细表'!E:E,0)</f>
        <v>17541.330000000002</v>
      </c>
      <c r="X209" s="53">
        <f>_xlfn.XLOOKUP(E209,'⑤项目数-B-a-③消耗明细表'!C:C,'⑤项目数-B-a-③消耗明细表'!D:D,0)</f>
        <v>118</v>
      </c>
      <c r="Y209" s="53">
        <f>_xlfn.XLOOKUP(E209,'⑤项目数-B-a-③消耗明细表'!C:C,'⑤项目数-B-a-③消耗明细表'!F:F,0)</f>
        <v>1707</v>
      </c>
      <c r="Z209" s="53">
        <f>_xlfn.XLOOKUP(E209,'⑤项目数-B-a-③消耗明细表'!C:C,'⑤项目数-B-a-③消耗明细表'!G:G,0)</f>
        <v>240</v>
      </c>
      <c r="AA209" s="84">
        <f t="shared" si="52"/>
        <v>1</v>
      </c>
      <c r="AB209" s="84">
        <f t="shared" si="53"/>
        <v>1</v>
      </c>
      <c r="AC209" s="53">
        <f>_xlfn.XLOOKUP(F209,'⑥战队统计表-B-a-②呈现-业绩明细表④'!A:A,'⑥战队统计表-B-a-②呈现-业绩明细表④'!B:B,0)</f>
        <v>2</v>
      </c>
      <c r="AD209" s="53" t="str">
        <f t="shared" si="57"/>
        <v/>
      </c>
      <c r="AE209" s="59">
        <f>IF(AD209="",_xlfn.XLOOKUP(F209,'⑥战队统计表-B-a-②呈现-业绩明细表④'!A:A,'⑥战队统计表-B-a-②呈现-业绩明细表④'!D:D,0),0)</f>
        <v>0.05</v>
      </c>
      <c r="AF209" s="85">
        <f>IF(AND(E209="T区",E209="门店T区"),"",IF(AD209="",0,IF(R209="",LOOKUP(S209,'②提成标准-B-a-①-增加'!$B$16:$B$20,'②提成标准-B-a-①-增加'!$D$16:$D$20),LOOKUP(S209/Q209,'②提成标准-B-a-①-增加'!$B$23:$B$27,'②提成标准-B-a-①-增加'!$D$23:$D$27))))</f>
        <v>0</v>
      </c>
      <c r="AG209" s="85">
        <f t="shared" si="54"/>
        <v>0.05</v>
      </c>
      <c r="AH209" s="60">
        <f t="shared" si="61"/>
        <v>1984.4549999999999</v>
      </c>
      <c r="AI209" s="86">
        <f t="shared" si="62"/>
        <v>298.62300000000005</v>
      </c>
      <c r="AJ209" s="60">
        <f t="shared" si="58"/>
        <v>2283.078</v>
      </c>
      <c r="AK209" s="87">
        <f>IF(AB209=1,IFERROR(S209/VLOOKUP(F209,'⑥战队统计表-B-a-②呈现-业绩明细表④'!A:C,3,0),0),0)</f>
        <v>0.74911329446777286</v>
      </c>
      <c r="AL209" s="85">
        <f t="shared" si="59"/>
        <v>0.25088670553222719</v>
      </c>
      <c r="AM209" s="53">
        <f>IF(D209="顾问",_xlfn.XLOOKUP(F209,'⑥战队统计表-B-a-②呈现-业绩明细表④'!A:A,'⑥战队统计表-B-a-②呈现-业绩明细表④'!H:H,0),"")</f>
        <v>0</v>
      </c>
      <c r="AN209" s="53" t="str">
        <f t="shared" si="55"/>
        <v>亚洲湾+龙腾队</v>
      </c>
    </row>
    <row r="210" spans="1:40" hidden="1" x14ac:dyDescent="0.15">
      <c r="A210" s="79" t="s">
        <v>428</v>
      </c>
      <c r="B210" s="80" t="s">
        <v>217</v>
      </c>
      <c r="C210" s="81" t="s">
        <v>222</v>
      </c>
      <c r="D210" s="82" t="s">
        <v>6</v>
      </c>
      <c r="E210" s="82" t="s">
        <v>224</v>
      </c>
      <c r="F210" s="53" t="str">
        <f t="shared" si="49"/>
        <v>亚洲湾+龙腾队</v>
      </c>
      <c r="G210" s="53">
        <f>IFERROR(_xlfn.XLOOKUP(B210,'①门店信息-A-a-①-增加'!B:B,'①门店信息-A-a-①-增加'!E:E,0),"")</f>
        <v>0</v>
      </c>
      <c r="H210" s="54">
        <f>_xlfn.XLOOKUP(B210,'①门店信息-A-a-①-增加'!B:B,'①门店信息-A-a-①-增加'!F:F,0)</f>
        <v>0</v>
      </c>
      <c r="I210" s="55">
        <f>_xlfn.XLOOKUP(E210,'③新店考核-B-a-②呈现-业绩明细表-③'!B:B,'③新店考核-B-a-②呈现-业绩明细表-③'!E:E,0)</f>
        <v>0</v>
      </c>
      <c r="J210" s="54">
        <f>_xlfn.XLOOKUP(E210,'③新店考核-B-a-②呈现-业绩明细表-③'!B:B,'③新店考核-B-a-②呈现-业绩明细表-③'!F:F,0)</f>
        <v>0</v>
      </c>
      <c r="K210" s="55">
        <f>IF(H210="新店一阶段",LOOKUP(I210,'②提成标准-B-a-①-增加'!$M$9:$M$12,'②提成标准-B-a-①-增加'!$O$9:$O$12),0)</f>
        <v>0</v>
      </c>
      <c r="L210" s="56">
        <f t="shared" si="50"/>
        <v>16043.2</v>
      </c>
      <c r="M210" s="57">
        <f>_xlfn.XLOOKUP(E210,'③新店考核-B-a-②呈现-业绩明细表-③'!B:B,'③新店考核-B-a-②呈现-业绩明细表-③'!G:G,0)</f>
        <v>0</v>
      </c>
      <c r="N210" s="58" t="str">
        <f>LOOKUP(M210,'②提成标准-B-a-①-增加'!$M$1:$M$4,'②提成标准-B-a-①-增加'!$O$1:$O$4)</f>
        <v>同老店</v>
      </c>
      <c r="O210" s="57">
        <f>_xlfn.XLOOKUP(E210,'③新店考核-B-a-②呈现-业绩明细表-③'!B:B,'③新店考核-B-a-②呈现-业绩明细表-③'!H:H,0)</f>
        <v>0</v>
      </c>
      <c r="P210" s="57">
        <f t="shared" si="51"/>
        <v>16043.2</v>
      </c>
      <c r="Q210" s="53">
        <f>_xlfn.XLOOKUP(E210,'④考勤-B-a-26考勤汇总表'!D:D,'④考勤-B-a-26考勤汇总表'!AP:AP,0)</f>
        <v>31</v>
      </c>
      <c r="R210" s="53" t="str">
        <f t="shared" si="60"/>
        <v/>
      </c>
      <c r="S210" s="53">
        <f t="shared" si="56"/>
        <v>17231.2</v>
      </c>
      <c r="T210" s="53">
        <v>16043.2</v>
      </c>
      <c r="U210" s="53">
        <v>1188</v>
      </c>
      <c r="V210" s="53">
        <v>0</v>
      </c>
      <c r="W210" s="53">
        <f>_xlfn.XLOOKUP(E210,'⑤项目数-B-a-③消耗明细表'!C:C,'⑤项目数-B-a-③消耗明细表'!E:E,0)</f>
        <v>8021.09</v>
      </c>
      <c r="X210" s="53">
        <f>_xlfn.XLOOKUP(E210,'⑤项目数-B-a-③消耗明细表'!C:C,'⑤项目数-B-a-③消耗明细表'!D:D,0)</f>
        <v>115.5</v>
      </c>
      <c r="Y210" s="53">
        <f>_xlfn.XLOOKUP(E210,'⑤项目数-B-a-③消耗明细表'!C:C,'⑤项目数-B-a-③消耗明细表'!F:F,0)</f>
        <v>1344</v>
      </c>
      <c r="Z210" s="53">
        <f>_xlfn.XLOOKUP(E210,'⑤项目数-B-a-③消耗明细表'!C:C,'⑤项目数-B-a-③消耗明细表'!G:G,0)</f>
        <v>0</v>
      </c>
      <c r="AA210" s="84">
        <f t="shared" si="52"/>
        <v>1</v>
      </c>
      <c r="AB210" s="84">
        <f t="shared" si="53"/>
        <v>1</v>
      </c>
      <c r="AC210" s="53">
        <f>_xlfn.XLOOKUP(F210,'⑥战队统计表-B-a-②呈现-业绩明细表④'!A:A,'⑥战队统计表-B-a-②呈现-业绩明细表④'!B:B,0)</f>
        <v>2</v>
      </c>
      <c r="AD210" s="53" t="str">
        <f t="shared" si="57"/>
        <v/>
      </c>
      <c r="AE210" s="59">
        <f>IF(AD210="",_xlfn.XLOOKUP(F210,'⑥战队统计表-B-a-②呈现-业绩明细表④'!A:A,'⑥战队统计表-B-a-②呈现-业绩明细表④'!D:D,0),0)</f>
        <v>0.05</v>
      </c>
      <c r="AF210" s="85">
        <f>IF(AND(E210="T区",E210="门店T区"),"",IF(AD210="",0,IF(R210="",LOOKUP(S210,'②提成标准-B-a-①-增加'!$B$16:$B$20,'②提成标准-B-a-①-增加'!$D$16:$D$20),LOOKUP(S210/Q210,'②提成标准-B-a-①-增加'!$B$23:$B$27,'②提成标准-B-a-①-增加'!$D$23:$D$27))))</f>
        <v>0</v>
      </c>
      <c r="AG210" s="85">
        <f t="shared" si="54"/>
        <v>0.05</v>
      </c>
      <c r="AH210" s="60">
        <f t="shared" si="61"/>
        <v>762.05200000000002</v>
      </c>
      <c r="AI210" s="86">
        <f t="shared" si="62"/>
        <v>36.679500000000004</v>
      </c>
      <c r="AJ210" s="60">
        <f t="shared" si="58"/>
        <v>798.73149999999998</v>
      </c>
      <c r="AK210" s="87">
        <f>IF(AB210=1,IFERROR(S210/VLOOKUP(F210,'⑥战队统计表-B-a-②呈现-业绩明细表④'!A:C,3,0),0),0)</f>
        <v>0.25088670553222719</v>
      </c>
      <c r="AL210" s="85" t="str">
        <f t="shared" si="59"/>
        <v/>
      </c>
      <c r="AM210" s="53" t="str">
        <f>IF(D210="顾问",_xlfn.XLOOKUP(F210,'⑥战队统计表-B-a-②呈现-业绩明细表④'!A:A,'⑥战队统计表-B-a-②呈现-业绩明细表④'!H:H,0),"")</f>
        <v/>
      </c>
      <c r="AN210" s="53" t="str">
        <f t="shared" si="55"/>
        <v>亚洲湾+龙腾队</v>
      </c>
    </row>
    <row r="211" spans="1:40" hidden="1" x14ac:dyDescent="0.15">
      <c r="A211" s="79" t="s">
        <v>428</v>
      </c>
      <c r="B211" s="80" t="s">
        <v>217</v>
      </c>
      <c r="C211" s="81" t="s">
        <v>36</v>
      </c>
      <c r="D211" s="82" t="s">
        <v>36</v>
      </c>
      <c r="E211" s="82" t="s">
        <v>36</v>
      </c>
      <c r="F211" s="53" t="str">
        <f t="shared" si="49"/>
        <v>亚洲湾+T区</v>
      </c>
      <c r="G211" s="53">
        <f>IFERROR(_xlfn.XLOOKUP(B211,'①门店信息-A-a-①-增加'!B:B,'①门店信息-A-a-①-增加'!E:E,0),"")</f>
        <v>0</v>
      </c>
      <c r="H211" s="54">
        <f>_xlfn.XLOOKUP(B211,'①门店信息-A-a-①-增加'!B:B,'①门店信息-A-a-①-增加'!F:F,0)</f>
        <v>0</v>
      </c>
      <c r="I211" s="55">
        <f>_xlfn.XLOOKUP(E211,'③新店考核-B-a-②呈现-业绩明细表-③'!B:B,'③新店考核-B-a-②呈现-业绩明细表-③'!E:E,0)</f>
        <v>0</v>
      </c>
      <c r="J211" s="54">
        <f>_xlfn.XLOOKUP(E211,'③新店考核-B-a-②呈现-业绩明细表-③'!B:B,'③新店考核-B-a-②呈现-业绩明细表-③'!F:F,0)</f>
        <v>0</v>
      </c>
      <c r="K211" s="55">
        <f>IF(H211="新店一阶段",LOOKUP(I211,'②提成标准-B-a-①-增加'!$M$9:$M$12,'②提成标准-B-a-①-增加'!$O$9:$O$12),0)</f>
        <v>0</v>
      </c>
      <c r="L211" s="56">
        <f t="shared" si="50"/>
        <v>0</v>
      </c>
      <c r="M211" s="57">
        <f>_xlfn.XLOOKUP(E211,'③新店考核-B-a-②呈现-业绩明细表-③'!B:B,'③新店考核-B-a-②呈现-业绩明细表-③'!G:G,0)</f>
        <v>0</v>
      </c>
      <c r="N211" s="58" t="str">
        <f>LOOKUP(M211,'②提成标准-B-a-①-增加'!$M$1:$M$4,'②提成标准-B-a-①-增加'!$O$1:$O$4)</f>
        <v>同老店</v>
      </c>
      <c r="O211" s="57">
        <f>_xlfn.XLOOKUP(E211,'③新店考核-B-a-②呈现-业绩明细表-③'!B:B,'③新店考核-B-a-②呈现-业绩明细表-③'!H:H,0)</f>
        <v>0</v>
      </c>
      <c r="P211" s="57">
        <f t="shared" si="51"/>
        <v>0</v>
      </c>
      <c r="Q211" s="53">
        <f>_xlfn.XLOOKUP(E211,'④考勤-B-a-26考勤汇总表'!D:D,'④考勤-B-a-26考勤汇总表'!AP:AP,0)</f>
        <v>0</v>
      </c>
      <c r="R211" s="53" t="str">
        <f t="shared" si="60"/>
        <v/>
      </c>
      <c r="S211" s="53">
        <f t="shared" si="56"/>
        <v>0</v>
      </c>
      <c r="T211" s="53">
        <v>0</v>
      </c>
      <c r="U211" s="53">
        <v>0</v>
      </c>
      <c r="V211" s="53">
        <v>0</v>
      </c>
      <c r="W211" s="53">
        <f>_xlfn.XLOOKUP(E211,'⑤项目数-B-a-③消耗明细表'!C:C,'⑤项目数-B-a-③消耗明细表'!E:E,0)</f>
        <v>0</v>
      </c>
      <c r="X211" s="53">
        <f>_xlfn.XLOOKUP(E211,'⑤项目数-B-a-③消耗明细表'!C:C,'⑤项目数-B-a-③消耗明细表'!D:D,0)</f>
        <v>0</v>
      </c>
      <c r="Y211" s="53">
        <f>_xlfn.XLOOKUP(E211,'⑤项目数-B-a-③消耗明细表'!C:C,'⑤项目数-B-a-③消耗明细表'!F:F,0)</f>
        <v>0</v>
      </c>
      <c r="Z211" s="53">
        <f>_xlfn.XLOOKUP(E211,'⑤项目数-B-a-③消耗明细表'!C:C,'⑤项目数-B-a-③消耗明细表'!G:G,0)</f>
        <v>0</v>
      </c>
      <c r="AA211" s="84" t="str">
        <f t="shared" si="52"/>
        <v>不属于战队</v>
      </c>
      <c r="AB211" s="84">
        <f t="shared" si="53"/>
        <v>0</v>
      </c>
      <c r="AC211" s="53">
        <f>_xlfn.XLOOKUP(F211,'⑥战队统计表-B-a-②呈现-业绩明细表④'!A:A,'⑥战队统计表-B-a-②呈现-业绩明细表④'!B:B,0)</f>
        <v>0</v>
      </c>
      <c r="AD211" s="53">
        <f t="shared" si="57"/>
        <v>1</v>
      </c>
      <c r="AE211" s="59">
        <f>IF(AD211="",_xlfn.XLOOKUP(F211,'⑥战队统计表-B-a-②呈现-业绩明细表④'!A:A,'⑥战队统计表-B-a-②呈现-业绩明细表④'!D:D,0),0)</f>
        <v>0</v>
      </c>
      <c r="AF211" s="85">
        <f>IF(AND(E211="T区",E211="门店T区"),"",IF(AD211="",0,IF(R211="",LOOKUP(S211,'②提成标准-B-a-①-增加'!$B$16:$B$20,'②提成标准-B-a-①-增加'!$D$16:$D$20),LOOKUP(S211/Q211,'②提成标准-B-a-①-增加'!$B$23:$B$27,'②提成标准-B-a-①-增加'!$D$23:$D$27))))</f>
        <v>0</v>
      </c>
      <c r="AG211" s="85">
        <f t="shared" si="54"/>
        <v>0</v>
      </c>
      <c r="AH211" s="60">
        <f t="shared" si="61"/>
        <v>0</v>
      </c>
      <c r="AI211" s="86">
        <f t="shared" si="62"/>
        <v>0</v>
      </c>
      <c r="AJ211" s="60">
        <f t="shared" si="58"/>
        <v>0</v>
      </c>
      <c r="AK211" s="87">
        <f>IF(AB211=1,IFERROR(S211/VLOOKUP(F211,'⑥战队统计表-B-a-②呈现-业绩明细表④'!A:C,3,0),0),0)</f>
        <v>0</v>
      </c>
      <c r="AL211" s="85" t="str">
        <f t="shared" si="59"/>
        <v/>
      </c>
      <c r="AM211" s="53" t="str">
        <f>IF(D211="顾问",_xlfn.XLOOKUP(F211,'⑥战队统计表-B-a-②呈现-业绩明细表④'!A:A,'⑥战队统计表-B-a-②呈现-业绩明细表④'!H:H,0),"")</f>
        <v/>
      </c>
      <c r="AN211" s="53" t="str">
        <f t="shared" si="55"/>
        <v>单人</v>
      </c>
    </row>
    <row r="212" spans="1:40" hidden="1" x14ac:dyDescent="0.15">
      <c r="A212" s="79" t="s">
        <v>428</v>
      </c>
      <c r="B212" s="80" t="s">
        <v>217</v>
      </c>
      <c r="C212" s="81" t="s">
        <v>40</v>
      </c>
      <c r="D212" s="82" t="s">
        <v>40</v>
      </c>
      <c r="E212" s="88" t="str">
        <f>F212</f>
        <v>亚洲湾+门店T区</v>
      </c>
      <c r="F212" s="53" t="str">
        <f t="shared" si="49"/>
        <v>亚洲湾+门店T区</v>
      </c>
      <c r="G212" s="53">
        <f>IFERROR(_xlfn.XLOOKUP(B212,'①门店信息-A-a-①-增加'!B:B,'①门店信息-A-a-①-增加'!E:E,0),"")</f>
        <v>0</v>
      </c>
      <c r="H212" s="54">
        <f>_xlfn.XLOOKUP(B212,'①门店信息-A-a-①-增加'!B:B,'①门店信息-A-a-①-增加'!F:F,0)</f>
        <v>0</v>
      </c>
      <c r="I212" s="55">
        <f>_xlfn.XLOOKUP(E212,'③新店考核-B-a-②呈现-业绩明细表-③'!B:B,'③新店考核-B-a-②呈现-业绩明细表-③'!E:E,0)</f>
        <v>0</v>
      </c>
      <c r="J212" s="54">
        <f>_xlfn.XLOOKUP(E212,'③新店考核-B-a-②呈现-业绩明细表-③'!B:B,'③新店考核-B-a-②呈现-业绩明细表-③'!F:F,0)</f>
        <v>0</v>
      </c>
      <c r="K212" s="55">
        <f>IF(H212="新店一阶段",LOOKUP(I212,'②提成标准-B-a-①-增加'!$M$9:$M$12,'②提成标准-B-a-①-增加'!$O$9:$O$12),0)</f>
        <v>0</v>
      </c>
      <c r="L212" s="56">
        <f t="shared" si="50"/>
        <v>7961.7</v>
      </c>
      <c r="M212" s="57">
        <f>_xlfn.XLOOKUP(E212,'③新店考核-B-a-②呈现-业绩明细表-③'!B:B,'③新店考核-B-a-②呈现-业绩明细表-③'!G:G,0)</f>
        <v>0</v>
      </c>
      <c r="N212" s="58" t="str">
        <f>LOOKUP(M212,'②提成标准-B-a-①-增加'!$M$1:$M$4,'②提成标准-B-a-①-增加'!$O$1:$O$4)</f>
        <v>同老店</v>
      </c>
      <c r="O212" s="57">
        <f>_xlfn.XLOOKUP(E212,'③新店考核-B-a-②呈现-业绩明细表-③'!B:B,'③新店考核-B-a-②呈现-业绩明细表-③'!H:H,0)</f>
        <v>0</v>
      </c>
      <c r="P212" s="57">
        <f t="shared" si="51"/>
        <v>7961.7</v>
      </c>
      <c r="Q212" s="53">
        <f>_xlfn.XLOOKUP(E212,'④考勤-B-a-26考勤汇总表'!D:D,'④考勤-B-a-26考勤汇总表'!AP:AP,0)</f>
        <v>0</v>
      </c>
      <c r="R212" s="53" t="str">
        <f t="shared" si="60"/>
        <v/>
      </c>
      <c r="S212" s="53">
        <f t="shared" si="56"/>
        <v>17521.7</v>
      </c>
      <c r="T212" s="53">
        <v>7961.7</v>
      </c>
      <c r="U212" s="53">
        <v>9560</v>
      </c>
      <c r="V212" s="53">
        <v>0</v>
      </c>
      <c r="W212" s="53">
        <f>_xlfn.XLOOKUP(E212,'⑤项目数-B-a-③消耗明细表'!C:C,'⑤项目数-B-a-③消耗明细表'!E:E,0)</f>
        <v>0</v>
      </c>
      <c r="X212" s="53">
        <f>_xlfn.XLOOKUP(E212,'⑤项目数-B-a-③消耗明细表'!C:C,'⑤项目数-B-a-③消耗明细表'!D:D,0)</f>
        <v>0</v>
      </c>
      <c r="Y212" s="53">
        <f>_xlfn.XLOOKUP(E212,'⑤项目数-B-a-③消耗明细表'!C:C,'⑤项目数-B-a-③消耗明细表'!F:F,0)</f>
        <v>0</v>
      </c>
      <c r="Z212" s="53">
        <f>_xlfn.XLOOKUP(E212,'⑤项目数-B-a-③消耗明细表'!C:C,'⑤项目数-B-a-③消耗明细表'!G:G,0)</f>
        <v>0</v>
      </c>
      <c r="AA212" s="84">
        <f t="shared" si="52"/>
        <v>1</v>
      </c>
      <c r="AB212" s="84">
        <f t="shared" si="53"/>
        <v>0</v>
      </c>
      <c r="AC212" s="53">
        <f>_xlfn.XLOOKUP(F212,'⑥战队统计表-B-a-②呈现-业绩明细表④'!A:A,'⑥战队统计表-B-a-②呈现-业绩明细表④'!B:B,0)</f>
        <v>0</v>
      </c>
      <c r="AD212" s="53">
        <f t="shared" si="57"/>
        <v>1</v>
      </c>
      <c r="AE212" s="59">
        <f>IF(AD212="",_xlfn.XLOOKUP(F212,'⑥战队统计表-B-a-②呈现-业绩明细表④'!A:A,'⑥战队统计表-B-a-②呈现-业绩明细表④'!D:D,0),0)</f>
        <v>0</v>
      </c>
      <c r="AF212" s="85">
        <f>IF(AND(E212="T区",E212="门店T区"),"",IF(AD212="",0,IF(R212="",LOOKUP(S212,'②提成标准-B-a-①-增加'!$B$16:$B$20,'②提成标准-B-a-①-增加'!$D$16:$D$20),LOOKUP(S212/Q212,'②提成标准-B-a-①-增加'!$B$23:$B$27,'②提成标准-B-a-①-增加'!$D$23:$D$27))))</f>
        <v>0.03</v>
      </c>
      <c r="AG212" s="85">
        <f t="shared" si="54"/>
        <v>0.03</v>
      </c>
      <c r="AH212" s="60">
        <f t="shared" si="61"/>
        <v>0</v>
      </c>
      <c r="AI212" s="86">
        <f t="shared" si="62"/>
        <v>0</v>
      </c>
      <c r="AJ212" s="60">
        <f t="shared" si="58"/>
        <v>0</v>
      </c>
      <c r="AK212" s="87">
        <f>IF(AB212=1,IFERROR(S212/VLOOKUP(F212,'⑥战队统计表-B-a-②呈现-业绩明细表④'!A:C,3,0),0),0)</f>
        <v>0</v>
      </c>
      <c r="AL212" s="85" t="str">
        <f t="shared" si="59"/>
        <v/>
      </c>
      <c r="AM212" s="53" t="str">
        <f>IF(D212="顾问",_xlfn.XLOOKUP(F212,'⑥战队统计表-B-a-②呈现-业绩明细表④'!A:A,'⑥战队统计表-B-a-②呈现-业绩明细表④'!H:H,0),"")</f>
        <v/>
      </c>
      <c r="AN212" s="53" t="str">
        <f t="shared" si="55"/>
        <v>单人</v>
      </c>
    </row>
    <row r="213" spans="1:40" hidden="1" x14ac:dyDescent="0.15">
      <c r="A213" s="79" t="s">
        <v>428</v>
      </c>
      <c r="B213" s="80" t="s">
        <v>225</v>
      </c>
      <c r="C213" s="81" t="s">
        <v>226</v>
      </c>
      <c r="D213" s="82" t="s">
        <v>32</v>
      </c>
      <c r="E213" s="82" t="s">
        <v>227</v>
      </c>
      <c r="F213" s="53" t="str">
        <f t="shared" si="49"/>
        <v>川师+虎啸龙吟队</v>
      </c>
      <c r="G213" s="53">
        <f>IFERROR(_xlfn.XLOOKUP(B213,'①门店信息-A-a-①-增加'!B:B,'①门店信息-A-a-①-增加'!E:E,0),"")</f>
        <v>0</v>
      </c>
      <c r="H213" s="54">
        <f>_xlfn.XLOOKUP(B213,'①门店信息-A-a-①-增加'!B:B,'①门店信息-A-a-①-增加'!F:F,0)</f>
        <v>0</v>
      </c>
      <c r="I213" s="55">
        <f>_xlfn.XLOOKUP(E213,'③新店考核-B-a-②呈现-业绩明细表-③'!B:B,'③新店考核-B-a-②呈现-业绩明细表-③'!E:E,0)</f>
        <v>0</v>
      </c>
      <c r="J213" s="54">
        <f>_xlfn.XLOOKUP(E213,'③新店考核-B-a-②呈现-业绩明细表-③'!B:B,'③新店考核-B-a-②呈现-业绩明细表-③'!F:F,0)</f>
        <v>0</v>
      </c>
      <c r="K213" s="55">
        <f>IF(H213="新店一阶段",LOOKUP(I213,'②提成标准-B-a-①-增加'!$M$9:$M$12,'②提成标准-B-a-①-增加'!$O$9:$O$12),0)</f>
        <v>0</v>
      </c>
      <c r="L213" s="56">
        <f t="shared" si="50"/>
        <v>23867</v>
      </c>
      <c r="M213" s="57">
        <f>_xlfn.XLOOKUP(E213,'③新店考核-B-a-②呈现-业绩明细表-③'!B:B,'③新店考核-B-a-②呈现-业绩明细表-③'!G:G,0)</f>
        <v>0</v>
      </c>
      <c r="N213" s="58" t="str">
        <f>LOOKUP(M213,'②提成标准-B-a-①-增加'!$M$1:$M$4,'②提成标准-B-a-①-增加'!$O$1:$O$4)</f>
        <v>同老店</v>
      </c>
      <c r="O213" s="57">
        <f>_xlfn.XLOOKUP(E213,'③新店考核-B-a-②呈现-业绩明细表-③'!B:B,'③新店考核-B-a-②呈现-业绩明细表-③'!H:H,0)</f>
        <v>0</v>
      </c>
      <c r="P213" s="57">
        <f t="shared" si="51"/>
        <v>23867</v>
      </c>
      <c r="Q213" s="53">
        <f>_xlfn.XLOOKUP(E213,'④考勤-B-a-26考勤汇总表'!D:D,'④考勤-B-a-26考勤汇总表'!AP:AP,0)</f>
        <v>31</v>
      </c>
      <c r="R213" s="53" t="str">
        <f t="shared" si="60"/>
        <v/>
      </c>
      <c r="S213" s="53">
        <f t="shared" si="56"/>
        <v>54822</v>
      </c>
      <c r="T213" s="53">
        <v>23867</v>
      </c>
      <c r="U213" s="53">
        <v>29179</v>
      </c>
      <c r="V213" s="53">
        <v>1776</v>
      </c>
      <c r="W213" s="53">
        <f>_xlfn.XLOOKUP(E213,'⑤项目数-B-a-③消耗明细表'!C:C,'⑤项目数-B-a-③消耗明细表'!E:E,0)</f>
        <v>43190.45</v>
      </c>
      <c r="X213" s="53">
        <f>_xlfn.XLOOKUP(E213,'⑤项目数-B-a-③消耗明细表'!C:C,'⑤项目数-B-a-③消耗明细表'!D:D,0)</f>
        <v>110</v>
      </c>
      <c r="Y213" s="53">
        <f>_xlfn.XLOOKUP(E213,'⑤项目数-B-a-③消耗明细表'!C:C,'⑤项目数-B-a-③消耗明细表'!F:F,0)</f>
        <v>1112</v>
      </c>
      <c r="Z213" s="53">
        <f>_xlfn.XLOOKUP(E213,'⑤项目数-B-a-③消耗明细表'!C:C,'⑤项目数-B-a-③消耗明细表'!G:G,0)</f>
        <v>0</v>
      </c>
      <c r="AA213" s="84">
        <f t="shared" si="52"/>
        <v>1</v>
      </c>
      <c r="AB213" s="84">
        <f t="shared" si="53"/>
        <v>1</v>
      </c>
      <c r="AC213" s="53">
        <f>_xlfn.XLOOKUP(F213,'⑥战队统计表-B-a-②呈现-业绩明细表④'!A:A,'⑥战队统计表-B-a-②呈现-业绩明细表④'!B:B,0)</f>
        <v>3</v>
      </c>
      <c r="AD213" s="53" t="str">
        <f t="shared" si="57"/>
        <v/>
      </c>
      <c r="AE213" s="59">
        <f>IF(AD213="",_xlfn.XLOOKUP(F213,'⑥战队统计表-B-a-②呈现-业绩明细表④'!A:A,'⑥战队统计表-B-a-②呈现-业绩明细表④'!D:D,0),0)</f>
        <v>0.05</v>
      </c>
      <c r="AF213" s="85">
        <f>IF(AND(E213="T区",E213="门店T区"),"",IF(AD213="",0,IF(R213="",LOOKUP(S213,'②提成标准-B-a-①-增加'!$B$16:$B$20,'②提成标准-B-a-①-增加'!$D$16:$D$20),LOOKUP(S213/Q213,'②提成标准-B-a-①-增加'!$B$23:$B$27,'②提成标准-B-a-①-增加'!$D$23:$D$27))))</f>
        <v>0</v>
      </c>
      <c r="AG213" s="85">
        <f t="shared" si="54"/>
        <v>0.05</v>
      </c>
      <c r="AH213" s="60">
        <f t="shared" si="61"/>
        <v>1133.6825000000001</v>
      </c>
      <c r="AI213" s="86">
        <f t="shared" si="62"/>
        <v>900.90162500000008</v>
      </c>
      <c r="AJ213" s="60">
        <f t="shared" si="58"/>
        <v>2034.5841250000003</v>
      </c>
      <c r="AK213" s="87">
        <f>IF(AB213=1,IFERROR(S213/VLOOKUP(F213,'⑥战队统计表-B-a-②呈现-业绩明细表④'!A:C,3,0),0),0)</f>
        <v>0.57439518875140139</v>
      </c>
      <c r="AL213" s="85">
        <f t="shared" si="59"/>
        <v>0.42560481124859867</v>
      </c>
      <c r="AM213" s="53">
        <f>IF(D213="顾问",_xlfn.XLOOKUP(F213,'⑥战队统计表-B-a-②呈现-业绩明细表④'!A:A,'⑥战队统计表-B-a-②呈现-业绩明细表④'!H:H,0),"")</f>
        <v>763.55</v>
      </c>
      <c r="AN213" s="53" t="str">
        <f t="shared" si="55"/>
        <v>川师+虎啸龙吟队</v>
      </c>
    </row>
    <row r="214" spans="1:40" hidden="1" x14ac:dyDescent="0.15">
      <c r="A214" s="79" t="s">
        <v>428</v>
      </c>
      <c r="B214" s="80" t="s">
        <v>225</v>
      </c>
      <c r="C214" s="81" t="s">
        <v>226</v>
      </c>
      <c r="D214" s="82" t="s">
        <v>6</v>
      </c>
      <c r="E214" s="82" t="s">
        <v>228</v>
      </c>
      <c r="F214" s="53" t="str">
        <f t="shared" si="49"/>
        <v>川师+虎啸龙吟队</v>
      </c>
      <c r="G214" s="53">
        <f>IFERROR(_xlfn.XLOOKUP(B214,'①门店信息-A-a-①-增加'!B:B,'①门店信息-A-a-①-增加'!E:E,0),"")</f>
        <v>0</v>
      </c>
      <c r="H214" s="54">
        <f>_xlfn.XLOOKUP(B214,'①门店信息-A-a-①-增加'!B:B,'①门店信息-A-a-①-增加'!F:F,0)</f>
        <v>0</v>
      </c>
      <c r="I214" s="55">
        <f>_xlfn.XLOOKUP(E214,'③新店考核-B-a-②呈现-业绩明细表-③'!B:B,'③新店考核-B-a-②呈现-业绩明细表-③'!E:E,0)</f>
        <v>0</v>
      </c>
      <c r="J214" s="54">
        <f>_xlfn.XLOOKUP(E214,'③新店考核-B-a-②呈现-业绩明细表-③'!B:B,'③新店考核-B-a-②呈现-业绩明细表-③'!F:F,0)</f>
        <v>0</v>
      </c>
      <c r="K214" s="55">
        <f>IF(H214="新店一阶段",LOOKUP(I214,'②提成标准-B-a-①-增加'!$M$9:$M$12,'②提成标准-B-a-①-增加'!$O$9:$O$12),0)</f>
        <v>0</v>
      </c>
      <c r="L214" s="56">
        <f t="shared" si="50"/>
        <v>7030</v>
      </c>
      <c r="M214" s="57">
        <f>_xlfn.XLOOKUP(E214,'③新店考核-B-a-②呈现-业绩明细表-③'!B:B,'③新店考核-B-a-②呈现-业绩明细表-③'!G:G,0)</f>
        <v>0</v>
      </c>
      <c r="N214" s="58" t="str">
        <f>LOOKUP(M214,'②提成标准-B-a-①-增加'!$M$1:$M$4,'②提成标准-B-a-①-增加'!$O$1:$O$4)</f>
        <v>同老店</v>
      </c>
      <c r="O214" s="57">
        <f>_xlfn.XLOOKUP(E214,'③新店考核-B-a-②呈现-业绩明细表-③'!B:B,'③新店考核-B-a-②呈现-业绩明细表-③'!H:H,0)</f>
        <v>0</v>
      </c>
      <c r="P214" s="57">
        <f t="shared" si="51"/>
        <v>7030</v>
      </c>
      <c r="Q214" s="53">
        <f>_xlfn.XLOOKUP(E214,'④考勤-B-a-26考勤汇总表'!D:D,'④考勤-B-a-26考勤汇总表'!AP:AP,0)</f>
        <v>31</v>
      </c>
      <c r="R214" s="53" t="str">
        <f t="shared" si="60"/>
        <v/>
      </c>
      <c r="S214" s="53">
        <f t="shared" si="56"/>
        <v>14630</v>
      </c>
      <c r="T214" s="53">
        <v>7030</v>
      </c>
      <c r="U214" s="53">
        <v>6980</v>
      </c>
      <c r="V214" s="53">
        <v>620</v>
      </c>
      <c r="W214" s="53">
        <f>_xlfn.XLOOKUP(E214,'⑤项目数-B-a-③消耗明细表'!C:C,'⑤项目数-B-a-③消耗明细表'!E:E,0)</f>
        <v>14369.11</v>
      </c>
      <c r="X214" s="53">
        <f>_xlfn.XLOOKUP(E214,'⑤项目数-B-a-③消耗明细表'!C:C,'⑤项目数-B-a-③消耗明细表'!D:D,0)</f>
        <v>95</v>
      </c>
      <c r="Y214" s="53">
        <f>_xlfn.XLOOKUP(E214,'⑤项目数-B-a-③消耗明细表'!C:C,'⑤项目数-B-a-③消耗明细表'!F:F,0)</f>
        <v>1073</v>
      </c>
      <c r="Z214" s="53">
        <f>_xlfn.XLOOKUP(E214,'⑤项目数-B-a-③消耗明细表'!C:C,'⑤项目数-B-a-③消耗明细表'!G:G,0)</f>
        <v>0</v>
      </c>
      <c r="AA214" s="84">
        <f t="shared" si="52"/>
        <v>1</v>
      </c>
      <c r="AB214" s="84">
        <f t="shared" si="53"/>
        <v>1</v>
      </c>
      <c r="AC214" s="53">
        <f>_xlfn.XLOOKUP(F214,'⑥战队统计表-B-a-②呈现-业绩明细表④'!A:A,'⑥战队统计表-B-a-②呈现-业绩明细表④'!B:B,0)</f>
        <v>3</v>
      </c>
      <c r="AD214" s="53" t="str">
        <f t="shared" si="57"/>
        <v/>
      </c>
      <c r="AE214" s="59">
        <f>IF(AD214="",_xlfn.XLOOKUP(F214,'⑥战队统计表-B-a-②呈现-业绩明细表④'!A:A,'⑥战队统计表-B-a-②呈现-业绩明细表④'!D:D,0),0)</f>
        <v>0.05</v>
      </c>
      <c r="AF214" s="85">
        <f>IF(AND(E214="T区",E214="门店T区"),"",IF(AD214="",0,IF(R214="",LOOKUP(S214,'②提成标准-B-a-①-增加'!$B$16:$B$20,'②提成标准-B-a-①-增加'!$D$16:$D$20),LOOKUP(S214/Q214,'②提成标准-B-a-①-增加'!$B$23:$B$27,'②提成标准-B-a-①-增加'!$D$23:$D$27))))</f>
        <v>0</v>
      </c>
      <c r="AG214" s="85">
        <f t="shared" si="54"/>
        <v>0.05</v>
      </c>
      <c r="AH214" s="60">
        <f t="shared" si="61"/>
        <v>333.92500000000001</v>
      </c>
      <c r="AI214" s="86">
        <f t="shared" si="62"/>
        <v>215.50750000000002</v>
      </c>
      <c r="AJ214" s="60">
        <f t="shared" si="58"/>
        <v>549.4325</v>
      </c>
      <c r="AK214" s="87">
        <f>IF(AB214=1,IFERROR(S214/VLOOKUP(F214,'⑥战队统计表-B-a-②呈现-业绩明细表④'!A:C,3,0),0),0)</f>
        <v>0.15328520687740327</v>
      </c>
      <c r="AL214" s="85" t="str">
        <f t="shared" si="59"/>
        <v/>
      </c>
      <c r="AM214" s="53" t="str">
        <f>IF(D214="顾问",_xlfn.XLOOKUP(F214,'⑥战队统计表-B-a-②呈现-业绩明细表④'!A:A,'⑥战队统计表-B-a-②呈现-业绩明细表④'!H:H,0),"")</f>
        <v/>
      </c>
      <c r="AN214" s="53" t="str">
        <f t="shared" si="55"/>
        <v>川师+虎啸龙吟队</v>
      </c>
    </row>
    <row r="215" spans="1:40" hidden="1" x14ac:dyDescent="0.15">
      <c r="A215" s="91" t="s">
        <v>428</v>
      </c>
      <c r="B215" s="92" t="s">
        <v>225</v>
      </c>
      <c r="C215" s="99" t="s">
        <v>226</v>
      </c>
      <c r="D215" s="92" t="s">
        <v>6</v>
      </c>
      <c r="E215" s="92" t="s">
        <v>229</v>
      </c>
      <c r="F215" s="53" t="str">
        <f t="shared" si="49"/>
        <v>川师+虎啸龙吟队</v>
      </c>
      <c r="G215" s="53">
        <f>IFERROR(_xlfn.XLOOKUP(B215,'①门店信息-A-a-①-增加'!B:B,'①门店信息-A-a-①-增加'!E:E,0),"")</f>
        <v>0</v>
      </c>
      <c r="H215" s="54">
        <f>_xlfn.XLOOKUP(B215,'①门店信息-A-a-①-增加'!B:B,'①门店信息-A-a-①-增加'!F:F,0)</f>
        <v>0</v>
      </c>
      <c r="I215" s="55">
        <f>_xlfn.XLOOKUP(E215,'③新店考核-B-a-②呈现-业绩明细表-③'!B:B,'③新店考核-B-a-②呈现-业绩明细表-③'!E:E,0)</f>
        <v>0</v>
      </c>
      <c r="J215" s="54">
        <f>_xlfn.XLOOKUP(E215,'③新店考核-B-a-②呈现-业绩明细表-③'!B:B,'③新店考核-B-a-②呈现-业绩明细表-③'!F:F,0)</f>
        <v>0</v>
      </c>
      <c r="K215" s="55">
        <f>IF(H215="新店一阶段",LOOKUP(I215,'②提成标准-B-a-①-增加'!$M$9:$M$12,'②提成标准-B-a-①-增加'!$O$9:$O$12),0)</f>
        <v>0</v>
      </c>
      <c r="L215" s="56">
        <f t="shared" si="50"/>
        <v>22992</v>
      </c>
      <c r="M215" s="57">
        <f>_xlfn.XLOOKUP(E215,'③新店考核-B-a-②呈现-业绩明细表-③'!B:B,'③新店考核-B-a-②呈现-业绩明细表-③'!G:G,0)</f>
        <v>0</v>
      </c>
      <c r="N215" s="58" t="str">
        <f>LOOKUP(M215,'②提成标准-B-a-①-增加'!$M$1:$M$4,'②提成标准-B-a-①-增加'!$O$1:$O$4)</f>
        <v>同老店</v>
      </c>
      <c r="O215" s="57">
        <f>_xlfn.XLOOKUP(E215,'③新店考核-B-a-②呈现-业绩明细表-③'!B:B,'③新店考核-B-a-②呈现-业绩明细表-③'!H:H,0)</f>
        <v>0</v>
      </c>
      <c r="P215" s="57">
        <f t="shared" si="51"/>
        <v>22992</v>
      </c>
      <c r="Q215" s="53">
        <f>_xlfn.XLOOKUP(E215,'④考勤-B-a-26考勤汇总表'!D:D,'④考勤-B-a-26考勤汇总表'!AP:AP,0)</f>
        <v>31</v>
      </c>
      <c r="R215" s="53" t="str">
        <f t="shared" si="60"/>
        <v/>
      </c>
      <c r="S215" s="53">
        <f t="shared" si="56"/>
        <v>25991</v>
      </c>
      <c r="T215" s="95">
        <v>22992</v>
      </c>
      <c r="U215" s="95">
        <v>2999</v>
      </c>
      <c r="V215" s="95">
        <v>0</v>
      </c>
      <c r="W215" s="53">
        <f>_xlfn.XLOOKUP(E215,'⑤项目数-B-a-③消耗明细表'!C:C,'⑤项目数-B-a-③消耗明细表'!E:E,0)</f>
        <v>12371.53</v>
      </c>
      <c r="X215" s="53">
        <f>_xlfn.XLOOKUP(E215,'⑤项目数-B-a-③消耗明细表'!C:C,'⑤项目数-B-a-③消耗明细表'!D:D,0)</f>
        <v>97</v>
      </c>
      <c r="Y215" s="53">
        <f>_xlfn.XLOOKUP(E215,'⑤项目数-B-a-③消耗明细表'!C:C,'⑤项目数-B-a-③消耗明细表'!F:F,0)</f>
        <v>1064</v>
      </c>
      <c r="Z215" s="53">
        <f>_xlfn.XLOOKUP(E215,'⑤项目数-B-a-③消耗明细表'!C:C,'⑤项目数-B-a-③消耗明细表'!G:G,0)</f>
        <v>0</v>
      </c>
      <c r="AA215" s="84">
        <f t="shared" si="52"/>
        <v>1</v>
      </c>
      <c r="AB215" s="84">
        <f t="shared" si="53"/>
        <v>1</v>
      </c>
      <c r="AC215" s="53">
        <f>_xlfn.XLOOKUP(F215,'⑥战队统计表-B-a-②呈现-业绩明细表④'!A:A,'⑥战队统计表-B-a-②呈现-业绩明细表④'!B:B,0)</f>
        <v>3</v>
      </c>
      <c r="AD215" s="53" t="str">
        <f t="shared" si="57"/>
        <v/>
      </c>
      <c r="AE215" s="59">
        <f>IF(AD215="",_xlfn.XLOOKUP(F215,'⑥战队统计表-B-a-②呈现-业绩明细表④'!A:A,'⑥战队统计表-B-a-②呈现-业绩明细表④'!D:D,0),0)</f>
        <v>0.05</v>
      </c>
      <c r="AF215" s="85">
        <f>IF(AND(E215="T区",E215="门店T区"),"",IF(AD215="",0,IF(R215="",LOOKUP(S215,'②提成标准-B-a-①-增加'!$B$16:$B$20,'②提成标准-B-a-①-增加'!$D$16:$D$20),LOOKUP(S215/Q215,'②提成标准-B-a-①-增加'!$B$23:$B$27,'②提成标准-B-a-①-增加'!$D$23:$D$27))))</f>
        <v>0</v>
      </c>
      <c r="AG215" s="85">
        <f t="shared" si="54"/>
        <v>0.05</v>
      </c>
      <c r="AH215" s="60">
        <f t="shared" si="61"/>
        <v>1092.1200000000001</v>
      </c>
      <c r="AI215" s="86">
        <f t="shared" si="62"/>
        <v>92.59412500000002</v>
      </c>
      <c r="AJ215" s="60">
        <f t="shared" si="58"/>
        <v>1184.7141250000002</v>
      </c>
      <c r="AK215" s="87">
        <f>IF(AB215=1,IFERROR(S215/VLOOKUP(F215,'⑥战队统计表-B-a-②呈现-业绩明细表④'!A:C,3,0),0),0)</f>
        <v>0.2723196043711954</v>
      </c>
      <c r="AL215" s="85" t="str">
        <f t="shared" si="59"/>
        <v/>
      </c>
      <c r="AM215" s="53" t="str">
        <f>IF(D215="顾问",_xlfn.XLOOKUP(F215,'⑥战队统计表-B-a-②呈现-业绩明细表④'!A:A,'⑥战队统计表-B-a-②呈现-业绩明细表④'!H:H,0),"")</f>
        <v/>
      </c>
      <c r="AN215" s="53" t="str">
        <f t="shared" si="55"/>
        <v>川师+虎啸龙吟队</v>
      </c>
    </row>
    <row r="216" spans="1:40" hidden="1" x14ac:dyDescent="0.15">
      <c r="A216" s="79" t="s">
        <v>428</v>
      </c>
      <c r="B216" s="80" t="s">
        <v>225</v>
      </c>
      <c r="C216" s="89" t="s">
        <v>36</v>
      </c>
      <c r="D216" s="90" t="s">
        <v>36</v>
      </c>
      <c r="E216" s="90" t="s">
        <v>36</v>
      </c>
      <c r="F216" s="53" t="str">
        <f t="shared" si="49"/>
        <v>川师+T区</v>
      </c>
      <c r="G216" s="53">
        <f>IFERROR(_xlfn.XLOOKUP(B216,'①门店信息-A-a-①-增加'!B:B,'①门店信息-A-a-①-增加'!E:E,0),"")</f>
        <v>0</v>
      </c>
      <c r="H216" s="54">
        <f>_xlfn.XLOOKUP(B216,'①门店信息-A-a-①-增加'!B:B,'①门店信息-A-a-①-增加'!F:F,0)</f>
        <v>0</v>
      </c>
      <c r="I216" s="55">
        <f>_xlfn.XLOOKUP(E216,'③新店考核-B-a-②呈现-业绩明细表-③'!B:B,'③新店考核-B-a-②呈现-业绩明细表-③'!E:E,0)</f>
        <v>0</v>
      </c>
      <c r="J216" s="54">
        <f>_xlfn.XLOOKUP(E216,'③新店考核-B-a-②呈现-业绩明细表-③'!B:B,'③新店考核-B-a-②呈现-业绩明细表-③'!F:F,0)</f>
        <v>0</v>
      </c>
      <c r="K216" s="55">
        <f>IF(H216="新店一阶段",LOOKUP(I216,'②提成标准-B-a-①-增加'!$M$9:$M$12,'②提成标准-B-a-①-增加'!$O$9:$O$12),0)</f>
        <v>0</v>
      </c>
      <c r="L216" s="56">
        <f t="shared" si="50"/>
        <v>0</v>
      </c>
      <c r="M216" s="57">
        <f>_xlfn.XLOOKUP(E216,'③新店考核-B-a-②呈现-业绩明细表-③'!B:B,'③新店考核-B-a-②呈现-业绩明细表-③'!G:G,0)</f>
        <v>0</v>
      </c>
      <c r="N216" s="58" t="str">
        <f>LOOKUP(M216,'②提成标准-B-a-①-增加'!$M$1:$M$4,'②提成标准-B-a-①-增加'!$O$1:$O$4)</f>
        <v>同老店</v>
      </c>
      <c r="O216" s="57">
        <f>_xlfn.XLOOKUP(E216,'③新店考核-B-a-②呈现-业绩明细表-③'!B:B,'③新店考核-B-a-②呈现-业绩明细表-③'!H:H,0)</f>
        <v>0</v>
      </c>
      <c r="P216" s="57">
        <f t="shared" si="51"/>
        <v>0</v>
      </c>
      <c r="Q216" s="53">
        <f>_xlfn.XLOOKUP(E216,'④考勤-B-a-26考勤汇总表'!D:D,'④考勤-B-a-26考勤汇总表'!AP:AP,0)</f>
        <v>0</v>
      </c>
      <c r="R216" s="53" t="str">
        <f t="shared" si="60"/>
        <v/>
      </c>
      <c r="S216" s="53">
        <f t="shared" si="56"/>
        <v>0</v>
      </c>
      <c r="T216" s="53">
        <v>0</v>
      </c>
      <c r="U216" s="53">
        <v>0</v>
      </c>
      <c r="V216" s="53">
        <v>0</v>
      </c>
      <c r="W216" s="53">
        <f>_xlfn.XLOOKUP(E216,'⑤项目数-B-a-③消耗明细表'!C:C,'⑤项目数-B-a-③消耗明细表'!E:E,0)</f>
        <v>0</v>
      </c>
      <c r="X216" s="53">
        <f>_xlfn.XLOOKUP(E216,'⑤项目数-B-a-③消耗明细表'!C:C,'⑤项目数-B-a-③消耗明细表'!D:D,0)</f>
        <v>0</v>
      </c>
      <c r="Y216" s="53">
        <f>_xlfn.XLOOKUP(E216,'⑤项目数-B-a-③消耗明细表'!C:C,'⑤项目数-B-a-③消耗明细表'!F:F,0)</f>
        <v>0</v>
      </c>
      <c r="Z216" s="53">
        <f>_xlfn.XLOOKUP(E216,'⑤项目数-B-a-③消耗明细表'!C:C,'⑤项目数-B-a-③消耗明细表'!G:G,0)</f>
        <v>0</v>
      </c>
      <c r="AA216" s="84" t="str">
        <f t="shared" si="52"/>
        <v>不属于战队</v>
      </c>
      <c r="AB216" s="84">
        <f t="shared" si="53"/>
        <v>0</v>
      </c>
      <c r="AC216" s="53">
        <f>_xlfn.XLOOKUP(F216,'⑥战队统计表-B-a-②呈现-业绩明细表④'!A:A,'⑥战队统计表-B-a-②呈现-业绩明细表④'!B:B,0)</f>
        <v>0</v>
      </c>
      <c r="AD216" s="53">
        <f t="shared" si="57"/>
        <v>1</v>
      </c>
      <c r="AE216" s="59">
        <f>IF(AD216="",_xlfn.XLOOKUP(F216,'⑥战队统计表-B-a-②呈现-业绩明细表④'!A:A,'⑥战队统计表-B-a-②呈现-业绩明细表④'!D:D,0),0)</f>
        <v>0</v>
      </c>
      <c r="AF216" s="85">
        <f>IF(AND(E216="T区",E216="门店T区"),"",IF(AD216="",0,IF(R216="",LOOKUP(S216,'②提成标准-B-a-①-增加'!$B$16:$B$20,'②提成标准-B-a-①-增加'!$D$16:$D$20),LOOKUP(S216/Q216,'②提成标准-B-a-①-增加'!$B$23:$B$27,'②提成标准-B-a-①-增加'!$D$23:$D$27))))</f>
        <v>0</v>
      </c>
      <c r="AG216" s="85">
        <f t="shared" si="54"/>
        <v>0</v>
      </c>
      <c r="AH216" s="60">
        <f t="shared" si="61"/>
        <v>0</v>
      </c>
      <c r="AI216" s="86">
        <f t="shared" si="62"/>
        <v>0</v>
      </c>
      <c r="AJ216" s="60">
        <f t="shared" si="58"/>
        <v>0</v>
      </c>
      <c r="AK216" s="87">
        <f>IF(AB216=1,IFERROR(S216/VLOOKUP(F216,'⑥战队统计表-B-a-②呈现-业绩明细表④'!A:C,3,0),0),0)</f>
        <v>0</v>
      </c>
      <c r="AL216" s="85" t="str">
        <f t="shared" si="59"/>
        <v/>
      </c>
      <c r="AM216" s="53" t="str">
        <f>IF(D216="顾问",_xlfn.XLOOKUP(F216,'⑥战队统计表-B-a-②呈现-业绩明细表④'!A:A,'⑥战队统计表-B-a-②呈现-业绩明细表④'!H:H,0),"")</f>
        <v/>
      </c>
      <c r="AN216" s="53" t="str">
        <f t="shared" si="55"/>
        <v>单人</v>
      </c>
    </row>
    <row r="217" spans="1:40" hidden="1" x14ac:dyDescent="0.15">
      <c r="A217" s="79" t="s">
        <v>428</v>
      </c>
      <c r="B217" s="80" t="s">
        <v>225</v>
      </c>
      <c r="C217" s="81" t="s">
        <v>230</v>
      </c>
      <c r="D217" s="82" t="s">
        <v>32</v>
      </c>
      <c r="E217" s="104" t="s">
        <v>231</v>
      </c>
      <c r="F217" s="53" t="str">
        <f t="shared" si="49"/>
        <v>川师+卧虎藏龙队</v>
      </c>
      <c r="G217" s="53">
        <f>IFERROR(_xlfn.XLOOKUP(B217,'①门店信息-A-a-①-增加'!B:B,'①门店信息-A-a-①-增加'!E:E,0),"")</f>
        <v>0</v>
      </c>
      <c r="H217" s="54">
        <f>_xlfn.XLOOKUP(B217,'①门店信息-A-a-①-增加'!B:B,'①门店信息-A-a-①-增加'!F:F,0)</f>
        <v>0</v>
      </c>
      <c r="I217" s="55">
        <f>_xlfn.XLOOKUP(E217,'③新店考核-B-a-②呈现-业绩明细表-③'!B:B,'③新店考核-B-a-②呈现-业绩明细表-③'!E:E,0)</f>
        <v>0</v>
      </c>
      <c r="J217" s="54">
        <f>_xlfn.XLOOKUP(E217,'③新店考核-B-a-②呈现-业绩明细表-③'!B:B,'③新店考核-B-a-②呈现-业绩明细表-③'!F:F,0)</f>
        <v>0</v>
      </c>
      <c r="K217" s="55">
        <f>IF(H217="新店一阶段",LOOKUP(I217,'②提成标准-B-a-①-增加'!$M$9:$M$12,'②提成标准-B-a-①-增加'!$O$9:$O$12),0)</f>
        <v>0</v>
      </c>
      <c r="L217" s="56">
        <f t="shared" si="50"/>
        <v>57228</v>
      </c>
      <c r="M217" s="57">
        <f>_xlfn.XLOOKUP(E217,'③新店考核-B-a-②呈现-业绩明细表-③'!B:B,'③新店考核-B-a-②呈现-业绩明细表-③'!G:G,0)</f>
        <v>0</v>
      </c>
      <c r="N217" s="58" t="str">
        <f>LOOKUP(M217,'②提成标准-B-a-①-增加'!$M$1:$M$4,'②提成标准-B-a-①-增加'!$O$1:$O$4)</f>
        <v>同老店</v>
      </c>
      <c r="O217" s="57">
        <f>_xlfn.XLOOKUP(E217,'③新店考核-B-a-②呈现-业绩明细表-③'!B:B,'③新店考核-B-a-②呈现-业绩明细表-③'!H:H,0)</f>
        <v>0</v>
      </c>
      <c r="P217" s="57">
        <f t="shared" si="51"/>
        <v>57228</v>
      </c>
      <c r="Q217" s="53">
        <f>_xlfn.XLOOKUP(E217,'④考勤-B-a-26考勤汇总表'!D:D,'④考勤-B-a-26考勤汇总表'!AP:AP,0)</f>
        <v>31</v>
      </c>
      <c r="R217" s="53" t="str">
        <f t="shared" si="60"/>
        <v/>
      </c>
      <c r="S217" s="53">
        <f t="shared" si="56"/>
        <v>61101</v>
      </c>
      <c r="T217" s="53">
        <v>57228</v>
      </c>
      <c r="U217" s="53">
        <v>2786</v>
      </c>
      <c r="V217" s="53">
        <v>1087</v>
      </c>
      <c r="W217" s="53">
        <f>_xlfn.XLOOKUP(E217,'⑤项目数-B-a-③消耗明细表'!C:C,'⑤项目数-B-a-③消耗明细表'!E:E,0)</f>
        <v>25702.1</v>
      </c>
      <c r="X217" s="53">
        <f>_xlfn.XLOOKUP(E217,'⑤项目数-B-a-③消耗明细表'!C:C,'⑤项目数-B-a-③消耗明细表'!D:D,0)</f>
        <v>125</v>
      </c>
      <c r="Y217" s="53">
        <f>_xlfn.XLOOKUP(E217,'⑤项目数-B-a-③消耗明细表'!C:C,'⑤项目数-B-a-③消耗明细表'!F:F,0)</f>
        <v>1840</v>
      </c>
      <c r="Z217" s="53">
        <f>_xlfn.XLOOKUP(E217,'⑤项目数-B-a-③消耗明细表'!C:C,'⑤项目数-B-a-③消耗明细表'!G:G,0)</f>
        <v>155</v>
      </c>
      <c r="AA217" s="84">
        <f t="shared" si="52"/>
        <v>1</v>
      </c>
      <c r="AB217" s="84">
        <f t="shared" si="53"/>
        <v>1</v>
      </c>
      <c r="AC217" s="53">
        <f>_xlfn.XLOOKUP(F217,'⑥战队统计表-B-a-②呈现-业绩明细表④'!A:A,'⑥战队统计表-B-a-②呈现-业绩明细表④'!B:B,0)</f>
        <v>2</v>
      </c>
      <c r="AD217" s="53" t="str">
        <f t="shared" si="57"/>
        <v/>
      </c>
      <c r="AE217" s="59">
        <f>IF(AD217="",_xlfn.XLOOKUP(F217,'⑥战队统计表-B-a-②呈现-业绩明细表④'!A:A,'⑥战队统计表-B-a-②呈现-业绩明细表④'!D:D,0),0)</f>
        <v>0.06</v>
      </c>
      <c r="AF217" s="85">
        <f>IF(AND(E217="T区",E217="门店T区"),"",IF(AD217="",0,IF(R217="",LOOKUP(S217,'②提成标准-B-a-①-增加'!$B$16:$B$20,'②提成标准-B-a-①-增加'!$D$16:$D$20),LOOKUP(S217/Q217,'②提成标准-B-a-①-增加'!$B$23:$B$27,'②提成标准-B-a-①-增加'!$D$23:$D$27))))</f>
        <v>0</v>
      </c>
      <c r="AG217" s="85">
        <f t="shared" si="54"/>
        <v>0.06</v>
      </c>
      <c r="AH217" s="60">
        <f t="shared" si="61"/>
        <v>3261.9959999999996</v>
      </c>
      <c r="AI217" s="86">
        <f t="shared" si="62"/>
        <v>103.2213</v>
      </c>
      <c r="AJ217" s="60">
        <f t="shared" si="58"/>
        <v>3365.2172999999998</v>
      </c>
      <c r="AK217" s="87">
        <f>IF(AB217=1,IFERROR(S217/VLOOKUP(F217,'⑥战队统计表-B-a-②呈现-业绩明细表④'!A:C,3,0),0),0)</f>
        <v>0.5564906144976639</v>
      </c>
      <c r="AL217" s="85">
        <f t="shared" si="59"/>
        <v>0.44350938550233615</v>
      </c>
      <c r="AM217" s="53">
        <f>IF(D217="顾问",_xlfn.XLOOKUP(F217,'⑥战队统计表-B-a-②呈现-业绩明细表④'!A:A,'⑥战队统计表-B-a-②呈现-业绩明细表④'!H:H,0),"")</f>
        <v>329.4</v>
      </c>
      <c r="AN217" s="53" t="str">
        <f t="shared" si="55"/>
        <v>川师+卧虎藏龙队</v>
      </c>
    </row>
    <row r="218" spans="1:40" hidden="1" x14ac:dyDescent="0.15">
      <c r="A218" s="79" t="s">
        <v>428</v>
      </c>
      <c r="B218" s="80" t="s">
        <v>225</v>
      </c>
      <c r="C218" s="81" t="s">
        <v>230</v>
      </c>
      <c r="D218" s="82" t="s">
        <v>6</v>
      </c>
      <c r="E218" s="82" t="s">
        <v>232</v>
      </c>
      <c r="F218" s="53" t="str">
        <f t="shared" si="49"/>
        <v>川师+卧虎藏龙队</v>
      </c>
      <c r="G218" s="53">
        <f>IFERROR(_xlfn.XLOOKUP(B218,'①门店信息-A-a-①-增加'!B:B,'①门店信息-A-a-①-增加'!E:E,0),"")</f>
        <v>0</v>
      </c>
      <c r="H218" s="54">
        <f>_xlfn.XLOOKUP(B218,'①门店信息-A-a-①-增加'!B:B,'①门店信息-A-a-①-增加'!F:F,0)</f>
        <v>0</v>
      </c>
      <c r="I218" s="55">
        <f>_xlfn.XLOOKUP(E218,'③新店考核-B-a-②呈现-业绩明细表-③'!B:B,'③新店考核-B-a-②呈现-业绩明细表-③'!E:E,0)</f>
        <v>0</v>
      </c>
      <c r="J218" s="54">
        <f>_xlfn.XLOOKUP(E218,'③新店考核-B-a-②呈现-业绩明细表-③'!B:B,'③新店考核-B-a-②呈现-业绩明细表-③'!F:F,0)</f>
        <v>0</v>
      </c>
      <c r="K218" s="55">
        <f>IF(H218="新店一阶段",LOOKUP(I218,'②提成标准-B-a-①-增加'!$M$9:$M$12,'②提成标准-B-a-①-增加'!$O$9:$O$12),0)</f>
        <v>0</v>
      </c>
      <c r="L218" s="56">
        <f t="shared" si="50"/>
        <v>30216</v>
      </c>
      <c r="M218" s="57">
        <f>_xlfn.XLOOKUP(E218,'③新店考核-B-a-②呈现-业绩明细表-③'!B:B,'③新店考核-B-a-②呈现-业绩明细表-③'!G:G,0)</f>
        <v>0</v>
      </c>
      <c r="N218" s="58" t="str">
        <f>LOOKUP(M218,'②提成标准-B-a-①-增加'!$M$1:$M$4,'②提成标准-B-a-①-增加'!$O$1:$O$4)</f>
        <v>同老店</v>
      </c>
      <c r="O218" s="57">
        <f>_xlfn.XLOOKUP(E218,'③新店考核-B-a-②呈现-业绩明细表-③'!B:B,'③新店考核-B-a-②呈现-业绩明细表-③'!H:H,0)</f>
        <v>0</v>
      </c>
      <c r="P218" s="57">
        <f t="shared" si="51"/>
        <v>30216</v>
      </c>
      <c r="Q218" s="53">
        <f>_xlfn.XLOOKUP(E218,'④考勤-B-a-26考勤汇总表'!D:D,'④考勤-B-a-26考勤汇总表'!AP:AP,0)</f>
        <v>31</v>
      </c>
      <c r="R218" s="53" t="str">
        <f t="shared" si="60"/>
        <v/>
      </c>
      <c r="S218" s="53">
        <f t="shared" si="56"/>
        <v>48696</v>
      </c>
      <c r="T218" s="53">
        <v>30216</v>
      </c>
      <c r="U218" s="53">
        <v>17592</v>
      </c>
      <c r="V218" s="53">
        <v>888</v>
      </c>
      <c r="W218" s="53">
        <f>_xlfn.XLOOKUP(E218,'⑤项目数-B-a-③消耗明细表'!C:C,'⑤项目数-B-a-③消耗明细表'!E:E,0)</f>
        <v>31950.77</v>
      </c>
      <c r="X218" s="53">
        <f>_xlfn.XLOOKUP(E218,'⑤项目数-B-a-③消耗明细表'!C:C,'⑤项目数-B-a-③消耗明细表'!D:D,0)</f>
        <v>113</v>
      </c>
      <c r="Y218" s="53">
        <f>_xlfn.XLOOKUP(E218,'⑤项目数-B-a-③消耗明细表'!C:C,'⑤项目数-B-a-③消耗明细表'!F:F,0)</f>
        <v>1181</v>
      </c>
      <c r="Z218" s="53">
        <f>_xlfn.XLOOKUP(E218,'⑤项目数-B-a-③消耗明细表'!C:C,'⑤项目数-B-a-③消耗明细表'!G:G,0)</f>
        <v>50</v>
      </c>
      <c r="AA218" s="84">
        <f t="shared" si="52"/>
        <v>1</v>
      </c>
      <c r="AB218" s="84">
        <f t="shared" si="53"/>
        <v>1</v>
      </c>
      <c r="AC218" s="53">
        <f>_xlfn.XLOOKUP(F218,'⑥战队统计表-B-a-②呈现-业绩明细表④'!A:A,'⑥战队统计表-B-a-②呈现-业绩明细表④'!B:B,0)</f>
        <v>2</v>
      </c>
      <c r="AD218" s="53" t="str">
        <f t="shared" si="57"/>
        <v/>
      </c>
      <c r="AE218" s="59">
        <f>IF(AD218="",_xlfn.XLOOKUP(F218,'⑥战队统计表-B-a-②呈现-业绩明细表④'!A:A,'⑥战队统计表-B-a-②呈现-业绩明细表④'!D:D,0),0)</f>
        <v>0.06</v>
      </c>
      <c r="AF218" s="85">
        <f>IF(AND(E218="T区",E218="门店T区"),"",IF(AD218="",0,IF(R218="",LOOKUP(S218,'②提成标准-B-a-①-增加'!$B$16:$B$20,'②提成标准-B-a-①-增加'!$D$16:$D$20),LOOKUP(S218/Q218,'②提成标准-B-a-①-增加'!$B$23:$B$27,'②提成标准-B-a-①-增加'!$D$23:$D$27))))</f>
        <v>0</v>
      </c>
      <c r="AG218" s="85">
        <f t="shared" si="54"/>
        <v>0.06</v>
      </c>
      <c r="AH218" s="60">
        <f t="shared" si="61"/>
        <v>1722.3119999999999</v>
      </c>
      <c r="AI218" s="86">
        <f t="shared" si="62"/>
        <v>651.78359999999998</v>
      </c>
      <c r="AJ218" s="60">
        <f t="shared" si="58"/>
        <v>2374.0955999999996</v>
      </c>
      <c r="AK218" s="87">
        <f>IF(AB218=1,IFERROR(S218/VLOOKUP(F218,'⑥战队统计表-B-a-②呈现-业绩明细表④'!A:C,3,0),0),0)</f>
        <v>0.44350938550233615</v>
      </c>
      <c r="AL218" s="85" t="str">
        <f t="shared" si="59"/>
        <v/>
      </c>
      <c r="AM218" s="53" t="str">
        <f>IF(D218="顾问",_xlfn.XLOOKUP(F218,'⑥战队统计表-B-a-②呈现-业绩明细表④'!A:A,'⑥战队统计表-B-a-②呈现-业绩明细表④'!H:H,0),"")</f>
        <v/>
      </c>
      <c r="AN218" s="53" t="str">
        <f t="shared" si="55"/>
        <v>川师+卧虎藏龙队</v>
      </c>
    </row>
    <row r="219" spans="1:40" hidden="1" x14ac:dyDescent="0.15">
      <c r="A219" s="79" t="s">
        <v>428</v>
      </c>
      <c r="B219" s="80" t="s">
        <v>225</v>
      </c>
      <c r="C219" s="81" t="s">
        <v>36</v>
      </c>
      <c r="D219" s="82" t="s">
        <v>36</v>
      </c>
      <c r="E219" s="82" t="s">
        <v>36</v>
      </c>
      <c r="F219" s="53" t="str">
        <f t="shared" si="49"/>
        <v>川师+T区</v>
      </c>
      <c r="G219" s="53">
        <f>IFERROR(_xlfn.XLOOKUP(B219,'①门店信息-A-a-①-增加'!B:B,'①门店信息-A-a-①-增加'!E:E,0),"")</f>
        <v>0</v>
      </c>
      <c r="H219" s="54">
        <f>_xlfn.XLOOKUP(B219,'①门店信息-A-a-①-增加'!B:B,'①门店信息-A-a-①-增加'!F:F,0)</f>
        <v>0</v>
      </c>
      <c r="I219" s="55">
        <f>_xlfn.XLOOKUP(E219,'③新店考核-B-a-②呈现-业绩明细表-③'!B:B,'③新店考核-B-a-②呈现-业绩明细表-③'!E:E,0)</f>
        <v>0</v>
      </c>
      <c r="J219" s="54">
        <f>_xlfn.XLOOKUP(E219,'③新店考核-B-a-②呈现-业绩明细表-③'!B:B,'③新店考核-B-a-②呈现-业绩明细表-③'!F:F,0)</f>
        <v>0</v>
      </c>
      <c r="K219" s="55">
        <f>IF(H219="新店一阶段",LOOKUP(I219,'②提成标准-B-a-①-增加'!$M$9:$M$12,'②提成标准-B-a-①-增加'!$O$9:$O$12),0)</f>
        <v>0</v>
      </c>
      <c r="L219" s="56">
        <f t="shared" si="50"/>
        <v>0</v>
      </c>
      <c r="M219" s="57">
        <f>_xlfn.XLOOKUP(E219,'③新店考核-B-a-②呈现-业绩明细表-③'!B:B,'③新店考核-B-a-②呈现-业绩明细表-③'!G:G,0)</f>
        <v>0</v>
      </c>
      <c r="N219" s="58" t="str">
        <f>LOOKUP(M219,'②提成标准-B-a-①-增加'!$M$1:$M$4,'②提成标准-B-a-①-增加'!$O$1:$O$4)</f>
        <v>同老店</v>
      </c>
      <c r="O219" s="57">
        <f>_xlfn.XLOOKUP(E219,'③新店考核-B-a-②呈现-业绩明细表-③'!B:B,'③新店考核-B-a-②呈现-业绩明细表-③'!H:H,0)</f>
        <v>0</v>
      </c>
      <c r="P219" s="57">
        <f t="shared" si="51"/>
        <v>0</v>
      </c>
      <c r="Q219" s="53">
        <f>_xlfn.XLOOKUP(E219,'④考勤-B-a-26考勤汇总表'!D:D,'④考勤-B-a-26考勤汇总表'!AP:AP,0)</f>
        <v>0</v>
      </c>
      <c r="R219" s="53" t="str">
        <f t="shared" si="60"/>
        <v/>
      </c>
      <c r="S219" s="53">
        <f t="shared" si="56"/>
        <v>0</v>
      </c>
      <c r="T219" s="53">
        <v>0</v>
      </c>
      <c r="U219" s="53">
        <v>0</v>
      </c>
      <c r="V219" s="53">
        <v>0</v>
      </c>
      <c r="W219" s="53">
        <f>_xlfn.XLOOKUP(E219,'⑤项目数-B-a-③消耗明细表'!C:C,'⑤项目数-B-a-③消耗明细表'!E:E,0)</f>
        <v>0</v>
      </c>
      <c r="X219" s="53">
        <f>_xlfn.XLOOKUP(E219,'⑤项目数-B-a-③消耗明细表'!C:C,'⑤项目数-B-a-③消耗明细表'!D:D,0)</f>
        <v>0</v>
      </c>
      <c r="Y219" s="53">
        <f>_xlfn.XLOOKUP(E219,'⑤项目数-B-a-③消耗明细表'!C:C,'⑤项目数-B-a-③消耗明细表'!F:F,0)</f>
        <v>0</v>
      </c>
      <c r="Z219" s="53">
        <f>_xlfn.XLOOKUP(E219,'⑤项目数-B-a-③消耗明细表'!C:C,'⑤项目数-B-a-③消耗明细表'!G:G,0)</f>
        <v>0</v>
      </c>
      <c r="AA219" s="84" t="str">
        <f t="shared" si="52"/>
        <v>不属于战队</v>
      </c>
      <c r="AB219" s="84">
        <f t="shared" si="53"/>
        <v>0</v>
      </c>
      <c r="AC219" s="53">
        <f>_xlfn.XLOOKUP(F219,'⑥战队统计表-B-a-②呈现-业绩明细表④'!A:A,'⑥战队统计表-B-a-②呈现-业绩明细表④'!B:B,0)</f>
        <v>0</v>
      </c>
      <c r="AD219" s="53">
        <f t="shared" si="57"/>
        <v>1</v>
      </c>
      <c r="AE219" s="59">
        <f>IF(AD219="",_xlfn.XLOOKUP(F219,'⑥战队统计表-B-a-②呈现-业绩明细表④'!A:A,'⑥战队统计表-B-a-②呈现-业绩明细表④'!D:D,0),0)</f>
        <v>0</v>
      </c>
      <c r="AF219" s="85">
        <f>IF(AND(E219="T区",E219="门店T区"),"",IF(AD219="",0,IF(R219="",LOOKUP(S219,'②提成标准-B-a-①-增加'!$B$16:$B$20,'②提成标准-B-a-①-增加'!$D$16:$D$20),LOOKUP(S219/Q219,'②提成标准-B-a-①-增加'!$B$23:$B$27,'②提成标准-B-a-①-增加'!$D$23:$D$27))))</f>
        <v>0</v>
      </c>
      <c r="AG219" s="85">
        <f t="shared" si="54"/>
        <v>0</v>
      </c>
      <c r="AH219" s="60">
        <f t="shared" si="61"/>
        <v>0</v>
      </c>
      <c r="AI219" s="86">
        <f t="shared" si="62"/>
        <v>0</v>
      </c>
      <c r="AJ219" s="60">
        <f t="shared" si="58"/>
        <v>0</v>
      </c>
      <c r="AK219" s="87">
        <f>IF(AB219=1,IFERROR(S219/VLOOKUP(F219,'⑥战队统计表-B-a-②呈现-业绩明细表④'!A:C,3,0),0),0)</f>
        <v>0</v>
      </c>
      <c r="AL219" s="85" t="str">
        <f t="shared" si="59"/>
        <v/>
      </c>
      <c r="AM219" s="53" t="str">
        <f>IF(D219="顾问",_xlfn.XLOOKUP(F219,'⑥战队统计表-B-a-②呈现-业绩明细表④'!A:A,'⑥战队统计表-B-a-②呈现-业绩明细表④'!H:H,0),"")</f>
        <v/>
      </c>
      <c r="AN219" s="53" t="str">
        <f t="shared" si="55"/>
        <v>单人</v>
      </c>
    </row>
    <row r="220" spans="1:40" hidden="1" x14ac:dyDescent="0.15">
      <c r="A220" s="79" t="s">
        <v>428</v>
      </c>
      <c r="B220" s="80" t="s">
        <v>225</v>
      </c>
      <c r="C220" s="81" t="s">
        <v>40</v>
      </c>
      <c r="D220" s="82" t="s">
        <v>40</v>
      </c>
      <c r="E220" s="88" t="str">
        <f>F220</f>
        <v>川师+门店T区</v>
      </c>
      <c r="F220" s="53" t="str">
        <f t="shared" si="49"/>
        <v>川师+门店T区</v>
      </c>
      <c r="G220" s="53">
        <f>IFERROR(_xlfn.XLOOKUP(B220,'①门店信息-A-a-①-增加'!B:B,'①门店信息-A-a-①-增加'!E:E,0),"")</f>
        <v>0</v>
      </c>
      <c r="H220" s="54">
        <f>_xlfn.XLOOKUP(B220,'①门店信息-A-a-①-增加'!B:B,'①门店信息-A-a-①-增加'!F:F,0)</f>
        <v>0</v>
      </c>
      <c r="I220" s="55">
        <f>_xlfn.XLOOKUP(E220,'③新店考核-B-a-②呈现-业绩明细表-③'!B:B,'③新店考核-B-a-②呈现-业绩明细表-③'!E:E,0)</f>
        <v>0</v>
      </c>
      <c r="J220" s="54">
        <f>_xlfn.XLOOKUP(E220,'③新店考核-B-a-②呈现-业绩明细表-③'!B:B,'③新店考核-B-a-②呈现-业绩明细表-③'!F:F,0)</f>
        <v>0</v>
      </c>
      <c r="K220" s="55">
        <f>IF(H220="新店一阶段",LOOKUP(I220,'②提成标准-B-a-①-增加'!$M$9:$M$12,'②提成标准-B-a-①-增加'!$O$9:$O$12),0)</f>
        <v>0</v>
      </c>
      <c r="L220" s="56">
        <f t="shared" si="50"/>
        <v>0</v>
      </c>
      <c r="M220" s="57">
        <f>_xlfn.XLOOKUP(E220,'③新店考核-B-a-②呈现-业绩明细表-③'!B:B,'③新店考核-B-a-②呈现-业绩明细表-③'!G:G,0)</f>
        <v>0</v>
      </c>
      <c r="N220" s="58" t="str">
        <f>LOOKUP(M220,'②提成标准-B-a-①-增加'!$M$1:$M$4,'②提成标准-B-a-①-增加'!$O$1:$O$4)</f>
        <v>同老店</v>
      </c>
      <c r="O220" s="57">
        <f>_xlfn.XLOOKUP(E220,'③新店考核-B-a-②呈现-业绩明细表-③'!B:B,'③新店考核-B-a-②呈现-业绩明细表-③'!H:H,0)</f>
        <v>0</v>
      </c>
      <c r="P220" s="57">
        <f t="shared" si="51"/>
        <v>0</v>
      </c>
      <c r="Q220" s="53">
        <f>_xlfn.XLOOKUP(E220,'④考勤-B-a-26考勤汇总表'!D:D,'④考勤-B-a-26考勤汇总表'!AP:AP,0)</f>
        <v>0</v>
      </c>
      <c r="R220" s="53" t="str">
        <f t="shared" si="60"/>
        <v/>
      </c>
      <c r="S220" s="53">
        <f t="shared" si="56"/>
        <v>-199</v>
      </c>
      <c r="T220" s="53">
        <v>0</v>
      </c>
      <c r="U220" s="53">
        <v>-199</v>
      </c>
      <c r="V220" s="53">
        <v>0</v>
      </c>
      <c r="W220" s="53">
        <f>_xlfn.XLOOKUP(E220,'⑤项目数-B-a-③消耗明细表'!C:C,'⑤项目数-B-a-③消耗明细表'!E:E,0)</f>
        <v>0</v>
      </c>
      <c r="X220" s="53">
        <f>_xlfn.XLOOKUP(E220,'⑤项目数-B-a-③消耗明细表'!C:C,'⑤项目数-B-a-③消耗明细表'!D:D,0)</f>
        <v>0</v>
      </c>
      <c r="Y220" s="53">
        <f>_xlfn.XLOOKUP(E220,'⑤项目数-B-a-③消耗明细表'!C:C,'⑤项目数-B-a-③消耗明细表'!F:F,0)</f>
        <v>0</v>
      </c>
      <c r="Z220" s="53">
        <f>_xlfn.XLOOKUP(E220,'⑤项目数-B-a-③消耗明细表'!C:C,'⑤项目数-B-a-③消耗明细表'!G:G,0)</f>
        <v>0</v>
      </c>
      <c r="AA220" s="84">
        <f t="shared" si="52"/>
        <v>1</v>
      </c>
      <c r="AB220" s="84">
        <f t="shared" si="53"/>
        <v>0</v>
      </c>
      <c r="AC220" s="53">
        <f>_xlfn.XLOOKUP(F220,'⑥战队统计表-B-a-②呈现-业绩明细表④'!A:A,'⑥战队统计表-B-a-②呈现-业绩明细表④'!B:B,0)</f>
        <v>0</v>
      </c>
      <c r="AD220" s="53">
        <f t="shared" si="57"/>
        <v>1</v>
      </c>
      <c r="AE220" s="59">
        <f>IF(AD220="",_xlfn.XLOOKUP(F220,'⑥战队统计表-B-a-②呈现-业绩明细表④'!A:A,'⑥战队统计表-B-a-②呈现-业绩明细表④'!D:D,0),0)</f>
        <v>0</v>
      </c>
      <c r="AF220" s="85">
        <f>IF(AND(E220="T区",E220="门店T区"),"",IF(AD220="",0,IF(R220="",LOOKUP(S220,'②提成标准-B-a-①-增加'!$B$16:$B$20,'②提成标准-B-a-①-增加'!$D$16:$D$20),LOOKUP(S220/Q220,'②提成标准-B-a-①-增加'!$B$23:$B$27,'②提成标准-B-a-①-增加'!$D$23:$D$27))))</f>
        <v>0</v>
      </c>
      <c r="AG220" s="85">
        <f t="shared" si="54"/>
        <v>0</v>
      </c>
      <c r="AH220" s="60">
        <f t="shared" si="61"/>
        <v>0</v>
      </c>
      <c r="AI220" s="86">
        <f t="shared" si="62"/>
        <v>0</v>
      </c>
      <c r="AJ220" s="60">
        <f t="shared" si="58"/>
        <v>0</v>
      </c>
      <c r="AK220" s="87">
        <f>IF(AB220=1,IFERROR(S220/VLOOKUP(F220,'⑥战队统计表-B-a-②呈现-业绩明细表④'!A:C,3,0),0),0)</f>
        <v>0</v>
      </c>
      <c r="AL220" s="85" t="str">
        <f t="shared" si="59"/>
        <v/>
      </c>
      <c r="AM220" s="53" t="str">
        <f>IF(D220="顾问",_xlfn.XLOOKUP(F220,'⑥战队统计表-B-a-②呈现-业绩明细表④'!A:A,'⑥战队统计表-B-a-②呈现-业绩明细表④'!H:H,0),"")</f>
        <v/>
      </c>
      <c r="AN220" s="53" t="str">
        <f t="shared" si="55"/>
        <v>单人</v>
      </c>
    </row>
    <row r="221" spans="1:40" hidden="1" x14ac:dyDescent="0.15">
      <c r="A221" s="79" t="s">
        <v>428</v>
      </c>
      <c r="B221" s="80" t="s">
        <v>233</v>
      </c>
      <c r="C221" s="81" t="s">
        <v>31</v>
      </c>
      <c r="D221" s="82" t="s">
        <v>32</v>
      </c>
      <c r="E221" s="82" t="s">
        <v>234</v>
      </c>
      <c r="F221" s="53" t="str">
        <f t="shared" si="49"/>
        <v>明信+精英队</v>
      </c>
      <c r="G221" s="53">
        <f>IFERROR(_xlfn.XLOOKUP(B221,'①门店信息-A-a-①-增加'!B:B,'①门店信息-A-a-①-增加'!E:E,0),"")</f>
        <v>0</v>
      </c>
      <c r="H221" s="54">
        <f>_xlfn.XLOOKUP(B221,'①门店信息-A-a-①-增加'!B:B,'①门店信息-A-a-①-增加'!F:F,0)</f>
        <v>0</v>
      </c>
      <c r="I221" s="55">
        <f>_xlfn.XLOOKUP(E221,'③新店考核-B-a-②呈现-业绩明细表-③'!B:B,'③新店考核-B-a-②呈现-业绩明细表-③'!E:E,0)</f>
        <v>0</v>
      </c>
      <c r="J221" s="54">
        <f>_xlfn.XLOOKUP(E221,'③新店考核-B-a-②呈现-业绩明细表-③'!B:B,'③新店考核-B-a-②呈现-业绩明细表-③'!F:F,0)</f>
        <v>0</v>
      </c>
      <c r="K221" s="55">
        <f>IF(H221="新店一阶段",LOOKUP(I221,'②提成标准-B-a-①-增加'!$M$9:$M$12,'②提成标准-B-a-①-增加'!$O$9:$O$12),0)</f>
        <v>0</v>
      </c>
      <c r="L221" s="56">
        <f t="shared" si="50"/>
        <v>42992</v>
      </c>
      <c r="M221" s="57">
        <f>_xlfn.XLOOKUP(E221,'③新店考核-B-a-②呈现-业绩明细表-③'!B:B,'③新店考核-B-a-②呈现-业绩明细表-③'!G:G,0)</f>
        <v>0</v>
      </c>
      <c r="N221" s="58" t="str">
        <f>LOOKUP(M221,'②提成标准-B-a-①-增加'!$M$1:$M$4,'②提成标准-B-a-①-增加'!$O$1:$O$4)</f>
        <v>同老店</v>
      </c>
      <c r="O221" s="57">
        <f>_xlfn.XLOOKUP(E221,'③新店考核-B-a-②呈现-业绩明细表-③'!B:B,'③新店考核-B-a-②呈现-业绩明细表-③'!H:H,0)</f>
        <v>0</v>
      </c>
      <c r="P221" s="57">
        <f t="shared" si="51"/>
        <v>42992</v>
      </c>
      <c r="Q221" s="53">
        <f>_xlfn.XLOOKUP(E221,'④考勤-B-a-26考勤汇总表'!D:D,'④考勤-B-a-26考勤汇总表'!AP:AP,0)</f>
        <v>31</v>
      </c>
      <c r="R221" s="53" t="str">
        <f t="shared" si="60"/>
        <v/>
      </c>
      <c r="S221" s="53">
        <f t="shared" si="56"/>
        <v>44080</v>
      </c>
      <c r="T221" s="53">
        <v>42992</v>
      </c>
      <c r="U221" s="53">
        <v>200</v>
      </c>
      <c r="V221" s="53">
        <v>888</v>
      </c>
      <c r="W221" s="53">
        <f>_xlfn.XLOOKUP(E221,'⑤项目数-B-a-③消耗明细表'!C:C,'⑤项目数-B-a-③消耗明细表'!E:E,0)</f>
        <v>25735.17</v>
      </c>
      <c r="X221" s="53">
        <f>_xlfn.XLOOKUP(E221,'⑤项目数-B-a-③消耗明细表'!C:C,'⑤项目数-B-a-③消耗明细表'!D:D,0)</f>
        <v>140</v>
      </c>
      <c r="Y221" s="53">
        <f>_xlfn.XLOOKUP(E221,'⑤项目数-B-a-③消耗明细表'!C:C,'⑤项目数-B-a-③消耗明细表'!F:F,0)</f>
        <v>1889</v>
      </c>
      <c r="Z221" s="53">
        <f>_xlfn.XLOOKUP(E221,'⑤项目数-B-a-③消耗明细表'!C:C,'⑤项目数-B-a-③消耗明细表'!G:G,0)</f>
        <v>175</v>
      </c>
      <c r="AA221" s="84">
        <f t="shared" si="52"/>
        <v>1</v>
      </c>
      <c r="AB221" s="84">
        <f t="shared" si="53"/>
        <v>1</v>
      </c>
      <c r="AC221" s="53">
        <f>_xlfn.XLOOKUP(F221,'⑥战队统计表-B-a-②呈现-业绩明细表④'!A:A,'⑥战队统计表-B-a-②呈现-业绩明细表④'!B:B,0)</f>
        <v>2</v>
      </c>
      <c r="AD221" s="53" t="str">
        <f t="shared" si="57"/>
        <v/>
      </c>
      <c r="AE221" s="59">
        <f>IF(AD221="",_xlfn.XLOOKUP(F221,'⑥战队统计表-B-a-②呈现-业绩明细表④'!A:A,'⑥战队统计表-B-a-②呈现-业绩明细表④'!D:D,0),0)</f>
        <v>0.04</v>
      </c>
      <c r="AF221" s="85">
        <f>IF(AND(E221="T区",E221="门店T区"),"",IF(AD221="",0,IF(R221="",LOOKUP(S221,'②提成标准-B-a-①-增加'!$B$16:$B$20,'②提成标准-B-a-①-增加'!$D$16:$D$20),LOOKUP(S221/Q221,'②提成标准-B-a-①-增加'!$B$23:$B$27,'②提成标准-B-a-①-增加'!$D$23:$D$27))))</f>
        <v>0</v>
      </c>
      <c r="AG221" s="85">
        <f t="shared" si="54"/>
        <v>0.04</v>
      </c>
      <c r="AH221" s="60">
        <f t="shared" si="61"/>
        <v>1633.6959999999999</v>
      </c>
      <c r="AI221" s="86">
        <f t="shared" si="62"/>
        <v>4.9399999999999995</v>
      </c>
      <c r="AJ221" s="60">
        <f t="shared" si="58"/>
        <v>1638.636</v>
      </c>
      <c r="AK221" s="87">
        <f>IF(AB221=1,IFERROR(S221/VLOOKUP(F221,'⑥战队统计表-B-a-②呈现-业绩明细表④'!A:C,3,0),0),0)</f>
        <v>0.81187608207168382</v>
      </c>
      <c r="AL221" s="85">
        <f t="shared" si="59"/>
        <v>0.1881239179283162</v>
      </c>
      <c r="AM221" s="53">
        <f>IF(D221="顾问",_xlfn.XLOOKUP(F221,'⑥战队统计表-B-a-②呈现-业绩明细表④'!A:A,'⑥战队统计表-B-a-②呈现-业绩明细表④'!H:H,0),"")</f>
        <v>0</v>
      </c>
      <c r="AN221" s="53" t="str">
        <f t="shared" si="55"/>
        <v>明信+精英队</v>
      </c>
    </row>
    <row r="222" spans="1:40" hidden="1" x14ac:dyDescent="0.15">
      <c r="A222" s="79" t="s">
        <v>428</v>
      </c>
      <c r="B222" s="80" t="s">
        <v>233</v>
      </c>
      <c r="C222" s="81" t="s">
        <v>31</v>
      </c>
      <c r="D222" s="82" t="s">
        <v>6</v>
      </c>
      <c r="E222" s="82" t="s">
        <v>439</v>
      </c>
      <c r="F222" s="53" t="str">
        <f t="shared" si="49"/>
        <v>明信+精英队</v>
      </c>
      <c r="G222" s="53">
        <f>IFERROR(_xlfn.XLOOKUP(B222,'①门店信息-A-a-①-增加'!B:B,'①门店信息-A-a-①-增加'!E:E,0),"")</f>
        <v>0</v>
      </c>
      <c r="H222" s="54">
        <f>_xlfn.XLOOKUP(B222,'①门店信息-A-a-①-增加'!B:B,'①门店信息-A-a-①-增加'!F:F,0)</f>
        <v>0</v>
      </c>
      <c r="I222" s="55">
        <f>_xlfn.XLOOKUP(E222,'③新店考核-B-a-②呈现-业绩明细表-③'!B:B,'③新店考核-B-a-②呈现-业绩明细表-③'!E:E,0)</f>
        <v>0</v>
      </c>
      <c r="J222" s="54">
        <f>_xlfn.XLOOKUP(E222,'③新店考核-B-a-②呈现-业绩明细表-③'!B:B,'③新店考核-B-a-②呈现-业绩明细表-③'!F:F,0)</f>
        <v>0</v>
      </c>
      <c r="K222" s="55">
        <f>IF(H222="新店一阶段",LOOKUP(I222,'②提成标准-B-a-①-增加'!$M$9:$M$12,'②提成标准-B-a-①-增加'!$O$9:$O$12),0)</f>
        <v>0</v>
      </c>
      <c r="L222" s="56">
        <f t="shared" si="50"/>
        <v>5838</v>
      </c>
      <c r="M222" s="57">
        <f>_xlfn.XLOOKUP(E222,'③新店考核-B-a-②呈现-业绩明细表-③'!B:B,'③新店考核-B-a-②呈现-业绩明细表-③'!G:G,0)</f>
        <v>0</v>
      </c>
      <c r="N222" s="58" t="str">
        <f>LOOKUP(M222,'②提成标准-B-a-①-增加'!$M$1:$M$4,'②提成标准-B-a-①-增加'!$O$1:$O$4)</f>
        <v>同老店</v>
      </c>
      <c r="O222" s="57">
        <f>_xlfn.XLOOKUP(E222,'③新店考核-B-a-②呈现-业绩明细表-③'!B:B,'③新店考核-B-a-②呈现-业绩明细表-③'!H:H,0)</f>
        <v>0</v>
      </c>
      <c r="P222" s="57">
        <f t="shared" si="51"/>
        <v>5838</v>
      </c>
      <c r="Q222" s="53">
        <f>_xlfn.XLOOKUP(E222,'④考勤-B-a-26考勤汇总表'!D:D,'④考勤-B-a-26考勤汇总表'!AP:AP,0)</f>
        <v>13</v>
      </c>
      <c r="R222" s="53" t="str">
        <f t="shared" si="60"/>
        <v>不足月</v>
      </c>
      <c r="S222" s="53">
        <f t="shared" si="56"/>
        <v>5838</v>
      </c>
      <c r="T222" s="53">
        <v>5838</v>
      </c>
      <c r="U222" s="53">
        <v>0</v>
      </c>
      <c r="V222" s="53">
        <v>0</v>
      </c>
      <c r="W222" s="53">
        <f>_xlfn.XLOOKUP(E222,'⑤项目数-B-a-③消耗明细表'!C:C,'⑤项目数-B-a-③消耗明细表'!E:E,0)</f>
        <v>2543.87</v>
      </c>
      <c r="X222" s="53">
        <f>_xlfn.XLOOKUP(E222,'⑤项目数-B-a-③消耗明细表'!C:C,'⑤项目数-B-a-③消耗明细表'!D:D,0)</f>
        <v>39</v>
      </c>
      <c r="Y222" s="53">
        <f>_xlfn.XLOOKUP(E222,'⑤项目数-B-a-③消耗明细表'!C:C,'⑤项目数-B-a-③消耗明细表'!F:F,0)</f>
        <v>536</v>
      </c>
      <c r="Z222" s="53">
        <f>_xlfn.XLOOKUP(E222,'⑤项目数-B-a-③消耗明细表'!C:C,'⑤项目数-B-a-③消耗明细表'!G:G,0)</f>
        <v>0</v>
      </c>
      <c r="AA222" s="84">
        <f t="shared" si="52"/>
        <v>1</v>
      </c>
      <c r="AB222" s="84">
        <f t="shared" si="53"/>
        <v>0</v>
      </c>
      <c r="AC222" s="53">
        <f>_xlfn.XLOOKUP(F222,'⑥战队统计表-B-a-②呈现-业绩明细表④'!A:A,'⑥战队统计表-B-a-②呈现-业绩明细表④'!B:B,0)</f>
        <v>2</v>
      </c>
      <c r="AD222" s="53">
        <f t="shared" si="57"/>
        <v>1</v>
      </c>
      <c r="AE222" s="59">
        <f>IF(AD222="",_xlfn.XLOOKUP(F222,'⑥战队统计表-B-a-②呈现-业绩明细表④'!A:A,'⑥战队统计表-B-a-②呈现-业绩明细表④'!D:D,0),0)</f>
        <v>0</v>
      </c>
      <c r="AF222" s="85">
        <f>IF(AND(E222="T区",E222="门店T区"),"",IF(AD222="",0,IF(R222="",LOOKUP(S222,'②提成标准-B-a-①-增加'!$B$16:$B$20,'②提成标准-B-a-①-增加'!$D$16:$D$20),LOOKUP(S222/Q222,'②提成标准-B-a-①-增加'!$B$23:$B$27,'②提成标准-B-a-①-增加'!$D$23:$D$27))))</f>
        <v>0.03</v>
      </c>
      <c r="AG222" s="85">
        <f t="shared" si="54"/>
        <v>0.03</v>
      </c>
      <c r="AH222" s="60">
        <f t="shared" si="61"/>
        <v>166.38299999999998</v>
      </c>
      <c r="AI222" s="86">
        <f t="shared" si="62"/>
        <v>0</v>
      </c>
      <c r="AJ222" s="60">
        <f t="shared" si="58"/>
        <v>166.38299999999998</v>
      </c>
      <c r="AK222" s="87">
        <f>IF(AB222=1,IFERROR(S222/VLOOKUP(F222,'⑥战队统计表-B-a-②呈现-业绩明细表④'!A:C,3,0),0),0)</f>
        <v>0</v>
      </c>
      <c r="AL222" s="85" t="str">
        <f t="shared" si="59"/>
        <v/>
      </c>
      <c r="AM222" s="53" t="str">
        <f>IF(D222="顾问",_xlfn.XLOOKUP(F222,'⑥战队统计表-B-a-②呈现-业绩明细表④'!A:A,'⑥战队统计表-B-a-②呈现-业绩明细表④'!H:H,0),"")</f>
        <v/>
      </c>
      <c r="AN222" s="53" t="str">
        <f t="shared" si="55"/>
        <v>单人</v>
      </c>
    </row>
    <row r="223" spans="1:40" hidden="1" x14ac:dyDescent="0.15">
      <c r="A223" s="79" t="s">
        <v>428</v>
      </c>
      <c r="B223" s="80" t="s">
        <v>233</v>
      </c>
      <c r="C223" s="81" t="s">
        <v>31</v>
      </c>
      <c r="D223" s="82" t="s">
        <v>6</v>
      </c>
      <c r="E223" s="82" t="s">
        <v>237</v>
      </c>
      <c r="F223" s="53" t="str">
        <f t="shared" si="49"/>
        <v>明信+精英队</v>
      </c>
      <c r="G223" s="53">
        <f>IFERROR(_xlfn.XLOOKUP(B223,'①门店信息-A-a-①-增加'!B:B,'①门店信息-A-a-①-增加'!E:E,0),"")</f>
        <v>0</v>
      </c>
      <c r="H223" s="54">
        <f>_xlfn.XLOOKUP(B223,'①门店信息-A-a-①-增加'!B:B,'①门店信息-A-a-①-增加'!F:F,0)</f>
        <v>0</v>
      </c>
      <c r="I223" s="55">
        <f>_xlfn.XLOOKUP(E223,'③新店考核-B-a-②呈现-业绩明细表-③'!B:B,'③新店考核-B-a-②呈现-业绩明细表-③'!E:E,0)</f>
        <v>0</v>
      </c>
      <c r="J223" s="54">
        <f>_xlfn.XLOOKUP(E223,'③新店考核-B-a-②呈现-业绩明细表-③'!B:B,'③新店考核-B-a-②呈现-业绩明细表-③'!F:F,0)</f>
        <v>0</v>
      </c>
      <c r="K223" s="55">
        <f>IF(H223="新店一阶段",LOOKUP(I223,'②提成标准-B-a-①-增加'!$M$9:$M$12,'②提成标准-B-a-①-增加'!$O$9:$O$12),0)</f>
        <v>0</v>
      </c>
      <c r="L223" s="56">
        <f t="shared" si="50"/>
        <v>10214</v>
      </c>
      <c r="M223" s="57">
        <f>_xlfn.XLOOKUP(E223,'③新店考核-B-a-②呈现-业绩明细表-③'!B:B,'③新店考核-B-a-②呈现-业绩明细表-③'!G:G,0)</f>
        <v>0</v>
      </c>
      <c r="N223" s="58" t="str">
        <f>LOOKUP(M223,'②提成标准-B-a-①-增加'!$M$1:$M$4,'②提成标准-B-a-①-增加'!$O$1:$O$4)</f>
        <v>同老店</v>
      </c>
      <c r="O223" s="57">
        <f>_xlfn.XLOOKUP(E223,'③新店考核-B-a-②呈现-业绩明细表-③'!B:B,'③新店考核-B-a-②呈现-业绩明细表-③'!H:H,0)</f>
        <v>0</v>
      </c>
      <c r="P223" s="57">
        <f t="shared" si="51"/>
        <v>10214</v>
      </c>
      <c r="Q223" s="53">
        <f>_xlfn.XLOOKUP(E223,'④考勤-B-a-26考勤汇总表'!D:D,'④考勤-B-a-26考勤汇总表'!AP:AP,0)</f>
        <v>30</v>
      </c>
      <c r="R223" s="53" t="str">
        <f t="shared" si="60"/>
        <v>不足月</v>
      </c>
      <c r="S223" s="53">
        <f t="shared" si="56"/>
        <v>10214</v>
      </c>
      <c r="T223" s="53">
        <v>10214</v>
      </c>
      <c r="U223" s="53">
        <v>0</v>
      </c>
      <c r="V223" s="53">
        <v>0</v>
      </c>
      <c r="W223" s="53">
        <f>_xlfn.XLOOKUP(E223,'⑤项目数-B-a-③消耗明细表'!C:C,'⑤项目数-B-a-③消耗明细表'!E:E,0)</f>
        <v>4125.03</v>
      </c>
      <c r="X223" s="53">
        <f>_xlfn.XLOOKUP(E223,'⑤项目数-B-a-③消耗明细表'!C:C,'⑤项目数-B-a-③消耗明细表'!D:D,0)</f>
        <v>76</v>
      </c>
      <c r="Y223" s="53">
        <f>_xlfn.XLOOKUP(E223,'⑤项目数-B-a-③消耗明细表'!C:C,'⑤项目数-B-a-③消耗明细表'!F:F,0)</f>
        <v>1064</v>
      </c>
      <c r="Z223" s="53">
        <f>_xlfn.XLOOKUP(E223,'⑤项目数-B-a-③消耗明细表'!C:C,'⑤项目数-B-a-③消耗明细表'!G:G,0)</f>
        <v>0</v>
      </c>
      <c r="AA223" s="84">
        <f t="shared" si="52"/>
        <v>1</v>
      </c>
      <c r="AB223" s="84">
        <f t="shared" si="53"/>
        <v>1</v>
      </c>
      <c r="AC223" s="53">
        <f>_xlfn.XLOOKUP(F223,'⑥战队统计表-B-a-②呈现-业绩明细表④'!A:A,'⑥战队统计表-B-a-②呈现-业绩明细表④'!B:B,0)</f>
        <v>2</v>
      </c>
      <c r="AD223" s="53" t="str">
        <f t="shared" si="57"/>
        <v/>
      </c>
      <c r="AE223" s="59">
        <f>IF(AD223="",_xlfn.XLOOKUP(F223,'⑥战队统计表-B-a-②呈现-业绩明细表④'!A:A,'⑥战队统计表-B-a-②呈现-业绩明细表④'!D:D,0),0)</f>
        <v>0.04</v>
      </c>
      <c r="AF223" s="85">
        <f>IF(AND(E223="T区",E223="门店T区"),"",IF(AD223="",0,IF(R223="",LOOKUP(S223,'②提成标准-B-a-①-增加'!$B$16:$B$20,'②提成标准-B-a-①-增加'!$D$16:$D$20),LOOKUP(S223/Q223,'②提成标准-B-a-①-增加'!$B$23:$B$27,'②提成标准-B-a-①-增加'!$D$23:$D$27))))</f>
        <v>0</v>
      </c>
      <c r="AG223" s="85">
        <f t="shared" si="54"/>
        <v>0.04</v>
      </c>
      <c r="AH223" s="60">
        <f t="shared" si="61"/>
        <v>388.13200000000001</v>
      </c>
      <c r="AI223" s="86">
        <f t="shared" si="62"/>
        <v>0</v>
      </c>
      <c r="AJ223" s="60">
        <f t="shared" si="58"/>
        <v>388.13200000000001</v>
      </c>
      <c r="AK223" s="87">
        <f>IF(AB223=1,IFERROR(S223/VLOOKUP(F223,'⑥战队统计表-B-a-②呈现-业绩明细表④'!A:C,3,0),0),0)</f>
        <v>0.1881239179283162</v>
      </c>
      <c r="AL223" s="85" t="str">
        <f t="shared" si="59"/>
        <v/>
      </c>
      <c r="AM223" s="53" t="str">
        <f>IF(D223="顾问",_xlfn.XLOOKUP(F223,'⑥战队统计表-B-a-②呈现-业绩明细表④'!A:A,'⑥战队统计表-B-a-②呈现-业绩明细表④'!H:H,0),"")</f>
        <v/>
      </c>
      <c r="AN223" s="53" t="str">
        <f t="shared" si="55"/>
        <v>明信+精英队</v>
      </c>
    </row>
    <row r="224" spans="1:40" hidden="1" x14ac:dyDescent="0.15">
      <c r="A224" s="79" t="s">
        <v>428</v>
      </c>
      <c r="B224" s="80" t="s">
        <v>233</v>
      </c>
      <c r="C224" s="89" t="s">
        <v>36</v>
      </c>
      <c r="D224" s="90" t="s">
        <v>36</v>
      </c>
      <c r="E224" s="90" t="s">
        <v>36</v>
      </c>
      <c r="F224" s="53" t="str">
        <f t="shared" si="49"/>
        <v>明信+T区</v>
      </c>
      <c r="G224" s="53">
        <f>IFERROR(_xlfn.XLOOKUP(B224,'①门店信息-A-a-①-增加'!B:B,'①门店信息-A-a-①-增加'!E:E,0),"")</f>
        <v>0</v>
      </c>
      <c r="H224" s="54">
        <f>_xlfn.XLOOKUP(B224,'①门店信息-A-a-①-增加'!B:B,'①门店信息-A-a-①-增加'!F:F,0)</f>
        <v>0</v>
      </c>
      <c r="I224" s="55">
        <f>_xlfn.XLOOKUP(E224,'③新店考核-B-a-②呈现-业绩明细表-③'!B:B,'③新店考核-B-a-②呈现-业绩明细表-③'!E:E,0)</f>
        <v>0</v>
      </c>
      <c r="J224" s="54">
        <f>_xlfn.XLOOKUP(E224,'③新店考核-B-a-②呈现-业绩明细表-③'!B:B,'③新店考核-B-a-②呈现-业绩明细表-③'!F:F,0)</f>
        <v>0</v>
      </c>
      <c r="K224" s="55">
        <f>IF(H224="新店一阶段",LOOKUP(I224,'②提成标准-B-a-①-增加'!$M$9:$M$12,'②提成标准-B-a-①-增加'!$O$9:$O$12),0)</f>
        <v>0</v>
      </c>
      <c r="L224" s="56">
        <f t="shared" si="50"/>
        <v>0</v>
      </c>
      <c r="M224" s="57">
        <f>_xlfn.XLOOKUP(E224,'③新店考核-B-a-②呈现-业绩明细表-③'!B:B,'③新店考核-B-a-②呈现-业绩明细表-③'!G:G,0)</f>
        <v>0</v>
      </c>
      <c r="N224" s="58" t="str">
        <f>LOOKUP(M224,'②提成标准-B-a-①-增加'!$M$1:$M$4,'②提成标准-B-a-①-增加'!$O$1:$O$4)</f>
        <v>同老店</v>
      </c>
      <c r="O224" s="57">
        <f>_xlfn.XLOOKUP(E224,'③新店考核-B-a-②呈现-业绩明细表-③'!B:B,'③新店考核-B-a-②呈现-业绩明细表-③'!H:H,0)</f>
        <v>0</v>
      </c>
      <c r="P224" s="57">
        <f t="shared" si="51"/>
        <v>0</v>
      </c>
      <c r="Q224" s="53">
        <f>_xlfn.XLOOKUP(E224,'④考勤-B-a-26考勤汇总表'!D:D,'④考勤-B-a-26考勤汇总表'!AP:AP,0)</f>
        <v>0</v>
      </c>
      <c r="R224" s="53" t="str">
        <f t="shared" si="60"/>
        <v/>
      </c>
      <c r="S224" s="53">
        <f t="shared" si="56"/>
        <v>0</v>
      </c>
      <c r="T224" s="53">
        <v>0</v>
      </c>
      <c r="U224" s="53">
        <v>0</v>
      </c>
      <c r="V224" s="53">
        <v>0</v>
      </c>
      <c r="W224" s="53">
        <f>_xlfn.XLOOKUP(E224,'⑤项目数-B-a-③消耗明细表'!C:C,'⑤项目数-B-a-③消耗明细表'!E:E,0)</f>
        <v>0</v>
      </c>
      <c r="X224" s="53">
        <f>_xlfn.XLOOKUP(E224,'⑤项目数-B-a-③消耗明细表'!C:C,'⑤项目数-B-a-③消耗明细表'!D:D,0)</f>
        <v>0</v>
      </c>
      <c r="Y224" s="53">
        <f>_xlfn.XLOOKUP(E224,'⑤项目数-B-a-③消耗明细表'!C:C,'⑤项目数-B-a-③消耗明细表'!F:F,0)</f>
        <v>0</v>
      </c>
      <c r="Z224" s="53">
        <f>_xlfn.XLOOKUP(E224,'⑤项目数-B-a-③消耗明细表'!C:C,'⑤项目数-B-a-③消耗明细表'!G:G,0)</f>
        <v>0</v>
      </c>
      <c r="AA224" s="84" t="str">
        <f t="shared" si="52"/>
        <v>不属于战队</v>
      </c>
      <c r="AB224" s="84">
        <f t="shared" si="53"/>
        <v>0</v>
      </c>
      <c r="AC224" s="53">
        <f>_xlfn.XLOOKUP(F224,'⑥战队统计表-B-a-②呈现-业绩明细表④'!A:A,'⑥战队统计表-B-a-②呈现-业绩明细表④'!B:B,0)</f>
        <v>0</v>
      </c>
      <c r="AD224" s="53">
        <f t="shared" si="57"/>
        <v>1</v>
      </c>
      <c r="AE224" s="59">
        <f>IF(AD224="",_xlfn.XLOOKUP(F224,'⑥战队统计表-B-a-②呈现-业绩明细表④'!A:A,'⑥战队统计表-B-a-②呈现-业绩明细表④'!D:D,0),0)</f>
        <v>0</v>
      </c>
      <c r="AF224" s="85">
        <f>IF(AND(E224="T区",E224="门店T区"),"",IF(AD224="",0,IF(R224="",LOOKUP(S224,'②提成标准-B-a-①-增加'!$B$16:$B$20,'②提成标准-B-a-①-增加'!$D$16:$D$20),LOOKUP(S224/Q224,'②提成标准-B-a-①-增加'!$B$23:$B$27,'②提成标准-B-a-①-增加'!$D$23:$D$27))))</f>
        <v>0</v>
      </c>
      <c r="AG224" s="85">
        <f t="shared" si="54"/>
        <v>0</v>
      </c>
      <c r="AH224" s="60">
        <f t="shared" si="61"/>
        <v>0</v>
      </c>
      <c r="AI224" s="86">
        <f t="shared" si="62"/>
        <v>0</v>
      </c>
      <c r="AJ224" s="60">
        <f t="shared" si="58"/>
        <v>0</v>
      </c>
      <c r="AK224" s="87">
        <f>IF(AB224=1,IFERROR(S224/VLOOKUP(F224,'⑥战队统计表-B-a-②呈现-业绩明细表④'!A:C,3,0),0),0)</f>
        <v>0</v>
      </c>
      <c r="AL224" s="85" t="str">
        <f t="shared" si="59"/>
        <v/>
      </c>
      <c r="AM224" s="53" t="str">
        <f>IF(D224="顾问",_xlfn.XLOOKUP(F224,'⑥战队统计表-B-a-②呈现-业绩明细表④'!A:A,'⑥战队统计表-B-a-②呈现-业绩明细表④'!H:H,0),"")</f>
        <v/>
      </c>
      <c r="AN224" s="53" t="str">
        <f t="shared" si="55"/>
        <v>单人</v>
      </c>
    </row>
    <row r="225" spans="1:40" hidden="1" x14ac:dyDescent="0.15">
      <c r="A225" s="79" t="s">
        <v>428</v>
      </c>
      <c r="B225" s="80" t="s">
        <v>233</v>
      </c>
      <c r="C225" s="81" t="s">
        <v>50</v>
      </c>
      <c r="D225" s="82" t="s">
        <v>6</v>
      </c>
      <c r="E225" s="82" t="s">
        <v>236</v>
      </c>
      <c r="F225" s="53" t="str">
        <f t="shared" si="49"/>
        <v>明信+单人</v>
      </c>
      <c r="G225" s="53">
        <f>IFERROR(_xlfn.XLOOKUP(B225,'①门店信息-A-a-①-增加'!B:B,'①门店信息-A-a-①-增加'!E:E,0),"")</f>
        <v>0</v>
      </c>
      <c r="H225" s="54">
        <f>_xlfn.XLOOKUP(B225,'①门店信息-A-a-①-增加'!B:B,'①门店信息-A-a-①-增加'!F:F,0)</f>
        <v>0</v>
      </c>
      <c r="I225" s="55">
        <f>_xlfn.XLOOKUP(E225,'③新店考核-B-a-②呈现-业绩明细表-③'!B:B,'③新店考核-B-a-②呈现-业绩明细表-③'!E:E,0)</f>
        <v>0</v>
      </c>
      <c r="J225" s="54">
        <f>_xlfn.XLOOKUP(E225,'③新店考核-B-a-②呈现-业绩明细表-③'!B:B,'③新店考核-B-a-②呈现-业绩明细表-③'!F:F,0)</f>
        <v>0</v>
      </c>
      <c r="K225" s="55">
        <f>IF(H225="新店一阶段",LOOKUP(I225,'②提成标准-B-a-①-增加'!$M$9:$M$12,'②提成标准-B-a-①-增加'!$O$9:$O$12),0)</f>
        <v>0</v>
      </c>
      <c r="L225" s="56">
        <f t="shared" si="50"/>
        <v>29169</v>
      </c>
      <c r="M225" s="57">
        <f>_xlfn.XLOOKUP(E225,'③新店考核-B-a-②呈现-业绩明细表-③'!B:B,'③新店考核-B-a-②呈现-业绩明细表-③'!G:G,0)</f>
        <v>0</v>
      </c>
      <c r="N225" s="58" t="str">
        <f>LOOKUP(M225,'②提成标准-B-a-①-增加'!$M$1:$M$4,'②提成标准-B-a-①-增加'!$O$1:$O$4)</f>
        <v>同老店</v>
      </c>
      <c r="O225" s="57">
        <f>_xlfn.XLOOKUP(E225,'③新店考核-B-a-②呈现-业绩明细表-③'!B:B,'③新店考核-B-a-②呈现-业绩明细表-③'!H:H,0)</f>
        <v>0</v>
      </c>
      <c r="P225" s="57">
        <f t="shared" si="51"/>
        <v>29169</v>
      </c>
      <c r="Q225" s="53">
        <f>_xlfn.XLOOKUP(E225,'④考勤-B-a-26考勤汇总表'!D:D,'④考勤-B-a-26考勤汇总表'!AP:AP,0)</f>
        <v>31</v>
      </c>
      <c r="R225" s="53" t="str">
        <f t="shared" si="60"/>
        <v/>
      </c>
      <c r="S225" s="53">
        <f t="shared" si="56"/>
        <v>30057</v>
      </c>
      <c r="T225" s="53">
        <v>29169</v>
      </c>
      <c r="U225" s="53">
        <v>0</v>
      </c>
      <c r="V225" s="53">
        <v>888</v>
      </c>
      <c r="W225" s="53">
        <f>_xlfn.XLOOKUP(E225,'⑤项目数-B-a-③消耗明细表'!C:C,'⑤项目数-B-a-③消耗明细表'!E:E,0)</f>
        <v>11864.38</v>
      </c>
      <c r="X225" s="53">
        <f>_xlfn.XLOOKUP(E225,'⑤项目数-B-a-③消耗明细表'!C:C,'⑤项目数-B-a-③消耗明细表'!D:D,0)</f>
        <v>109.5</v>
      </c>
      <c r="Y225" s="53">
        <f>_xlfn.XLOOKUP(E225,'⑤项目数-B-a-③消耗明细表'!C:C,'⑤项目数-B-a-③消耗明细表'!F:F,0)</f>
        <v>1467</v>
      </c>
      <c r="Z225" s="53">
        <f>_xlfn.XLOOKUP(E225,'⑤项目数-B-a-③消耗明细表'!C:C,'⑤项目数-B-a-③消耗明细表'!G:G,0)</f>
        <v>85</v>
      </c>
      <c r="AA225" s="84" t="str">
        <f t="shared" si="52"/>
        <v>单人</v>
      </c>
      <c r="AB225" s="84">
        <f t="shared" si="53"/>
        <v>0</v>
      </c>
      <c r="AC225" s="53">
        <f>_xlfn.XLOOKUP(F225,'⑥战队统计表-B-a-②呈现-业绩明细表④'!A:A,'⑥战队统计表-B-a-②呈现-业绩明细表④'!B:B,0)</f>
        <v>0</v>
      </c>
      <c r="AD225" s="53">
        <f t="shared" si="57"/>
        <v>1</v>
      </c>
      <c r="AE225" s="59">
        <f>IF(AD225="",_xlfn.XLOOKUP(F225,'⑥战队统计表-B-a-②呈现-业绩明细表④'!A:A,'⑥战队统计表-B-a-②呈现-业绩明细表④'!D:D,0),0)</f>
        <v>0</v>
      </c>
      <c r="AF225" s="85">
        <f>IF(AND(E225="T区",E225="门店T区"),"",IF(AD225="",0,IF(R225="",LOOKUP(S225,'②提成标准-B-a-①-增加'!$B$16:$B$20,'②提成标准-B-a-①-增加'!$D$16:$D$20),LOOKUP(S225/Q225,'②提成标准-B-a-①-增加'!$B$23:$B$27,'②提成标准-B-a-①-增加'!$D$23:$D$27))))</f>
        <v>0.04</v>
      </c>
      <c r="AG225" s="85">
        <f t="shared" si="54"/>
        <v>0.04</v>
      </c>
      <c r="AH225" s="60">
        <f t="shared" si="61"/>
        <v>1108.422</v>
      </c>
      <c r="AI225" s="86">
        <f t="shared" si="62"/>
        <v>0</v>
      </c>
      <c r="AJ225" s="60">
        <f t="shared" si="58"/>
        <v>1108.422</v>
      </c>
      <c r="AK225" s="87">
        <f>IF(AB225=1,IFERROR(S225/VLOOKUP(F225,'⑥战队统计表-B-a-②呈现-业绩明细表④'!A:C,3,0),0),0)</f>
        <v>0</v>
      </c>
      <c r="AL225" s="85" t="str">
        <f t="shared" si="59"/>
        <v/>
      </c>
      <c r="AM225" s="53" t="str">
        <f>IF(D225="顾问",_xlfn.XLOOKUP(F225,'⑥战队统计表-B-a-②呈现-业绩明细表④'!A:A,'⑥战队统计表-B-a-②呈现-业绩明细表④'!H:H,0),"")</f>
        <v/>
      </c>
      <c r="AN225" s="53" t="str">
        <f t="shared" si="55"/>
        <v>单人</v>
      </c>
    </row>
    <row r="226" spans="1:40" hidden="1" x14ac:dyDescent="0.15">
      <c r="A226" s="79" t="s">
        <v>428</v>
      </c>
      <c r="B226" s="80" t="s">
        <v>233</v>
      </c>
      <c r="C226" s="81" t="s">
        <v>50</v>
      </c>
      <c r="D226" s="82" t="s">
        <v>6</v>
      </c>
      <c r="E226" s="82" t="s">
        <v>235</v>
      </c>
      <c r="F226" s="53" t="str">
        <f t="shared" si="49"/>
        <v>明信+单人</v>
      </c>
      <c r="G226" s="53">
        <f>IFERROR(_xlfn.XLOOKUP(B226,'①门店信息-A-a-①-增加'!B:B,'①门店信息-A-a-①-增加'!E:E,0),"")</f>
        <v>0</v>
      </c>
      <c r="H226" s="54">
        <f>_xlfn.XLOOKUP(B226,'①门店信息-A-a-①-增加'!B:B,'①门店信息-A-a-①-增加'!F:F,0)</f>
        <v>0</v>
      </c>
      <c r="I226" s="55">
        <f>_xlfn.XLOOKUP(E226,'③新店考核-B-a-②呈现-业绩明细表-③'!B:B,'③新店考核-B-a-②呈现-业绩明细表-③'!E:E,0)</f>
        <v>0</v>
      </c>
      <c r="J226" s="54">
        <f>_xlfn.XLOOKUP(E226,'③新店考核-B-a-②呈现-业绩明细表-③'!B:B,'③新店考核-B-a-②呈现-业绩明细表-③'!F:F,0)</f>
        <v>0</v>
      </c>
      <c r="K226" s="55">
        <f>IF(H226="新店一阶段",LOOKUP(I226,'②提成标准-B-a-①-增加'!$M$9:$M$12,'②提成标准-B-a-①-增加'!$O$9:$O$12),0)</f>
        <v>0</v>
      </c>
      <c r="L226" s="56">
        <f t="shared" si="50"/>
        <v>198</v>
      </c>
      <c r="M226" s="57">
        <f>_xlfn.XLOOKUP(E226,'③新店考核-B-a-②呈现-业绩明细表-③'!B:B,'③新店考核-B-a-②呈现-业绩明细表-③'!G:G,0)</f>
        <v>0</v>
      </c>
      <c r="N226" s="58" t="str">
        <f>LOOKUP(M226,'②提成标准-B-a-①-增加'!$M$1:$M$4,'②提成标准-B-a-①-增加'!$O$1:$O$4)</f>
        <v>同老店</v>
      </c>
      <c r="O226" s="57">
        <f>_xlfn.XLOOKUP(E226,'③新店考核-B-a-②呈现-业绩明细表-③'!B:B,'③新店考核-B-a-②呈现-业绩明细表-③'!H:H,0)</f>
        <v>0</v>
      </c>
      <c r="P226" s="57">
        <f t="shared" si="51"/>
        <v>198</v>
      </c>
      <c r="Q226" s="53">
        <f>_xlfn.XLOOKUP(E226,'④考勤-B-a-26考勤汇总表'!D:D,'④考勤-B-a-26考勤汇总表'!AP:AP,0)</f>
        <v>19</v>
      </c>
      <c r="R226" s="53" t="str">
        <f t="shared" si="60"/>
        <v>不足月</v>
      </c>
      <c r="S226" s="53">
        <f t="shared" si="56"/>
        <v>198</v>
      </c>
      <c r="T226" s="53">
        <v>198</v>
      </c>
      <c r="U226" s="53">
        <v>0</v>
      </c>
      <c r="V226" s="53">
        <v>0</v>
      </c>
      <c r="W226" s="53">
        <f>_xlfn.XLOOKUP(E226,'⑤项目数-B-a-③消耗明细表'!C:C,'⑤项目数-B-a-③消耗明细表'!E:E,0)</f>
        <v>7654.79</v>
      </c>
      <c r="X226" s="53">
        <f>_xlfn.XLOOKUP(E226,'⑤项目数-B-a-③消耗明细表'!C:C,'⑤项目数-B-a-③消耗明细表'!D:D,0)</f>
        <v>71</v>
      </c>
      <c r="Y226" s="53">
        <f>_xlfn.XLOOKUP(E226,'⑤项目数-B-a-③消耗明细表'!C:C,'⑤项目数-B-a-③消耗明细表'!F:F,0)</f>
        <v>892</v>
      </c>
      <c r="Z226" s="53">
        <f>_xlfn.XLOOKUP(E226,'⑤项目数-B-a-③消耗明细表'!C:C,'⑤项目数-B-a-③消耗明细表'!G:G,0)</f>
        <v>0</v>
      </c>
      <c r="AA226" s="84" t="str">
        <f t="shared" si="52"/>
        <v>单人</v>
      </c>
      <c r="AB226" s="84">
        <f t="shared" si="53"/>
        <v>0</v>
      </c>
      <c r="AC226" s="53">
        <f>_xlfn.XLOOKUP(F226,'⑥战队统计表-B-a-②呈现-业绩明细表④'!A:A,'⑥战队统计表-B-a-②呈现-业绩明细表④'!B:B,0)</f>
        <v>0</v>
      </c>
      <c r="AD226" s="53">
        <f t="shared" si="57"/>
        <v>1</v>
      </c>
      <c r="AE226" s="59">
        <f>IF(AD226="",_xlfn.XLOOKUP(F226,'⑥战队统计表-B-a-②呈现-业绩明细表④'!A:A,'⑥战队统计表-B-a-②呈现-业绩明细表④'!D:D,0),0)</f>
        <v>0</v>
      </c>
      <c r="AF226" s="85">
        <f>IF(AND(E226="T区",E226="门店T区"),"",IF(AD226="",0,IF(R226="",LOOKUP(S226,'②提成标准-B-a-①-增加'!$B$16:$B$20,'②提成标准-B-a-①-增加'!$D$16:$D$20),LOOKUP(S226/Q226,'②提成标准-B-a-①-增加'!$B$23:$B$27,'②提成标准-B-a-①-增加'!$D$23:$D$27))))</f>
        <v>0</v>
      </c>
      <c r="AG226" s="85">
        <f t="shared" si="54"/>
        <v>0</v>
      </c>
      <c r="AH226" s="60">
        <f t="shared" si="61"/>
        <v>0</v>
      </c>
      <c r="AI226" s="86">
        <f t="shared" si="62"/>
        <v>0</v>
      </c>
      <c r="AJ226" s="60">
        <f t="shared" si="58"/>
        <v>0</v>
      </c>
      <c r="AK226" s="87">
        <f>IF(AB226=1,IFERROR(S226/VLOOKUP(F226,'⑥战队统计表-B-a-②呈现-业绩明细表④'!A:C,3,0),0),0)</f>
        <v>0</v>
      </c>
      <c r="AL226" s="85" t="str">
        <f t="shared" si="59"/>
        <v/>
      </c>
      <c r="AM226" s="53" t="str">
        <f>IF(D226="顾问",_xlfn.XLOOKUP(F226,'⑥战队统计表-B-a-②呈现-业绩明细表④'!A:A,'⑥战队统计表-B-a-②呈现-业绩明细表④'!H:H,0),"")</f>
        <v/>
      </c>
      <c r="AN226" s="53" t="str">
        <f t="shared" si="55"/>
        <v>单人</v>
      </c>
    </row>
    <row r="227" spans="1:40" hidden="1" x14ac:dyDescent="0.15">
      <c r="A227" s="79" t="s">
        <v>428</v>
      </c>
      <c r="B227" s="80" t="s">
        <v>233</v>
      </c>
      <c r="C227" s="81" t="s">
        <v>50</v>
      </c>
      <c r="D227" s="82" t="s">
        <v>6</v>
      </c>
      <c r="E227" s="82" t="s">
        <v>788</v>
      </c>
      <c r="F227" s="53" t="str">
        <f t="shared" si="49"/>
        <v>明信+单人</v>
      </c>
      <c r="G227" s="53">
        <f>IFERROR(_xlfn.XLOOKUP(B227,'①门店信息-A-a-①-增加'!B:B,'①门店信息-A-a-①-增加'!E:E,0),"")</f>
        <v>0</v>
      </c>
      <c r="H227" s="54">
        <f>_xlfn.XLOOKUP(B227,'①门店信息-A-a-①-增加'!B:B,'①门店信息-A-a-①-增加'!F:F,0)</f>
        <v>0</v>
      </c>
      <c r="I227" s="55">
        <f>_xlfn.XLOOKUP(E227,'③新店考核-B-a-②呈现-业绩明细表-③'!B:B,'③新店考核-B-a-②呈现-业绩明细表-③'!E:E,0)</f>
        <v>0</v>
      </c>
      <c r="J227" s="54">
        <f>_xlfn.XLOOKUP(E227,'③新店考核-B-a-②呈现-业绩明细表-③'!B:B,'③新店考核-B-a-②呈现-业绩明细表-③'!F:F,0)</f>
        <v>0</v>
      </c>
      <c r="K227" s="55">
        <f>IF(H227="新店一阶段",LOOKUP(I227,'②提成标准-B-a-①-增加'!$M$9:$M$12,'②提成标准-B-a-①-增加'!$O$9:$O$12),0)</f>
        <v>0</v>
      </c>
      <c r="L227" s="56">
        <f t="shared" si="50"/>
        <v>1096</v>
      </c>
      <c r="M227" s="57">
        <f>_xlfn.XLOOKUP(E227,'③新店考核-B-a-②呈现-业绩明细表-③'!B:B,'③新店考核-B-a-②呈现-业绩明细表-③'!G:G,0)</f>
        <v>0</v>
      </c>
      <c r="N227" s="58" t="str">
        <f>LOOKUP(M227,'②提成标准-B-a-①-增加'!$M$1:$M$4,'②提成标准-B-a-①-增加'!$O$1:$O$4)</f>
        <v>同老店</v>
      </c>
      <c r="O227" s="57">
        <f>_xlfn.XLOOKUP(E227,'③新店考核-B-a-②呈现-业绩明细表-③'!B:B,'③新店考核-B-a-②呈现-业绩明细表-③'!H:H,0)</f>
        <v>0</v>
      </c>
      <c r="P227" s="57">
        <f t="shared" si="51"/>
        <v>1096</v>
      </c>
      <c r="Q227" s="53">
        <f>_xlfn.XLOOKUP(E227,'④考勤-B-a-26考勤汇总表'!D:D,'④考勤-B-a-26考勤汇总表'!AP:AP,0)</f>
        <v>8</v>
      </c>
      <c r="R227" s="53" t="str">
        <f t="shared" si="60"/>
        <v>不足月</v>
      </c>
      <c r="S227" s="53">
        <f t="shared" si="56"/>
        <v>1096</v>
      </c>
      <c r="T227" s="53">
        <v>1096</v>
      </c>
      <c r="U227" s="53">
        <v>0</v>
      </c>
      <c r="V227" s="53">
        <v>0</v>
      </c>
      <c r="W227" s="53">
        <f>_xlfn.XLOOKUP(E227,'⑤项目数-B-a-③消耗明细表'!C:C,'⑤项目数-B-a-③消耗明细表'!E:E,0)</f>
        <v>1250.07</v>
      </c>
      <c r="X227" s="53">
        <f>_xlfn.XLOOKUP(E227,'⑤项目数-B-a-③消耗明细表'!C:C,'⑤项目数-B-a-③消耗明细表'!D:D,0)</f>
        <v>18</v>
      </c>
      <c r="Y227" s="53">
        <f>_xlfn.XLOOKUP(E227,'⑤项目数-B-a-③消耗明细表'!C:C,'⑤项目数-B-a-③消耗明细表'!F:F,0)</f>
        <v>233</v>
      </c>
      <c r="Z227" s="53">
        <f>_xlfn.XLOOKUP(E227,'⑤项目数-B-a-③消耗明细表'!C:C,'⑤项目数-B-a-③消耗明细表'!G:G,0)</f>
        <v>0</v>
      </c>
      <c r="AA227" s="84" t="str">
        <f t="shared" si="52"/>
        <v>单人</v>
      </c>
      <c r="AB227" s="84">
        <f t="shared" si="53"/>
        <v>0</v>
      </c>
      <c r="AC227" s="53">
        <f>_xlfn.XLOOKUP(F227,'⑥战队统计表-B-a-②呈现-业绩明细表④'!A:A,'⑥战队统计表-B-a-②呈现-业绩明细表④'!B:B,0)</f>
        <v>0</v>
      </c>
      <c r="AD227" s="53">
        <f t="shared" si="57"/>
        <v>1</v>
      </c>
      <c r="AE227" s="59">
        <f>IF(AD227="",_xlfn.XLOOKUP(F227,'⑥战队统计表-B-a-②呈现-业绩明细表④'!A:A,'⑥战队统计表-B-a-②呈现-业绩明细表④'!D:D,0),0)</f>
        <v>0</v>
      </c>
      <c r="AF227" s="85">
        <f>IF(AND(E227="T区",E227="门店T区"),"",IF(AD227="",0,IF(R227="",LOOKUP(S227,'②提成标准-B-a-①-增加'!$B$16:$B$20,'②提成标准-B-a-①-增加'!$D$16:$D$20),LOOKUP(S227/Q227,'②提成标准-B-a-①-增加'!$B$23:$B$27,'②提成标准-B-a-①-增加'!$D$23:$D$27))))</f>
        <v>0</v>
      </c>
      <c r="AG227" s="85">
        <f t="shared" si="54"/>
        <v>0</v>
      </c>
      <c r="AH227" s="60">
        <f t="shared" si="61"/>
        <v>0</v>
      </c>
      <c r="AI227" s="86">
        <f t="shared" si="62"/>
        <v>0</v>
      </c>
      <c r="AJ227" s="60">
        <f t="shared" si="58"/>
        <v>0</v>
      </c>
      <c r="AK227" s="87">
        <f>IF(AB227=1,IFERROR(S227/VLOOKUP(F227,'⑥战队统计表-B-a-②呈现-业绩明细表④'!A:C,3,0),0),0)</f>
        <v>0</v>
      </c>
      <c r="AL227" s="85" t="str">
        <f t="shared" si="59"/>
        <v/>
      </c>
      <c r="AM227" s="53" t="str">
        <f>IF(D227="顾问",_xlfn.XLOOKUP(F227,'⑥战队统计表-B-a-②呈现-业绩明细表④'!A:A,'⑥战队统计表-B-a-②呈现-业绩明细表④'!H:H,0),"")</f>
        <v/>
      </c>
      <c r="AN227" s="53" t="str">
        <f t="shared" si="55"/>
        <v>单人</v>
      </c>
    </row>
    <row r="228" spans="1:40" hidden="1" x14ac:dyDescent="0.15">
      <c r="A228" s="79" t="s">
        <v>428</v>
      </c>
      <c r="B228" s="80" t="s">
        <v>233</v>
      </c>
      <c r="C228" s="81" t="s">
        <v>40</v>
      </c>
      <c r="D228" s="82" t="s">
        <v>40</v>
      </c>
      <c r="E228" s="88" t="str">
        <f>F228</f>
        <v>明信+门店T区</v>
      </c>
      <c r="F228" s="53" t="str">
        <f t="shared" si="49"/>
        <v>明信+门店T区</v>
      </c>
      <c r="G228" s="53">
        <f>IFERROR(_xlfn.XLOOKUP(B228,'①门店信息-A-a-①-增加'!B:B,'①门店信息-A-a-①-增加'!E:E,0),"")</f>
        <v>0</v>
      </c>
      <c r="H228" s="54">
        <f>_xlfn.XLOOKUP(B228,'①门店信息-A-a-①-增加'!B:B,'①门店信息-A-a-①-增加'!F:F,0)</f>
        <v>0</v>
      </c>
      <c r="I228" s="55">
        <f>_xlfn.XLOOKUP(E228,'③新店考核-B-a-②呈现-业绩明细表-③'!B:B,'③新店考核-B-a-②呈现-业绩明细表-③'!E:E,0)</f>
        <v>0</v>
      </c>
      <c r="J228" s="54">
        <f>_xlfn.XLOOKUP(E228,'③新店考核-B-a-②呈现-业绩明细表-③'!B:B,'③新店考核-B-a-②呈现-业绩明细表-③'!F:F,0)</f>
        <v>0</v>
      </c>
      <c r="K228" s="55">
        <f>IF(H228="新店一阶段",LOOKUP(I228,'②提成标准-B-a-①-增加'!$M$9:$M$12,'②提成标准-B-a-①-增加'!$O$9:$O$12),0)</f>
        <v>0</v>
      </c>
      <c r="L228" s="56">
        <f t="shared" si="50"/>
        <v>888</v>
      </c>
      <c r="M228" s="57">
        <f>_xlfn.XLOOKUP(E228,'③新店考核-B-a-②呈现-业绩明细表-③'!B:B,'③新店考核-B-a-②呈现-业绩明细表-③'!G:G,0)</f>
        <v>0</v>
      </c>
      <c r="N228" s="58" t="str">
        <f>LOOKUP(M228,'②提成标准-B-a-①-增加'!$M$1:$M$4,'②提成标准-B-a-①-增加'!$O$1:$O$4)</f>
        <v>同老店</v>
      </c>
      <c r="O228" s="57">
        <f>_xlfn.XLOOKUP(E228,'③新店考核-B-a-②呈现-业绩明细表-③'!B:B,'③新店考核-B-a-②呈现-业绩明细表-③'!H:H,0)</f>
        <v>0</v>
      </c>
      <c r="P228" s="57">
        <f t="shared" si="51"/>
        <v>888</v>
      </c>
      <c r="Q228" s="53">
        <f>_xlfn.XLOOKUP(E228,'④考勤-B-a-26考勤汇总表'!D:D,'④考勤-B-a-26考勤汇总表'!AP:AP,0)</f>
        <v>0</v>
      </c>
      <c r="R228" s="53" t="str">
        <f t="shared" si="60"/>
        <v/>
      </c>
      <c r="S228" s="53">
        <f t="shared" si="56"/>
        <v>888</v>
      </c>
      <c r="T228" s="53">
        <v>888</v>
      </c>
      <c r="U228" s="53">
        <v>0</v>
      </c>
      <c r="V228" s="53">
        <v>0</v>
      </c>
      <c r="W228" s="53">
        <f>_xlfn.XLOOKUP(E228,'⑤项目数-B-a-③消耗明细表'!C:C,'⑤项目数-B-a-③消耗明细表'!E:E,0)</f>
        <v>0</v>
      </c>
      <c r="X228" s="53">
        <f>_xlfn.XLOOKUP(E228,'⑤项目数-B-a-③消耗明细表'!C:C,'⑤项目数-B-a-③消耗明细表'!D:D,0)</f>
        <v>0</v>
      </c>
      <c r="Y228" s="53">
        <f>_xlfn.XLOOKUP(E228,'⑤项目数-B-a-③消耗明细表'!C:C,'⑤项目数-B-a-③消耗明细表'!F:F,0)</f>
        <v>0</v>
      </c>
      <c r="Z228" s="53">
        <f>_xlfn.XLOOKUP(E228,'⑤项目数-B-a-③消耗明细表'!C:C,'⑤项目数-B-a-③消耗明细表'!G:G,0)</f>
        <v>0</v>
      </c>
      <c r="AA228" s="84">
        <f t="shared" si="52"/>
        <v>1</v>
      </c>
      <c r="AB228" s="84">
        <f t="shared" si="53"/>
        <v>0</v>
      </c>
      <c r="AC228" s="53">
        <f>_xlfn.XLOOKUP(F228,'⑥战队统计表-B-a-②呈现-业绩明细表④'!A:A,'⑥战队统计表-B-a-②呈现-业绩明细表④'!B:B,0)</f>
        <v>0</v>
      </c>
      <c r="AD228" s="53">
        <f t="shared" si="57"/>
        <v>1</v>
      </c>
      <c r="AE228" s="59">
        <f>IF(AD228="",_xlfn.XLOOKUP(F228,'⑥战队统计表-B-a-②呈现-业绩明细表④'!A:A,'⑥战队统计表-B-a-②呈现-业绩明细表④'!D:D,0),0)</f>
        <v>0</v>
      </c>
      <c r="AF228" s="85">
        <f>IF(AND(E228="T区",E228="门店T区"),"",IF(AD228="",0,IF(R228="",LOOKUP(S228,'②提成标准-B-a-①-增加'!$B$16:$B$20,'②提成标准-B-a-①-增加'!$D$16:$D$20),LOOKUP(S228/Q228,'②提成标准-B-a-①-增加'!$B$23:$B$27,'②提成标准-B-a-①-增加'!$D$23:$D$27))))</f>
        <v>0</v>
      </c>
      <c r="AG228" s="85">
        <f t="shared" si="54"/>
        <v>0</v>
      </c>
      <c r="AH228" s="60">
        <f t="shared" si="61"/>
        <v>0</v>
      </c>
      <c r="AI228" s="86">
        <f t="shared" si="62"/>
        <v>0</v>
      </c>
      <c r="AJ228" s="60">
        <f t="shared" si="58"/>
        <v>0</v>
      </c>
      <c r="AK228" s="87">
        <f>IF(AB228=1,IFERROR(S228/VLOOKUP(F228,'⑥战队统计表-B-a-②呈现-业绩明细表④'!A:C,3,0),0),0)</f>
        <v>0</v>
      </c>
      <c r="AL228" s="85" t="str">
        <f t="shared" si="59"/>
        <v/>
      </c>
      <c r="AM228" s="53" t="str">
        <f>IF(D228="顾问",_xlfn.XLOOKUP(F228,'⑥战队统计表-B-a-②呈现-业绩明细表④'!A:A,'⑥战队统计表-B-a-②呈现-业绩明细表④'!H:H,0),"")</f>
        <v/>
      </c>
      <c r="AN228" s="53" t="str">
        <f t="shared" si="55"/>
        <v>单人</v>
      </c>
    </row>
    <row r="229" spans="1:40" hidden="1" x14ac:dyDescent="0.15">
      <c r="A229" s="79" t="s">
        <v>428</v>
      </c>
      <c r="B229" s="80" t="s">
        <v>238</v>
      </c>
      <c r="C229" s="81" t="s">
        <v>239</v>
      </c>
      <c r="D229" s="82" t="s">
        <v>32</v>
      </c>
      <c r="E229" s="82" t="s">
        <v>241</v>
      </c>
      <c r="F229" s="53" t="str">
        <f t="shared" si="49"/>
        <v>千禧+深藏不露队</v>
      </c>
      <c r="G229" s="53">
        <f>IFERROR(_xlfn.XLOOKUP(B229,'①门店信息-A-a-①-增加'!B:B,'①门店信息-A-a-①-增加'!E:E,0),"")</f>
        <v>0</v>
      </c>
      <c r="H229" s="54">
        <f>_xlfn.XLOOKUP(B229,'①门店信息-A-a-①-增加'!B:B,'①门店信息-A-a-①-增加'!F:F,0)</f>
        <v>0</v>
      </c>
      <c r="I229" s="55">
        <f>_xlfn.XLOOKUP(E229,'③新店考核-B-a-②呈现-业绩明细表-③'!B:B,'③新店考核-B-a-②呈现-业绩明细表-③'!E:E,0)</f>
        <v>0</v>
      </c>
      <c r="J229" s="54">
        <f>_xlfn.XLOOKUP(E229,'③新店考核-B-a-②呈现-业绩明细表-③'!B:B,'③新店考核-B-a-②呈现-业绩明细表-③'!F:F,0)</f>
        <v>0</v>
      </c>
      <c r="K229" s="55">
        <f>IF(H229="新店一阶段",LOOKUP(I229,'②提成标准-B-a-①-增加'!$M$9:$M$12,'②提成标准-B-a-①-增加'!$O$9:$O$12),0)</f>
        <v>0</v>
      </c>
      <c r="L229" s="56">
        <f t="shared" si="50"/>
        <v>47556.4</v>
      </c>
      <c r="M229" s="57">
        <f>_xlfn.XLOOKUP(E229,'③新店考核-B-a-②呈现-业绩明细表-③'!B:B,'③新店考核-B-a-②呈现-业绩明细表-③'!G:G,0)</f>
        <v>0</v>
      </c>
      <c r="N229" s="58" t="str">
        <f>LOOKUP(M229,'②提成标准-B-a-①-增加'!$M$1:$M$4,'②提成标准-B-a-①-增加'!$O$1:$O$4)</f>
        <v>同老店</v>
      </c>
      <c r="O229" s="57">
        <f>_xlfn.XLOOKUP(E229,'③新店考核-B-a-②呈现-业绩明细表-③'!B:B,'③新店考核-B-a-②呈现-业绩明细表-③'!H:H,0)</f>
        <v>0</v>
      </c>
      <c r="P229" s="57">
        <f t="shared" si="51"/>
        <v>47556.4</v>
      </c>
      <c r="Q229" s="53">
        <f>_xlfn.XLOOKUP(E229,'④考勤-B-a-26考勤汇总表'!D:D,'④考勤-B-a-26考勤汇总表'!AP:AP,0)</f>
        <v>31</v>
      </c>
      <c r="R229" s="53" t="str">
        <f t="shared" si="60"/>
        <v/>
      </c>
      <c r="S229" s="53">
        <f t="shared" si="56"/>
        <v>47556.4</v>
      </c>
      <c r="T229" s="53">
        <v>47556.4</v>
      </c>
      <c r="U229" s="53">
        <v>0</v>
      </c>
      <c r="V229" s="53">
        <v>0</v>
      </c>
      <c r="W229" s="53">
        <f>_xlfn.XLOOKUP(E229,'⑤项目数-B-a-③消耗明细表'!C:C,'⑤项目数-B-a-③消耗明细表'!E:E,0)</f>
        <v>23569.279999999999</v>
      </c>
      <c r="X229" s="53">
        <f>_xlfn.XLOOKUP(E229,'⑤项目数-B-a-③消耗明细表'!C:C,'⑤项目数-B-a-③消耗明细表'!D:D,0)</f>
        <v>103</v>
      </c>
      <c r="Y229" s="53">
        <f>_xlfn.XLOOKUP(E229,'⑤项目数-B-a-③消耗明细表'!C:C,'⑤项目数-B-a-③消耗明细表'!F:F,0)</f>
        <v>1480</v>
      </c>
      <c r="Z229" s="53">
        <f>_xlfn.XLOOKUP(E229,'⑤项目数-B-a-③消耗明细表'!C:C,'⑤项目数-B-a-③消耗明细表'!G:G,0)</f>
        <v>175</v>
      </c>
      <c r="AA229" s="84">
        <f t="shared" si="52"/>
        <v>1</v>
      </c>
      <c r="AB229" s="84">
        <f t="shared" si="53"/>
        <v>1</v>
      </c>
      <c r="AC229" s="53">
        <f>_xlfn.XLOOKUP(F229,'⑥战队统计表-B-a-②呈现-业绩明细表④'!A:A,'⑥战队统计表-B-a-②呈现-业绩明细表④'!B:B,0)</f>
        <v>2</v>
      </c>
      <c r="AD229" s="53" t="str">
        <f t="shared" si="57"/>
        <v/>
      </c>
      <c r="AE229" s="59">
        <f>IF(AD229="",_xlfn.XLOOKUP(F229,'⑥战队统计表-B-a-②呈现-业绩明细表④'!A:A,'⑥战队统计表-B-a-②呈现-业绩明细表④'!D:D,0),0)</f>
        <v>0.05</v>
      </c>
      <c r="AF229" s="85">
        <f>IF(AND(E229="T区",E229="门店T区"),"",IF(AD229="",0,IF(R229="",LOOKUP(S229,'②提成标准-B-a-①-增加'!$B$16:$B$20,'②提成标准-B-a-①-增加'!$D$16:$D$20),LOOKUP(S229/Q229,'②提成标准-B-a-①-增加'!$B$23:$B$27,'②提成标准-B-a-①-增加'!$D$23:$D$27))))</f>
        <v>0</v>
      </c>
      <c r="AG229" s="85">
        <f t="shared" si="54"/>
        <v>0.05</v>
      </c>
      <c r="AH229" s="60">
        <f t="shared" si="61"/>
        <v>2258.9290000000001</v>
      </c>
      <c r="AI229" s="86">
        <f t="shared" si="62"/>
        <v>0</v>
      </c>
      <c r="AJ229" s="60">
        <f t="shared" si="58"/>
        <v>2258.9290000000001</v>
      </c>
      <c r="AK229" s="87">
        <f>IF(AB229=1,IFERROR(S229/VLOOKUP(F229,'⑥战队统计表-B-a-②呈现-业绩明细表④'!A:C,3,0),0),0)</f>
        <v>0.76873985658586419</v>
      </c>
      <c r="AL229" s="85">
        <f t="shared" si="59"/>
        <v>0.23126014341413581</v>
      </c>
      <c r="AM229" s="53">
        <f>IF(D229="顾问",_xlfn.XLOOKUP(F229,'⑥战队统计表-B-a-②呈现-业绩明细表④'!A:A,'⑥战队统计表-B-a-②呈现-业绩明细表④'!H:H,0),"")</f>
        <v>0</v>
      </c>
      <c r="AN229" s="53" t="str">
        <f t="shared" si="55"/>
        <v>千禧+深藏不露队</v>
      </c>
    </row>
    <row r="230" spans="1:40" hidden="1" x14ac:dyDescent="0.15">
      <c r="A230" s="79" t="s">
        <v>428</v>
      </c>
      <c r="B230" s="80" t="s">
        <v>238</v>
      </c>
      <c r="C230" s="81" t="s">
        <v>239</v>
      </c>
      <c r="D230" s="82" t="s">
        <v>6</v>
      </c>
      <c r="E230" s="82" t="s">
        <v>240</v>
      </c>
      <c r="F230" s="53" t="str">
        <f t="shared" si="49"/>
        <v>千禧+深藏不露队</v>
      </c>
      <c r="G230" s="53">
        <f>IFERROR(_xlfn.XLOOKUP(B230,'①门店信息-A-a-①-增加'!B:B,'①门店信息-A-a-①-增加'!E:E,0),"")</f>
        <v>0</v>
      </c>
      <c r="H230" s="54">
        <f>_xlfn.XLOOKUP(B230,'①门店信息-A-a-①-增加'!B:B,'①门店信息-A-a-①-增加'!F:F,0)</f>
        <v>0</v>
      </c>
      <c r="I230" s="55">
        <f>_xlfn.XLOOKUP(E230,'③新店考核-B-a-②呈现-业绩明细表-③'!B:B,'③新店考核-B-a-②呈现-业绩明细表-③'!E:E,0)</f>
        <v>0</v>
      </c>
      <c r="J230" s="54">
        <f>_xlfn.XLOOKUP(E230,'③新店考核-B-a-②呈现-业绩明细表-③'!B:B,'③新店考核-B-a-②呈现-业绩明细表-③'!F:F,0)</f>
        <v>0</v>
      </c>
      <c r="K230" s="55">
        <f>IF(H230="新店一阶段",LOOKUP(I230,'②提成标准-B-a-①-增加'!$M$9:$M$12,'②提成标准-B-a-①-增加'!$O$9:$O$12),0)</f>
        <v>0</v>
      </c>
      <c r="L230" s="56">
        <f t="shared" si="50"/>
        <v>20045.400000000001</v>
      </c>
      <c r="M230" s="57">
        <f>_xlfn.XLOOKUP(E230,'③新店考核-B-a-②呈现-业绩明细表-③'!B:B,'③新店考核-B-a-②呈现-业绩明细表-③'!G:G,0)</f>
        <v>0</v>
      </c>
      <c r="N230" s="58" t="str">
        <f>LOOKUP(M230,'②提成标准-B-a-①-增加'!$M$1:$M$4,'②提成标准-B-a-①-增加'!$O$1:$O$4)</f>
        <v>同老店</v>
      </c>
      <c r="O230" s="57">
        <f>_xlfn.XLOOKUP(E230,'③新店考核-B-a-②呈现-业绩明细表-③'!B:B,'③新店考核-B-a-②呈现-业绩明细表-③'!H:H,0)</f>
        <v>0</v>
      </c>
      <c r="P230" s="57">
        <f t="shared" si="51"/>
        <v>20045.400000000001</v>
      </c>
      <c r="Q230" s="53">
        <f>_xlfn.XLOOKUP(E230,'④考勤-B-a-26考勤汇总表'!D:D,'④考勤-B-a-26考勤汇总表'!AP:AP,0)</f>
        <v>31</v>
      </c>
      <c r="R230" s="53" t="str">
        <f t="shared" si="60"/>
        <v/>
      </c>
      <c r="S230" s="53">
        <f t="shared" si="56"/>
        <v>14306.400000000001</v>
      </c>
      <c r="T230" s="53">
        <v>20045.400000000001</v>
      </c>
      <c r="U230" s="53">
        <v>-5739</v>
      </c>
      <c r="V230" s="53">
        <v>0</v>
      </c>
      <c r="W230" s="53">
        <f>_xlfn.XLOOKUP(E230,'⑤项目数-B-a-③消耗明细表'!C:C,'⑤项目数-B-a-③消耗明细表'!E:E,0)</f>
        <v>8434.52</v>
      </c>
      <c r="X230" s="53">
        <f>_xlfn.XLOOKUP(E230,'⑤项目数-B-a-③消耗明细表'!C:C,'⑤项目数-B-a-③消耗明细表'!D:D,0)</f>
        <v>111</v>
      </c>
      <c r="Y230" s="53">
        <f>_xlfn.XLOOKUP(E230,'⑤项目数-B-a-③消耗明细表'!C:C,'⑤项目数-B-a-③消耗明细表'!F:F,0)</f>
        <v>1161</v>
      </c>
      <c r="Z230" s="53">
        <f>_xlfn.XLOOKUP(E230,'⑤项目数-B-a-③消耗明细表'!C:C,'⑤项目数-B-a-③消耗明细表'!G:G,0)</f>
        <v>0</v>
      </c>
      <c r="AA230" s="84">
        <f t="shared" si="52"/>
        <v>1</v>
      </c>
      <c r="AB230" s="84">
        <f t="shared" si="53"/>
        <v>1</v>
      </c>
      <c r="AC230" s="53">
        <f>_xlfn.XLOOKUP(F230,'⑥战队统计表-B-a-②呈现-业绩明细表④'!A:A,'⑥战队统计表-B-a-②呈现-业绩明细表④'!B:B,0)</f>
        <v>2</v>
      </c>
      <c r="AD230" s="53" t="str">
        <f t="shared" si="57"/>
        <v/>
      </c>
      <c r="AE230" s="59">
        <f>IF(AD230="",_xlfn.XLOOKUP(F230,'⑥战队统计表-B-a-②呈现-业绩明细表④'!A:A,'⑥战队统计表-B-a-②呈现-业绩明细表④'!D:D,0),0)</f>
        <v>0.05</v>
      </c>
      <c r="AF230" s="85">
        <f>IF(AND(E230="T区",E230="门店T区"),"",IF(AD230="",0,IF(R230="",LOOKUP(S230,'②提成标准-B-a-①-增加'!$B$16:$B$20,'②提成标准-B-a-①-增加'!$D$16:$D$20),LOOKUP(S230/Q230,'②提成标准-B-a-①-增加'!$B$23:$B$27,'②提成标准-B-a-①-增加'!$D$23:$D$27))))</f>
        <v>0</v>
      </c>
      <c r="AG230" s="85">
        <f t="shared" si="54"/>
        <v>0.05</v>
      </c>
      <c r="AH230" s="60">
        <f t="shared" si="61"/>
        <v>952.15650000000005</v>
      </c>
      <c r="AI230" s="86">
        <f t="shared" si="62"/>
        <v>-177.19162499999999</v>
      </c>
      <c r="AJ230" s="60">
        <f t="shared" si="58"/>
        <v>774.96487500000012</v>
      </c>
      <c r="AK230" s="87">
        <f>IF(AB230=1,IFERROR(S230/VLOOKUP(F230,'⑥战队统计表-B-a-②呈现-业绩明细表④'!A:C,3,0),0),0)</f>
        <v>0.23126014341413581</v>
      </c>
      <c r="AL230" s="85" t="str">
        <f t="shared" si="59"/>
        <v/>
      </c>
      <c r="AM230" s="53" t="str">
        <f>IF(D230="顾问",_xlfn.XLOOKUP(F230,'⑥战队统计表-B-a-②呈现-业绩明细表④'!A:A,'⑥战队统计表-B-a-②呈现-业绩明细表④'!H:H,0),"")</f>
        <v/>
      </c>
      <c r="AN230" s="53" t="str">
        <f t="shared" si="55"/>
        <v>千禧+深藏不露队</v>
      </c>
    </row>
    <row r="231" spans="1:40" hidden="1" x14ac:dyDescent="0.15">
      <c r="A231" s="79" t="s">
        <v>428</v>
      </c>
      <c r="B231" s="80" t="s">
        <v>238</v>
      </c>
      <c r="C231" s="81" t="s">
        <v>36</v>
      </c>
      <c r="D231" s="82" t="s">
        <v>36</v>
      </c>
      <c r="E231" s="82" t="s">
        <v>36</v>
      </c>
      <c r="F231" s="53" t="str">
        <f t="shared" si="49"/>
        <v>千禧+T区</v>
      </c>
      <c r="G231" s="53">
        <f>IFERROR(_xlfn.XLOOKUP(B231,'①门店信息-A-a-①-增加'!B:B,'①门店信息-A-a-①-增加'!E:E,0),"")</f>
        <v>0</v>
      </c>
      <c r="H231" s="54">
        <f>_xlfn.XLOOKUP(B231,'①门店信息-A-a-①-增加'!B:B,'①门店信息-A-a-①-增加'!F:F,0)</f>
        <v>0</v>
      </c>
      <c r="I231" s="55">
        <f>_xlfn.XLOOKUP(E231,'③新店考核-B-a-②呈现-业绩明细表-③'!B:B,'③新店考核-B-a-②呈现-业绩明细表-③'!E:E,0)</f>
        <v>0</v>
      </c>
      <c r="J231" s="54">
        <f>_xlfn.XLOOKUP(E231,'③新店考核-B-a-②呈现-业绩明细表-③'!B:B,'③新店考核-B-a-②呈现-业绩明细表-③'!F:F,0)</f>
        <v>0</v>
      </c>
      <c r="K231" s="55">
        <f>IF(H231="新店一阶段",LOOKUP(I231,'②提成标准-B-a-①-增加'!$M$9:$M$12,'②提成标准-B-a-①-增加'!$O$9:$O$12),0)</f>
        <v>0</v>
      </c>
      <c r="L231" s="56">
        <f t="shared" si="50"/>
        <v>0</v>
      </c>
      <c r="M231" s="57">
        <f>_xlfn.XLOOKUP(E231,'③新店考核-B-a-②呈现-业绩明细表-③'!B:B,'③新店考核-B-a-②呈现-业绩明细表-③'!G:G,0)</f>
        <v>0</v>
      </c>
      <c r="N231" s="58" t="str">
        <f>LOOKUP(M231,'②提成标准-B-a-①-增加'!$M$1:$M$4,'②提成标准-B-a-①-增加'!$O$1:$O$4)</f>
        <v>同老店</v>
      </c>
      <c r="O231" s="57">
        <f>_xlfn.XLOOKUP(E231,'③新店考核-B-a-②呈现-业绩明细表-③'!B:B,'③新店考核-B-a-②呈现-业绩明细表-③'!H:H,0)</f>
        <v>0</v>
      </c>
      <c r="P231" s="57">
        <f t="shared" si="51"/>
        <v>0</v>
      </c>
      <c r="Q231" s="53">
        <f>_xlfn.XLOOKUP(E231,'④考勤-B-a-26考勤汇总表'!D:D,'④考勤-B-a-26考勤汇总表'!AP:AP,0)</f>
        <v>0</v>
      </c>
      <c r="R231" s="53" t="str">
        <f t="shared" si="60"/>
        <v/>
      </c>
      <c r="S231" s="53">
        <f t="shared" si="56"/>
        <v>0</v>
      </c>
      <c r="T231" s="53">
        <v>0</v>
      </c>
      <c r="U231" s="53">
        <v>0</v>
      </c>
      <c r="V231" s="53">
        <v>0</v>
      </c>
      <c r="W231" s="53">
        <f>_xlfn.XLOOKUP(E231,'⑤项目数-B-a-③消耗明细表'!C:C,'⑤项目数-B-a-③消耗明细表'!E:E,0)</f>
        <v>0</v>
      </c>
      <c r="X231" s="53">
        <f>_xlfn.XLOOKUP(E231,'⑤项目数-B-a-③消耗明细表'!C:C,'⑤项目数-B-a-③消耗明细表'!D:D,0)</f>
        <v>0</v>
      </c>
      <c r="Y231" s="53">
        <f>_xlfn.XLOOKUP(E231,'⑤项目数-B-a-③消耗明细表'!C:C,'⑤项目数-B-a-③消耗明细表'!F:F,0)</f>
        <v>0</v>
      </c>
      <c r="Z231" s="53">
        <f>_xlfn.XLOOKUP(E231,'⑤项目数-B-a-③消耗明细表'!C:C,'⑤项目数-B-a-③消耗明细表'!G:G,0)</f>
        <v>0</v>
      </c>
      <c r="AA231" s="84" t="str">
        <f t="shared" si="52"/>
        <v>不属于战队</v>
      </c>
      <c r="AB231" s="84">
        <f t="shared" si="53"/>
        <v>0</v>
      </c>
      <c r="AC231" s="53">
        <f>_xlfn.XLOOKUP(F231,'⑥战队统计表-B-a-②呈现-业绩明细表④'!A:A,'⑥战队统计表-B-a-②呈现-业绩明细表④'!B:B,0)</f>
        <v>0</v>
      </c>
      <c r="AD231" s="53">
        <f t="shared" si="57"/>
        <v>1</v>
      </c>
      <c r="AE231" s="59">
        <f>IF(AD231="",_xlfn.XLOOKUP(F231,'⑥战队统计表-B-a-②呈现-业绩明细表④'!A:A,'⑥战队统计表-B-a-②呈现-业绩明细表④'!D:D,0),0)</f>
        <v>0</v>
      </c>
      <c r="AF231" s="85">
        <f>IF(AND(E231="T区",E231="门店T区"),"",IF(AD231="",0,IF(R231="",LOOKUP(S231,'②提成标准-B-a-①-增加'!$B$16:$B$20,'②提成标准-B-a-①-增加'!$D$16:$D$20),LOOKUP(S231/Q231,'②提成标准-B-a-①-增加'!$B$23:$B$27,'②提成标准-B-a-①-增加'!$D$23:$D$27))))</f>
        <v>0</v>
      </c>
      <c r="AG231" s="85">
        <f t="shared" si="54"/>
        <v>0</v>
      </c>
      <c r="AH231" s="60">
        <f t="shared" si="61"/>
        <v>0</v>
      </c>
      <c r="AI231" s="86">
        <f t="shared" si="62"/>
        <v>0</v>
      </c>
      <c r="AJ231" s="60">
        <f t="shared" si="58"/>
        <v>0</v>
      </c>
      <c r="AK231" s="87">
        <f>IF(AB231=1,IFERROR(S231/VLOOKUP(F231,'⑥战队统计表-B-a-②呈现-业绩明细表④'!A:C,3,0),0),0)</f>
        <v>0</v>
      </c>
      <c r="AL231" s="85" t="str">
        <f t="shared" si="59"/>
        <v/>
      </c>
      <c r="AM231" s="53" t="str">
        <f>IF(D231="顾问",_xlfn.XLOOKUP(F231,'⑥战队统计表-B-a-②呈现-业绩明细表④'!A:A,'⑥战队统计表-B-a-②呈现-业绩明细表④'!H:H,0),"")</f>
        <v/>
      </c>
      <c r="AN231" s="53" t="str">
        <f t="shared" si="55"/>
        <v>单人</v>
      </c>
    </row>
    <row r="232" spans="1:40" hidden="1" x14ac:dyDescent="0.15">
      <c r="A232" s="79" t="s">
        <v>428</v>
      </c>
      <c r="B232" s="80" t="s">
        <v>238</v>
      </c>
      <c r="C232" s="81" t="s">
        <v>146</v>
      </c>
      <c r="D232" s="82" t="s">
        <v>32</v>
      </c>
      <c r="E232" s="82" t="s">
        <v>242</v>
      </c>
      <c r="F232" s="53" t="str">
        <f t="shared" si="49"/>
        <v>千禧+无敌队</v>
      </c>
      <c r="G232" s="53">
        <f>IFERROR(_xlfn.XLOOKUP(B232,'①门店信息-A-a-①-增加'!B:B,'①门店信息-A-a-①-增加'!E:E,0),"")</f>
        <v>0</v>
      </c>
      <c r="H232" s="54">
        <f>_xlfn.XLOOKUP(B232,'①门店信息-A-a-①-增加'!B:B,'①门店信息-A-a-①-增加'!F:F,0)</f>
        <v>0</v>
      </c>
      <c r="I232" s="55">
        <f>_xlfn.XLOOKUP(E232,'③新店考核-B-a-②呈现-业绩明细表-③'!B:B,'③新店考核-B-a-②呈现-业绩明细表-③'!E:E,0)</f>
        <v>0</v>
      </c>
      <c r="J232" s="54">
        <f>_xlfn.XLOOKUP(E232,'③新店考核-B-a-②呈现-业绩明细表-③'!B:B,'③新店考核-B-a-②呈现-业绩明细表-③'!F:F,0)</f>
        <v>0</v>
      </c>
      <c r="K232" s="55">
        <f>IF(H232="新店一阶段",LOOKUP(I232,'②提成标准-B-a-①-增加'!$M$9:$M$12,'②提成标准-B-a-①-增加'!$O$9:$O$12),0)</f>
        <v>0</v>
      </c>
      <c r="L232" s="56">
        <f t="shared" si="50"/>
        <v>68765</v>
      </c>
      <c r="M232" s="57">
        <f>_xlfn.XLOOKUP(E232,'③新店考核-B-a-②呈现-业绩明细表-③'!B:B,'③新店考核-B-a-②呈现-业绩明细表-③'!G:G,0)</f>
        <v>0</v>
      </c>
      <c r="N232" s="58" t="str">
        <f>LOOKUP(M232,'②提成标准-B-a-①-增加'!$M$1:$M$4,'②提成标准-B-a-①-增加'!$O$1:$O$4)</f>
        <v>同老店</v>
      </c>
      <c r="O232" s="57">
        <f>_xlfn.XLOOKUP(E232,'③新店考核-B-a-②呈现-业绩明细表-③'!B:B,'③新店考核-B-a-②呈现-业绩明细表-③'!H:H,0)</f>
        <v>0</v>
      </c>
      <c r="P232" s="57">
        <f t="shared" si="51"/>
        <v>68765</v>
      </c>
      <c r="Q232" s="53">
        <f>_xlfn.XLOOKUP(E232,'④考勤-B-a-26考勤汇总表'!D:D,'④考勤-B-a-26考勤汇总表'!AP:AP,0)</f>
        <v>31</v>
      </c>
      <c r="R232" s="53" t="str">
        <f t="shared" si="60"/>
        <v/>
      </c>
      <c r="S232" s="53">
        <f t="shared" si="56"/>
        <v>61643</v>
      </c>
      <c r="T232" s="53">
        <v>68765</v>
      </c>
      <c r="U232" s="53">
        <v>-8010</v>
      </c>
      <c r="V232" s="53">
        <v>888</v>
      </c>
      <c r="W232" s="53">
        <f>_xlfn.XLOOKUP(E232,'⑤项目数-B-a-③消耗明细表'!C:C,'⑤项目数-B-a-③消耗明细表'!E:E,0)</f>
        <v>67533.37</v>
      </c>
      <c r="X232" s="53">
        <f>_xlfn.XLOOKUP(E232,'⑤项目数-B-a-③消耗明细表'!C:C,'⑤项目数-B-a-③消耗明细表'!D:D,0)</f>
        <v>106</v>
      </c>
      <c r="Y232" s="53">
        <f>_xlfn.XLOOKUP(E232,'⑤项目数-B-a-③消耗明细表'!C:C,'⑤项目数-B-a-③消耗明细表'!F:F,0)</f>
        <v>1237</v>
      </c>
      <c r="Z232" s="53">
        <f>_xlfn.XLOOKUP(E232,'⑤项目数-B-a-③消耗明细表'!C:C,'⑤项目数-B-a-③消耗明细表'!G:G,0)</f>
        <v>135</v>
      </c>
      <c r="AA232" s="84">
        <f t="shared" si="52"/>
        <v>1</v>
      </c>
      <c r="AB232" s="84">
        <f t="shared" si="53"/>
        <v>1</v>
      </c>
      <c r="AC232" s="53">
        <f>_xlfn.XLOOKUP(F232,'⑥战队统计表-B-a-②呈现-业绩明细表④'!A:A,'⑥战队统计表-B-a-②呈现-业绩明细表④'!B:B,0)</f>
        <v>3</v>
      </c>
      <c r="AD232" s="53" t="str">
        <f t="shared" si="57"/>
        <v/>
      </c>
      <c r="AE232" s="59">
        <f>IF(AD232="",_xlfn.XLOOKUP(F232,'⑥战队统计表-B-a-②呈现-业绩明细表④'!A:A,'⑥战队统计表-B-a-②呈现-业绩明细表④'!D:D,0),0)</f>
        <v>0.04</v>
      </c>
      <c r="AF232" s="85">
        <f>IF(AND(E232="T区",E232="门店T区"),"",IF(AD232="",0,IF(R232="",LOOKUP(S232,'②提成标准-B-a-①-增加'!$B$16:$B$20,'②提成标准-B-a-①-增加'!$D$16:$D$20),LOOKUP(S232/Q232,'②提成标准-B-a-①-增加'!$B$23:$B$27,'②提成标准-B-a-①-增加'!$D$23:$D$27))))</f>
        <v>0</v>
      </c>
      <c r="AG232" s="85">
        <f t="shared" si="54"/>
        <v>0.04</v>
      </c>
      <c r="AH232" s="60">
        <f t="shared" si="61"/>
        <v>2613.0699999999997</v>
      </c>
      <c r="AI232" s="86">
        <f t="shared" si="62"/>
        <v>-197.84700000000001</v>
      </c>
      <c r="AJ232" s="60">
        <f t="shared" si="58"/>
        <v>2415.2229999999995</v>
      </c>
      <c r="AK232" s="87">
        <f>IF(AB232=1,IFERROR(S232/VLOOKUP(F232,'⑥战队统计表-B-a-②呈现-业绩明细表④'!A:C,3,0),0),0)</f>
        <v>0.85358963778210428</v>
      </c>
      <c r="AL232" s="85"/>
      <c r="AN232" s="53" t="str">
        <f t="shared" si="55"/>
        <v>千禧+无敌队</v>
      </c>
    </row>
    <row r="233" spans="1:40" hidden="1" x14ac:dyDescent="0.15">
      <c r="A233" s="79" t="s">
        <v>428</v>
      </c>
      <c r="B233" s="80" t="s">
        <v>238</v>
      </c>
      <c r="C233" s="89" t="s">
        <v>146</v>
      </c>
      <c r="D233" s="90" t="s">
        <v>6</v>
      </c>
      <c r="E233" s="90" t="s">
        <v>243</v>
      </c>
      <c r="F233" s="53" t="str">
        <f t="shared" si="49"/>
        <v>千禧+无敌队</v>
      </c>
      <c r="G233" s="53">
        <f>IFERROR(_xlfn.XLOOKUP(B233,'①门店信息-A-a-①-增加'!B:B,'①门店信息-A-a-①-增加'!E:E,0),"")</f>
        <v>0</v>
      </c>
      <c r="H233" s="54">
        <f>_xlfn.XLOOKUP(B233,'①门店信息-A-a-①-增加'!B:B,'①门店信息-A-a-①-增加'!F:F,0)</f>
        <v>0</v>
      </c>
      <c r="I233" s="55">
        <f>_xlfn.XLOOKUP(E233,'③新店考核-B-a-②呈现-业绩明细表-③'!B:B,'③新店考核-B-a-②呈现-业绩明细表-③'!E:E,0)</f>
        <v>0</v>
      </c>
      <c r="J233" s="54">
        <f>_xlfn.XLOOKUP(E233,'③新店考核-B-a-②呈现-业绩明细表-③'!B:B,'③新店考核-B-a-②呈现-业绩明细表-③'!F:F,0)</f>
        <v>0</v>
      </c>
      <c r="K233" s="55">
        <f>IF(H233="新店一阶段",LOOKUP(I233,'②提成标准-B-a-①-增加'!$M$9:$M$12,'②提成标准-B-a-①-增加'!$O$9:$O$12),0)</f>
        <v>0</v>
      </c>
      <c r="L233" s="56">
        <f t="shared" si="50"/>
        <v>6959.2</v>
      </c>
      <c r="M233" s="57">
        <f>_xlfn.XLOOKUP(E233,'③新店考核-B-a-②呈现-业绩明细表-③'!B:B,'③新店考核-B-a-②呈现-业绩明细表-③'!G:G,0)</f>
        <v>0</v>
      </c>
      <c r="N233" s="58" t="str">
        <f>LOOKUP(M233,'②提成标准-B-a-①-增加'!$M$1:$M$4,'②提成标准-B-a-①-增加'!$O$1:$O$4)</f>
        <v>同老店</v>
      </c>
      <c r="O233" s="57">
        <f>_xlfn.XLOOKUP(E233,'③新店考核-B-a-②呈现-业绩明细表-③'!B:B,'③新店考核-B-a-②呈现-业绩明细表-③'!H:H,0)</f>
        <v>0</v>
      </c>
      <c r="P233" s="57">
        <f t="shared" si="51"/>
        <v>6959.2</v>
      </c>
      <c r="Q233" s="53">
        <f>_xlfn.XLOOKUP(E233,'④考勤-B-a-26考勤汇总表'!D:D,'④考勤-B-a-26考勤汇总表'!AP:AP,0)</f>
        <v>31</v>
      </c>
      <c r="R233" s="53" t="str">
        <f t="shared" si="60"/>
        <v/>
      </c>
      <c r="S233" s="53">
        <f t="shared" si="56"/>
        <v>6959.2</v>
      </c>
      <c r="T233" s="53">
        <v>6959.2</v>
      </c>
      <c r="U233" s="53">
        <v>0</v>
      </c>
      <c r="V233" s="53">
        <v>0</v>
      </c>
      <c r="W233" s="53">
        <f>_xlfn.XLOOKUP(E233,'⑤项目数-B-a-③消耗明细表'!C:C,'⑤项目数-B-a-③消耗明细表'!E:E,0)</f>
        <v>5771.98</v>
      </c>
      <c r="X233" s="53">
        <f>_xlfn.XLOOKUP(E233,'⑤项目数-B-a-③消耗明细表'!C:C,'⑤项目数-B-a-③消耗明细表'!D:D,0)</f>
        <v>79</v>
      </c>
      <c r="Y233" s="53">
        <f>_xlfn.XLOOKUP(E233,'⑤项目数-B-a-③消耗明细表'!C:C,'⑤项目数-B-a-③消耗明细表'!F:F,0)</f>
        <v>1129</v>
      </c>
      <c r="Z233" s="53">
        <f>_xlfn.XLOOKUP(E233,'⑤项目数-B-a-③消耗明细表'!C:C,'⑤项目数-B-a-③消耗明细表'!G:G,0)</f>
        <v>0</v>
      </c>
      <c r="AA233" s="84">
        <f t="shared" si="52"/>
        <v>1</v>
      </c>
      <c r="AB233" s="84">
        <f t="shared" si="53"/>
        <v>1</v>
      </c>
      <c r="AC233" s="53">
        <f>_xlfn.XLOOKUP(F233,'⑥战队统计表-B-a-②呈现-业绩明细表④'!A:A,'⑥战队统计表-B-a-②呈现-业绩明细表④'!B:B,0)</f>
        <v>3</v>
      </c>
      <c r="AD233" s="53" t="str">
        <f t="shared" si="57"/>
        <v/>
      </c>
      <c r="AE233" s="59">
        <f>IF(AD233="",_xlfn.XLOOKUP(F233,'⑥战队统计表-B-a-②呈现-业绩明细表④'!A:A,'⑥战队统计表-B-a-②呈现-业绩明细表④'!D:D,0),0)</f>
        <v>0.04</v>
      </c>
      <c r="AF233" s="85">
        <f>IF(AND(E233="T区",E233="门店T区"),"",IF(AD233="",0,IF(R233="",LOOKUP(S233,'②提成标准-B-a-①-增加'!$B$16:$B$20,'②提成标准-B-a-①-增加'!$D$16:$D$20),LOOKUP(S233/Q233,'②提成标准-B-a-①-增加'!$B$23:$B$27,'②提成标准-B-a-①-增加'!$D$23:$D$27))))</f>
        <v>0</v>
      </c>
      <c r="AG233" s="85">
        <f t="shared" si="54"/>
        <v>0.04</v>
      </c>
      <c r="AH233" s="60">
        <f t="shared" si="61"/>
        <v>264.44959999999998</v>
      </c>
      <c r="AI233" s="86">
        <f t="shared" si="62"/>
        <v>0</v>
      </c>
      <c r="AJ233" s="60">
        <f t="shared" si="58"/>
        <v>264.44959999999998</v>
      </c>
      <c r="AK233" s="87">
        <f>IF(AB233=1,IFERROR(S233/VLOOKUP(F233,'⑥战队统计表-B-a-②呈现-业绩明细表④'!A:C,3,0),0),0)</f>
        <v>9.636618930378503E-2</v>
      </c>
      <c r="AL233" s="85" t="str">
        <f t="shared" ref="AL233:AL280" si="63">IF(D233="顾问",SUMIFS(AK:AK,$F:$F,F233,$D:$D,"健康师"),"")</f>
        <v/>
      </c>
      <c r="AM233" s="53" t="str">
        <f>IF(D233="顾问",_xlfn.XLOOKUP(F233,'⑥战队统计表-B-a-②呈现-业绩明细表④'!A:A,'⑥战队统计表-B-a-②呈现-业绩明细表④'!H:H,0),"")</f>
        <v/>
      </c>
      <c r="AN233" s="53" t="str">
        <f t="shared" si="55"/>
        <v>千禧+无敌队</v>
      </c>
    </row>
    <row r="234" spans="1:40" hidden="1" x14ac:dyDescent="0.15">
      <c r="A234" s="79" t="s">
        <v>428</v>
      </c>
      <c r="B234" s="80" t="s">
        <v>238</v>
      </c>
      <c r="C234" s="81" t="s">
        <v>146</v>
      </c>
      <c r="D234" s="82" t="s">
        <v>6</v>
      </c>
      <c r="E234" s="82" t="s">
        <v>244</v>
      </c>
      <c r="F234" s="53" t="str">
        <f t="shared" si="49"/>
        <v>千禧+无敌队</v>
      </c>
      <c r="G234" s="53">
        <f>IFERROR(_xlfn.XLOOKUP(B234,'①门店信息-A-a-①-增加'!B:B,'①门店信息-A-a-①-增加'!E:E,0),"")</f>
        <v>0</v>
      </c>
      <c r="H234" s="54">
        <f>_xlfn.XLOOKUP(B234,'①门店信息-A-a-①-增加'!B:B,'①门店信息-A-a-①-增加'!F:F,0)</f>
        <v>0</v>
      </c>
      <c r="I234" s="55">
        <f>_xlfn.XLOOKUP(E234,'③新店考核-B-a-②呈现-业绩明细表-③'!B:B,'③新店考核-B-a-②呈现-业绩明细表-③'!E:E,0)</f>
        <v>0</v>
      </c>
      <c r="J234" s="54">
        <f>_xlfn.XLOOKUP(E234,'③新店考核-B-a-②呈现-业绩明细表-③'!B:B,'③新店考核-B-a-②呈现-业绩明细表-③'!F:F,0)</f>
        <v>0</v>
      </c>
      <c r="K234" s="55">
        <f>IF(H234="新店一阶段",LOOKUP(I234,'②提成标准-B-a-①-增加'!$M$9:$M$12,'②提成标准-B-a-①-增加'!$O$9:$O$12),0)</f>
        <v>0</v>
      </c>
      <c r="L234" s="56">
        <f t="shared" si="50"/>
        <v>3614</v>
      </c>
      <c r="M234" s="57">
        <f>_xlfn.XLOOKUP(E234,'③新店考核-B-a-②呈现-业绩明细表-③'!B:B,'③新店考核-B-a-②呈现-业绩明细表-③'!G:G,0)</f>
        <v>0</v>
      </c>
      <c r="N234" s="58" t="str">
        <f>LOOKUP(M234,'②提成标准-B-a-①-增加'!$M$1:$M$4,'②提成标准-B-a-①-增加'!$O$1:$O$4)</f>
        <v>同老店</v>
      </c>
      <c r="O234" s="57">
        <f>_xlfn.XLOOKUP(E234,'③新店考核-B-a-②呈现-业绩明细表-③'!B:B,'③新店考核-B-a-②呈现-业绩明细表-③'!H:H,0)</f>
        <v>0</v>
      </c>
      <c r="P234" s="57">
        <f t="shared" si="51"/>
        <v>3614</v>
      </c>
      <c r="Q234" s="53">
        <f>_xlfn.XLOOKUP(E234,'④考勤-B-a-26考勤汇总表'!D:D,'④考勤-B-a-26考勤汇总表'!AP:AP,0)</f>
        <v>31</v>
      </c>
      <c r="R234" s="53" t="str">
        <f t="shared" si="60"/>
        <v/>
      </c>
      <c r="S234" s="53">
        <f t="shared" si="56"/>
        <v>3614</v>
      </c>
      <c r="T234" s="53">
        <v>3614</v>
      </c>
      <c r="U234" s="53">
        <v>0</v>
      </c>
      <c r="V234" s="53">
        <v>0</v>
      </c>
      <c r="W234" s="53">
        <f>_xlfn.XLOOKUP(E234,'⑤项目数-B-a-③消耗明细表'!C:C,'⑤项目数-B-a-③消耗明细表'!E:E,0)</f>
        <v>4789.33</v>
      </c>
      <c r="X234" s="53">
        <f>_xlfn.XLOOKUP(E234,'⑤项目数-B-a-③消耗明细表'!C:C,'⑤项目数-B-a-③消耗明细表'!D:D,0)</f>
        <v>71</v>
      </c>
      <c r="Y234" s="53">
        <f>_xlfn.XLOOKUP(E234,'⑤项目数-B-a-③消耗明细表'!C:C,'⑤项目数-B-a-③消耗明细表'!F:F,0)</f>
        <v>952</v>
      </c>
      <c r="Z234" s="53">
        <f>_xlfn.XLOOKUP(E234,'⑤项目数-B-a-③消耗明细表'!C:C,'⑤项目数-B-a-③消耗明细表'!G:G,0)</f>
        <v>0</v>
      </c>
      <c r="AA234" s="84">
        <f t="shared" si="52"/>
        <v>1</v>
      </c>
      <c r="AB234" s="84">
        <f t="shared" si="53"/>
        <v>1</v>
      </c>
      <c r="AC234" s="53">
        <f>_xlfn.XLOOKUP(F234,'⑥战队统计表-B-a-②呈现-业绩明细表④'!A:A,'⑥战队统计表-B-a-②呈现-业绩明细表④'!B:B,0)</f>
        <v>3</v>
      </c>
      <c r="AD234" s="53" t="str">
        <f t="shared" si="57"/>
        <v/>
      </c>
      <c r="AE234" s="59">
        <f>IF(AD234="",_xlfn.XLOOKUP(F234,'⑥战队统计表-B-a-②呈现-业绩明细表④'!A:A,'⑥战队统计表-B-a-②呈现-业绩明细表④'!D:D,0),0)</f>
        <v>0.04</v>
      </c>
      <c r="AF234" s="85">
        <f>IF(AND(E234="T区",E234="门店T区"),"",IF(AD234="",0,IF(R234="",LOOKUP(S234,'②提成标准-B-a-①-增加'!$B$16:$B$20,'②提成标准-B-a-①-增加'!$D$16:$D$20),LOOKUP(S234/Q234,'②提成标准-B-a-①-增加'!$B$23:$B$27,'②提成标准-B-a-①-增加'!$D$23:$D$27))))</f>
        <v>0</v>
      </c>
      <c r="AG234" s="85">
        <f t="shared" si="54"/>
        <v>0.04</v>
      </c>
      <c r="AH234" s="60">
        <f t="shared" si="61"/>
        <v>137.33199999999999</v>
      </c>
      <c r="AI234" s="86">
        <f t="shared" si="62"/>
        <v>0</v>
      </c>
      <c r="AJ234" s="60">
        <f t="shared" si="58"/>
        <v>137.33199999999999</v>
      </c>
      <c r="AK234" s="87">
        <f>IF(AB234=1,IFERROR(S234/VLOOKUP(F234,'⑥战队统计表-B-a-②呈现-业绩明细表④'!A:C,3,0),0),0)</f>
        <v>5.0044172914110688E-2</v>
      </c>
      <c r="AL234" s="85" t="str">
        <f t="shared" si="63"/>
        <v/>
      </c>
      <c r="AM234" s="53" t="str">
        <f>IF(D234="顾问",_xlfn.XLOOKUP(F234,'⑥战队统计表-B-a-②呈现-业绩明细表④'!A:A,'⑥战队统计表-B-a-②呈现-业绩明细表④'!H:H,0),"")</f>
        <v/>
      </c>
      <c r="AN234" s="53" t="str">
        <f t="shared" si="55"/>
        <v>千禧+无敌队</v>
      </c>
    </row>
    <row r="235" spans="1:40" hidden="1" x14ac:dyDescent="0.15">
      <c r="A235" s="79" t="s">
        <v>428</v>
      </c>
      <c r="B235" s="80" t="s">
        <v>238</v>
      </c>
      <c r="C235" s="81" t="s">
        <v>36</v>
      </c>
      <c r="D235" s="82" t="s">
        <v>36</v>
      </c>
      <c r="E235" s="82" t="s">
        <v>36</v>
      </c>
      <c r="F235" s="53" t="str">
        <f t="shared" si="49"/>
        <v>千禧+T区</v>
      </c>
      <c r="G235" s="53">
        <f>IFERROR(_xlfn.XLOOKUP(B235,'①门店信息-A-a-①-增加'!B:B,'①门店信息-A-a-①-增加'!E:E,0),"")</f>
        <v>0</v>
      </c>
      <c r="H235" s="54">
        <f>_xlfn.XLOOKUP(B235,'①门店信息-A-a-①-增加'!B:B,'①门店信息-A-a-①-增加'!F:F,0)</f>
        <v>0</v>
      </c>
      <c r="I235" s="55">
        <f>_xlfn.XLOOKUP(E235,'③新店考核-B-a-②呈现-业绩明细表-③'!B:B,'③新店考核-B-a-②呈现-业绩明细表-③'!E:E,0)</f>
        <v>0</v>
      </c>
      <c r="J235" s="54">
        <f>_xlfn.XLOOKUP(E235,'③新店考核-B-a-②呈现-业绩明细表-③'!B:B,'③新店考核-B-a-②呈现-业绩明细表-③'!F:F,0)</f>
        <v>0</v>
      </c>
      <c r="K235" s="55">
        <f>IF(H235="新店一阶段",LOOKUP(I235,'②提成标准-B-a-①-增加'!$M$9:$M$12,'②提成标准-B-a-①-增加'!$O$9:$O$12),0)</f>
        <v>0</v>
      </c>
      <c r="L235" s="56">
        <f t="shared" si="50"/>
        <v>0</v>
      </c>
      <c r="M235" s="57">
        <f>_xlfn.XLOOKUP(E235,'③新店考核-B-a-②呈现-业绩明细表-③'!B:B,'③新店考核-B-a-②呈现-业绩明细表-③'!G:G,0)</f>
        <v>0</v>
      </c>
      <c r="N235" s="58" t="str">
        <f>LOOKUP(M235,'②提成标准-B-a-①-增加'!$M$1:$M$4,'②提成标准-B-a-①-增加'!$O$1:$O$4)</f>
        <v>同老店</v>
      </c>
      <c r="O235" s="57">
        <f>_xlfn.XLOOKUP(E235,'③新店考核-B-a-②呈现-业绩明细表-③'!B:B,'③新店考核-B-a-②呈现-业绩明细表-③'!H:H,0)</f>
        <v>0</v>
      </c>
      <c r="P235" s="57">
        <f t="shared" si="51"/>
        <v>0</v>
      </c>
      <c r="Q235" s="53">
        <f>_xlfn.XLOOKUP(E235,'④考勤-B-a-26考勤汇总表'!D:D,'④考勤-B-a-26考勤汇总表'!AP:AP,0)</f>
        <v>0</v>
      </c>
      <c r="R235" s="53" t="str">
        <f t="shared" si="60"/>
        <v/>
      </c>
      <c r="S235" s="53">
        <f t="shared" si="56"/>
        <v>0</v>
      </c>
      <c r="T235" s="53">
        <v>0</v>
      </c>
      <c r="U235" s="53">
        <v>0</v>
      </c>
      <c r="V235" s="53">
        <v>0</v>
      </c>
      <c r="W235" s="53">
        <f>_xlfn.XLOOKUP(E235,'⑤项目数-B-a-③消耗明细表'!C:C,'⑤项目数-B-a-③消耗明细表'!E:E,0)</f>
        <v>0</v>
      </c>
      <c r="X235" s="53">
        <f>_xlfn.XLOOKUP(E235,'⑤项目数-B-a-③消耗明细表'!C:C,'⑤项目数-B-a-③消耗明细表'!D:D,0)</f>
        <v>0</v>
      </c>
      <c r="Y235" s="53">
        <f>_xlfn.XLOOKUP(E235,'⑤项目数-B-a-③消耗明细表'!C:C,'⑤项目数-B-a-③消耗明细表'!F:F,0)</f>
        <v>0</v>
      </c>
      <c r="Z235" s="53">
        <f>_xlfn.XLOOKUP(E235,'⑤项目数-B-a-③消耗明细表'!C:C,'⑤项目数-B-a-③消耗明细表'!G:G,0)</f>
        <v>0</v>
      </c>
      <c r="AA235" s="84" t="str">
        <f t="shared" si="52"/>
        <v>不属于战队</v>
      </c>
      <c r="AB235" s="84">
        <f t="shared" si="53"/>
        <v>0</v>
      </c>
      <c r="AC235" s="53">
        <f>_xlfn.XLOOKUP(F235,'⑥战队统计表-B-a-②呈现-业绩明细表④'!A:A,'⑥战队统计表-B-a-②呈现-业绩明细表④'!B:B,0)</f>
        <v>0</v>
      </c>
      <c r="AD235" s="53">
        <f t="shared" si="57"/>
        <v>1</v>
      </c>
      <c r="AE235" s="59">
        <f>IF(AD235="",_xlfn.XLOOKUP(F235,'⑥战队统计表-B-a-②呈现-业绩明细表④'!A:A,'⑥战队统计表-B-a-②呈现-业绩明细表④'!D:D,0),0)</f>
        <v>0</v>
      </c>
      <c r="AF235" s="85">
        <f>IF(AND(E235="T区",E235="门店T区"),"",IF(AD235="",0,IF(R235="",LOOKUP(S235,'②提成标准-B-a-①-增加'!$B$16:$B$20,'②提成标准-B-a-①-增加'!$D$16:$D$20),LOOKUP(S235/Q235,'②提成标准-B-a-①-增加'!$B$23:$B$27,'②提成标准-B-a-①-增加'!$D$23:$D$27))))</f>
        <v>0</v>
      </c>
      <c r="AG235" s="85">
        <f t="shared" si="54"/>
        <v>0</v>
      </c>
      <c r="AH235" s="60">
        <f t="shared" si="61"/>
        <v>0</v>
      </c>
      <c r="AI235" s="86">
        <f t="shared" si="62"/>
        <v>0</v>
      </c>
      <c r="AJ235" s="60">
        <f t="shared" si="58"/>
        <v>0</v>
      </c>
      <c r="AK235" s="87">
        <f>IF(AB235=1,IFERROR(S235/VLOOKUP(F235,'⑥战队统计表-B-a-②呈现-业绩明细表④'!A:C,3,0),0),0)</f>
        <v>0</v>
      </c>
      <c r="AL235" s="85" t="str">
        <f t="shared" si="63"/>
        <v/>
      </c>
      <c r="AM235" s="53" t="str">
        <f>IF(D235="顾问",_xlfn.XLOOKUP(F235,'⑥战队统计表-B-a-②呈现-业绩明细表④'!A:A,'⑥战队统计表-B-a-②呈现-业绩明细表④'!H:H,0),"")</f>
        <v/>
      </c>
      <c r="AN235" s="53" t="str">
        <f t="shared" si="55"/>
        <v>单人</v>
      </c>
    </row>
    <row r="236" spans="1:40" hidden="1" x14ac:dyDescent="0.15">
      <c r="A236" s="79" t="s">
        <v>428</v>
      </c>
      <c r="B236" s="80" t="s">
        <v>238</v>
      </c>
      <c r="C236" s="81" t="s">
        <v>40</v>
      </c>
      <c r="D236" s="82" t="s">
        <v>40</v>
      </c>
      <c r="E236" s="88" t="str">
        <f>F236</f>
        <v>千禧+门店T区</v>
      </c>
      <c r="F236" s="53" t="str">
        <f t="shared" si="49"/>
        <v>千禧+门店T区</v>
      </c>
      <c r="G236" s="53">
        <f>IFERROR(_xlfn.XLOOKUP(B236,'①门店信息-A-a-①-增加'!B:B,'①门店信息-A-a-①-增加'!E:E,0),"")</f>
        <v>0</v>
      </c>
      <c r="H236" s="54">
        <f>_xlfn.XLOOKUP(B236,'①门店信息-A-a-①-增加'!B:B,'①门店信息-A-a-①-增加'!F:F,0)</f>
        <v>0</v>
      </c>
      <c r="I236" s="55">
        <f>_xlfn.XLOOKUP(E236,'③新店考核-B-a-②呈现-业绩明细表-③'!B:B,'③新店考核-B-a-②呈现-业绩明细表-③'!E:E,0)</f>
        <v>0</v>
      </c>
      <c r="J236" s="54">
        <f>_xlfn.XLOOKUP(E236,'③新店考核-B-a-②呈现-业绩明细表-③'!B:B,'③新店考核-B-a-②呈现-业绩明细表-③'!F:F,0)</f>
        <v>0</v>
      </c>
      <c r="K236" s="55">
        <f>IF(H236="新店一阶段",LOOKUP(I236,'②提成标准-B-a-①-增加'!$M$9:$M$12,'②提成标准-B-a-①-增加'!$O$9:$O$12),0)</f>
        <v>0</v>
      </c>
      <c r="L236" s="56">
        <f t="shared" si="50"/>
        <v>17670</v>
      </c>
      <c r="M236" s="57">
        <f>_xlfn.XLOOKUP(E236,'③新店考核-B-a-②呈现-业绩明细表-③'!B:B,'③新店考核-B-a-②呈现-业绩明细表-③'!G:G,0)</f>
        <v>0</v>
      </c>
      <c r="N236" s="58" t="str">
        <f>LOOKUP(M236,'②提成标准-B-a-①-增加'!$M$1:$M$4,'②提成标准-B-a-①-增加'!$O$1:$O$4)</f>
        <v>同老店</v>
      </c>
      <c r="O236" s="57">
        <f>_xlfn.XLOOKUP(E236,'③新店考核-B-a-②呈现-业绩明细表-③'!B:B,'③新店考核-B-a-②呈现-业绩明细表-③'!H:H,0)</f>
        <v>0</v>
      </c>
      <c r="P236" s="57">
        <f t="shared" si="51"/>
        <v>17670</v>
      </c>
      <c r="Q236" s="53">
        <f>_xlfn.XLOOKUP(E236,'④考勤-B-a-26考勤汇总表'!D:D,'④考勤-B-a-26考勤汇总表'!AP:AP,0)</f>
        <v>0</v>
      </c>
      <c r="R236" s="53" t="str">
        <f t="shared" si="60"/>
        <v/>
      </c>
      <c r="S236" s="53">
        <f t="shared" si="56"/>
        <v>17050</v>
      </c>
      <c r="T236" s="53">
        <v>17670</v>
      </c>
      <c r="U236" s="53">
        <v>-620</v>
      </c>
      <c r="V236" s="53">
        <v>0</v>
      </c>
      <c r="W236" s="53">
        <f>_xlfn.XLOOKUP(E236,'⑤项目数-B-a-③消耗明细表'!C:C,'⑤项目数-B-a-③消耗明细表'!E:E,0)</f>
        <v>0</v>
      </c>
      <c r="X236" s="53">
        <f>_xlfn.XLOOKUP(E236,'⑤项目数-B-a-③消耗明细表'!C:C,'⑤项目数-B-a-③消耗明细表'!D:D,0)</f>
        <v>0</v>
      </c>
      <c r="Y236" s="53">
        <f>_xlfn.XLOOKUP(E236,'⑤项目数-B-a-③消耗明细表'!C:C,'⑤项目数-B-a-③消耗明细表'!F:F,0)</f>
        <v>0</v>
      </c>
      <c r="Z236" s="53">
        <f>_xlfn.XLOOKUP(E236,'⑤项目数-B-a-③消耗明细表'!C:C,'⑤项目数-B-a-③消耗明细表'!G:G,0)</f>
        <v>0</v>
      </c>
      <c r="AA236" s="84">
        <f t="shared" si="52"/>
        <v>1</v>
      </c>
      <c r="AB236" s="84">
        <f t="shared" si="53"/>
        <v>0</v>
      </c>
      <c r="AC236" s="53">
        <f>_xlfn.XLOOKUP(F236,'⑥战队统计表-B-a-②呈现-业绩明细表④'!A:A,'⑥战队统计表-B-a-②呈现-业绩明细表④'!B:B,0)</f>
        <v>0</v>
      </c>
      <c r="AD236" s="53">
        <f t="shared" si="57"/>
        <v>1</v>
      </c>
      <c r="AE236" s="59">
        <f>IF(AD236="",_xlfn.XLOOKUP(F236,'⑥战队统计表-B-a-②呈现-业绩明细表④'!A:A,'⑥战队统计表-B-a-②呈现-业绩明细表④'!D:D,0),0)</f>
        <v>0</v>
      </c>
      <c r="AF236" s="85">
        <f>IF(AND(E236="T区",E236="门店T区"),"",IF(AD236="",0,IF(R236="",LOOKUP(S236,'②提成标准-B-a-①-增加'!$B$16:$B$20,'②提成标准-B-a-①-增加'!$D$16:$D$20),LOOKUP(S236/Q236,'②提成标准-B-a-①-增加'!$B$23:$B$27,'②提成标准-B-a-①-增加'!$D$23:$D$27))))</f>
        <v>0.03</v>
      </c>
      <c r="AG236" s="85">
        <f t="shared" si="54"/>
        <v>0.03</v>
      </c>
      <c r="AH236" s="60">
        <f t="shared" si="61"/>
        <v>0</v>
      </c>
      <c r="AI236" s="86">
        <f t="shared" si="62"/>
        <v>0</v>
      </c>
      <c r="AJ236" s="60">
        <f t="shared" si="58"/>
        <v>0</v>
      </c>
      <c r="AK236" s="87">
        <f>IF(AB236=1,IFERROR(S236/VLOOKUP(F236,'⑥战队统计表-B-a-②呈现-业绩明细表④'!A:C,3,0),0),0)</f>
        <v>0</v>
      </c>
      <c r="AL236" s="85" t="str">
        <f t="shared" si="63"/>
        <v/>
      </c>
      <c r="AM236" s="53" t="str">
        <f>IF(D236="顾问",_xlfn.XLOOKUP(F236,'⑥战队统计表-B-a-②呈现-业绩明细表④'!A:A,'⑥战队统计表-B-a-②呈现-业绩明细表④'!H:H,0),"")</f>
        <v/>
      </c>
      <c r="AN236" s="53" t="str">
        <f t="shared" si="55"/>
        <v>单人</v>
      </c>
    </row>
    <row r="237" spans="1:40" hidden="1" x14ac:dyDescent="0.15">
      <c r="A237" s="79" t="s">
        <v>428</v>
      </c>
      <c r="B237" s="80" t="s">
        <v>245</v>
      </c>
      <c r="C237" s="81" t="s">
        <v>37</v>
      </c>
      <c r="D237" s="82" t="s">
        <v>32</v>
      </c>
      <c r="E237" s="82" t="s">
        <v>246</v>
      </c>
      <c r="F237" s="53" t="str">
        <f t="shared" si="49"/>
        <v>大丰+冲锋队</v>
      </c>
      <c r="G237" s="53">
        <f>IFERROR(_xlfn.XLOOKUP(B237,'①门店信息-A-a-①-增加'!B:B,'①门店信息-A-a-①-增加'!E:E,0),"")</f>
        <v>0</v>
      </c>
      <c r="H237" s="54">
        <f>_xlfn.XLOOKUP(B237,'①门店信息-A-a-①-增加'!B:B,'①门店信息-A-a-①-增加'!F:F,0)</f>
        <v>0</v>
      </c>
      <c r="I237" s="55">
        <f>_xlfn.XLOOKUP(E237,'③新店考核-B-a-②呈现-业绩明细表-③'!B:B,'③新店考核-B-a-②呈现-业绩明细表-③'!E:E,0)</f>
        <v>0</v>
      </c>
      <c r="J237" s="54">
        <f>_xlfn.XLOOKUP(E237,'③新店考核-B-a-②呈现-业绩明细表-③'!B:B,'③新店考核-B-a-②呈现-业绩明细表-③'!F:F,0)</f>
        <v>0</v>
      </c>
      <c r="K237" s="55">
        <f>IF(H237="新店一阶段",LOOKUP(I237,'②提成标准-B-a-①-增加'!$M$9:$M$12,'②提成标准-B-a-①-增加'!$O$9:$O$12),0)</f>
        <v>0</v>
      </c>
      <c r="L237" s="56">
        <f t="shared" si="50"/>
        <v>72929.259999999995</v>
      </c>
      <c r="M237" s="57">
        <f>_xlfn.XLOOKUP(E237,'③新店考核-B-a-②呈现-业绩明细表-③'!B:B,'③新店考核-B-a-②呈现-业绩明细表-③'!G:G,0)</f>
        <v>0</v>
      </c>
      <c r="N237" s="58" t="str">
        <f>LOOKUP(M237,'②提成标准-B-a-①-增加'!$M$1:$M$4,'②提成标准-B-a-①-增加'!$O$1:$O$4)</f>
        <v>同老店</v>
      </c>
      <c r="O237" s="57">
        <f>_xlfn.XLOOKUP(E237,'③新店考核-B-a-②呈现-业绩明细表-③'!B:B,'③新店考核-B-a-②呈现-业绩明细表-③'!H:H,0)</f>
        <v>0</v>
      </c>
      <c r="P237" s="57">
        <f t="shared" si="51"/>
        <v>72929.259999999995</v>
      </c>
      <c r="Q237" s="53">
        <f>_xlfn.XLOOKUP(E237,'④考勤-B-a-26考勤汇总表'!D:D,'④考勤-B-a-26考勤汇总表'!AP:AP,0)</f>
        <v>31</v>
      </c>
      <c r="R237" s="53" t="str">
        <f t="shared" si="60"/>
        <v/>
      </c>
      <c r="S237" s="53">
        <f t="shared" si="56"/>
        <v>80534.86</v>
      </c>
      <c r="T237" s="53">
        <v>72929.259999999995</v>
      </c>
      <c r="U237" s="53">
        <v>7017.6</v>
      </c>
      <c r="V237" s="53">
        <v>588</v>
      </c>
      <c r="W237" s="53">
        <f>_xlfn.XLOOKUP(E237,'⑤项目数-B-a-③消耗明细表'!C:C,'⑤项目数-B-a-③消耗明细表'!E:E,0)</f>
        <v>57021.5</v>
      </c>
      <c r="X237" s="53">
        <f>_xlfn.XLOOKUP(E237,'⑤项目数-B-a-③消耗明细表'!C:C,'⑤项目数-B-a-③消耗明细表'!D:D,0)</f>
        <v>159</v>
      </c>
      <c r="Y237" s="53">
        <f>_xlfn.XLOOKUP(E237,'⑤项目数-B-a-③消耗明细表'!C:C,'⑤项目数-B-a-③消耗明细表'!F:F,0)</f>
        <v>2007</v>
      </c>
      <c r="Z237" s="53">
        <f>_xlfn.XLOOKUP(E237,'⑤项目数-B-a-③消耗明细表'!C:C,'⑤项目数-B-a-③消耗明细表'!G:G,0)</f>
        <v>60</v>
      </c>
      <c r="AA237" s="84">
        <f t="shared" si="52"/>
        <v>1</v>
      </c>
      <c r="AB237" s="84">
        <f t="shared" si="53"/>
        <v>1</v>
      </c>
      <c r="AC237" s="53">
        <f>_xlfn.XLOOKUP(F237,'⑥战队统计表-B-a-②呈现-业绩明细表④'!A:A,'⑥战队统计表-B-a-②呈现-业绩明细表④'!B:B,0)</f>
        <v>3</v>
      </c>
      <c r="AD237" s="53" t="str">
        <f t="shared" si="57"/>
        <v/>
      </c>
      <c r="AE237" s="59">
        <f>IF(AD237="",_xlfn.XLOOKUP(F237,'⑥战队统计表-B-a-②呈现-业绩明细表④'!A:A,'⑥战队统计表-B-a-②呈现-业绩明细表④'!D:D,0),0)</f>
        <v>0.06</v>
      </c>
      <c r="AF237" s="85">
        <f>IF(AND(E237="T区",E237="门店T区"),"",IF(AD237="",0,IF(R237="",LOOKUP(S237,'②提成标准-B-a-①-增加'!$B$16:$B$20,'②提成标准-B-a-①-增加'!$D$16:$D$20),LOOKUP(S237/Q237,'②提成标准-B-a-①-增加'!$B$23:$B$27,'②提成标准-B-a-①-增加'!$D$23:$D$27))))</f>
        <v>0</v>
      </c>
      <c r="AG237" s="85">
        <f t="shared" si="54"/>
        <v>0.06</v>
      </c>
      <c r="AH237" s="60">
        <f t="shared" si="61"/>
        <v>4156.9678199999989</v>
      </c>
      <c r="AI237" s="86">
        <f t="shared" si="62"/>
        <v>260.00207999999998</v>
      </c>
      <c r="AJ237" s="60">
        <f t="shared" si="58"/>
        <v>4416.9698999999991</v>
      </c>
      <c r="AK237" s="87">
        <f>IF(AB237=1,IFERROR(S237/VLOOKUP(F237,'⑥战队统计表-B-a-②呈现-业绩明细表④'!A:C,3,0),0),0)</f>
        <v>0.55632520091570858</v>
      </c>
      <c r="AL237" s="85">
        <f t="shared" si="63"/>
        <v>0.44367479908429136</v>
      </c>
      <c r="AM237" s="53">
        <f>IF(D237="顾问",_xlfn.XLOOKUP(F237,'⑥战队统计表-B-a-②呈现-业绩明细表④'!A:A,'⑥战队统计表-B-a-②呈现-业绩明细表④'!H:H,0),"")</f>
        <v>1158.0999999999999</v>
      </c>
      <c r="AN237" s="53" t="str">
        <f t="shared" si="55"/>
        <v>大丰+冲锋队</v>
      </c>
    </row>
    <row r="238" spans="1:40" hidden="1" x14ac:dyDescent="0.15">
      <c r="A238" s="79" t="s">
        <v>428</v>
      </c>
      <c r="B238" s="80" t="s">
        <v>245</v>
      </c>
      <c r="C238" s="81" t="s">
        <v>37</v>
      </c>
      <c r="D238" s="82" t="s">
        <v>6</v>
      </c>
      <c r="E238" s="82" t="s">
        <v>247</v>
      </c>
      <c r="F238" s="53" t="str">
        <f t="shared" si="49"/>
        <v>大丰+冲锋队</v>
      </c>
      <c r="G238" s="53">
        <f>IFERROR(_xlfn.XLOOKUP(B238,'①门店信息-A-a-①-增加'!B:B,'①门店信息-A-a-①-增加'!E:E,0),"")</f>
        <v>0</v>
      </c>
      <c r="H238" s="54">
        <f>_xlfn.XLOOKUP(B238,'①门店信息-A-a-①-增加'!B:B,'①门店信息-A-a-①-增加'!F:F,0)</f>
        <v>0</v>
      </c>
      <c r="I238" s="55">
        <f>_xlfn.XLOOKUP(E238,'③新店考核-B-a-②呈现-业绩明细表-③'!B:B,'③新店考核-B-a-②呈现-业绩明细表-③'!E:E,0)</f>
        <v>0</v>
      </c>
      <c r="J238" s="54">
        <f>_xlfn.XLOOKUP(E238,'③新店考核-B-a-②呈现-业绩明细表-③'!B:B,'③新店考核-B-a-②呈现-业绩明细表-③'!F:F,0)</f>
        <v>0</v>
      </c>
      <c r="K238" s="55">
        <f>IF(H238="新店一阶段",LOOKUP(I238,'②提成标准-B-a-①-增加'!$M$9:$M$12,'②提成标准-B-a-①-增加'!$O$9:$O$12),0)</f>
        <v>0</v>
      </c>
      <c r="L238" s="56">
        <f t="shared" si="50"/>
        <v>33070.94</v>
      </c>
      <c r="M238" s="57">
        <f>_xlfn.XLOOKUP(E238,'③新店考核-B-a-②呈现-业绩明细表-③'!B:B,'③新店考核-B-a-②呈现-业绩明细表-③'!G:G,0)</f>
        <v>0</v>
      </c>
      <c r="N238" s="58" t="str">
        <f>LOOKUP(M238,'②提成标准-B-a-①-增加'!$M$1:$M$4,'②提成标准-B-a-①-增加'!$O$1:$O$4)</f>
        <v>同老店</v>
      </c>
      <c r="O238" s="57">
        <f>_xlfn.XLOOKUP(E238,'③新店考核-B-a-②呈现-业绩明细表-③'!B:B,'③新店考核-B-a-②呈现-业绩明细表-③'!H:H,0)</f>
        <v>0</v>
      </c>
      <c r="P238" s="57">
        <f t="shared" si="51"/>
        <v>33070.94</v>
      </c>
      <c r="Q238" s="53">
        <f>_xlfn.XLOOKUP(E238,'④考勤-B-a-26考勤汇总表'!D:D,'④考勤-B-a-26考勤汇总表'!AP:AP,0)</f>
        <v>31</v>
      </c>
      <c r="R238" s="53" t="str">
        <f t="shared" si="60"/>
        <v/>
      </c>
      <c r="S238" s="53">
        <f t="shared" si="56"/>
        <v>61761.340000000004</v>
      </c>
      <c r="T238" s="53">
        <v>33070.94</v>
      </c>
      <c r="U238" s="53">
        <v>28070.400000000001</v>
      </c>
      <c r="V238" s="53">
        <v>620</v>
      </c>
      <c r="W238" s="53">
        <f>_xlfn.XLOOKUP(E238,'⑤项目数-B-a-③消耗明细表'!C:C,'⑤项目数-B-a-③消耗明细表'!E:E,0)</f>
        <v>17876.88</v>
      </c>
      <c r="X238" s="53">
        <f>_xlfn.XLOOKUP(E238,'⑤项目数-B-a-③消耗明细表'!C:C,'⑤项目数-B-a-③消耗明细表'!D:D,0)</f>
        <v>134</v>
      </c>
      <c r="Y238" s="53">
        <f>_xlfn.XLOOKUP(E238,'⑤项目数-B-a-③消耗明细表'!C:C,'⑤项目数-B-a-③消耗明细表'!F:F,0)</f>
        <v>1843</v>
      </c>
      <c r="Z238" s="53">
        <f>_xlfn.XLOOKUP(E238,'⑤项目数-B-a-③消耗明细表'!C:C,'⑤项目数-B-a-③消耗明细表'!G:G,0)</f>
        <v>175</v>
      </c>
      <c r="AA238" s="84">
        <f t="shared" si="52"/>
        <v>1</v>
      </c>
      <c r="AB238" s="84">
        <f t="shared" si="53"/>
        <v>1</v>
      </c>
      <c r="AC238" s="53">
        <f>_xlfn.XLOOKUP(F238,'⑥战队统计表-B-a-②呈现-业绩明细表④'!A:A,'⑥战队统计表-B-a-②呈现-业绩明细表④'!B:B,0)</f>
        <v>3</v>
      </c>
      <c r="AD238" s="53" t="str">
        <f t="shared" si="57"/>
        <v/>
      </c>
      <c r="AE238" s="59">
        <f>IF(AD238="",_xlfn.XLOOKUP(F238,'⑥战队统计表-B-a-②呈现-业绩明细表④'!A:A,'⑥战队统计表-B-a-②呈现-业绩明细表④'!D:D,0),0)</f>
        <v>0.06</v>
      </c>
      <c r="AF238" s="85">
        <f>IF(AND(E238="T区",E238="门店T区"),"",IF(AD238="",0,IF(R238="",LOOKUP(S238,'②提成标准-B-a-①-增加'!$B$16:$B$20,'②提成标准-B-a-①-增加'!$D$16:$D$20),LOOKUP(S238/Q238,'②提成标准-B-a-①-增加'!$B$23:$B$27,'②提成标准-B-a-①-增加'!$D$23:$D$27))))</f>
        <v>0</v>
      </c>
      <c r="AG238" s="85">
        <f t="shared" si="54"/>
        <v>0.06</v>
      </c>
      <c r="AH238" s="60">
        <f t="shared" si="61"/>
        <v>1885.0435799999998</v>
      </c>
      <c r="AI238" s="86">
        <f t="shared" si="62"/>
        <v>1040.0083199999999</v>
      </c>
      <c r="AJ238" s="60">
        <f t="shared" si="58"/>
        <v>2925.0518999999995</v>
      </c>
      <c r="AK238" s="87">
        <f>IF(AB238=1,IFERROR(S238/VLOOKUP(F238,'⑥战队统计表-B-a-②呈现-业绩明细表④'!A:C,3,0),0),0)</f>
        <v>0.42663996540533372</v>
      </c>
      <c r="AL238" s="85" t="str">
        <f t="shared" si="63"/>
        <v/>
      </c>
      <c r="AM238" s="53" t="str">
        <f>IF(D238="顾问",_xlfn.XLOOKUP(F238,'⑥战队统计表-B-a-②呈现-业绩明细表④'!A:A,'⑥战队统计表-B-a-②呈现-业绩明细表④'!H:H,0),"")</f>
        <v/>
      </c>
      <c r="AN238" s="53" t="str">
        <f t="shared" si="55"/>
        <v>大丰+冲锋队</v>
      </c>
    </row>
    <row r="239" spans="1:40" hidden="1" x14ac:dyDescent="0.15">
      <c r="A239" s="79" t="s">
        <v>428</v>
      </c>
      <c r="B239" s="80" t="s">
        <v>245</v>
      </c>
      <c r="C239" s="81" t="s">
        <v>37</v>
      </c>
      <c r="D239" s="82" t="s">
        <v>6</v>
      </c>
      <c r="E239" s="82" t="s">
        <v>248</v>
      </c>
      <c r="F239" s="53" t="str">
        <f t="shared" si="49"/>
        <v>大丰+冲锋队</v>
      </c>
      <c r="G239" s="53">
        <f>IFERROR(_xlfn.XLOOKUP(B239,'①门店信息-A-a-①-增加'!B:B,'①门店信息-A-a-①-增加'!E:E,0),"")</f>
        <v>0</v>
      </c>
      <c r="H239" s="54">
        <f>_xlfn.XLOOKUP(B239,'①门店信息-A-a-①-增加'!B:B,'①门店信息-A-a-①-增加'!F:F,0)</f>
        <v>0</v>
      </c>
      <c r="I239" s="55">
        <f>_xlfn.XLOOKUP(E239,'③新店考核-B-a-②呈现-业绩明细表-③'!B:B,'③新店考核-B-a-②呈现-业绩明细表-③'!E:E,0)</f>
        <v>0</v>
      </c>
      <c r="J239" s="54">
        <f>_xlfn.XLOOKUP(E239,'③新店考核-B-a-②呈现-业绩明细表-③'!B:B,'③新店考核-B-a-②呈现-业绩明细表-③'!F:F,0)</f>
        <v>0</v>
      </c>
      <c r="K239" s="55">
        <f>IF(H239="新店一阶段",LOOKUP(I239,'②提成标准-B-a-①-增加'!$M$9:$M$12,'②提成标准-B-a-①-增加'!$O$9:$O$12),0)</f>
        <v>0</v>
      </c>
      <c r="L239" s="56">
        <f t="shared" si="50"/>
        <v>2466</v>
      </c>
      <c r="M239" s="57">
        <f>_xlfn.XLOOKUP(E239,'③新店考核-B-a-②呈现-业绩明细表-③'!B:B,'③新店考核-B-a-②呈现-业绩明细表-③'!G:G,0)</f>
        <v>0</v>
      </c>
      <c r="N239" s="58" t="str">
        <f>LOOKUP(M239,'②提成标准-B-a-①-增加'!$M$1:$M$4,'②提成标准-B-a-①-增加'!$O$1:$O$4)</f>
        <v>同老店</v>
      </c>
      <c r="O239" s="57">
        <f>_xlfn.XLOOKUP(E239,'③新店考核-B-a-②呈现-业绩明细表-③'!B:B,'③新店考核-B-a-②呈现-业绩明细表-③'!H:H,0)</f>
        <v>0</v>
      </c>
      <c r="P239" s="57">
        <f t="shared" si="51"/>
        <v>2466</v>
      </c>
      <c r="Q239" s="53">
        <f>_xlfn.XLOOKUP(E239,'④考勤-B-a-26考勤汇总表'!D:D,'④考勤-B-a-26考勤汇总表'!AP:AP,0)</f>
        <v>31</v>
      </c>
      <c r="R239" s="53" t="str">
        <f t="shared" si="60"/>
        <v/>
      </c>
      <c r="S239" s="53">
        <f t="shared" si="56"/>
        <v>2466</v>
      </c>
      <c r="T239" s="53">
        <v>2466</v>
      </c>
      <c r="U239" s="53">
        <v>0</v>
      </c>
      <c r="V239" s="53">
        <v>0</v>
      </c>
      <c r="W239" s="53">
        <f>_xlfn.XLOOKUP(E239,'⑤项目数-B-a-③消耗明细表'!C:C,'⑤项目数-B-a-③消耗明细表'!E:E,0)</f>
        <v>4540.6499999999996</v>
      </c>
      <c r="X239" s="53">
        <f>_xlfn.XLOOKUP(E239,'⑤项目数-B-a-③消耗明细表'!C:C,'⑤项目数-B-a-③消耗明细表'!D:D,0)</f>
        <v>81</v>
      </c>
      <c r="Y239" s="53">
        <f>_xlfn.XLOOKUP(E239,'⑤项目数-B-a-③消耗明细表'!C:C,'⑤项目数-B-a-③消耗明细表'!F:F,0)</f>
        <v>1039</v>
      </c>
      <c r="Z239" s="53">
        <f>_xlfn.XLOOKUP(E239,'⑤项目数-B-a-③消耗明细表'!C:C,'⑤项目数-B-a-③消耗明细表'!G:G,0)</f>
        <v>0</v>
      </c>
      <c r="AA239" s="84">
        <f t="shared" si="52"/>
        <v>1</v>
      </c>
      <c r="AB239" s="84">
        <f t="shared" si="53"/>
        <v>1</v>
      </c>
      <c r="AC239" s="53">
        <f>_xlfn.XLOOKUP(F239,'⑥战队统计表-B-a-②呈现-业绩明细表④'!A:A,'⑥战队统计表-B-a-②呈现-业绩明细表④'!B:B,0)</f>
        <v>3</v>
      </c>
      <c r="AD239" s="53" t="str">
        <f t="shared" si="57"/>
        <v/>
      </c>
      <c r="AE239" s="59">
        <f>IF(AD239="",_xlfn.XLOOKUP(F239,'⑥战队统计表-B-a-②呈现-业绩明细表④'!A:A,'⑥战队统计表-B-a-②呈现-业绩明细表④'!D:D,0),0)</f>
        <v>0.06</v>
      </c>
      <c r="AF239" s="85">
        <f>IF(AND(E239="T区",E239="门店T区"),"",IF(AD239="",0,IF(R239="",LOOKUP(S239,'②提成标准-B-a-①-增加'!$B$16:$B$20,'②提成标准-B-a-①-增加'!$D$16:$D$20),LOOKUP(S239/Q239,'②提成标准-B-a-①-增加'!$B$23:$B$27,'②提成标准-B-a-①-增加'!$D$23:$D$27))))</f>
        <v>0</v>
      </c>
      <c r="AG239" s="85">
        <f t="shared" si="54"/>
        <v>0.06</v>
      </c>
      <c r="AH239" s="60">
        <f t="shared" si="61"/>
        <v>140.56200000000001</v>
      </c>
      <c r="AI239" s="86">
        <f t="shared" si="62"/>
        <v>0</v>
      </c>
      <c r="AJ239" s="60">
        <f t="shared" si="58"/>
        <v>140.56200000000001</v>
      </c>
      <c r="AK239" s="87">
        <f>IF(AB239=1,IFERROR(S239/VLOOKUP(F239,'⑥战队统计表-B-a-②呈现-业绩明细表④'!A:C,3,0),0),0)</f>
        <v>1.7034833678957625E-2</v>
      </c>
      <c r="AL239" s="85" t="str">
        <f t="shared" si="63"/>
        <v/>
      </c>
      <c r="AM239" s="53" t="str">
        <f>IF(D239="顾问",_xlfn.XLOOKUP(F239,'⑥战队统计表-B-a-②呈现-业绩明细表④'!A:A,'⑥战队统计表-B-a-②呈现-业绩明细表④'!H:H,0),"")</f>
        <v/>
      </c>
      <c r="AN239" s="53" t="str">
        <f t="shared" si="55"/>
        <v>大丰+冲锋队</v>
      </c>
    </row>
    <row r="240" spans="1:40" hidden="1" x14ac:dyDescent="0.15">
      <c r="A240" s="79" t="s">
        <v>428</v>
      </c>
      <c r="B240" s="80" t="s">
        <v>245</v>
      </c>
      <c r="C240" s="81" t="s">
        <v>36</v>
      </c>
      <c r="D240" s="82" t="s">
        <v>36</v>
      </c>
      <c r="E240" s="82" t="s">
        <v>36</v>
      </c>
      <c r="F240" s="53" t="str">
        <f t="shared" si="49"/>
        <v>大丰+T区</v>
      </c>
      <c r="G240" s="53">
        <f>IFERROR(_xlfn.XLOOKUP(B240,'①门店信息-A-a-①-增加'!B:B,'①门店信息-A-a-①-增加'!E:E,0),"")</f>
        <v>0</v>
      </c>
      <c r="H240" s="54">
        <f>_xlfn.XLOOKUP(B240,'①门店信息-A-a-①-增加'!B:B,'①门店信息-A-a-①-增加'!F:F,0)</f>
        <v>0</v>
      </c>
      <c r="I240" s="55">
        <f>_xlfn.XLOOKUP(E240,'③新店考核-B-a-②呈现-业绩明细表-③'!B:B,'③新店考核-B-a-②呈现-业绩明细表-③'!E:E,0)</f>
        <v>0</v>
      </c>
      <c r="J240" s="54">
        <f>_xlfn.XLOOKUP(E240,'③新店考核-B-a-②呈现-业绩明细表-③'!B:B,'③新店考核-B-a-②呈现-业绩明细表-③'!F:F,0)</f>
        <v>0</v>
      </c>
      <c r="K240" s="55">
        <f>IF(H240="新店一阶段",LOOKUP(I240,'②提成标准-B-a-①-增加'!$M$9:$M$12,'②提成标准-B-a-①-增加'!$O$9:$O$12),0)</f>
        <v>0</v>
      </c>
      <c r="L240" s="56">
        <f t="shared" si="50"/>
        <v>0</v>
      </c>
      <c r="M240" s="57">
        <f>_xlfn.XLOOKUP(E240,'③新店考核-B-a-②呈现-业绩明细表-③'!B:B,'③新店考核-B-a-②呈现-业绩明细表-③'!G:G,0)</f>
        <v>0</v>
      </c>
      <c r="N240" s="58" t="str">
        <f>LOOKUP(M240,'②提成标准-B-a-①-增加'!$M$1:$M$4,'②提成标准-B-a-①-增加'!$O$1:$O$4)</f>
        <v>同老店</v>
      </c>
      <c r="O240" s="57">
        <f>_xlfn.XLOOKUP(E240,'③新店考核-B-a-②呈现-业绩明细表-③'!B:B,'③新店考核-B-a-②呈现-业绩明细表-③'!H:H,0)</f>
        <v>0</v>
      </c>
      <c r="P240" s="57">
        <f t="shared" si="51"/>
        <v>0</v>
      </c>
      <c r="Q240" s="53">
        <f>_xlfn.XLOOKUP(E240,'④考勤-B-a-26考勤汇总表'!D:D,'④考勤-B-a-26考勤汇总表'!AP:AP,0)</f>
        <v>0</v>
      </c>
      <c r="R240" s="53" t="str">
        <f t="shared" si="60"/>
        <v/>
      </c>
      <c r="S240" s="53">
        <f t="shared" si="56"/>
        <v>0</v>
      </c>
      <c r="T240" s="53">
        <v>0</v>
      </c>
      <c r="U240" s="53">
        <v>0</v>
      </c>
      <c r="V240" s="53">
        <v>0</v>
      </c>
      <c r="W240" s="53">
        <f>_xlfn.XLOOKUP(E240,'⑤项目数-B-a-③消耗明细表'!C:C,'⑤项目数-B-a-③消耗明细表'!E:E,0)</f>
        <v>0</v>
      </c>
      <c r="X240" s="53">
        <f>_xlfn.XLOOKUP(E240,'⑤项目数-B-a-③消耗明细表'!C:C,'⑤项目数-B-a-③消耗明细表'!D:D,0)</f>
        <v>0</v>
      </c>
      <c r="Y240" s="53">
        <f>_xlfn.XLOOKUP(E240,'⑤项目数-B-a-③消耗明细表'!C:C,'⑤项目数-B-a-③消耗明细表'!F:F,0)</f>
        <v>0</v>
      </c>
      <c r="Z240" s="53">
        <f>_xlfn.XLOOKUP(E240,'⑤项目数-B-a-③消耗明细表'!C:C,'⑤项目数-B-a-③消耗明细表'!G:G,0)</f>
        <v>0</v>
      </c>
      <c r="AA240" s="84" t="str">
        <f t="shared" si="52"/>
        <v>不属于战队</v>
      </c>
      <c r="AB240" s="84">
        <f t="shared" si="53"/>
        <v>0</v>
      </c>
      <c r="AC240" s="53">
        <f>_xlfn.XLOOKUP(F240,'⑥战队统计表-B-a-②呈现-业绩明细表④'!A:A,'⑥战队统计表-B-a-②呈现-业绩明细表④'!B:B,0)</f>
        <v>0</v>
      </c>
      <c r="AD240" s="53">
        <f t="shared" si="57"/>
        <v>1</v>
      </c>
      <c r="AE240" s="59">
        <f>IF(AD240="",_xlfn.XLOOKUP(F240,'⑥战队统计表-B-a-②呈现-业绩明细表④'!A:A,'⑥战队统计表-B-a-②呈现-业绩明细表④'!D:D,0),0)</f>
        <v>0</v>
      </c>
      <c r="AF240" s="85">
        <f>IF(AND(E240="T区",E240="门店T区"),"",IF(AD240="",0,IF(R240="",LOOKUP(S240,'②提成标准-B-a-①-增加'!$B$16:$B$20,'②提成标准-B-a-①-增加'!$D$16:$D$20),LOOKUP(S240/Q240,'②提成标准-B-a-①-增加'!$B$23:$B$27,'②提成标准-B-a-①-增加'!$D$23:$D$27))))</f>
        <v>0</v>
      </c>
      <c r="AG240" s="85">
        <f t="shared" si="54"/>
        <v>0</v>
      </c>
      <c r="AH240" s="60">
        <f t="shared" si="61"/>
        <v>0</v>
      </c>
      <c r="AI240" s="86">
        <f t="shared" si="62"/>
        <v>0</v>
      </c>
      <c r="AJ240" s="60">
        <f t="shared" si="58"/>
        <v>0</v>
      </c>
      <c r="AK240" s="87">
        <f>IF(AB240=1,IFERROR(S240/VLOOKUP(F240,'⑥战队统计表-B-a-②呈现-业绩明细表④'!A:C,3,0),0),0)</f>
        <v>0</v>
      </c>
      <c r="AL240" s="85" t="str">
        <f t="shared" si="63"/>
        <v/>
      </c>
      <c r="AM240" s="53" t="str">
        <f>IF(D240="顾问",_xlfn.XLOOKUP(F240,'⑥战队统计表-B-a-②呈现-业绩明细表④'!A:A,'⑥战队统计表-B-a-②呈现-业绩明细表④'!H:H,0),"")</f>
        <v/>
      </c>
      <c r="AN240" s="53" t="str">
        <f t="shared" si="55"/>
        <v>单人</v>
      </c>
    </row>
    <row r="241" spans="1:40" hidden="1" x14ac:dyDescent="0.15">
      <c r="A241" s="79" t="s">
        <v>428</v>
      </c>
      <c r="B241" s="80" t="s">
        <v>245</v>
      </c>
      <c r="C241" s="89" t="s">
        <v>31</v>
      </c>
      <c r="D241" s="90" t="s">
        <v>32</v>
      </c>
      <c r="E241" s="90" t="s">
        <v>249</v>
      </c>
      <c r="F241" s="53" t="str">
        <f t="shared" si="49"/>
        <v>大丰+精英队</v>
      </c>
      <c r="G241" s="53">
        <f>IFERROR(_xlfn.XLOOKUP(B241,'①门店信息-A-a-①-增加'!B:B,'①门店信息-A-a-①-增加'!E:E,0),"")</f>
        <v>0</v>
      </c>
      <c r="H241" s="54">
        <f>_xlfn.XLOOKUP(B241,'①门店信息-A-a-①-增加'!B:B,'①门店信息-A-a-①-增加'!F:F,0)</f>
        <v>0</v>
      </c>
      <c r="I241" s="55">
        <f>_xlfn.XLOOKUP(E241,'③新店考核-B-a-②呈现-业绩明细表-③'!B:B,'③新店考核-B-a-②呈现-业绩明细表-③'!E:E,0)</f>
        <v>0</v>
      </c>
      <c r="J241" s="54">
        <f>_xlfn.XLOOKUP(E241,'③新店考核-B-a-②呈现-业绩明细表-③'!B:B,'③新店考核-B-a-②呈现-业绩明细表-③'!F:F,0)</f>
        <v>0</v>
      </c>
      <c r="K241" s="55">
        <f>IF(H241="新店一阶段",LOOKUP(I241,'②提成标准-B-a-①-增加'!$M$9:$M$12,'②提成标准-B-a-①-增加'!$O$9:$O$12),0)</f>
        <v>0</v>
      </c>
      <c r="L241" s="56">
        <f t="shared" si="50"/>
        <v>37212.9</v>
      </c>
      <c r="M241" s="57">
        <f>_xlfn.XLOOKUP(E241,'③新店考核-B-a-②呈现-业绩明细表-③'!B:B,'③新店考核-B-a-②呈现-业绩明细表-③'!G:G,0)</f>
        <v>0</v>
      </c>
      <c r="N241" s="58" t="str">
        <f>LOOKUP(M241,'②提成标准-B-a-①-增加'!$M$1:$M$4,'②提成标准-B-a-①-增加'!$O$1:$O$4)</f>
        <v>同老店</v>
      </c>
      <c r="O241" s="57">
        <f>_xlfn.XLOOKUP(E241,'③新店考核-B-a-②呈现-业绩明细表-③'!B:B,'③新店考核-B-a-②呈现-业绩明细表-③'!H:H,0)</f>
        <v>0</v>
      </c>
      <c r="P241" s="57">
        <f t="shared" si="51"/>
        <v>37212.9</v>
      </c>
      <c r="Q241" s="53">
        <f>_xlfn.XLOOKUP(E241,'④考勤-B-a-26考勤汇总表'!D:D,'④考勤-B-a-26考勤汇总表'!AP:AP,0)</f>
        <v>31</v>
      </c>
      <c r="R241" s="53" t="str">
        <f t="shared" si="60"/>
        <v/>
      </c>
      <c r="S241" s="53">
        <f t="shared" si="56"/>
        <v>37656.9</v>
      </c>
      <c r="T241" s="53">
        <v>37212.9</v>
      </c>
      <c r="U241" s="53">
        <v>0</v>
      </c>
      <c r="V241" s="53">
        <v>444</v>
      </c>
      <c r="W241" s="53">
        <f>_xlfn.XLOOKUP(E241,'⑤项目数-B-a-③消耗明细表'!C:C,'⑤项目数-B-a-③消耗明细表'!E:E,0)</f>
        <v>51418.54</v>
      </c>
      <c r="X241" s="53">
        <f>_xlfn.XLOOKUP(E241,'⑤项目数-B-a-③消耗明细表'!C:C,'⑤项目数-B-a-③消耗明细表'!D:D,0)</f>
        <v>156</v>
      </c>
      <c r="Y241" s="53">
        <f>_xlfn.XLOOKUP(E241,'⑤项目数-B-a-③消耗明细表'!C:C,'⑤项目数-B-a-③消耗明细表'!F:F,0)</f>
        <v>2340</v>
      </c>
      <c r="Z241" s="53">
        <f>_xlfn.XLOOKUP(E241,'⑤项目数-B-a-③消耗明细表'!C:C,'⑤项目数-B-a-③消耗明细表'!G:G,0)</f>
        <v>360</v>
      </c>
      <c r="AA241" s="84">
        <f t="shared" si="52"/>
        <v>1</v>
      </c>
      <c r="AB241" s="84">
        <f t="shared" si="53"/>
        <v>1</v>
      </c>
      <c r="AC241" s="53">
        <f>_xlfn.XLOOKUP(F241,'⑥战队统计表-B-a-②呈现-业绩明细表④'!A:A,'⑥战队统计表-B-a-②呈现-业绩明细表④'!B:B,0)</f>
        <v>2</v>
      </c>
      <c r="AD241" s="53" t="str">
        <f t="shared" si="57"/>
        <v/>
      </c>
      <c r="AE241" s="59">
        <f>IF(AD241="",_xlfn.XLOOKUP(F241,'⑥战队统计表-B-a-②呈现-业绩明细表④'!A:A,'⑥战队统计表-B-a-②呈现-业绩明细表④'!D:D,0),0)</f>
        <v>0.04</v>
      </c>
      <c r="AF241" s="85">
        <f>IF(AND(E241="T区",E241="门店T区"),"",IF(AD241="",0,IF(R241="",LOOKUP(S241,'②提成标准-B-a-①-增加'!$B$16:$B$20,'②提成标准-B-a-①-增加'!$D$16:$D$20),LOOKUP(S241/Q241,'②提成标准-B-a-①-增加'!$B$23:$B$27,'②提成标准-B-a-①-增加'!$D$23:$D$27))))</f>
        <v>0</v>
      </c>
      <c r="AG241" s="85">
        <f t="shared" si="54"/>
        <v>0.04</v>
      </c>
      <c r="AH241" s="60">
        <f t="shared" si="61"/>
        <v>1414.0902000000001</v>
      </c>
      <c r="AI241" s="86">
        <f t="shared" si="62"/>
        <v>0</v>
      </c>
      <c r="AJ241" s="60">
        <f t="shared" si="58"/>
        <v>1414.0902000000001</v>
      </c>
      <c r="AK241" s="87">
        <f>IF(AB241=1,IFERROR(S241/VLOOKUP(F241,'⑥战队统计表-B-a-②呈现-业绩明细表④'!A:C,3,0),0),0)</f>
        <v>0.73047430423675053</v>
      </c>
      <c r="AL241" s="85">
        <f t="shared" si="63"/>
        <v>0.26952569576324942</v>
      </c>
      <c r="AM241" s="53">
        <f>IF(D241="顾问",_xlfn.XLOOKUP(F241,'⑥战队统计表-B-a-②呈现-业绩明细表④'!A:A,'⑥战队统计表-B-a-②呈现-业绩明细表④'!H:H,0),"")</f>
        <v>0</v>
      </c>
      <c r="AN241" s="53" t="str">
        <f t="shared" si="55"/>
        <v>大丰+精英队</v>
      </c>
    </row>
    <row r="242" spans="1:40" hidden="1" x14ac:dyDescent="0.15">
      <c r="A242" s="79" t="s">
        <v>428</v>
      </c>
      <c r="B242" s="98" t="s">
        <v>245</v>
      </c>
      <c r="C242" s="81" t="s">
        <v>31</v>
      </c>
      <c r="D242" s="82" t="s">
        <v>6</v>
      </c>
      <c r="E242" s="82" t="s">
        <v>250</v>
      </c>
      <c r="F242" s="53" t="str">
        <f t="shared" si="49"/>
        <v>大丰+精英队</v>
      </c>
      <c r="G242" s="53">
        <f>IFERROR(_xlfn.XLOOKUP(B242,'①门店信息-A-a-①-增加'!B:B,'①门店信息-A-a-①-增加'!E:E,0),"")</f>
        <v>0</v>
      </c>
      <c r="H242" s="54">
        <f>_xlfn.XLOOKUP(B242,'①门店信息-A-a-①-增加'!B:B,'①门店信息-A-a-①-增加'!F:F,0)</f>
        <v>0</v>
      </c>
      <c r="I242" s="55">
        <f>_xlfn.XLOOKUP(E242,'③新店考核-B-a-②呈现-业绩明细表-③'!B:B,'③新店考核-B-a-②呈现-业绩明细表-③'!E:E,0)</f>
        <v>0</v>
      </c>
      <c r="J242" s="54">
        <f>_xlfn.XLOOKUP(E242,'③新店考核-B-a-②呈现-业绩明细表-③'!B:B,'③新店考核-B-a-②呈现-业绩明细表-③'!F:F,0)</f>
        <v>0</v>
      </c>
      <c r="K242" s="55">
        <f>IF(H242="新店一阶段",LOOKUP(I242,'②提成标准-B-a-①-增加'!$M$9:$M$12,'②提成标准-B-a-①-增加'!$O$9:$O$12),0)</f>
        <v>0</v>
      </c>
      <c r="L242" s="56">
        <f t="shared" si="50"/>
        <v>13274.4</v>
      </c>
      <c r="M242" s="57">
        <f>_xlfn.XLOOKUP(E242,'③新店考核-B-a-②呈现-业绩明细表-③'!B:B,'③新店考核-B-a-②呈现-业绩明细表-③'!G:G,0)</f>
        <v>0</v>
      </c>
      <c r="N242" s="58" t="str">
        <f>LOOKUP(M242,'②提成标准-B-a-①-增加'!$M$1:$M$4,'②提成标准-B-a-①-增加'!$O$1:$O$4)</f>
        <v>同老店</v>
      </c>
      <c r="O242" s="57">
        <f>_xlfn.XLOOKUP(E242,'③新店考核-B-a-②呈现-业绩明细表-③'!B:B,'③新店考核-B-a-②呈现-业绩明细表-③'!H:H,0)</f>
        <v>0</v>
      </c>
      <c r="P242" s="57">
        <f t="shared" si="51"/>
        <v>13274.4</v>
      </c>
      <c r="Q242" s="53">
        <f>_xlfn.XLOOKUP(E242,'④考勤-B-a-26考勤汇总表'!D:D,'④考勤-B-a-26考勤汇总表'!AP:AP,0)</f>
        <v>31</v>
      </c>
      <c r="R242" s="53" t="str">
        <f t="shared" si="60"/>
        <v/>
      </c>
      <c r="S242" s="53">
        <f t="shared" si="56"/>
        <v>13894.4</v>
      </c>
      <c r="T242" s="53">
        <v>13274.4</v>
      </c>
      <c r="U242" s="53">
        <v>0</v>
      </c>
      <c r="V242" s="53">
        <v>620</v>
      </c>
      <c r="W242" s="53">
        <f>_xlfn.XLOOKUP(E242,'⑤项目数-B-a-③消耗明细表'!C:C,'⑤项目数-B-a-③消耗明细表'!E:E,0)</f>
        <v>10085.799999999999</v>
      </c>
      <c r="X242" s="53">
        <f>_xlfn.XLOOKUP(E242,'⑤项目数-B-a-③消耗明细表'!C:C,'⑤项目数-B-a-③消耗明细表'!D:D,0)</f>
        <v>97</v>
      </c>
      <c r="Y242" s="53">
        <f>_xlfn.XLOOKUP(E242,'⑤项目数-B-a-③消耗明细表'!C:C,'⑤项目数-B-a-③消耗明细表'!F:F,0)</f>
        <v>1241</v>
      </c>
      <c r="Z242" s="53">
        <f>_xlfn.XLOOKUP(E242,'⑤项目数-B-a-③消耗明细表'!C:C,'⑤项目数-B-a-③消耗明细表'!G:G,0)</f>
        <v>15</v>
      </c>
      <c r="AA242" s="84">
        <f t="shared" si="52"/>
        <v>1</v>
      </c>
      <c r="AB242" s="84">
        <f t="shared" si="53"/>
        <v>1</v>
      </c>
      <c r="AC242" s="53">
        <f>_xlfn.XLOOKUP(F242,'⑥战队统计表-B-a-②呈现-业绩明细表④'!A:A,'⑥战队统计表-B-a-②呈现-业绩明细表④'!B:B,0)</f>
        <v>2</v>
      </c>
      <c r="AD242" s="53" t="str">
        <f t="shared" si="57"/>
        <v/>
      </c>
      <c r="AE242" s="59">
        <f>IF(AD242="",_xlfn.XLOOKUP(F242,'⑥战队统计表-B-a-②呈现-业绩明细表④'!A:A,'⑥战队统计表-B-a-②呈现-业绩明细表④'!D:D,0),0)</f>
        <v>0.04</v>
      </c>
      <c r="AF242" s="85">
        <f>IF(AND(E242="T区",E242="门店T区"),"",IF(AD242="",0,IF(R242="",LOOKUP(S242,'②提成标准-B-a-①-增加'!$B$16:$B$20,'②提成标准-B-a-①-增加'!$D$16:$D$20),LOOKUP(S242/Q242,'②提成标准-B-a-①-增加'!$B$23:$B$27,'②提成标准-B-a-①-增加'!$D$23:$D$27))))</f>
        <v>0</v>
      </c>
      <c r="AG242" s="85">
        <f t="shared" si="54"/>
        <v>0.04</v>
      </c>
      <c r="AH242" s="60">
        <f t="shared" si="61"/>
        <v>504.42719999999997</v>
      </c>
      <c r="AI242" s="86">
        <f t="shared" si="62"/>
        <v>0</v>
      </c>
      <c r="AJ242" s="60">
        <f t="shared" si="58"/>
        <v>504.42719999999997</v>
      </c>
      <c r="AK242" s="87">
        <f>IF(AB242=1,IFERROR(S242/VLOOKUP(F242,'⑥战队统计表-B-a-②呈现-业绩明细表④'!A:C,3,0),0),0)</f>
        <v>0.26952569576324942</v>
      </c>
      <c r="AL242" s="85" t="str">
        <f t="shared" si="63"/>
        <v/>
      </c>
      <c r="AM242" s="53" t="str">
        <f>IF(D242="顾问",_xlfn.XLOOKUP(F242,'⑥战队统计表-B-a-②呈现-业绩明细表④'!A:A,'⑥战队统计表-B-a-②呈现-业绩明细表④'!H:H,0),"")</f>
        <v/>
      </c>
      <c r="AN242" s="53" t="str">
        <f t="shared" si="55"/>
        <v>大丰+精英队</v>
      </c>
    </row>
    <row r="243" spans="1:40" hidden="1" x14ac:dyDescent="0.15">
      <c r="A243" s="79" t="s">
        <v>428</v>
      </c>
      <c r="B243" s="98" t="s">
        <v>245</v>
      </c>
      <c r="C243" s="81" t="s">
        <v>31</v>
      </c>
      <c r="D243" s="82" t="s">
        <v>6</v>
      </c>
      <c r="E243" s="82" t="s">
        <v>658</v>
      </c>
      <c r="F243" s="53" t="str">
        <f t="shared" si="49"/>
        <v>大丰+精英队</v>
      </c>
      <c r="G243" s="53">
        <f>IFERROR(_xlfn.XLOOKUP(B243,'①门店信息-A-a-①-增加'!B:B,'①门店信息-A-a-①-增加'!E:E,0),"")</f>
        <v>0</v>
      </c>
      <c r="H243" s="54">
        <f>_xlfn.XLOOKUP(B243,'①门店信息-A-a-①-增加'!B:B,'①门店信息-A-a-①-增加'!F:F,0)</f>
        <v>0</v>
      </c>
      <c r="I243" s="55">
        <f>_xlfn.XLOOKUP(E243,'③新店考核-B-a-②呈现-业绩明细表-③'!B:B,'③新店考核-B-a-②呈现-业绩明细表-③'!E:E,0)</f>
        <v>0</v>
      </c>
      <c r="J243" s="54">
        <f>_xlfn.XLOOKUP(E243,'③新店考核-B-a-②呈现-业绩明细表-③'!B:B,'③新店考核-B-a-②呈现-业绩明细表-③'!F:F,0)</f>
        <v>0</v>
      </c>
      <c r="K243" s="55">
        <f>IF(H243="新店一阶段",LOOKUP(I243,'②提成标准-B-a-①-增加'!$M$9:$M$12,'②提成标准-B-a-①-增加'!$O$9:$O$12),0)</f>
        <v>0</v>
      </c>
      <c r="L243" s="56">
        <f t="shared" si="50"/>
        <v>3292.2</v>
      </c>
      <c r="M243" s="57">
        <f>_xlfn.XLOOKUP(E243,'③新店考核-B-a-②呈现-业绩明细表-③'!B:B,'③新店考核-B-a-②呈现-业绩明细表-③'!G:G,0)</f>
        <v>0</v>
      </c>
      <c r="N243" s="58" t="str">
        <f>LOOKUP(M243,'②提成标准-B-a-①-增加'!$M$1:$M$4,'②提成标准-B-a-①-增加'!$O$1:$O$4)</f>
        <v>同老店</v>
      </c>
      <c r="O243" s="57">
        <f>_xlfn.XLOOKUP(E243,'③新店考核-B-a-②呈现-业绩明细表-③'!B:B,'③新店考核-B-a-②呈现-业绩明细表-③'!H:H,0)</f>
        <v>0</v>
      </c>
      <c r="P243" s="57">
        <f t="shared" si="51"/>
        <v>3292.2</v>
      </c>
      <c r="Q243" s="53">
        <f>_xlfn.XLOOKUP(E243,'④考勤-B-a-26考勤汇总表'!D:D,'④考勤-B-a-26考勤汇总表'!AP:AP,0)</f>
        <v>15</v>
      </c>
      <c r="R243" s="53" t="str">
        <f t="shared" si="60"/>
        <v>不足月</v>
      </c>
      <c r="S243" s="53">
        <f t="shared" si="56"/>
        <v>3736.2</v>
      </c>
      <c r="T243" s="53">
        <v>3292.2</v>
      </c>
      <c r="U243" s="53">
        <v>0</v>
      </c>
      <c r="V243" s="53">
        <v>444</v>
      </c>
      <c r="W243" s="53">
        <f>_xlfn.XLOOKUP(E243,'⑤项目数-B-a-③消耗明细表'!C:C,'⑤项目数-B-a-③消耗明细表'!E:E,0)</f>
        <v>2141.39</v>
      </c>
      <c r="X243" s="53">
        <f>_xlfn.XLOOKUP(E243,'⑤项目数-B-a-③消耗明细表'!C:C,'⑤项目数-B-a-③消耗明细表'!D:D,0)</f>
        <v>33</v>
      </c>
      <c r="Y243" s="53">
        <f>_xlfn.XLOOKUP(E243,'⑤项目数-B-a-③消耗明细表'!C:C,'⑤项目数-B-a-③消耗明细表'!F:F,0)</f>
        <v>460</v>
      </c>
      <c r="Z243" s="53">
        <f>_xlfn.XLOOKUP(E243,'⑤项目数-B-a-③消耗明细表'!C:C,'⑤项目数-B-a-③消耗明细表'!G:G,0)</f>
        <v>0</v>
      </c>
      <c r="AA243" s="84">
        <f t="shared" si="52"/>
        <v>1</v>
      </c>
      <c r="AB243" s="84">
        <f t="shared" si="53"/>
        <v>0</v>
      </c>
      <c r="AC243" s="53">
        <f>_xlfn.XLOOKUP(F243,'⑥战队统计表-B-a-②呈现-业绩明细表④'!A:A,'⑥战队统计表-B-a-②呈现-业绩明细表④'!B:B,0)</f>
        <v>2</v>
      </c>
      <c r="AD243" s="53">
        <f t="shared" si="57"/>
        <v>1</v>
      </c>
      <c r="AE243" s="59">
        <f>IF(AD243="",_xlfn.XLOOKUP(F243,'⑥战队统计表-B-a-②呈现-业绩明细表④'!A:A,'⑥战队统计表-B-a-②呈现-业绩明细表④'!D:D,0),0)</f>
        <v>0</v>
      </c>
      <c r="AF243" s="85">
        <f>IF(AND(E243="T区",E243="门店T区"),"",IF(AD243="",0,IF(R243="",LOOKUP(S243,'②提成标准-B-a-①-增加'!$B$16:$B$20,'②提成标准-B-a-①-增加'!$D$16:$D$20),LOOKUP(S243/Q243,'②提成标准-B-a-①-增加'!$B$23:$B$27,'②提成标准-B-a-①-增加'!$D$23:$D$27))))</f>
        <v>0</v>
      </c>
      <c r="AG243" s="85">
        <f t="shared" si="54"/>
        <v>0</v>
      </c>
      <c r="AH243" s="60">
        <f t="shared" si="61"/>
        <v>0</v>
      </c>
      <c r="AI243" s="86">
        <f t="shared" si="62"/>
        <v>0</v>
      </c>
      <c r="AJ243" s="60">
        <f t="shared" si="58"/>
        <v>0</v>
      </c>
      <c r="AK243" s="87">
        <f>IF(AB243=1,IFERROR(S243/VLOOKUP(F243,'⑥战队统计表-B-a-②呈现-业绩明细表④'!A:C,3,0),0),0)</f>
        <v>0</v>
      </c>
      <c r="AL243" s="85" t="str">
        <f t="shared" si="63"/>
        <v/>
      </c>
      <c r="AM243" s="53" t="str">
        <f>IF(D243="顾问",_xlfn.XLOOKUP(F243,'⑥战队统计表-B-a-②呈现-业绩明细表④'!A:A,'⑥战队统计表-B-a-②呈现-业绩明细表④'!H:H,0),"")</f>
        <v/>
      </c>
      <c r="AN243" s="53" t="str">
        <f t="shared" si="55"/>
        <v>单人</v>
      </c>
    </row>
    <row r="244" spans="1:40" hidden="1" x14ac:dyDescent="0.15">
      <c r="A244" s="79" t="s">
        <v>428</v>
      </c>
      <c r="B244" s="98" t="s">
        <v>245</v>
      </c>
      <c r="C244" s="81" t="s">
        <v>36</v>
      </c>
      <c r="D244" s="82" t="s">
        <v>36</v>
      </c>
      <c r="E244" s="82" t="s">
        <v>36</v>
      </c>
      <c r="F244" s="53" t="str">
        <f t="shared" si="49"/>
        <v>大丰+T区</v>
      </c>
      <c r="G244" s="53">
        <f>IFERROR(_xlfn.XLOOKUP(B244,'①门店信息-A-a-①-增加'!B:B,'①门店信息-A-a-①-增加'!E:E,0),"")</f>
        <v>0</v>
      </c>
      <c r="H244" s="54">
        <f>_xlfn.XLOOKUP(B244,'①门店信息-A-a-①-增加'!B:B,'①门店信息-A-a-①-增加'!F:F,0)</f>
        <v>0</v>
      </c>
      <c r="I244" s="55">
        <f>_xlfn.XLOOKUP(E244,'③新店考核-B-a-②呈现-业绩明细表-③'!B:B,'③新店考核-B-a-②呈现-业绩明细表-③'!E:E,0)</f>
        <v>0</v>
      </c>
      <c r="J244" s="54">
        <f>_xlfn.XLOOKUP(E244,'③新店考核-B-a-②呈现-业绩明细表-③'!B:B,'③新店考核-B-a-②呈现-业绩明细表-③'!F:F,0)</f>
        <v>0</v>
      </c>
      <c r="K244" s="55">
        <f>IF(H244="新店一阶段",LOOKUP(I244,'②提成标准-B-a-①-增加'!$M$9:$M$12,'②提成标准-B-a-①-增加'!$O$9:$O$12),0)</f>
        <v>0</v>
      </c>
      <c r="L244" s="56">
        <f t="shared" si="50"/>
        <v>0</v>
      </c>
      <c r="M244" s="57">
        <f>_xlfn.XLOOKUP(E244,'③新店考核-B-a-②呈现-业绩明细表-③'!B:B,'③新店考核-B-a-②呈现-业绩明细表-③'!G:G,0)</f>
        <v>0</v>
      </c>
      <c r="N244" s="58" t="str">
        <f>LOOKUP(M244,'②提成标准-B-a-①-增加'!$M$1:$M$4,'②提成标准-B-a-①-增加'!$O$1:$O$4)</f>
        <v>同老店</v>
      </c>
      <c r="O244" s="57">
        <f>_xlfn.XLOOKUP(E244,'③新店考核-B-a-②呈现-业绩明细表-③'!B:B,'③新店考核-B-a-②呈现-业绩明细表-③'!H:H,0)</f>
        <v>0</v>
      </c>
      <c r="P244" s="57">
        <f t="shared" si="51"/>
        <v>0</v>
      </c>
      <c r="Q244" s="53">
        <f>_xlfn.XLOOKUP(E244,'④考勤-B-a-26考勤汇总表'!D:D,'④考勤-B-a-26考勤汇总表'!AP:AP,0)</f>
        <v>0</v>
      </c>
      <c r="R244" s="53" t="str">
        <f t="shared" si="60"/>
        <v/>
      </c>
      <c r="S244" s="53">
        <f t="shared" si="56"/>
        <v>0</v>
      </c>
      <c r="T244" s="53">
        <v>0</v>
      </c>
      <c r="U244" s="53">
        <v>0</v>
      </c>
      <c r="V244" s="53">
        <v>0</v>
      </c>
      <c r="W244" s="53">
        <f>_xlfn.XLOOKUP(E244,'⑤项目数-B-a-③消耗明细表'!C:C,'⑤项目数-B-a-③消耗明细表'!E:E,0)</f>
        <v>0</v>
      </c>
      <c r="X244" s="53">
        <f>_xlfn.XLOOKUP(E244,'⑤项目数-B-a-③消耗明细表'!C:C,'⑤项目数-B-a-③消耗明细表'!D:D,0)</f>
        <v>0</v>
      </c>
      <c r="Y244" s="53">
        <f>_xlfn.XLOOKUP(E244,'⑤项目数-B-a-③消耗明细表'!C:C,'⑤项目数-B-a-③消耗明细表'!F:F,0)</f>
        <v>0</v>
      </c>
      <c r="Z244" s="53">
        <f>_xlfn.XLOOKUP(E244,'⑤项目数-B-a-③消耗明细表'!C:C,'⑤项目数-B-a-③消耗明细表'!G:G,0)</f>
        <v>0</v>
      </c>
      <c r="AA244" s="84" t="str">
        <f t="shared" si="52"/>
        <v>不属于战队</v>
      </c>
      <c r="AB244" s="84">
        <f t="shared" si="53"/>
        <v>0</v>
      </c>
      <c r="AC244" s="53">
        <f>_xlfn.XLOOKUP(F244,'⑥战队统计表-B-a-②呈现-业绩明细表④'!A:A,'⑥战队统计表-B-a-②呈现-业绩明细表④'!B:B,0)</f>
        <v>0</v>
      </c>
      <c r="AD244" s="53">
        <f t="shared" si="57"/>
        <v>1</v>
      </c>
      <c r="AE244" s="59">
        <f>IF(AD244="",_xlfn.XLOOKUP(F244,'⑥战队统计表-B-a-②呈现-业绩明细表④'!A:A,'⑥战队统计表-B-a-②呈现-业绩明细表④'!D:D,0),0)</f>
        <v>0</v>
      </c>
      <c r="AF244" s="85">
        <f>IF(AND(E244="T区",E244="门店T区"),"",IF(AD244="",0,IF(R244="",LOOKUP(S244,'②提成标准-B-a-①-增加'!$B$16:$B$20,'②提成标准-B-a-①-增加'!$D$16:$D$20),LOOKUP(S244/Q244,'②提成标准-B-a-①-增加'!$B$23:$B$27,'②提成标准-B-a-①-增加'!$D$23:$D$27))))</f>
        <v>0</v>
      </c>
      <c r="AG244" s="85">
        <f t="shared" si="54"/>
        <v>0</v>
      </c>
      <c r="AH244" s="60">
        <f t="shared" si="61"/>
        <v>0</v>
      </c>
      <c r="AI244" s="86">
        <f t="shared" si="62"/>
        <v>0</v>
      </c>
      <c r="AJ244" s="60">
        <f t="shared" si="58"/>
        <v>0</v>
      </c>
      <c r="AK244" s="87">
        <f>IF(AB244=1,IFERROR(S244/VLOOKUP(F244,'⑥战队统计表-B-a-②呈现-业绩明细表④'!A:C,3,0),0),0)</f>
        <v>0</v>
      </c>
      <c r="AL244" s="85" t="str">
        <f t="shared" si="63"/>
        <v/>
      </c>
      <c r="AM244" s="53" t="str">
        <f>IF(D244="顾问",_xlfn.XLOOKUP(F244,'⑥战队统计表-B-a-②呈现-业绩明细表④'!A:A,'⑥战队统计表-B-a-②呈现-业绩明细表④'!H:H,0),"")</f>
        <v/>
      </c>
      <c r="AN244" s="53" t="str">
        <f t="shared" si="55"/>
        <v>单人</v>
      </c>
    </row>
    <row r="245" spans="1:40" hidden="1" x14ac:dyDescent="0.15">
      <c r="A245" s="79" t="s">
        <v>428</v>
      </c>
      <c r="B245" s="98" t="s">
        <v>245</v>
      </c>
      <c r="C245" s="81" t="s">
        <v>40</v>
      </c>
      <c r="D245" s="82" t="s">
        <v>40</v>
      </c>
      <c r="E245" s="88" t="str">
        <f>F245</f>
        <v>大丰+门店T区</v>
      </c>
      <c r="F245" s="53" t="str">
        <f t="shared" si="49"/>
        <v>大丰+门店T区</v>
      </c>
      <c r="G245" s="53">
        <f>IFERROR(_xlfn.XLOOKUP(B245,'①门店信息-A-a-①-增加'!B:B,'①门店信息-A-a-①-增加'!E:E,0),"")</f>
        <v>0</v>
      </c>
      <c r="H245" s="54">
        <f>_xlfn.XLOOKUP(B245,'①门店信息-A-a-①-增加'!B:B,'①门店信息-A-a-①-增加'!F:F,0)</f>
        <v>0</v>
      </c>
      <c r="I245" s="55">
        <f>_xlfn.XLOOKUP(E245,'③新店考核-B-a-②呈现-业绩明细表-③'!B:B,'③新店考核-B-a-②呈现-业绩明细表-③'!E:E,0)</f>
        <v>0</v>
      </c>
      <c r="J245" s="54">
        <f>_xlfn.XLOOKUP(E245,'③新店考核-B-a-②呈现-业绩明细表-③'!B:B,'③新店考核-B-a-②呈现-业绩明细表-③'!F:F,0)</f>
        <v>0</v>
      </c>
      <c r="K245" s="55">
        <f>IF(H245="新店一阶段",LOOKUP(I245,'②提成标准-B-a-①-增加'!$M$9:$M$12,'②提成标准-B-a-①-增加'!$O$9:$O$12),0)</f>
        <v>0</v>
      </c>
      <c r="L245" s="56">
        <f t="shared" si="50"/>
        <v>0</v>
      </c>
      <c r="M245" s="57">
        <f>_xlfn.XLOOKUP(E245,'③新店考核-B-a-②呈现-业绩明细表-③'!B:B,'③新店考核-B-a-②呈现-业绩明细表-③'!G:G,0)</f>
        <v>0</v>
      </c>
      <c r="N245" s="58" t="str">
        <f>LOOKUP(M245,'②提成标准-B-a-①-增加'!$M$1:$M$4,'②提成标准-B-a-①-增加'!$O$1:$O$4)</f>
        <v>同老店</v>
      </c>
      <c r="O245" s="57">
        <f>_xlfn.XLOOKUP(E245,'③新店考核-B-a-②呈现-业绩明细表-③'!B:B,'③新店考核-B-a-②呈现-业绩明细表-③'!H:H,0)</f>
        <v>0</v>
      </c>
      <c r="P245" s="57">
        <f t="shared" si="51"/>
        <v>0</v>
      </c>
      <c r="Q245" s="53">
        <f>_xlfn.XLOOKUP(E245,'④考勤-B-a-26考勤汇总表'!D:D,'④考勤-B-a-26考勤汇总表'!AP:AP,0)</f>
        <v>0</v>
      </c>
      <c r="R245" s="53" t="str">
        <f t="shared" si="60"/>
        <v/>
      </c>
      <c r="S245" s="53">
        <f t="shared" si="56"/>
        <v>0</v>
      </c>
      <c r="T245" s="53">
        <v>0</v>
      </c>
      <c r="U245" s="53">
        <v>0</v>
      </c>
      <c r="V245" s="53">
        <v>0</v>
      </c>
      <c r="W245" s="53">
        <f>_xlfn.XLOOKUP(E245,'⑤项目数-B-a-③消耗明细表'!C:C,'⑤项目数-B-a-③消耗明细表'!E:E,0)</f>
        <v>0</v>
      </c>
      <c r="X245" s="53">
        <f>_xlfn.XLOOKUP(E245,'⑤项目数-B-a-③消耗明细表'!C:C,'⑤项目数-B-a-③消耗明细表'!D:D,0)</f>
        <v>0</v>
      </c>
      <c r="Y245" s="53">
        <f>_xlfn.XLOOKUP(E245,'⑤项目数-B-a-③消耗明细表'!C:C,'⑤项目数-B-a-③消耗明细表'!F:F,0)</f>
        <v>0</v>
      </c>
      <c r="Z245" s="53">
        <f>_xlfn.XLOOKUP(E245,'⑤项目数-B-a-③消耗明细表'!C:C,'⑤项目数-B-a-③消耗明细表'!G:G,0)</f>
        <v>0</v>
      </c>
      <c r="AA245" s="84">
        <f t="shared" si="52"/>
        <v>1</v>
      </c>
      <c r="AB245" s="84">
        <f t="shared" si="53"/>
        <v>0</v>
      </c>
      <c r="AC245" s="53">
        <f>_xlfn.XLOOKUP(F245,'⑥战队统计表-B-a-②呈现-业绩明细表④'!A:A,'⑥战队统计表-B-a-②呈现-业绩明细表④'!B:B,0)</f>
        <v>0</v>
      </c>
      <c r="AD245" s="53">
        <f t="shared" si="57"/>
        <v>1</v>
      </c>
      <c r="AE245" s="59">
        <f>IF(AD245="",_xlfn.XLOOKUP(F245,'⑥战队统计表-B-a-②呈现-业绩明细表④'!A:A,'⑥战队统计表-B-a-②呈现-业绩明细表④'!D:D,0),0)</f>
        <v>0</v>
      </c>
      <c r="AF245" s="85">
        <f>IF(AND(E245="T区",E245="门店T区"),"",IF(AD245="",0,IF(R245="",LOOKUP(S245,'②提成标准-B-a-①-增加'!$B$16:$B$20,'②提成标准-B-a-①-增加'!$D$16:$D$20),LOOKUP(S245/Q245,'②提成标准-B-a-①-增加'!$B$23:$B$27,'②提成标准-B-a-①-增加'!$D$23:$D$27))))</f>
        <v>0</v>
      </c>
      <c r="AG245" s="85">
        <f t="shared" si="54"/>
        <v>0</v>
      </c>
      <c r="AH245" s="60">
        <f t="shared" si="61"/>
        <v>0</v>
      </c>
      <c r="AI245" s="86">
        <f t="shared" si="62"/>
        <v>0</v>
      </c>
      <c r="AJ245" s="60">
        <f t="shared" si="58"/>
        <v>0</v>
      </c>
      <c r="AK245" s="87">
        <f>IF(AB245=1,IFERROR(S245/VLOOKUP(F245,'⑥战队统计表-B-a-②呈现-业绩明细表④'!A:C,3,0),0),0)</f>
        <v>0</v>
      </c>
      <c r="AL245" s="85" t="str">
        <f t="shared" si="63"/>
        <v/>
      </c>
      <c r="AM245" s="53" t="str">
        <f>IF(D245="顾问",_xlfn.XLOOKUP(F245,'⑥战队统计表-B-a-②呈现-业绩明细表④'!A:A,'⑥战队统计表-B-a-②呈现-业绩明细表④'!H:H,0),"")</f>
        <v/>
      </c>
      <c r="AN245" s="53" t="str">
        <f t="shared" si="55"/>
        <v>单人</v>
      </c>
    </row>
    <row r="246" spans="1:40" hidden="1" x14ac:dyDescent="0.15">
      <c r="A246" s="79" t="s">
        <v>428</v>
      </c>
      <c r="B246" s="98" t="s">
        <v>251</v>
      </c>
      <c r="C246" s="81" t="s">
        <v>37</v>
      </c>
      <c r="D246" s="82" t="s">
        <v>32</v>
      </c>
      <c r="E246" s="82" t="s">
        <v>252</v>
      </c>
      <c r="F246" s="53" t="str">
        <f t="shared" si="49"/>
        <v>凤凰山+冲锋队</v>
      </c>
      <c r="G246" s="53">
        <f>IFERROR(_xlfn.XLOOKUP(B246,'①门店信息-A-a-①-增加'!B:B,'①门店信息-A-a-①-增加'!E:E,0),"")</f>
        <v>0</v>
      </c>
      <c r="H246" s="54">
        <f>_xlfn.XLOOKUP(B246,'①门店信息-A-a-①-增加'!B:B,'①门店信息-A-a-①-增加'!F:F,0)</f>
        <v>0</v>
      </c>
      <c r="I246" s="55">
        <f>_xlfn.XLOOKUP(E246,'③新店考核-B-a-②呈现-业绩明细表-③'!B:B,'③新店考核-B-a-②呈现-业绩明细表-③'!E:E,0)</f>
        <v>0</v>
      </c>
      <c r="J246" s="54">
        <f>_xlfn.XLOOKUP(E246,'③新店考核-B-a-②呈现-业绩明细表-③'!B:B,'③新店考核-B-a-②呈现-业绩明细表-③'!F:F,0)</f>
        <v>0</v>
      </c>
      <c r="K246" s="55">
        <f>IF(H246="新店一阶段",LOOKUP(I246,'②提成标准-B-a-①-增加'!$M$9:$M$12,'②提成标准-B-a-①-增加'!$O$9:$O$12),0)</f>
        <v>0</v>
      </c>
      <c r="L246" s="56">
        <f t="shared" si="50"/>
        <v>84943.3</v>
      </c>
      <c r="M246" s="57">
        <f>_xlfn.XLOOKUP(E246,'③新店考核-B-a-②呈现-业绩明细表-③'!B:B,'③新店考核-B-a-②呈现-业绩明细表-③'!G:G,0)</f>
        <v>0</v>
      </c>
      <c r="N246" s="58" t="str">
        <f>LOOKUP(M246,'②提成标准-B-a-①-增加'!$M$1:$M$4,'②提成标准-B-a-①-增加'!$O$1:$O$4)</f>
        <v>同老店</v>
      </c>
      <c r="O246" s="57">
        <f>_xlfn.XLOOKUP(E246,'③新店考核-B-a-②呈现-业绩明细表-③'!B:B,'③新店考核-B-a-②呈现-业绩明细表-③'!H:H,0)</f>
        <v>0</v>
      </c>
      <c r="P246" s="57">
        <f t="shared" si="51"/>
        <v>84943.3</v>
      </c>
      <c r="Q246" s="53">
        <f>_xlfn.XLOOKUP(E246,'④考勤-B-a-26考勤汇总表'!D:D,'④考勤-B-a-26考勤汇总表'!AP:AP,0)</f>
        <v>31</v>
      </c>
      <c r="R246" s="53" t="str">
        <f t="shared" si="60"/>
        <v/>
      </c>
      <c r="S246" s="53">
        <f t="shared" si="56"/>
        <v>82953.3</v>
      </c>
      <c r="T246" s="53">
        <v>84943.3</v>
      </c>
      <c r="U246" s="53">
        <v>-1990</v>
      </c>
      <c r="V246" s="53">
        <v>0</v>
      </c>
      <c r="W246" s="53">
        <f>_xlfn.XLOOKUP(E246,'⑤项目数-B-a-③消耗明细表'!C:C,'⑤项目数-B-a-③消耗明细表'!E:E,0)</f>
        <v>26333.16</v>
      </c>
      <c r="X246" s="53">
        <f>_xlfn.XLOOKUP(E246,'⑤项目数-B-a-③消耗明细表'!C:C,'⑤项目数-B-a-③消耗明细表'!D:D,0)</f>
        <v>99</v>
      </c>
      <c r="Y246" s="53">
        <f>_xlfn.XLOOKUP(E246,'⑤项目数-B-a-③消耗明细表'!C:C,'⑤项目数-B-a-③消耗明细表'!F:F,0)</f>
        <v>1450</v>
      </c>
      <c r="Z246" s="53">
        <f>_xlfn.XLOOKUP(E246,'⑤项目数-B-a-③消耗明细表'!C:C,'⑤项目数-B-a-③消耗明细表'!G:G,0)</f>
        <v>175</v>
      </c>
      <c r="AA246" s="84">
        <f t="shared" si="52"/>
        <v>1</v>
      </c>
      <c r="AB246" s="84">
        <f t="shared" si="53"/>
        <v>1</v>
      </c>
      <c r="AC246" s="53">
        <f>_xlfn.XLOOKUP(F246,'⑥战队统计表-B-a-②呈现-业绩明细表④'!A:A,'⑥战队统计表-B-a-②呈现-业绩明细表④'!B:B,0)</f>
        <v>3</v>
      </c>
      <c r="AD246" s="53" t="str">
        <f t="shared" si="57"/>
        <v/>
      </c>
      <c r="AE246" s="59">
        <f>IF(AD246="",_xlfn.XLOOKUP(F246,'⑥战队统计表-B-a-②呈现-业绩明细表④'!A:A,'⑥战队统计表-B-a-②呈现-业绩明细表④'!D:D,0),0)</f>
        <v>0.05</v>
      </c>
      <c r="AF246" s="85">
        <f>IF(AND(E246="T区",E246="门店T区"),"",IF(AD246="",0,IF(R246="",LOOKUP(S246,'②提成标准-B-a-①-增加'!$B$16:$B$20,'②提成标准-B-a-①-增加'!$D$16:$D$20),LOOKUP(S246/Q246,'②提成标准-B-a-①-增加'!$B$23:$B$27,'②提成标准-B-a-①-增加'!$D$23:$D$27))))</f>
        <v>0</v>
      </c>
      <c r="AG246" s="85">
        <f t="shared" si="54"/>
        <v>0.05</v>
      </c>
      <c r="AH246" s="60">
        <f t="shared" si="61"/>
        <v>4034.8067499999997</v>
      </c>
      <c r="AI246" s="86">
        <f t="shared" si="62"/>
        <v>-61.441249999999997</v>
      </c>
      <c r="AJ246" s="60">
        <f t="shared" si="58"/>
        <v>3973.3654999999999</v>
      </c>
      <c r="AK246" s="87">
        <f>IF(AB246=1,IFERROR(S246/VLOOKUP(F246,'⑥战队统计表-B-a-②呈现-业绩明细表④'!A:C,3,0),0),0)</f>
        <v>0.77856063521262919</v>
      </c>
      <c r="AL246" s="85">
        <f t="shared" si="63"/>
        <v>0.22143936478737081</v>
      </c>
      <c r="AM246" s="53">
        <f>IF(D246="顾问",_xlfn.XLOOKUP(F246,'⑥战队统计表-B-a-②呈现-业绩明细表④'!A:A,'⑥战队统计表-B-a-②呈现-业绩明细表④'!H:H,0),"")</f>
        <v>0</v>
      </c>
      <c r="AN246" s="53" t="str">
        <f t="shared" si="55"/>
        <v>凤凰山+冲锋队</v>
      </c>
    </row>
    <row r="247" spans="1:40" hidden="1" x14ac:dyDescent="0.15">
      <c r="A247" s="79" t="s">
        <v>428</v>
      </c>
      <c r="B247" s="98" t="s">
        <v>251</v>
      </c>
      <c r="C247" s="81" t="s">
        <v>37</v>
      </c>
      <c r="D247" s="82" t="s">
        <v>6</v>
      </c>
      <c r="E247" s="82" t="s">
        <v>253</v>
      </c>
      <c r="F247" s="53" t="str">
        <f t="shared" si="49"/>
        <v>凤凰山+冲锋队</v>
      </c>
      <c r="G247" s="53">
        <f>IFERROR(_xlfn.XLOOKUP(B247,'①门店信息-A-a-①-增加'!B:B,'①门店信息-A-a-①-增加'!E:E,0),"")</f>
        <v>0</v>
      </c>
      <c r="H247" s="54">
        <f>_xlfn.XLOOKUP(B247,'①门店信息-A-a-①-增加'!B:B,'①门店信息-A-a-①-增加'!F:F,0)</f>
        <v>0</v>
      </c>
      <c r="I247" s="55">
        <f>_xlfn.XLOOKUP(E247,'③新店考核-B-a-②呈现-业绩明细表-③'!B:B,'③新店考核-B-a-②呈现-业绩明细表-③'!E:E,0)</f>
        <v>0</v>
      </c>
      <c r="J247" s="54">
        <f>_xlfn.XLOOKUP(E247,'③新店考核-B-a-②呈现-业绩明细表-③'!B:B,'③新店考核-B-a-②呈现-业绩明细表-③'!F:F,0)</f>
        <v>0</v>
      </c>
      <c r="K247" s="55">
        <f>IF(H247="新店一阶段",LOOKUP(I247,'②提成标准-B-a-①-增加'!$M$9:$M$12,'②提成标准-B-a-①-增加'!$O$9:$O$12),0)</f>
        <v>0</v>
      </c>
      <c r="L247" s="56">
        <f t="shared" si="50"/>
        <v>14872.4</v>
      </c>
      <c r="M247" s="57">
        <f>_xlfn.XLOOKUP(E247,'③新店考核-B-a-②呈现-业绩明细表-③'!B:B,'③新店考核-B-a-②呈现-业绩明细表-③'!G:G,0)</f>
        <v>0</v>
      </c>
      <c r="N247" s="58" t="str">
        <f>LOOKUP(M247,'②提成标准-B-a-①-增加'!$M$1:$M$4,'②提成标准-B-a-①-增加'!$O$1:$O$4)</f>
        <v>同老店</v>
      </c>
      <c r="O247" s="57">
        <f>_xlfn.XLOOKUP(E247,'③新店考核-B-a-②呈现-业绩明细表-③'!B:B,'③新店考核-B-a-②呈现-业绩明细表-③'!H:H,0)</f>
        <v>0</v>
      </c>
      <c r="P247" s="57">
        <f t="shared" si="51"/>
        <v>14872.4</v>
      </c>
      <c r="Q247" s="53">
        <f>_xlfn.XLOOKUP(E247,'④考勤-B-a-26考勤汇总表'!D:D,'④考勤-B-a-26考勤汇总表'!AP:AP,0)</f>
        <v>31</v>
      </c>
      <c r="R247" s="53" t="str">
        <f t="shared" si="60"/>
        <v/>
      </c>
      <c r="S247" s="53">
        <f t="shared" si="56"/>
        <v>15460.4</v>
      </c>
      <c r="T247" s="53">
        <v>14872.4</v>
      </c>
      <c r="U247" s="53">
        <v>0</v>
      </c>
      <c r="V247" s="53">
        <v>588</v>
      </c>
      <c r="W247" s="53">
        <f>_xlfn.XLOOKUP(E247,'⑤项目数-B-a-③消耗明细表'!C:C,'⑤项目数-B-a-③消耗明细表'!E:E,0)</f>
        <v>5446.22</v>
      </c>
      <c r="X247" s="53">
        <f>_xlfn.XLOOKUP(E247,'⑤项目数-B-a-③消耗明细表'!C:C,'⑤项目数-B-a-③消耗明细表'!D:D,0)</f>
        <v>85</v>
      </c>
      <c r="Y247" s="53">
        <f>_xlfn.XLOOKUP(E247,'⑤项目数-B-a-③消耗明细表'!C:C,'⑤项目数-B-a-③消耗明细表'!F:F,0)</f>
        <v>1089</v>
      </c>
      <c r="Z247" s="53">
        <f>_xlfn.XLOOKUP(E247,'⑤项目数-B-a-③消耗明细表'!C:C,'⑤项目数-B-a-③消耗明细表'!G:G,0)</f>
        <v>20</v>
      </c>
      <c r="AA247" s="84">
        <f t="shared" si="52"/>
        <v>1</v>
      </c>
      <c r="AB247" s="84">
        <f t="shared" si="53"/>
        <v>1</v>
      </c>
      <c r="AC247" s="53">
        <f>_xlfn.XLOOKUP(F247,'⑥战队统计表-B-a-②呈现-业绩明细表④'!A:A,'⑥战队统计表-B-a-②呈现-业绩明细表④'!B:B,0)</f>
        <v>3</v>
      </c>
      <c r="AD247" s="53" t="str">
        <f t="shared" si="57"/>
        <v/>
      </c>
      <c r="AE247" s="59">
        <f>IF(AD247="",_xlfn.XLOOKUP(F247,'⑥战队统计表-B-a-②呈现-业绩明细表④'!A:A,'⑥战队统计表-B-a-②呈现-业绩明细表④'!D:D,0),0)</f>
        <v>0.05</v>
      </c>
      <c r="AF247" s="85">
        <f>IF(AND(E247="T区",E247="门店T区"),"",IF(AD247="",0,IF(R247="",LOOKUP(S247,'②提成标准-B-a-①-增加'!$B$16:$B$20,'②提成标准-B-a-①-增加'!$D$16:$D$20),LOOKUP(S247/Q247,'②提成标准-B-a-①-增加'!$B$23:$B$27,'②提成标准-B-a-①-增加'!$D$23:$D$27))))</f>
        <v>0</v>
      </c>
      <c r="AG247" s="85">
        <f t="shared" si="54"/>
        <v>0.05</v>
      </c>
      <c r="AH247" s="60">
        <f t="shared" si="61"/>
        <v>706.43899999999996</v>
      </c>
      <c r="AI247" s="86">
        <f t="shared" si="62"/>
        <v>0</v>
      </c>
      <c r="AJ247" s="60">
        <f t="shared" si="58"/>
        <v>706.43899999999996</v>
      </c>
      <c r="AK247" s="87">
        <f>IF(AB247=1,IFERROR(S247/VLOOKUP(F247,'⑥战队统计表-B-a-②呈现-业绩明细表④'!A:C,3,0),0),0)</f>
        <v>0.14510403859329685</v>
      </c>
      <c r="AL247" s="85" t="str">
        <f t="shared" si="63"/>
        <v/>
      </c>
      <c r="AM247" s="53" t="str">
        <f>IF(D247="顾问",_xlfn.XLOOKUP(F247,'⑥战队统计表-B-a-②呈现-业绩明细表④'!A:A,'⑥战队统计表-B-a-②呈现-业绩明细表④'!H:H,0),"")</f>
        <v/>
      </c>
      <c r="AN247" s="53" t="str">
        <f t="shared" si="55"/>
        <v>凤凰山+冲锋队</v>
      </c>
    </row>
    <row r="248" spans="1:40" hidden="1" x14ac:dyDescent="0.15">
      <c r="A248" s="79" t="s">
        <v>428</v>
      </c>
      <c r="B248" s="98" t="s">
        <v>251</v>
      </c>
      <c r="C248" s="81" t="s">
        <v>37</v>
      </c>
      <c r="D248" s="82" t="s">
        <v>6</v>
      </c>
      <c r="E248" s="82" t="s">
        <v>254</v>
      </c>
      <c r="F248" s="53" t="str">
        <f t="shared" si="49"/>
        <v>凤凰山+冲锋队</v>
      </c>
      <c r="G248" s="53">
        <f>IFERROR(_xlfn.XLOOKUP(B248,'①门店信息-A-a-①-增加'!B:B,'①门店信息-A-a-①-增加'!E:E,0),"")</f>
        <v>0</v>
      </c>
      <c r="H248" s="54">
        <f>_xlfn.XLOOKUP(B248,'①门店信息-A-a-①-增加'!B:B,'①门店信息-A-a-①-增加'!F:F,0)</f>
        <v>0</v>
      </c>
      <c r="I248" s="55">
        <f>_xlfn.XLOOKUP(E248,'③新店考核-B-a-②呈现-业绩明细表-③'!B:B,'③新店考核-B-a-②呈现-业绩明细表-③'!E:E,0)</f>
        <v>0</v>
      </c>
      <c r="J248" s="54">
        <f>_xlfn.XLOOKUP(E248,'③新店考核-B-a-②呈现-业绩明细表-③'!B:B,'③新店考核-B-a-②呈现-业绩明细表-③'!F:F,0)</f>
        <v>0</v>
      </c>
      <c r="K248" s="55">
        <f>IF(H248="新店一阶段",LOOKUP(I248,'②提成标准-B-a-①-增加'!$M$9:$M$12,'②提成标准-B-a-①-增加'!$O$9:$O$12),0)</f>
        <v>0</v>
      </c>
      <c r="L248" s="56">
        <f t="shared" si="50"/>
        <v>8133.3</v>
      </c>
      <c r="M248" s="57">
        <f>_xlfn.XLOOKUP(E248,'③新店考核-B-a-②呈现-业绩明细表-③'!B:B,'③新店考核-B-a-②呈现-业绩明细表-③'!G:G,0)</f>
        <v>0</v>
      </c>
      <c r="N248" s="58" t="str">
        <f>LOOKUP(M248,'②提成标准-B-a-①-增加'!$M$1:$M$4,'②提成标准-B-a-①-增加'!$O$1:$O$4)</f>
        <v>同老店</v>
      </c>
      <c r="O248" s="57">
        <f>_xlfn.XLOOKUP(E248,'③新店考核-B-a-②呈现-业绩明细表-③'!B:B,'③新店考核-B-a-②呈现-业绩明细表-③'!H:H,0)</f>
        <v>0</v>
      </c>
      <c r="P248" s="57">
        <f t="shared" si="51"/>
        <v>8133.3</v>
      </c>
      <c r="Q248" s="53">
        <f>_xlfn.XLOOKUP(E248,'④考勤-B-a-26考勤汇总表'!D:D,'④考勤-B-a-26考勤汇总表'!AP:AP,0)</f>
        <v>31</v>
      </c>
      <c r="R248" s="53" t="str">
        <f t="shared" si="60"/>
        <v/>
      </c>
      <c r="S248" s="53">
        <f t="shared" si="56"/>
        <v>8133.3</v>
      </c>
      <c r="T248" s="53">
        <v>8133.3</v>
      </c>
      <c r="U248" s="53">
        <v>0</v>
      </c>
      <c r="V248" s="53">
        <v>0</v>
      </c>
      <c r="W248" s="53">
        <f>_xlfn.XLOOKUP(E248,'⑤项目数-B-a-③消耗明细表'!C:C,'⑤项目数-B-a-③消耗明细表'!E:E,0)</f>
        <v>5713.5</v>
      </c>
      <c r="X248" s="53">
        <f>_xlfn.XLOOKUP(E248,'⑤项目数-B-a-③消耗明细表'!C:C,'⑤项目数-B-a-③消耗明细表'!D:D,0)</f>
        <v>81</v>
      </c>
      <c r="Y248" s="53">
        <f>_xlfn.XLOOKUP(E248,'⑤项目数-B-a-③消耗明细表'!C:C,'⑤项目数-B-a-③消耗明细表'!F:F,0)</f>
        <v>1123</v>
      </c>
      <c r="Z248" s="53">
        <f>_xlfn.XLOOKUP(E248,'⑤项目数-B-a-③消耗明细表'!C:C,'⑤项目数-B-a-③消耗明细表'!G:G,0)</f>
        <v>0</v>
      </c>
      <c r="AA248" s="84">
        <f t="shared" si="52"/>
        <v>1</v>
      </c>
      <c r="AB248" s="84">
        <f t="shared" si="53"/>
        <v>1</v>
      </c>
      <c r="AC248" s="53">
        <f>_xlfn.XLOOKUP(F248,'⑥战队统计表-B-a-②呈现-业绩明细表④'!A:A,'⑥战队统计表-B-a-②呈现-业绩明细表④'!B:B,0)</f>
        <v>3</v>
      </c>
      <c r="AD248" s="53" t="str">
        <f t="shared" si="57"/>
        <v/>
      </c>
      <c r="AE248" s="59">
        <f>IF(AD248="",_xlfn.XLOOKUP(F248,'⑥战队统计表-B-a-②呈现-业绩明细表④'!A:A,'⑥战队统计表-B-a-②呈现-业绩明细表④'!D:D,0),0)</f>
        <v>0.05</v>
      </c>
      <c r="AF248" s="85">
        <f>IF(AND(E248="T区",E248="门店T区"),"",IF(AD248="",0,IF(R248="",LOOKUP(S248,'②提成标准-B-a-①-增加'!$B$16:$B$20,'②提成标准-B-a-①-增加'!$D$16:$D$20),LOOKUP(S248/Q248,'②提成标准-B-a-①-增加'!$B$23:$B$27,'②提成标准-B-a-①-增加'!$D$23:$D$27))))</f>
        <v>0</v>
      </c>
      <c r="AG248" s="85">
        <f t="shared" si="54"/>
        <v>0.05</v>
      </c>
      <c r="AH248" s="60">
        <f t="shared" si="61"/>
        <v>386.33175</v>
      </c>
      <c r="AI248" s="86">
        <f t="shared" si="62"/>
        <v>0</v>
      </c>
      <c r="AJ248" s="60">
        <f t="shared" si="58"/>
        <v>386.33175</v>
      </c>
      <c r="AK248" s="87">
        <f>IF(AB248=1,IFERROR(S248/VLOOKUP(F248,'⑥战队统计表-B-a-②呈现-业绩明细表④'!A:C,3,0),0),0)</f>
        <v>7.6335326194073974E-2</v>
      </c>
      <c r="AL248" s="85" t="str">
        <f t="shared" si="63"/>
        <v/>
      </c>
      <c r="AM248" s="53" t="str">
        <f>IF(D248="顾问",_xlfn.XLOOKUP(F248,'⑥战队统计表-B-a-②呈现-业绩明细表④'!A:A,'⑥战队统计表-B-a-②呈现-业绩明细表④'!H:H,0),"")</f>
        <v/>
      </c>
      <c r="AN248" s="53" t="str">
        <f t="shared" si="55"/>
        <v>凤凰山+冲锋队</v>
      </c>
    </row>
    <row r="249" spans="1:40" hidden="1" x14ac:dyDescent="0.15">
      <c r="A249" s="79" t="s">
        <v>428</v>
      </c>
      <c r="B249" s="98" t="s">
        <v>251</v>
      </c>
      <c r="C249" s="81" t="s">
        <v>36</v>
      </c>
      <c r="D249" s="82" t="s">
        <v>36</v>
      </c>
      <c r="E249" s="82" t="s">
        <v>36</v>
      </c>
      <c r="F249" s="53" t="str">
        <f t="shared" si="49"/>
        <v>凤凰山+T区</v>
      </c>
      <c r="G249" s="53">
        <f>IFERROR(_xlfn.XLOOKUP(B249,'①门店信息-A-a-①-增加'!B:B,'①门店信息-A-a-①-增加'!E:E,0),"")</f>
        <v>0</v>
      </c>
      <c r="H249" s="54">
        <f>_xlfn.XLOOKUP(B249,'①门店信息-A-a-①-增加'!B:B,'①门店信息-A-a-①-增加'!F:F,0)</f>
        <v>0</v>
      </c>
      <c r="I249" s="55">
        <f>_xlfn.XLOOKUP(E249,'③新店考核-B-a-②呈现-业绩明细表-③'!B:B,'③新店考核-B-a-②呈现-业绩明细表-③'!E:E,0)</f>
        <v>0</v>
      </c>
      <c r="J249" s="54">
        <f>_xlfn.XLOOKUP(E249,'③新店考核-B-a-②呈现-业绩明细表-③'!B:B,'③新店考核-B-a-②呈现-业绩明细表-③'!F:F,0)</f>
        <v>0</v>
      </c>
      <c r="K249" s="55">
        <f>IF(H249="新店一阶段",LOOKUP(I249,'②提成标准-B-a-①-增加'!$M$9:$M$12,'②提成标准-B-a-①-增加'!$O$9:$O$12),0)</f>
        <v>0</v>
      </c>
      <c r="L249" s="56">
        <f t="shared" si="50"/>
        <v>0</v>
      </c>
      <c r="M249" s="57">
        <f>_xlfn.XLOOKUP(E249,'③新店考核-B-a-②呈现-业绩明细表-③'!B:B,'③新店考核-B-a-②呈现-业绩明细表-③'!G:G,0)</f>
        <v>0</v>
      </c>
      <c r="N249" s="58" t="str">
        <f>LOOKUP(M249,'②提成标准-B-a-①-增加'!$M$1:$M$4,'②提成标准-B-a-①-增加'!$O$1:$O$4)</f>
        <v>同老店</v>
      </c>
      <c r="O249" s="57">
        <f>_xlfn.XLOOKUP(E249,'③新店考核-B-a-②呈现-业绩明细表-③'!B:B,'③新店考核-B-a-②呈现-业绩明细表-③'!H:H,0)</f>
        <v>0</v>
      </c>
      <c r="P249" s="57">
        <f t="shared" si="51"/>
        <v>0</v>
      </c>
      <c r="Q249" s="53">
        <f>_xlfn.XLOOKUP(E249,'④考勤-B-a-26考勤汇总表'!D:D,'④考勤-B-a-26考勤汇总表'!AP:AP,0)</f>
        <v>0</v>
      </c>
      <c r="R249" s="53" t="str">
        <f t="shared" si="60"/>
        <v/>
      </c>
      <c r="S249" s="53">
        <f t="shared" si="56"/>
        <v>0</v>
      </c>
      <c r="T249" s="53">
        <v>0</v>
      </c>
      <c r="U249" s="53">
        <v>0</v>
      </c>
      <c r="V249" s="53">
        <v>0</v>
      </c>
      <c r="W249" s="53">
        <f>_xlfn.XLOOKUP(E249,'⑤项目数-B-a-③消耗明细表'!C:C,'⑤项目数-B-a-③消耗明细表'!E:E,0)</f>
        <v>0</v>
      </c>
      <c r="X249" s="53">
        <f>_xlfn.XLOOKUP(E249,'⑤项目数-B-a-③消耗明细表'!C:C,'⑤项目数-B-a-③消耗明细表'!D:D,0)</f>
        <v>0</v>
      </c>
      <c r="Y249" s="53">
        <f>_xlfn.XLOOKUP(E249,'⑤项目数-B-a-③消耗明细表'!C:C,'⑤项目数-B-a-③消耗明细表'!F:F,0)</f>
        <v>0</v>
      </c>
      <c r="Z249" s="53">
        <f>_xlfn.XLOOKUP(E249,'⑤项目数-B-a-③消耗明细表'!C:C,'⑤项目数-B-a-③消耗明细表'!G:G,0)</f>
        <v>0</v>
      </c>
      <c r="AA249" s="84" t="str">
        <f t="shared" si="52"/>
        <v>不属于战队</v>
      </c>
      <c r="AB249" s="84">
        <f t="shared" si="53"/>
        <v>0</v>
      </c>
      <c r="AC249" s="53">
        <f>_xlfn.XLOOKUP(F249,'⑥战队统计表-B-a-②呈现-业绩明细表④'!A:A,'⑥战队统计表-B-a-②呈现-业绩明细表④'!B:B,0)</f>
        <v>0</v>
      </c>
      <c r="AD249" s="53">
        <f t="shared" si="57"/>
        <v>1</v>
      </c>
      <c r="AE249" s="59">
        <f>IF(AD249="",_xlfn.XLOOKUP(F249,'⑥战队统计表-B-a-②呈现-业绩明细表④'!A:A,'⑥战队统计表-B-a-②呈现-业绩明细表④'!D:D,0),0)</f>
        <v>0</v>
      </c>
      <c r="AF249" s="85">
        <f>IF(AND(E249="T区",E249="门店T区"),"",IF(AD249="",0,IF(R249="",LOOKUP(S249,'②提成标准-B-a-①-增加'!$B$16:$B$20,'②提成标准-B-a-①-增加'!$D$16:$D$20),LOOKUP(S249/Q249,'②提成标准-B-a-①-增加'!$B$23:$B$27,'②提成标准-B-a-①-增加'!$D$23:$D$27))))</f>
        <v>0</v>
      </c>
      <c r="AG249" s="85">
        <f t="shared" si="54"/>
        <v>0</v>
      </c>
      <c r="AH249" s="60">
        <f t="shared" si="61"/>
        <v>0</v>
      </c>
      <c r="AI249" s="86">
        <f t="shared" si="62"/>
        <v>0</v>
      </c>
      <c r="AJ249" s="60">
        <f t="shared" si="58"/>
        <v>0</v>
      </c>
      <c r="AK249" s="87">
        <f>IF(AB249=1,IFERROR(S249/VLOOKUP(F249,'⑥战队统计表-B-a-②呈现-业绩明细表④'!A:C,3,0),0),0)</f>
        <v>0</v>
      </c>
      <c r="AL249" s="85" t="str">
        <f t="shared" si="63"/>
        <v/>
      </c>
      <c r="AM249" s="53" t="str">
        <f>IF(D249="顾问",_xlfn.XLOOKUP(F249,'⑥战队统计表-B-a-②呈现-业绩明细表④'!A:A,'⑥战队统计表-B-a-②呈现-业绩明细表④'!H:H,0),"")</f>
        <v/>
      </c>
      <c r="AN249" s="53" t="str">
        <f t="shared" si="55"/>
        <v>单人</v>
      </c>
    </row>
    <row r="250" spans="1:40" hidden="1" x14ac:dyDescent="0.15">
      <c r="A250" s="79" t="s">
        <v>428</v>
      </c>
      <c r="B250" s="98" t="s">
        <v>251</v>
      </c>
      <c r="C250" s="89" t="s">
        <v>255</v>
      </c>
      <c r="D250" s="90" t="s">
        <v>32</v>
      </c>
      <c r="E250" s="90" t="s">
        <v>256</v>
      </c>
      <c r="F250" s="53" t="str">
        <f t="shared" si="49"/>
        <v>凤凰山+凤羽队</v>
      </c>
      <c r="G250" s="53">
        <f>IFERROR(_xlfn.XLOOKUP(B250,'①门店信息-A-a-①-增加'!B:B,'①门店信息-A-a-①-增加'!E:E,0),"")</f>
        <v>0</v>
      </c>
      <c r="H250" s="54">
        <f>_xlfn.XLOOKUP(B250,'①门店信息-A-a-①-增加'!B:B,'①门店信息-A-a-①-增加'!F:F,0)</f>
        <v>0</v>
      </c>
      <c r="I250" s="55">
        <f>_xlfn.XLOOKUP(E250,'③新店考核-B-a-②呈现-业绩明细表-③'!B:B,'③新店考核-B-a-②呈现-业绩明细表-③'!E:E,0)</f>
        <v>0</v>
      </c>
      <c r="J250" s="54">
        <f>_xlfn.XLOOKUP(E250,'③新店考核-B-a-②呈现-业绩明细表-③'!B:B,'③新店考核-B-a-②呈现-业绩明细表-③'!F:F,0)</f>
        <v>0</v>
      </c>
      <c r="K250" s="55">
        <f>IF(H250="新店一阶段",LOOKUP(I250,'②提成标准-B-a-①-增加'!$M$9:$M$12,'②提成标准-B-a-①-增加'!$O$9:$O$12),0)</f>
        <v>0</v>
      </c>
      <c r="L250" s="56">
        <f t="shared" si="50"/>
        <v>51303.1</v>
      </c>
      <c r="M250" s="57">
        <f>_xlfn.XLOOKUP(E250,'③新店考核-B-a-②呈现-业绩明细表-③'!B:B,'③新店考核-B-a-②呈现-业绩明细表-③'!G:G,0)</f>
        <v>0</v>
      </c>
      <c r="N250" s="58" t="str">
        <f>LOOKUP(M250,'②提成标准-B-a-①-增加'!$M$1:$M$4,'②提成标准-B-a-①-增加'!$O$1:$O$4)</f>
        <v>同老店</v>
      </c>
      <c r="O250" s="57">
        <f>_xlfn.XLOOKUP(E250,'③新店考核-B-a-②呈现-业绩明细表-③'!B:B,'③新店考核-B-a-②呈现-业绩明细表-③'!H:H,0)</f>
        <v>0</v>
      </c>
      <c r="P250" s="57">
        <f t="shared" si="51"/>
        <v>51303.1</v>
      </c>
      <c r="Q250" s="53">
        <f>_xlfn.XLOOKUP(E250,'④考勤-B-a-26考勤汇总表'!D:D,'④考勤-B-a-26考勤汇总表'!AP:AP,0)</f>
        <v>31</v>
      </c>
      <c r="R250" s="53" t="str">
        <f t="shared" si="60"/>
        <v/>
      </c>
      <c r="S250" s="53">
        <f t="shared" si="56"/>
        <v>57575.1</v>
      </c>
      <c r="T250" s="53">
        <v>51303.1</v>
      </c>
      <c r="U250" s="53">
        <v>6272</v>
      </c>
      <c r="V250" s="53">
        <v>0</v>
      </c>
      <c r="W250" s="53">
        <f>_xlfn.XLOOKUP(E250,'⑤项目数-B-a-③消耗明细表'!C:C,'⑤项目数-B-a-③消耗明细表'!E:E,0)</f>
        <v>20649.43</v>
      </c>
      <c r="X250" s="53">
        <f>_xlfn.XLOOKUP(E250,'⑤项目数-B-a-③消耗明细表'!C:C,'⑤项目数-B-a-③消耗明细表'!D:D,0)</f>
        <v>92</v>
      </c>
      <c r="Y250" s="53">
        <f>_xlfn.XLOOKUP(E250,'⑤项目数-B-a-③消耗明细表'!C:C,'⑤项目数-B-a-③消耗明细表'!F:F,0)</f>
        <v>1160</v>
      </c>
      <c r="Z250" s="53">
        <f>_xlfn.XLOOKUP(E250,'⑤项目数-B-a-③消耗明细表'!C:C,'⑤项目数-B-a-③消耗明细表'!G:G,0)</f>
        <v>60</v>
      </c>
      <c r="AA250" s="84">
        <f t="shared" si="52"/>
        <v>1</v>
      </c>
      <c r="AB250" s="84">
        <f t="shared" si="53"/>
        <v>1</v>
      </c>
      <c r="AC250" s="53">
        <f>_xlfn.XLOOKUP(F250,'⑥战队统计表-B-a-②呈现-业绩明细表④'!A:A,'⑥战队统计表-B-a-②呈现-业绩明细表④'!B:B,0)</f>
        <v>2</v>
      </c>
      <c r="AD250" s="53" t="str">
        <f t="shared" si="57"/>
        <v/>
      </c>
      <c r="AE250" s="59">
        <f>IF(AD250="",_xlfn.XLOOKUP(F250,'⑥战队统计表-B-a-②呈现-业绩明细表④'!A:A,'⑥战队统计表-B-a-②呈现-业绩明细表④'!D:D,0),0)</f>
        <v>0.05</v>
      </c>
      <c r="AF250" s="85">
        <f>IF(AND(E250="T区",E250="门店T区"),"",IF(AD250="",0,IF(R250="",LOOKUP(S250,'②提成标准-B-a-①-增加'!$B$16:$B$20,'②提成标准-B-a-①-增加'!$D$16:$D$20),LOOKUP(S250/Q250,'②提成标准-B-a-①-增加'!$B$23:$B$27,'②提成标准-B-a-①-增加'!$D$23:$D$27))))</f>
        <v>0</v>
      </c>
      <c r="AG250" s="85">
        <f t="shared" si="54"/>
        <v>0.05</v>
      </c>
      <c r="AH250" s="60">
        <f t="shared" si="61"/>
        <v>2436.89725</v>
      </c>
      <c r="AI250" s="86">
        <f t="shared" si="62"/>
        <v>193.64800000000002</v>
      </c>
      <c r="AJ250" s="60">
        <f t="shared" si="58"/>
        <v>2630.5452500000001</v>
      </c>
      <c r="AK250" s="87">
        <f>IF(AB250=1,IFERROR(S250/VLOOKUP(F250,'⑥战队统计表-B-a-②呈现-业绩明细表④'!A:C,3,0),0),0)</f>
        <v>0.8683005619248414</v>
      </c>
      <c r="AL250" s="85">
        <f t="shared" si="63"/>
        <v>0.13169943807515858</v>
      </c>
      <c r="AM250" s="53">
        <f>IF(D250="顾问",_xlfn.XLOOKUP(F250,'⑥战队统计表-B-a-②呈现-业绩明细表④'!A:A,'⑥战队统计表-B-a-②呈现-业绩明细表④'!H:H,0),"")</f>
        <v>0</v>
      </c>
      <c r="AN250" s="53" t="str">
        <f t="shared" si="55"/>
        <v>凤凰山+凤羽队</v>
      </c>
    </row>
    <row r="251" spans="1:40" s="112" customFormat="1" hidden="1" x14ac:dyDescent="0.15">
      <c r="A251" s="79" t="s">
        <v>428</v>
      </c>
      <c r="B251" s="104" t="s">
        <v>251</v>
      </c>
      <c r="C251" s="82" t="s">
        <v>255</v>
      </c>
      <c r="D251" s="82" t="s">
        <v>6</v>
      </c>
      <c r="E251" s="104" t="s">
        <v>257</v>
      </c>
      <c r="F251" s="53" t="str">
        <f t="shared" si="49"/>
        <v>凤凰山+凤羽队</v>
      </c>
      <c r="G251" s="53">
        <f>IFERROR(_xlfn.XLOOKUP(B251,'①门店信息-A-a-①-增加'!B:B,'①门店信息-A-a-①-增加'!E:E,0),"")</f>
        <v>0</v>
      </c>
      <c r="H251" s="54">
        <f>_xlfn.XLOOKUP(B251,'①门店信息-A-a-①-增加'!B:B,'①门店信息-A-a-①-增加'!F:F,0)</f>
        <v>0</v>
      </c>
      <c r="I251" s="55">
        <f>_xlfn.XLOOKUP(E251,'③新店考核-B-a-②呈现-业绩明细表-③'!B:B,'③新店考核-B-a-②呈现-业绩明细表-③'!E:E,0)</f>
        <v>0</v>
      </c>
      <c r="J251" s="54">
        <f>_xlfn.XLOOKUP(E251,'③新店考核-B-a-②呈现-业绩明细表-③'!B:B,'③新店考核-B-a-②呈现-业绩明细表-③'!F:F,0)</f>
        <v>0</v>
      </c>
      <c r="K251" s="55">
        <f>IF(H251="新店一阶段",LOOKUP(I251,'②提成标准-B-a-①-增加'!$M$9:$M$12,'②提成标准-B-a-①-增加'!$O$9:$O$12),0)</f>
        <v>0</v>
      </c>
      <c r="L251" s="56">
        <f t="shared" si="50"/>
        <v>8678</v>
      </c>
      <c r="M251" s="57">
        <f>_xlfn.XLOOKUP(E251,'③新店考核-B-a-②呈现-业绩明细表-③'!B:B,'③新店考核-B-a-②呈现-业绩明细表-③'!G:G,0)</f>
        <v>0</v>
      </c>
      <c r="N251" s="58" t="str">
        <f>LOOKUP(M251,'②提成标准-B-a-①-增加'!$M$1:$M$4,'②提成标准-B-a-①-增加'!$O$1:$O$4)</f>
        <v>同老店</v>
      </c>
      <c r="O251" s="57">
        <f>_xlfn.XLOOKUP(E251,'③新店考核-B-a-②呈现-业绩明细表-③'!B:B,'③新店考核-B-a-②呈现-业绩明细表-③'!H:H,0)</f>
        <v>0</v>
      </c>
      <c r="P251" s="57">
        <f t="shared" si="51"/>
        <v>8678</v>
      </c>
      <c r="Q251" s="53">
        <f>_xlfn.XLOOKUP(E251,'④考勤-B-a-26考勤汇总表'!D:D,'④考勤-B-a-26考勤汇总表'!AP:AP,0)</f>
        <v>7</v>
      </c>
      <c r="R251" s="53" t="str">
        <f t="shared" si="60"/>
        <v>不足月</v>
      </c>
      <c r="S251" s="53">
        <f t="shared" si="56"/>
        <v>6688</v>
      </c>
      <c r="T251" s="53">
        <v>8678</v>
      </c>
      <c r="U251" s="53">
        <v>-1990</v>
      </c>
      <c r="V251" s="53">
        <v>0</v>
      </c>
      <c r="W251" s="53">
        <f>_xlfn.XLOOKUP(E251,'⑤项目数-B-a-③消耗明细表'!C:C,'⑤项目数-B-a-③消耗明细表'!E:E,0)</f>
        <v>8727.02</v>
      </c>
      <c r="X251" s="53">
        <f>_xlfn.XLOOKUP(E251,'⑤项目数-B-a-③消耗明细表'!C:C,'⑤项目数-B-a-③消耗明细表'!D:D,0)</f>
        <v>12</v>
      </c>
      <c r="Y251" s="53">
        <f>_xlfn.XLOOKUP(E251,'⑤项目数-B-a-③消耗明细表'!C:C,'⑤项目数-B-a-③消耗明细表'!F:F,0)</f>
        <v>49</v>
      </c>
      <c r="Z251" s="53">
        <f>_xlfn.XLOOKUP(E251,'⑤项目数-B-a-③消耗明细表'!C:C,'⑤项目数-B-a-③消耗明细表'!G:G,0)</f>
        <v>0</v>
      </c>
      <c r="AA251" s="84">
        <f t="shared" si="52"/>
        <v>1</v>
      </c>
      <c r="AB251" s="84">
        <f t="shared" si="53"/>
        <v>0</v>
      </c>
      <c r="AC251" s="53">
        <f>_xlfn.XLOOKUP(F251,'⑥战队统计表-B-a-②呈现-业绩明细表④'!A:A,'⑥战队统计表-B-a-②呈现-业绩明细表④'!B:B,0)</f>
        <v>2</v>
      </c>
      <c r="AD251" s="53">
        <f t="shared" si="57"/>
        <v>1</v>
      </c>
      <c r="AE251" s="59">
        <f>IF(AD251="",_xlfn.XLOOKUP(F251,'⑥战队统计表-B-a-②呈现-业绩明细表④'!A:A,'⑥战队统计表-B-a-②呈现-业绩明细表④'!D:D,0),0)</f>
        <v>0</v>
      </c>
      <c r="AF251" s="85">
        <f>IF(AND(E251="T区",E251="门店T区"),"",IF(AD251="",0,IF(R251="",LOOKUP(S251,'②提成标准-B-a-①-增加'!$B$16:$B$20,'②提成标准-B-a-①-增加'!$D$16:$D$20),LOOKUP(S251/Q251,'②提成标准-B-a-①-增加'!$B$23:$B$27,'②提成标准-B-a-①-增加'!$D$23:$D$27))))</f>
        <v>0.04</v>
      </c>
      <c r="AG251" s="85">
        <f t="shared" si="54"/>
        <v>0.04</v>
      </c>
      <c r="AH251" s="60">
        <f t="shared" si="61"/>
        <v>329.76400000000001</v>
      </c>
      <c r="AI251" s="86">
        <f t="shared" si="62"/>
        <v>-49.153000000000006</v>
      </c>
      <c r="AJ251" s="60">
        <f t="shared" si="58"/>
        <v>280.61099999999999</v>
      </c>
      <c r="AK251" s="87">
        <f>IF(AB251=1,IFERROR(S251/VLOOKUP(F251,'⑥战队统计表-B-a-②呈现-业绩明细表④'!A:C,3,0),0),0)</f>
        <v>0</v>
      </c>
      <c r="AL251" s="85" t="str">
        <f t="shared" si="63"/>
        <v/>
      </c>
      <c r="AM251" s="53" t="str">
        <f>IF(D251="顾问",_xlfn.XLOOKUP(F251,'⑥战队统计表-B-a-②呈现-业绩明细表④'!A:A,'⑥战队统计表-B-a-②呈现-业绩明细表④'!H:H,0),"")</f>
        <v/>
      </c>
      <c r="AN251" s="53" t="str">
        <f t="shared" si="55"/>
        <v>单人</v>
      </c>
    </row>
    <row r="252" spans="1:40" s="112" customFormat="1" hidden="1" x14ac:dyDescent="0.15">
      <c r="A252" s="79" t="s">
        <v>428</v>
      </c>
      <c r="B252" s="104" t="s">
        <v>251</v>
      </c>
      <c r="C252" s="82" t="s">
        <v>255</v>
      </c>
      <c r="D252" s="82" t="s">
        <v>6</v>
      </c>
      <c r="E252" s="104" t="s">
        <v>258</v>
      </c>
      <c r="F252" s="53" t="str">
        <f t="shared" si="49"/>
        <v>凤凰山+凤羽队</v>
      </c>
      <c r="G252" s="53">
        <f>IFERROR(_xlfn.XLOOKUP(B252,'①门店信息-A-a-①-增加'!B:B,'①门店信息-A-a-①-增加'!E:E,0),"")</f>
        <v>0</v>
      </c>
      <c r="H252" s="54">
        <f>_xlfn.XLOOKUP(B252,'①门店信息-A-a-①-增加'!B:B,'①门店信息-A-a-①-增加'!F:F,0)</f>
        <v>0</v>
      </c>
      <c r="I252" s="55">
        <f>_xlfn.XLOOKUP(E252,'③新店考核-B-a-②呈现-业绩明细表-③'!B:B,'③新店考核-B-a-②呈现-业绩明细表-③'!E:E,0)</f>
        <v>0</v>
      </c>
      <c r="J252" s="54">
        <f>_xlfn.XLOOKUP(E252,'③新店考核-B-a-②呈现-业绩明细表-③'!B:B,'③新店考核-B-a-②呈现-业绩明细表-③'!F:F,0)</f>
        <v>0</v>
      </c>
      <c r="K252" s="55">
        <f>IF(H252="新店一阶段",LOOKUP(I252,'②提成标准-B-a-①-增加'!$M$9:$M$12,'②提成标准-B-a-①-增加'!$O$9:$O$12),0)</f>
        <v>0</v>
      </c>
      <c r="L252" s="56">
        <f t="shared" si="50"/>
        <v>5924.7</v>
      </c>
      <c r="M252" s="57">
        <f>_xlfn.XLOOKUP(E252,'③新店考核-B-a-②呈现-业绩明细表-③'!B:B,'③新店考核-B-a-②呈现-业绩明细表-③'!G:G,0)</f>
        <v>0</v>
      </c>
      <c r="N252" s="58" t="str">
        <f>LOOKUP(M252,'②提成标准-B-a-①-增加'!$M$1:$M$4,'②提成标准-B-a-①-增加'!$O$1:$O$4)</f>
        <v>同老店</v>
      </c>
      <c r="O252" s="57">
        <f>_xlfn.XLOOKUP(E252,'③新店考核-B-a-②呈现-业绩明细表-③'!B:B,'③新店考核-B-a-②呈现-业绩明细表-③'!H:H,0)</f>
        <v>0</v>
      </c>
      <c r="P252" s="57">
        <f t="shared" si="51"/>
        <v>5924.7</v>
      </c>
      <c r="Q252" s="53">
        <f>_xlfn.XLOOKUP(E252,'④考勤-B-a-26考勤汇总表'!D:D,'④考勤-B-a-26考勤汇总表'!AP:AP,0)</f>
        <v>31</v>
      </c>
      <c r="R252" s="53" t="str">
        <f t="shared" si="60"/>
        <v/>
      </c>
      <c r="S252" s="53">
        <f t="shared" si="56"/>
        <v>8732.7000000000007</v>
      </c>
      <c r="T252" s="53">
        <v>5924.7</v>
      </c>
      <c r="U252" s="53">
        <v>1568</v>
      </c>
      <c r="V252" s="53">
        <v>1240</v>
      </c>
      <c r="W252" s="53">
        <f>_xlfn.XLOOKUP(E252,'⑤项目数-B-a-③消耗明细表'!C:C,'⑤项目数-B-a-③消耗明细表'!E:E,0)</f>
        <v>6608.24</v>
      </c>
      <c r="X252" s="53">
        <f>_xlfn.XLOOKUP(E252,'⑤项目数-B-a-③消耗明细表'!C:C,'⑤项目数-B-a-③消耗明细表'!D:D,0)</f>
        <v>105</v>
      </c>
      <c r="Y252" s="53">
        <f>_xlfn.XLOOKUP(E252,'⑤项目数-B-a-③消耗明细表'!C:C,'⑤项目数-B-a-③消耗明细表'!F:F,0)</f>
        <v>1263</v>
      </c>
      <c r="Z252" s="53">
        <f>_xlfn.XLOOKUP(E252,'⑤项目数-B-a-③消耗明细表'!C:C,'⑤项目数-B-a-③消耗明细表'!G:G,0)</f>
        <v>0</v>
      </c>
      <c r="AA252" s="84">
        <f t="shared" si="52"/>
        <v>1</v>
      </c>
      <c r="AB252" s="84">
        <f t="shared" si="53"/>
        <v>1</v>
      </c>
      <c r="AC252" s="53">
        <f>_xlfn.XLOOKUP(F252,'⑥战队统计表-B-a-②呈现-业绩明细表④'!A:A,'⑥战队统计表-B-a-②呈现-业绩明细表④'!B:B,0)</f>
        <v>2</v>
      </c>
      <c r="AD252" s="53" t="str">
        <f t="shared" si="57"/>
        <v/>
      </c>
      <c r="AE252" s="59">
        <f>IF(AD252="",_xlfn.XLOOKUP(F252,'⑥战队统计表-B-a-②呈现-业绩明细表④'!A:A,'⑥战队统计表-B-a-②呈现-业绩明细表④'!D:D,0),0)</f>
        <v>0.05</v>
      </c>
      <c r="AF252" s="85">
        <f>IF(AND(E252="T区",E252="门店T区"),"",IF(AD252="",0,IF(R252="",LOOKUP(S252,'②提成标准-B-a-①-增加'!$B$16:$B$20,'②提成标准-B-a-①-增加'!$D$16:$D$20),LOOKUP(S252/Q252,'②提成标准-B-a-①-增加'!$B$23:$B$27,'②提成标准-B-a-①-增加'!$D$23:$D$27))))</f>
        <v>0</v>
      </c>
      <c r="AG252" s="85">
        <f t="shared" si="54"/>
        <v>0.05</v>
      </c>
      <c r="AH252" s="60">
        <f t="shared" si="61"/>
        <v>281.42325</v>
      </c>
      <c r="AI252" s="86">
        <f t="shared" si="62"/>
        <v>48.412000000000006</v>
      </c>
      <c r="AJ252" s="60">
        <f t="shared" si="58"/>
        <v>329.83524999999997</v>
      </c>
      <c r="AK252" s="87">
        <f>IF(AB252=1,IFERROR(S252/VLOOKUP(F252,'⑥战队统计表-B-a-②呈现-业绩明细表④'!A:C,3,0),0),0)</f>
        <v>0.13169943807515858</v>
      </c>
      <c r="AL252" s="85" t="str">
        <f t="shared" si="63"/>
        <v/>
      </c>
      <c r="AM252" s="53" t="str">
        <f>IF(D252="顾问",_xlfn.XLOOKUP(F252,'⑥战队统计表-B-a-②呈现-业绩明细表④'!A:A,'⑥战队统计表-B-a-②呈现-业绩明细表④'!H:H,0),"")</f>
        <v/>
      </c>
      <c r="AN252" s="53" t="str">
        <f t="shared" si="55"/>
        <v>凤凰山+凤羽队</v>
      </c>
    </row>
    <row r="253" spans="1:40" s="112" customFormat="1" hidden="1" x14ac:dyDescent="0.15">
      <c r="A253" s="79" t="s">
        <v>428</v>
      </c>
      <c r="B253" s="104" t="s">
        <v>251</v>
      </c>
      <c r="C253" s="82" t="s">
        <v>36</v>
      </c>
      <c r="D253" s="82" t="s">
        <v>36</v>
      </c>
      <c r="E253" s="104" t="s">
        <v>36</v>
      </c>
      <c r="F253" s="53" t="str">
        <f t="shared" si="49"/>
        <v>凤凰山+T区</v>
      </c>
      <c r="G253" s="53">
        <f>IFERROR(_xlfn.XLOOKUP(B253,'①门店信息-A-a-①-增加'!B:B,'①门店信息-A-a-①-增加'!E:E,0),"")</f>
        <v>0</v>
      </c>
      <c r="H253" s="54">
        <f>_xlfn.XLOOKUP(B253,'①门店信息-A-a-①-增加'!B:B,'①门店信息-A-a-①-增加'!F:F,0)</f>
        <v>0</v>
      </c>
      <c r="I253" s="55">
        <f>_xlfn.XLOOKUP(E253,'③新店考核-B-a-②呈现-业绩明细表-③'!B:B,'③新店考核-B-a-②呈现-业绩明细表-③'!E:E,0)</f>
        <v>0</v>
      </c>
      <c r="J253" s="54">
        <f>_xlfn.XLOOKUP(E253,'③新店考核-B-a-②呈现-业绩明细表-③'!B:B,'③新店考核-B-a-②呈现-业绩明细表-③'!F:F,0)</f>
        <v>0</v>
      </c>
      <c r="K253" s="55">
        <f>IF(H253="新店一阶段",LOOKUP(I253,'②提成标准-B-a-①-增加'!$M$9:$M$12,'②提成标准-B-a-①-增加'!$O$9:$O$12),0)</f>
        <v>0</v>
      </c>
      <c r="L253" s="56">
        <f t="shared" si="50"/>
        <v>0</v>
      </c>
      <c r="M253" s="57">
        <f>_xlfn.XLOOKUP(E253,'③新店考核-B-a-②呈现-业绩明细表-③'!B:B,'③新店考核-B-a-②呈现-业绩明细表-③'!G:G,0)</f>
        <v>0</v>
      </c>
      <c r="N253" s="58" t="str">
        <f>LOOKUP(M253,'②提成标准-B-a-①-增加'!$M$1:$M$4,'②提成标准-B-a-①-增加'!$O$1:$O$4)</f>
        <v>同老店</v>
      </c>
      <c r="O253" s="57">
        <f>_xlfn.XLOOKUP(E253,'③新店考核-B-a-②呈现-业绩明细表-③'!B:B,'③新店考核-B-a-②呈现-业绩明细表-③'!H:H,0)</f>
        <v>0</v>
      </c>
      <c r="P253" s="57">
        <f t="shared" si="51"/>
        <v>0</v>
      </c>
      <c r="Q253" s="53">
        <f>_xlfn.XLOOKUP(E253,'④考勤-B-a-26考勤汇总表'!D:D,'④考勤-B-a-26考勤汇总表'!AP:AP,0)</f>
        <v>0</v>
      </c>
      <c r="R253" s="53" t="str">
        <f t="shared" si="60"/>
        <v/>
      </c>
      <c r="S253" s="53">
        <f t="shared" si="56"/>
        <v>0</v>
      </c>
      <c r="T253" s="53">
        <v>0</v>
      </c>
      <c r="U253" s="53">
        <v>0</v>
      </c>
      <c r="V253" s="53">
        <v>0</v>
      </c>
      <c r="W253" s="53">
        <f>_xlfn.XLOOKUP(E253,'⑤项目数-B-a-③消耗明细表'!C:C,'⑤项目数-B-a-③消耗明细表'!E:E,0)</f>
        <v>0</v>
      </c>
      <c r="X253" s="53">
        <f>_xlfn.XLOOKUP(E253,'⑤项目数-B-a-③消耗明细表'!C:C,'⑤项目数-B-a-③消耗明细表'!D:D,0)</f>
        <v>0</v>
      </c>
      <c r="Y253" s="53">
        <f>_xlfn.XLOOKUP(E253,'⑤项目数-B-a-③消耗明细表'!C:C,'⑤项目数-B-a-③消耗明细表'!F:F,0)</f>
        <v>0</v>
      </c>
      <c r="Z253" s="53">
        <f>_xlfn.XLOOKUP(E253,'⑤项目数-B-a-③消耗明细表'!C:C,'⑤项目数-B-a-③消耗明细表'!G:G,0)</f>
        <v>0</v>
      </c>
      <c r="AA253" s="84" t="str">
        <f t="shared" si="52"/>
        <v>不属于战队</v>
      </c>
      <c r="AB253" s="84">
        <f t="shared" si="53"/>
        <v>0</v>
      </c>
      <c r="AC253" s="53">
        <f>_xlfn.XLOOKUP(F253,'⑥战队统计表-B-a-②呈现-业绩明细表④'!A:A,'⑥战队统计表-B-a-②呈现-业绩明细表④'!B:B,0)</f>
        <v>0</v>
      </c>
      <c r="AD253" s="53">
        <f t="shared" si="57"/>
        <v>1</v>
      </c>
      <c r="AE253" s="59">
        <f>IF(AD253="",_xlfn.XLOOKUP(F253,'⑥战队统计表-B-a-②呈现-业绩明细表④'!A:A,'⑥战队统计表-B-a-②呈现-业绩明细表④'!D:D,0),0)</f>
        <v>0</v>
      </c>
      <c r="AF253" s="85">
        <f>IF(AND(E253="T区",E253="门店T区"),"",IF(AD253="",0,IF(R253="",LOOKUP(S253,'②提成标准-B-a-①-增加'!$B$16:$B$20,'②提成标准-B-a-①-增加'!$D$16:$D$20),LOOKUP(S253/Q253,'②提成标准-B-a-①-增加'!$B$23:$B$27,'②提成标准-B-a-①-增加'!$D$23:$D$27))))</f>
        <v>0</v>
      </c>
      <c r="AG253" s="85">
        <f t="shared" si="54"/>
        <v>0</v>
      </c>
      <c r="AH253" s="60">
        <f t="shared" si="61"/>
        <v>0</v>
      </c>
      <c r="AI253" s="86">
        <f t="shared" si="62"/>
        <v>0</v>
      </c>
      <c r="AJ253" s="60">
        <f t="shared" si="58"/>
        <v>0</v>
      </c>
      <c r="AK253" s="87">
        <f>IF(AB253=1,IFERROR(S253/VLOOKUP(F253,'⑥战队统计表-B-a-②呈现-业绩明细表④'!A:C,3,0),0),0)</f>
        <v>0</v>
      </c>
      <c r="AL253" s="85" t="str">
        <f t="shared" si="63"/>
        <v/>
      </c>
      <c r="AM253" s="53" t="str">
        <f>IF(D253="顾问",_xlfn.XLOOKUP(F253,'⑥战队统计表-B-a-②呈现-业绩明细表④'!A:A,'⑥战队统计表-B-a-②呈现-业绩明细表④'!H:H,0),"")</f>
        <v/>
      </c>
      <c r="AN253" s="53" t="str">
        <f t="shared" si="55"/>
        <v>单人</v>
      </c>
    </row>
    <row r="254" spans="1:40" s="112" customFormat="1" hidden="1" x14ac:dyDescent="0.15">
      <c r="A254" s="79" t="s">
        <v>428</v>
      </c>
      <c r="B254" s="104" t="s">
        <v>251</v>
      </c>
      <c r="C254" s="82" t="s">
        <v>40</v>
      </c>
      <c r="D254" s="82" t="s">
        <v>40</v>
      </c>
      <c r="E254" s="88" t="str">
        <f>F254</f>
        <v>凤凰山+门店T区</v>
      </c>
      <c r="F254" s="53" t="str">
        <f t="shared" si="49"/>
        <v>凤凰山+门店T区</v>
      </c>
      <c r="G254" s="53">
        <f>IFERROR(_xlfn.XLOOKUP(B254,'①门店信息-A-a-①-增加'!B:B,'①门店信息-A-a-①-增加'!E:E,0),"")</f>
        <v>0</v>
      </c>
      <c r="H254" s="54">
        <f>_xlfn.XLOOKUP(B254,'①门店信息-A-a-①-增加'!B:B,'①门店信息-A-a-①-增加'!F:F,0)</f>
        <v>0</v>
      </c>
      <c r="I254" s="55">
        <f>_xlfn.XLOOKUP(E254,'③新店考核-B-a-②呈现-业绩明细表-③'!B:B,'③新店考核-B-a-②呈现-业绩明细表-③'!E:E,0)</f>
        <v>0</v>
      </c>
      <c r="J254" s="54">
        <f>_xlfn.XLOOKUP(E254,'③新店考核-B-a-②呈现-业绩明细表-③'!B:B,'③新店考核-B-a-②呈现-业绩明细表-③'!F:F,0)</f>
        <v>0</v>
      </c>
      <c r="K254" s="55">
        <f>IF(H254="新店一阶段",LOOKUP(I254,'②提成标准-B-a-①-增加'!$M$9:$M$12,'②提成标准-B-a-①-增加'!$O$9:$O$12),0)</f>
        <v>0</v>
      </c>
      <c r="L254" s="56">
        <f t="shared" si="50"/>
        <v>-1195</v>
      </c>
      <c r="M254" s="57">
        <f>_xlfn.XLOOKUP(E254,'③新店考核-B-a-②呈现-业绩明细表-③'!B:B,'③新店考核-B-a-②呈现-业绩明细表-③'!G:G,0)</f>
        <v>0</v>
      </c>
      <c r="N254" s="58" t="str">
        <f>LOOKUP(M254,'②提成标准-B-a-①-增加'!$M$1:$M$4,'②提成标准-B-a-①-增加'!$O$1:$O$4)</f>
        <v>同老店</v>
      </c>
      <c r="O254" s="57">
        <f>_xlfn.XLOOKUP(E254,'③新店考核-B-a-②呈现-业绩明细表-③'!B:B,'③新店考核-B-a-②呈现-业绩明细表-③'!H:H,0)</f>
        <v>0</v>
      </c>
      <c r="P254" s="57">
        <f t="shared" si="51"/>
        <v>-1195</v>
      </c>
      <c r="Q254" s="53">
        <f>_xlfn.XLOOKUP(E254,'④考勤-B-a-26考勤汇总表'!D:D,'④考勤-B-a-26考勤汇总表'!AP:AP,0)</f>
        <v>0</v>
      </c>
      <c r="R254" s="53" t="str">
        <f t="shared" si="60"/>
        <v/>
      </c>
      <c r="S254" s="53">
        <f t="shared" si="56"/>
        <v>765</v>
      </c>
      <c r="T254" s="53">
        <v>-1195</v>
      </c>
      <c r="U254" s="53">
        <v>1960</v>
      </c>
      <c r="V254" s="53">
        <v>0</v>
      </c>
      <c r="W254" s="53">
        <f>_xlfn.XLOOKUP(E254,'⑤项目数-B-a-③消耗明细表'!C:C,'⑤项目数-B-a-③消耗明细表'!E:E,0)</f>
        <v>0</v>
      </c>
      <c r="X254" s="53">
        <f>_xlfn.XLOOKUP(E254,'⑤项目数-B-a-③消耗明细表'!C:C,'⑤项目数-B-a-③消耗明细表'!D:D,0)</f>
        <v>0</v>
      </c>
      <c r="Y254" s="53">
        <f>_xlfn.XLOOKUP(E254,'⑤项目数-B-a-③消耗明细表'!C:C,'⑤项目数-B-a-③消耗明细表'!F:F,0)</f>
        <v>0</v>
      </c>
      <c r="Z254" s="53">
        <f>_xlfn.XLOOKUP(E254,'⑤项目数-B-a-③消耗明细表'!C:C,'⑤项目数-B-a-③消耗明细表'!G:G,0)</f>
        <v>0</v>
      </c>
      <c r="AA254" s="84">
        <f t="shared" si="52"/>
        <v>1</v>
      </c>
      <c r="AB254" s="84">
        <f t="shared" si="53"/>
        <v>0</v>
      </c>
      <c r="AC254" s="53">
        <f>_xlfn.XLOOKUP(F254,'⑥战队统计表-B-a-②呈现-业绩明细表④'!A:A,'⑥战队统计表-B-a-②呈现-业绩明细表④'!B:B,0)</f>
        <v>0</v>
      </c>
      <c r="AD254" s="53">
        <f t="shared" si="57"/>
        <v>1</v>
      </c>
      <c r="AE254" s="59">
        <f>IF(AD254="",_xlfn.XLOOKUP(F254,'⑥战队统计表-B-a-②呈现-业绩明细表④'!A:A,'⑥战队统计表-B-a-②呈现-业绩明细表④'!D:D,0),0)</f>
        <v>0</v>
      </c>
      <c r="AF254" s="85">
        <f>IF(AND(E254="T区",E254="门店T区"),"",IF(AD254="",0,IF(R254="",LOOKUP(S254,'②提成标准-B-a-①-增加'!$B$16:$B$20,'②提成标准-B-a-①-增加'!$D$16:$D$20),LOOKUP(S254/Q254,'②提成标准-B-a-①-增加'!$B$23:$B$27,'②提成标准-B-a-①-增加'!$D$23:$D$27))))</f>
        <v>0</v>
      </c>
      <c r="AG254" s="85">
        <f t="shared" si="54"/>
        <v>0</v>
      </c>
      <c r="AH254" s="60">
        <f t="shared" si="61"/>
        <v>0</v>
      </c>
      <c r="AI254" s="86">
        <f t="shared" si="62"/>
        <v>0</v>
      </c>
      <c r="AJ254" s="60">
        <f t="shared" si="58"/>
        <v>0</v>
      </c>
      <c r="AK254" s="87">
        <f>IF(AB254=1,IFERROR(S254/VLOOKUP(F254,'⑥战队统计表-B-a-②呈现-业绩明细表④'!A:C,3,0),0),0)</f>
        <v>0</v>
      </c>
      <c r="AL254" s="85" t="str">
        <f t="shared" si="63"/>
        <v/>
      </c>
      <c r="AM254" s="53" t="str">
        <f>IF(D254="顾问",_xlfn.XLOOKUP(F254,'⑥战队统计表-B-a-②呈现-业绩明细表④'!A:A,'⑥战队统计表-B-a-②呈现-业绩明细表④'!H:H,0),"")</f>
        <v/>
      </c>
      <c r="AN254" s="53" t="str">
        <f t="shared" si="55"/>
        <v>单人</v>
      </c>
    </row>
    <row r="255" spans="1:40" s="112" customFormat="1" x14ac:dyDescent="0.15">
      <c r="A255" s="79" t="s">
        <v>428</v>
      </c>
      <c r="B255" s="104" t="s">
        <v>153</v>
      </c>
      <c r="C255" s="82" t="s">
        <v>36</v>
      </c>
      <c r="D255" s="82" t="s">
        <v>36</v>
      </c>
      <c r="E255" s="104" t="s">
        <v>259</v>
      </c>
      <c r="F255" s="53" t="str">
        <f t="shared" si="49"/>
        <v>川音+T区</v>
      </c>
      <c r="G255" s="53" t="str">
        <f>IFERROR(_xlfn.XLOOKUP(B255,'①门店信息-A-a-①-增加'!B:B,'①门店信息-A-a-①-增加'!E:E,0),"")</f>
        <v>新店</v>
      </c>
      <c r="H255" s="54" t="str">
        <f>_xlfn.XLOOKUP(B255,'①门店信息-A-a-①-增加'!B:B,'①门店信息-A-a-①-增加'!F:F,0)</f>
        <v>新店二阶段</v>
      </c>
      <c r="I255" s="55">
        <f>_xlfn.XLOOKUP(E255,'③新店考核-B-a-②呈现-业绩明细表-③'!B:B,'③新店考核-B-a-②呈现-业绩明细表-③'!E:E,0)</f>
        <v>0</v>
      </c>
      <c r="J255" s="54">
        <f>_xlfn.XLOOKUP(E255,'③新店考核-B-a-②呈现-业绩明细表-③'!B:B,'③新店考核-B-a-②呈现-业绩明细表-③'!F:F,0)</f>
        <v>0</v>
      </c>
      <c r="K255" s="55">
        <f>IF(H255="新店一阶段",LOOKUP(I255,'②提成标准-B-a-①-增加'!$M$9:$M$12,'②提成标准-B-a-①-增加'!$O$9:$O$12),0)</f>
        <v>0</v>
      </c>
      <c r="L255" s="56">
        <f t="shared" si="50"/>
        <v>0</v>
      </c>
      <c r="M255" s="57">
        <f>_xlfn.XLOOKUP(E255,'③新店考核-B-a-②呈现-业绩明细表-③'!B:B,'③新店考核-B-a-②呈现-业绩明细表-③'!G:G,0)</f>
        <v>0</v>
      </c>
      <c r="N255" s="58" t="str">
        <f>LOOKUP(M255,'②提成标准-B-a-①-增加'!$M$1:$M$4,'②提成标准-B-a-①-增加'!$O$1:$O$4)</f>
        <v>同老店</v>
      </c>
      <c r="O255" s="57">
        <f>_xlfn.XLOOKUP(E255,'③新店考核-B-a-②呈现-业绩明细表-③'!B:B,'③新店考核-B-a-②呈现-业绩明细表-③'!H:H,0)</f>
        <v>0</v>
      </c>
      <c r="P255" s="57">
        <f t="shared" si="51"/>
        <v>0</v>
      </c>
      <c r="Q255" s="53">
        <f>_xlfn.XLOOKUP(E255,'④考勤-B-a-26考勤汇总表'!D:D,'④考勤-B-a-26考勤汇总表'!AP:AP,0)</f>
        <v>0</v>
      </c>
      <c r="R255" s="53" t="str">
        <f t="shared" si="60"/>
        <v/>
      </c>
      <c r="S255" s="53">
        <f t="shared" si="56"/>
        <v>0</v>
      </c>
      <c r="T255" s="53">
        <v>0</v>
      </c>
      <c r="U255" s="53">
        <v>0</v>
      </c>
      <c r="V255" s="53">
        <v>0</v>
      </c>
      <c r="W255" s="53">
        <f>_xlfn.XLOOKUP(E255,'⑤项目数-B-a-③消耗明细表'!C:C,'⑤项目数-B-a-③消耗明细表'!E:E,0)</f>
        <v>80699</v>
      </c>
      <c r="X255" s="53">
        <f>_xlfn.XLOOKUP(E255,'⑤项目数-B-a-③消耗明细表'!C:C,'⑤项目数-B-a-③消耗明细表'!D:D,0)</f>
        <v>53</v>
      </c>
      <c r="Y255" s="53">
        <f>_xlfn.XLOOKUP(E255,'⑤项目数-B-a-③消耗明细表'!C:C,'⑤项目数-B-a-③消耗明细表'!F:F,0)</f>
        <v>0</v>
      </c>
      <c r="Z255" s="53">
        <f>_xlfn.XLOOKUP(E255,'⑤项目数-B-a-③消耗明细表'!C:C,'⑤项目数-B-a-③消耗明细表'!G:G,0)</f>
        <v>0</v>
      </c>
      <c r="AA255" s="84" t="str">
        <f t="shared" si="52"/>
        <v>新店</v>
      </c>
      <c r="AB255" s="84">
        <f t="shared" si="53"/>
        <v>0</v>
      </c>
      <c r="AC255" s="53">
        <f>_xlfn.XLOOKUP(F255,'⑥战队统计表-B-a-②呈现-业绩明细表④'!A:A,'⑥战队统计表-B-a-②呈现-业绩明细表④'!B:B,0)</f>
        <v>0</v>
      </c>
      <c r="AD255" s="53">
        <f t="shared" si="57"/>
        <v>1</v>
      </c>
      <c r="AE255" s="59">
        <f>IF(AD255="",_xlfn.XLOOKUP(F255,'⑥战队统计表-B-a-②呈现-业绩明细表④'!A:A,'⑥战队统计表-B-a-②呈现-业绩明细表④'!D:D,0),0)</f>
        <v>0</v>
      </c>
      <c r="AF255" s="85">
        <f>IF(AND(E255="T区",E255="门店T区"),"",IF(AD255="",0,IF(R255="",LOOKUP(S255,'②提成标准-B-a-①-增加'!$B$16:$B$20,'②提成标准-B-a-①-增加'!$D$16:$D$20),LOOKUP(S255/Q255,'②提成标准-B-a-①-增加'!$B$23:$B$27,'②提成标准-B-a-①-增加'!$D$23:$D$27))))</f>
        <v>0</v>
      </c>
      <c r="AG255" s="85">
        <f t="shared" si="54"/>
        <v>0</v>
      </c>
      <c r="AH255" s="60">
        <f t="shared" si="61"/>
        <v>0</v>
      </c>
      <c r="AI255" s="86">
        <f t="shared" si="62"/>
        <v>0</v>
      </c>
      <c r="AJ255" s="60">
        <f t="shared" si="58"/>
        <v>0</v>
      </c>
      <c r="AK255" s="87">
        <f>IF(AB255=1,IFERROR(S255/VLOOKUP(F255,'⑥战队统计表-B-a-②呈现-业绩明细表④'!A:C,3,0),0),0)</f>
        <v>0</v>
      </c>
      <c r="AL255" s="85" t="str">
        <f t="shared" si="63"/>
        <v/>
      </c>
      <c r="AM255" s="53" t="str">
        <f>IF(D255="顾问",_xlfn.XLOOKUP(F255,'⑥战队统计表-B-a-②呈现-业绩明细表④'!A:A,'⑥战队统计表-B-a-②呈现-业绩明细表④'!H:H,0),"")</f>
        <v/>
      </c>
      <c r="AN255" s="53" t="str">
        <f t="shared" si="55"/>
        <v>单人</v>
      </c>
    </row>
    <row r="256" spans="1:40" s="112" customFormat="1" hidden="1" x14ac:dyDescent="0.15">
      <c r="A256" s="79" t="s">
        <v>428</v>
      </c>
      <c r="B256" s="104">
        <v>468</v>
      </c>
      <c r="C256" s="82" t="s">
        <v>36</v>
      </c>
      <c r="D256" s="82" t="s">
        <v>36</v>
      </c>
      <c r="E256" s="104" t="s">
        <v>260</v>
      </c>
      <c r="F256" s="53" t="str">
        <f t="shared" si="49"/>
        <v>468+T区</v>
      </c>
      <c r="G256" s="53">
        <f>IFERROR(_xlfn.XLOOKUP(B256,'①门店信息-A-a-①-增加'!B:B,'①门店信息-A-a-①-增加'!E:E,0),"")</f>
        <v>0</v>
      </c>
      <c r="H256" s="54">
        <f>_xlfn.XLOOKUP(B256,'①门店信息-A-a-①-增加'!B:B,'①门店信息-A-a-①-增加'!F:F,0)</f>
        <v>0</v>
      </c>
      <c r="I256" s="55">
        <f>_xlfn.XLOOKUP(E256,'③新店考核-B-a-②呈现-业绩明细表-③'!B:B,'③新店考核-B-a-②呈现-业绩明细表-③'!E:E,0)</f>
        <v>0</v>
      </c>
      <c r="J256" s="54">
        <f>_xlfn.XLOOKUP(E256,'③新店考核-B-a-②呈现-业绩明细表-③'!B:B,'③新店考核-B-a-②呈现-业绩明细表-③'!F:F,0)</f>
        <v>0</v>
      </c>
      <c r="K256" s="55">
        <f>IF(H256="新店一阶段",LOOKUP(I256,'②提成标准-B-a-①-增加'!$M$9:$M$12,'②提成标准-B-a-①-增加'!$O$9:$O$12),0)</f>
        <v>0</v>
      </c>
      <c r="L256" s="56">
        <f t="shared" si="50"/>
        <v>0</v>
      </c>
      <c r="M256" s="57">
        <f>_xlfn.XLOOKUP(E256,'③新店考核-B-a-②呈现-业绩明细表-③'!B:B,'③新店考核-B-a-②呈现-业绩明细表-③'!G:G,0)</f>
        <v>0</v>
      </c>
      <c r="N256" s="58" t="str">
        <f>LOOKUP(M256,'②提成标准-B-a-①-增加'!$M$1:$M$4,'②提成标准-B-a-①-增加'!$O$1:$O$4)</f>
        <v>同老店</v>
      </c>
      <c r="O256" s="57">
        <f>_xlfn.XLOOKUP(E256,'③新店考核-B-a-②呈现-业绩明细表-③'!B:B,'③新店考核-B-a-②呈现-业绩明细表-③'!H:H,0)</f>
        <v>0</v>
      </c>
      <c r="P256" s="57">
        <f t="shared" si="51"/>
        <v>0</v>
      </c>
      <c r="Q256" s="53">
        <f>_xlfn.XLOOKUP(E256,'④考勤-B-a-26考勤汇总表'!D:D,'④考勤-B-a-26考勤汇总表'!AP:AP,0)</f>
        <v>0</v>
      </c>
      <c r="R256" s="53" t="str">
        <f t="shared" si="60"/>
        <v/>
      </c>
      <c r="S256" s="53">
        <f t="shared" si="56"/>
        <v>0</v>
      </c>
      <c r="T256" s="53">
        <v>0</v>
      </c>
      <c r="U256" s="53">
        <v>0</v>
      </c>
      <c r="V256" s="53">
        <v>0</v>
      </c>
      <c r="W256" s="53">
        <f>_xlfn.XLOOKUP(E256,'⑤项目数-B-a-③消耗明细表'!C:C,'⑤项目数-B-a-③消耗明细表'!E:E,0)</f>
        <v>12825.42</v>
      </c>
      <c r="X256" s="53">
        <f>_xlfn.XLOOKUP(E256,'⑤项目数-B-a-③消耗明细表'!C:C,'⑤项目数-B-a-③消耗明细表'!D:D,0)</f>
        <v>64</v>
      </c>
      <c r="Y256" s="53">
        <f>_xlfn.XLOOKUP(E256,'⑤项目数-B-a-③消耗明细表'!C:C,'⑤项目数-B-a-③消耗明细表'!F:F,0)</f>
        <v>147</v>
      </c>
      <c r="Z256" s="53">
        <f>_xlfn.XLOOKUP(E256,'⑤项目数-B-a-③消耗明细表'!C:C,'⑤项目数-B-a-③消耗明细表'!G:G,0)</f>
        <v>0</v>
      </c>
      <c r="AA256" s="84" t="str">
        <f t="shared" si="52"/>
        <v>不属于战队</v>
      </c>
      <c r="AB256" s="84">
        <f t="shared" si="53"/>
        <v>0</v>
      </c>
      <c r="AC256" s="53">
        <f>_xlfn.XLOOKUP(F256,'⑥战队统计表-B-a-②呈现-业绩明细表④'!A:A,'⑥战队统计表-B-a-②呈现-业绩明细表④'!B:B,0)</f>
        <v>0</v>
      </c>
      <c r="AD256" s="53">
        <f t="shared" si="57"/>
        <v>1</v>
      </c>
      <c r="AE256" s="59">
        <f>IF(AD256="",_xlfn.XLOOKUP(F256,'⑥战队统计表-B-a-②呈现-业绩明细表④'!A:A,'⑥战队统计表-B-a-②呈现-业绩明细表④'!D:D,0),0)</f>
        <v>0</v>
      </c>
      <c r="AF256" s="85">
        <f>IF(AND(E256="T区",E256="门店T区"),"",IF(AD256="",0,IF(R256="",LOOKUP(S256,'②提成标准-B-a-①-增加'!$B$16:$B$20,'②提成标准-B-a-①-增加'!$D$16:$D$20),LOOKUP(S256/Q256,'②提成标准-B-a-①-增加'!$B$23:$B$27,'②提成标准-B-a-①-增加'!$D$23:$D$27))))</f>
        <v>0</v>
      </c>
      <c r="AG256" s="85">
        <f t="shared" si="54"/>
        <v>0</v>
      </c>
      <c r="AH256" s="60">
        <f t="shared" si="61"/>
        <v>0</v>
      </c>
      <c r="AI256" s="86">
        <f t="shared" si="62"/>
        <v>0</v>
      </c>
      <c r="AJ256" s="60">
        <f t="shared" si="58"/>
        <v>0</v>
      </c>
      <c r="AK256" s="87">
        <f>IF(AB256=1,IFERROR(S256/VLOOKUP(F256,'⑥战队统计表-B-a-②呈现-业绩明细表④'!A:C,3,0),0),0)</f>
        <v>0</v>
      </c>
      <c r="AL256" s="85" t="str">
        <f t="shared" si="63"/>
        <v/>
      </c>
      <c r="AM256" s="53" t="str">
        <f>IF(D256="顾问",_xlfn.XLOOKUP(F256,'⑥战队统计表-B-a-②呈现-业绩明细表④'!A:A,'⑥战队统计表-B-a-②呈现-业绩明细表④'!H:H,0),"")</f>
        <v/>
      </c>
      <c r="AN256" s="53" t="str">
        <f t="shared" si="55"/>
        <v>单人</v>
      </c>
    </row>
    <row r="257" spans="1:40" s="112" customFormat="1" hidden="1" x14ac:dyDescent="0.15">
      <c r="A257" s="79" t="s">
        <v>428</v>
      </c>
      <c r="B257" s="104" t="s">
        <v>41</v>
      </c>
      <c r="C257" s="82" t="s">
        <v>36</v>
      </c>
      <c r="D257" s="82" t="s">
        <v>36</v>
      </c>
      <c r="E257" s="104" t="s">
        <v>261</v>
      </c>
      <c r="F257" s="53" t="str">
        <f t="shared" ref="F257:F284" si="64">B257&amp;"+"&amp;C257</f>
        <v>华润+T区</v>
      </c>
      <c r="G257" s="53">
        <f>IFERROR(_xlfn.XLOOKUP(B257,'①门店信息-A-a-①-增加'!B:B,'①门店信息-A-a-①-增加'!E:E,0),"")</f>
        <v>0</v>
      </c>
      <c r="H257" s="54">
        <f>_xlfn.XLOOKUP(B257,'①门店信息-A-a-①-增加'!B:B,'①门店信息-A-a-①-增加'!F:F,0)</f>
        <v>0</v>
      </c>
      <c r="I257" s="55">
        <f>_xlfn.XLOOKUP(E257,'③新店考核-B-a-②呈现-业绩明细表-③'!B:B,'③新店考核-B-a-②呈现-业绩明细表-③'!E:E,0)</f>
        <v>0</v>
      </c>
      <c r="J257" s="54">
        <f>_xlfn.XLOOKUP(E257,'③新店考核-B-a-②呈现-业绩明细表-③'!B:B,'③新店考核-B-a-②呈现-业绩明细表-③'!F:F,0)</f>
        <v>0</v>
      </c>
      <c r="K257" s="55">
        <f>IF(H257="新店一阶段",LOOKUP(I257,'②提成标准-B-a-①-增加'!$M$9:$M$12,'②提成标准-B-a-①-增加'!$O$9:$O$12),0)</f>
        <v>0</v>
      </c>
      <c r="L257" s="56">
        <f t="shared" ref="L257:L283" si="65">T257-J257</f>
        <v>0</v>
      </c>
      <c r="M257" s="57">
        <f>_xlfn.XLOOKUP(E257,'③新店考核-B-a-②呈现-业绩明细表-③'!B:B,'③新店考核-B-a-②呈现-业绩明细表-③'!G:G,0)</f>
        <v>0</v>
      </c>
      <c r="N257" s="58" t="str">
        <f>LOOKUP(M257,'②提成标准-B-a-①-增加'!$M$1:$M$4,'②提成标准-B-a-①-增加'!$O$1:$O$4)</f>
        <v>同老店</v>
      </c>
      <c r="O257" s="57">
        <f>_xlfn.XLOOKUP(E257,'③新店考核-B-a-②呈现-业绩明细表-③'!B:B,'③新店考核-B-a-②呈现-业绩明细表-③'!H:H,0)</f>
        <v>0</v>
      </c>
      <c r="P257" s="57">
        <f t="shared" ref="P257:P283" si="66">T257-O257</f>
        <v>0</v>
      </c>
      <c r="Q257" s="53">
        <f>_xlfn.XLOOKUP(E257,'④考勤-B-a-26考勤汇总表'!D:D,'④考勤-B-a-26考勤汇总表'!AP:AP,0)</f>
        <v>0</v>
      </c>
      <c r="R257" s="53" t="str">
        <f t="shared" si="60"/>
        <v/>
      </c>
      <c r="S257" s="53">
        <f t="shared" si="56"/>
        <v>0</v>
      </c>
      <c r="T257" s="53">
        <v>0</v>
      </c>
      <c r="U257" s="53">
        <v>0</v>
      </c>
      <c r="V257" s="53">
        <v>0</v>
      </c>
      <c r="W257" s="53">
        <f>_xlfn.XLOOKUP(E257,'⑤项目数-B-a-③消耗明细表'!C:C,'⑤项目数-B-a-③消耗明细表'!E:E,0)</f>
        <v>15111.11</v>
      </c>
      <c r="X257" s="53">
        <f>_xlfn.XLOOKUP(E257,'⑤项目数-B-a-③消耗明细表'!C:C,'⑤项目数-B-a-③消耗明细表'!D:D,0)</f>
        <v>37</v>
      </c>
      <c r="Y257" s="53">
        <f>_xlfn.XLOOKUP(E257,'⑤项目数-B-a-③消耗明细表'!C:C,'⑤项目数-B-a-③消耗明细表'!F:F,0)</f>
        <v>220</v>
      </c>
      <c r="Z257" s="53">
        <f>_xlfn.XLOOKUP(E257,'⑤项目数-B-a-③消耗明细表'!C:C,'⑤项目数-B-a-③消耗明细表'!G:G,0)</f>
        <v>0</v>
      </c>
      <c r="AA257" s="84" t="str">
        <f t="shared" ref="AA257:AA284" si="67">IF(G257="新店","新店",IF(C257="单人","单人",IF(OR(C257="T区",C257="单人",G257="新店"),"不属于战队",1)))</f>
        <v>不属于战队</v>
      </c>
      <c r="AB257" s="84">
        <f t="shared" ref="AB257:AB284" si="68">IF(AA257=1,IF(Q257&gt;=20,1,0),0)</f>
        <v>0</v>
      </c>
      <c r="AC257" s="53">
        <f>_xlfn.XLOOKUP(F257,'⑥战队统计表-B-a-②呈现-业绩明细表④'!A:A,'⑥战队统计表-B-a-②呈现-业绩明细表④'!B:B,0)</f>
        <v>0</v>
      </c>
      <c r="AD257" s="53">
        <f t="shared" si="57"/>
        <v>1</v>
      </c>
      <c r="AE257" s="59">
        <f>IF(AD257="",_xlfn.XLOOKUP(F257,'⑥战队统计表-B-a-②呈现-业绩明细表④'!A:A,'⑥战队统计表-B-a-②呈现-业绩明细表④'!D:D,0),0)</f>
        <v>0</v>
      </c>
      <c r="AF257" s="85">
        <f>IF(AND(E257="T区",E257="门店T区"),"",IF(AD257="",0,IF(R257="",LOOKUP(S257,'②提成标准-B-a-①-增加'!$B$16:$B$20,'②提成标准-B-a-①-增加'!$D$16:$D$20),LOOKUP(S257/Q257,'②提成标准-B-a-①-增加'!$B$23:$B$27,'②提成标准-B-a-①-增加'!$D$23:$D$27))))</f>
        <v>0</v>
      </c>
      <c r="AG257" s="85">
        <f t="shared" ref="AG257:AG284" si="69">AE257+AF257</f>
        <v>0</v>
      </c>
      <c r="AH257" s="60">
        <f t="shared" si="61"/>
        <v>0</v>
      </c>
      <c r="AI257" s="86">
        <f t="shared" si="62"/>
        <v>0</v>
      </c>
      <c r="AJ257" s="60">
        <f t="shared" si="58"/>
        <v>0</v>
      </c>
      <c r="AK257" s="87">
        <f>IF(AB257=1,IFERROR(S257/VLOOKUP(F257,'⑥战队统计表-B-a-②呈现-业绩明细表④'!A:C,3,0),0),0)</f>
        <v>0</v>
      </c>
      <c r="AL257" s="85" t="str">
        <f t="shared" si="63"/>
        <v/>
      </c>
      <c r="AM257" s="53" t="str">
        <f>IF(D257="顾问",_xlfn.XLOOKUP(F257,'⑥战队统计表-B-a-②呈现-业绩明细表④'!A:A,'⑥战队统计表-B-a-②呈现-业绩明细表④'!H:H,0),"")</f>
        <v/>
      </c>
      <c r="AN257" s="53" t="str">
        <f t="shared" ref="AN257:AN284" si="70">IF(AND(AB257=1,AD257&lt;&gt;1),F257,"单人")</f>
        <v>单人</v>
      </c>
    </row>
    <row r="258" spans="1:40" s="112" customFormat="1" hidden="1" x14ac:dyDescent="0.15">
      <c r="A258" s="79" t="s">
        <v>428</v>
      </c>
      <c r="B258" s="104" t="s">
        <v>51</v>
      </c>
      <c r="C258" s="82" t="s">
        <v>36</v>
      </c>
      <c r="D258" s="82" t="s">
        <v>36</v>
      </c>
      <c r="E258" s="104" t="s">
        <v>262</v>
      </c>
      <c r="F258" s="53" t="str">
        <f t="shared" si="64"/>
        <v>静居寺+T区</v>
      </c>
      <c r="G258" s="53">
        <f>IFERROR(_xlfn.XLOOKUP(B258,'①门店信息-A-a-①-增加'!B:B,'①门店信息-A-a-①-增加'!E:E,0),"")</f>
        <v>0</v>
      </c>
      <c r="H258" s="54">
        <f>_xlfn.XLOOKUP(B258,'①门店信息-A-a-①-增加'!B:B,'①门店信息-A-a-①-增加'!F:F,0)</f>
        <v>0</v>
      </c>
      <c r="I258" s="55">
        <f>_xlfn.XLOOKUP(E258,'③新店考核-B-a-②呈现-业绩明细表-③'!B:B,'③新店考核-B-a-②呈现-业绩明细表-③'!E:E,0)</f>
        <v>0</v>
      </c>
      <c r="J258" s="54">
        <f>_xlfn.XLOOKUP(E258,'③新店考核-B-a-②呈现-业绩明细表-③'!B:B,'③新店考核-B-a-②呈现-业绩明细表-③'!F:F,0)</f>
        <v>0</v>
      </c>
      <c r="K258" s="55">
        <f>IF(H258="新店一阶段",LOOKUP(I258,'②提成标准-B-a-①-增加'!$M$9:$M$12,'②提成标准-B-a-①-增加'!$O$9:$O$12),0)</f>
        <v>0</v>
      </c>
      <c r="L258" s="56">
        <f t="shared" si="65"/>
        <v>0</v>
      </c>
      <c r="M258" s="57">
        <f>_xlfn.XLOOKUP(E258,'③新店考核-B-a-②呈现-业绩明细表-③'!B:B,'③新店考核-B-a-②呈现-业绩明细表-③'!G:G,0)</f>
        <v>0</v>
      </c>
      <c r="N258" s="58" t="str">
        <f>LOOKUP(M258,'②提成标准-B-a-①-增加'!$M$1:$M$4,'②提成标准-B-a-①-增加'!$O$1:$O$4)</f>
        <v>同老店</v>
      </c>
      <c r="O258" s="57">
        <f>_xlfn.XLOOKUP(E258,'③新店考核-B-a-②呈现-业绩明细表-③'!B:B,'③新店考核-B-a-②呈现-业绩明细表-③'!H:H,0)</f>
        <v>0</v>
      </c>
      <c r="P258" s="57">
        <f t="shared" si="66"/>
        <v>0</v>
      </c>
      <c r="Q258" s="53">
        <f>_xlfn.XLOOKUP(E258,'④考勤-B-a-26考勤汇总表'!D:D,'④考勤-B-a-26考勤汇总表'!AP:AP,0)</f>
        <v>0</v>
      </c>
      <c r="R258" s="53" t="str">
        <f t="shared" si="60"/>
        <v/>
      </c>
      <c r="S258" s="53">
        <f t="shared" ref="S258:S283" si="71">T258+U258+V258</f>
        <v>0</v>
      </c>
      <c r="T258" s="53">
        <v>0</v>
      </c>
      <c r="U258" s="53">
        <v>0</v>
      </c>
      <c r="V258" s="53">
        <v>0</v>
      </c>
      <c r="W258" s="53">
        <f>_xlfn.XLOOKUP(E258,'⑤项目数-B-a-③消耗明细表'!C:C,'⑤项目数-B-a-③消耗明细表'!E:E,0)</f>
        <v>182027.66</v>
      </c>
      <c r="X258" s="53">
        <f>_xlfn.XLOOKUP(E258,'⑤项目数-B-a-③消耗明细表'!C:C,'⑤项目数-B-a-③消耗明细表'!D:D,0)</f>
        <v>57</v>
      </c>
      <c r="Y258" s="53">
        <f>_xlfn.XLOOKUP(E258,'⑤项目数-B-a-③消耗明细表'!C:C,'⑤项目数-B-a-③消耗明细表'!F:F,0)</f>
        <v>232</v>
      </c>
      <c r="Z258" s="53">
        <f>_xlfn.XLOOKUP(E258,'⑤项目数-B-a-③消耗明细表'!C:C,'⑤项目数-B-a-③消耗明细表'!G:G,0)</f>
        <v>0</v>
      </c>
      <c r="AA258" s="84" t="str">
        <f t="shared" si="67"/>
        <v>不属于战队</v>
      </c>
      <c r="AB258" s="84">
        <f t="shared" si="68"/>
        <v>0</v>
      </c>
      <c r="AC258" s="53">
        <f>_xlfn.XLOOKUP(F258,'⑥战队统计表-B-a-②呈现-业绩明细表④'!A:A,'⑥战队统计表-B-a-②呈现-业绩明细表④'!B:B,0)</f>
        <v>0</v>
      </c>
      <c r="AD258" s="53">
        <f t="shared" ref="AD258:AD284" si="72">IF(OR(AA258="单人",AA258="新店",AC258&lt;=1,AB258=0),1,"")</f>
        <v>1</v>
      </c>
      <c r="AE258" s="59">
        <f>IF(AD258="",_xlfn.XLOOKUP(F258,'⑥战队统计表-B-a-②呈现-业绩明细表④'!A:A,'⑥战队统计表-B-a-②呈现-业绩明细表④'!D:D,0),0)</f>
        <v>0</v>
      </c>
      <c r="AF258" s="85">
        <f>IF(AND(E258="T区",E258="门店T区"),"",IF(AD258="",0,IF(R258="",LOOKUP(S258,'②提成标准-B-a-①-增加'!$B$16:$B$20,'②提成标准-B-a-①-增加'!$D$16:$D$20),LOOKUP(S258/Q258,'②提成标准-B-a-①-增加'!$B$23:$B$27,'②提成标准-B-a-①-增加'!$D$23:$D$27))))</f>
        <v>0</v>
      </c>
      <c r="AG258" s="85">
        <f t="shared" si="69"/>
        <v>0</v>
      </c>
      <c r="AH258" s="60">
        <f t="shared" si="61"/>
        <v>0</v>
      </c>
      <c r="AI258" s="86">
        <f t="shared" si="62"/>
        <v>0</v>
      </c>
      <c r="AJ258" s="60">
        <f t="shared" ref="AJ258:AJ284" si="73">AI258+AH258</f>
        <v>0</v>
      </c>
      <c r="AK258" s="87">
        <f>IF(AB258=1,IFERROR(S258/VLOOKUP(F258,'⑥战队统计表-B-a-②呈现-业绩明细表④'!A:C,3,0),0),0)</f>
        <v>0</v>
      </c>
      <c r="AL258" s="85" t="str">
        <f t="shared" si="63"/>
        <v/>
      </c>
      <c r="AM258" s="53" t="str">
        <f>IF(D258="顾问",_xlfn.XLOOKUP(F258,'⑥战队统计表-B-a-②呈现-业绩明细表④'!A:A,'⑥战队统计表-B-a-②呈现-业绩明细表④'!H:H,0),"")</f>
        <v/>
      </c>
      <c r="AN258" s="53" t="str">
        <f t="shared" si="70"/>
        <v>单人</v>
      </c>
    </row>
    <row r="259" spans="1:40" s="112" customFormat="1" hidden="1" x14ac:dyDescent="0.15">
      <c r="A259" s="79" t="s">
        <v>428</v>
      </c>
      <c r="B259" s="104" t="s">
        <v>60</v>
      </c>
      <c r="C259" s="82" t="s">
        <v>36</v>
      </c>
      <c r="D259" s="82" t="s">
        <v>36</v>
      </c>
      <c r="E259" s="104" t="s">
        <v>263</v>
      </c>
      <c r="F259" s="53" t="str">
        <f t="shared" si="64"/>
        <v>红光+T区</v>
      </c>
      <c r="G259" s="53">
        <f>IFERROR(_xlfn.XLOOKUP(B259,'①门店信息-A-a-①-增加'!B:B,'①门店信息-A-a-①-增加'!E:E,0),"")</f>
        <v>0</v>
      </c>
      <c r="H259" s="54">
        <f>_xlfn.XLOOKUP(B259,'①门店信息-A-a-①-增加'!B:B,'①门店信息-A-a-①-增加'!F:F,0)</f>
        <v>0</v>
      </c>
      <c r="I259" s="55">
        <f>_xlfn.XLOOKUP(E259,'③新店考核-B-a-②呈现-业绩明细表-③'!B:B,'③新店考核-B-a-②呈现-业绩明细表-③'!E:E,0)</f>
        <v>0</v>
      </c>
      <c r="J259" s="54">
        <f>_xlfn.XLOOKUP(E259,'③新店考核-B-a-②呈现-业绩明细表-③'!B:B,'③新店考核-B-a-②呈现-业绩明细表-③'!F:F,0)</f>
        <v>0</v>
      </c>
      <c r="K259" s="55">
        <f>IF(H259="新店一阶段",LOOKUP(I259,'②提成标准-B-a-①-增加'!$M$9:$M$12,'②提成标准-B-a-①-增加'!$O$9:$O$12),0)</f>
        <v>0</v>
      </c>
      <c r="L259" s="56">
        <f t="shared" si="65"/>
        <v>0</v>
      </c>
      <c r="M259" s="57">
        <f>_xlfn.XLOOKUP(E259,'③新店考核-B-a-②呈现-业绩明细表-③'!B:B,'③新店考核-B-a-②呈现-业绩明细表-③'!G:G,0)</f>
        <v>0</v>
      </c>
      <c r="N259" s="58" t="str">
        <f>LOOKUP(M259,'②提成标准-B-a-①-增加'!$M$1:$M$4,'②提成标准-B-a-①-增加'!$O$1:$O$4)</f>
        <v>同老店</v>
      </c>
      <c r="O259" s="57">
        <f>_xlfn.XLOOKUP(E259,'③新店考核-B-a-②呈现-业绩明细表-③'!B:B,'③新店考核-B-a-②呈现-业绩明细表-③'!H:H,0)</f>
        <v>0</v>
      </c>
      <c r="P259" s="57">
        <f t="shared" si="66"/>
        <v>0</v>
      </c>
      <c r="Q259" s="53">
        <f>_xlfn.XLOOKUP(E259,'④考勤-B-a-26考勤汇总表'!D:D,'④考勤-B-a-26考勤汇总表'!AP:AP,0)</f>
        <v>0</v>
      </c>
      <c r="R259" s="53" t="str">
        <f t="shared" si="60"/>
        <v/>
      </c>
      <c r="S259" s="53">
        <f t="shared" si="71"/>
        <v>0</v>
      </c>
      <c r="T259" s="53">
        <v>0</v>
      </c>
      <c r="U259" s="53">
        <v>0</v>
      </c>
      <c r="V259" s="53">
        <v>0</v>
      </c>
      <c r="W259" s="53">
        <f>_xlfn.XLOOKUP(E259,'⑤项目数-B-a-③消耗明细表'!C:C,'⑤项目数-B-a-③消耗明细表'!E:E,0)</f>
        <v>130200</v>
      </c>
      <c r="X259" s="53">
        <f>_xlfn.XLOOKUP(E259,'⑤项目数-B-a-③消耗明细表'!C:C,'⑤项目数-B-a-③消耗明细表'!D:D,0)</f>
        <v>16</v>
      </c>
      <c r="Y259" s="53">
        <f>_xlfn.XLOOKUP(E259,'⑤项目数-B-a-③消耗明细表'!C:C,'⑤项目数-B-a-③消耗明细表'!F:F,0)</f>
        <v>0</v>
      </c>
      <c r="Z259" s="53">
        <f>_xlfn.XLOOKUP(E259,'⑤项目数-B-a-③消耗明细表'!C:C,'⑤项目数-B-a-③消耗明细表'!G:G,0)</f>
        <v>0</v>
      </c>
      <c r="AA259" s="84" t="str">
        <f t="shared" si="67"/>
        <v>不属于战队</v>
      </c>
      <c r="AB259" s="84">
        <f t="shared" si="68"/>
        <v>0</v>
      </c>
      <c r="AC259" s="53">
        <f>_xlfn.XLOOKUP(F259,'⑥战队统计表-B-a-②呈现-业绩明细表④'!A:A,'⑥战队统计表-B-a-②呈现-业绩明细表④'!B:B,0)</f>
        <v>0</v>
      </c>
      <c r="AD259" s="53">
        <f t="shared" si="72"/>
        <v>1</v>
      </c>
      <c r="AE259" s="59">
        <f>IF(AD259="",_xlfn.XLOOKUP(F259,'⑥战队统计表-B-a-②呈现-业绩明细表④'!A:A,'⑥战队统计表-B-a-②呈现-业绩明细表④'!D:D,0),0)</f>
        <v>0</v>
      </c>
      <c r="AF259" s="85">
        <f>IF(AND(E259="T区",E259="门店T区"),"",IF(AD259="",0,IF(R259="",LOOKUP(S259,'②提成标准-B-a-①-增加'!$B$16:$B$20,'②提成标准-B-a-①-增加'!$D$16:$D$20),LOOKUP(S259/Q259,'②提成标准-B-a-①-增加'!$B$23:$B$27,'②提成标准-B-a-①-增加'!$D$23:$D$27))))</f>
        <v>0</v>
      </c>
      <c r="AG259" s="85">
        <f t="shared" si="69"/>
        <v>0</v>
      </c>
      <c r="AH259" s="60">
        <f t="shared" si="61"/>
        <v>0</v>
      </c>
      <c r="AI259" s="86">
        <f t="shared" si="62"/>
        <v>0</v>
      </c>
      <c r="AJ259" s="60">
        <f t="shared" si="73"/>
        <v>0</v>
      </c>
      <c r="AK259" s="87">
        <f>IF(AB259=1,IFERROR(S259/VLOOKUP(F259,'⑥战队统计表-B-a-②呈现-业绩明细表④'!A:C,3,0),0),0)</f>
        <v>0</v>
      </c>
      <c r="AL259" s="85" t="str">
        <f t="shared" si="63"/>
        <v/>
      </c>
      <c r="AM259" s="53" t="str">
        <f>IF(D259="顾问",_xlfn.XLOOKUP(F259,'⑥战队统计表-B-a-②呈现-业绩明细表④'!A:A,'⑥战队统计表-B-a-②呈现-业绩明细表④'!H:H,0),"")</f>
        <v/>
      </c>
      <c r="AN259" s="53" t="str">
        <f t="shared" si="70"/>
        <v>单人</v>
      </c>
    </row>
    <row r="260" spans="1:40" s="112" customFormat="1" hidden="1" x14ac:dyDescent="0.15">
      <c r="A260" s="79" t="s">
        <v>428</v>
      </c>
      <c r="B260" s="104" t="s">
        <v>66</v>
      </c>
      <c r="C260" s="82" t="s">
        <v>36</v>
      </c>
      <c r="D260" s="82" t="s">
        <v>36</v>
      </c>
      <c r="E260" s="104" t="s">
        <v>264</v>
      </c>
      <c r="F260" s="53" t="str">
        <f t="shared" si="64"/>
        <v>犀浦+T区</v>
      </c>
      <c r="G260" s="53">
        <f>IFERROR(_xlfn.XLOOKUP(B260,'①门店信息-A-a-①-增加'!B:B,'①门店信息-A-a-①-增加'!E:E,0),"")</f>
        <v>0</v>
      </c>
      <c r="H260" s="54">
        <f>_xlfn.XLOOKUP(B260,'①门店信息-A-a-①-增加'!B:B,'①门店信息-A-a-①-增加'!F:F,0)</f>
        <v>0</v>
      </c>
      <c r="I260" s="55">
        <f>_xlfn.XLOOKUP(E260,'③新店考核-B-a-②呈现-业绩明细表-③'!B:B,'③新店考核-B-a-②呈现-业绩明细表-③'!E:E,0)</f>
        <v>0</v>
      </c>
      <c r="J260" s="54">
        <f>_xlfn.XLOOKUP(E260,'③新店考核-B-a-②呈现-业绩明细表-③'!B:B,'③新店考核-B-a-②呈现-业绩明细表-③'!F:F,0)</f>
        <v>0</v>
      </c>
      <c r="K260" s="55">
        <f>IF(H260="新店一阶段",LOOKUP(I260,'②提成标准-B-a-①-增加'!$M$9:$M$12,'②提成标准-B-a-①-增加'!$O$9:$O$12),0)</f>
        <v>0</v>
      </c>
      <c r="L260" s="56">
        <f t="shared" si="65"/>
        <v>0</v>
      </c>
      <c r="M260" s="57">
        <f>_xlfn.XLOOKUP(E260,'③新店考核-B-a-②呈现-业绩明细表-③'!B:B,'③新店考核-B-a-②呈现-业绩明细表-③'!G:G,0)</f>
        <v>0</v>
      </c>
      <c r="N260" s="58" t="str">
        <f>LOOKUP(M260,'②提成标准-B-a-①-增加'!$M$1:$M$4,'②提成标准-B-a-①-增加'!$O$1:$O$4)</f>
        <v>同老店</v>
      </c>
      <c r="O260" s="57">
        <f>_xlfn.XLOOKUP(E260,'③新店考核-B-a-②呈现-业绩明细表-③'!B:B,'③新店考核-B-a-②呈现-业绩明细表-③'!H:H,0)</f>
        <v>0</v>
      </c>
      <c r="P260" s="57">
        <f t="shared" si="66"/>
        <v>0</v>
      </c>
      <c r="Q260" s="53">
        <f>_xlfn.XLOOKUP(E260,'④考勤-B-a-26考勤汇总表'!D:D,'④考勤-B-a-26考勤汇总表'!AP:AP,0)</f>
        <v>0</v>
      </c>
      <c r="R260" s="53" t="str">
        <f t="shared" si="60"/>
        <v/>
      </c>
      <c r="S260" s="53">
        <f t="shared" si="71"/>
        <v>0</v>
      </c>
      <c r="T260" s="53">
        <v>0</v>
      </c>
      <c r="U260" s="53">
        <v>0</v>
      </c>
      <c r="V260" s="53">
        <v>0</v>
      </c>
      <c r="W260" s="53">
        <f>_xlfn.XLOOKUP(E260,'⑤项目数-B-a-③消耗明细表'!C:C,'⑤项目数-B-a-③消耗明细表'!E:E,0)</f>
        <v>0</v>
      </c>
      <c r="X260" s="53">
        <f>_xlfn.XLOOKUP(E260,'⑤项目数-B-a-③消耗明细表'!C:C,'⑤项目数-B-a-③消耗明细表'!D:D,0)</f>
        <v>12</v>
      </c>
      <c r="Y260" s="53">
        <f>_xlfn.XLOOKUP(E260,'⑤项目数-B-a-③消耗明细表'!C:C,'⑤项目数-B-a-③消耗明细表'!F:F,0)</f>
        <v>0</v>
      </c>
      <c r="Z260" s="53">
        <f>_xlfn.XLOOKUP(E260,'⑤项目数-B-a-③消耗明细表'!C:C,'⑤项目数-B-a-③消耗明细表'!G:G,0)</f>
        <v>0</v>
      </c>
      <c r="AA260" s="84" t="str">
        <f t="shared" si="67"/>
        <v>不属于战队</v>
      </c>
      <c r="AB260" s="84">
        <f t="shared" si="68"/>
        <v>0</v>
      </c>
      <c r="AC260" s="53">
        <f>_xlfn.XLOOKUP(F260,'⑥战队统计表-B-a-②呈现-业绩明细表④'!A:A,'⑥战队统计表-B-a-②呈现-业绩明细表④'!B:B,0)</f>
        <v>0</v>
      </c>
      <c r="AD260" s="53">
        <f t="shared" si="72"/>
        <v>1</v>
      </c>
      <c r="AE260" s="59">
        <f>IF(AD260="",_xlfn.XLOOKUP(F260,'⑥战队统计表-B-a-②呈现-业绩明细表④'!A:A,'⑥战队统计表-B-a-②呈现-业绩明细表④'!D:D,0),0)</f>
        <v>0</v>
      </c>
      <c r="AF260" s="85">
        <f>IF(AND(E260="T区",E260="门店T区"),"",IF(AD260="",0,IF(R260="",LOOKUP(S260,'②提成标准-B-a-①-增加'!$B$16:$B$20,'②提成标准-B-a-①-增加'!$D$16:$D$20),LOOKUP(S260/Q260,'②提成标准-B-a-①-增加'!$B$23:$B$27,'②提成标准-B-a-①-增加'!$D$23:$D$27))))</f>
        <v>0</v>
      </c>
      <c r="AG260" s="85">
        <f t="shared" si="69"/>
        <v>0</v>
      </c>
      <c r="AH260" s="60">
        <f t="shared" si="61"/>
        <v>0</v>
      </c>
      <c r="AI260" s="86">
        <f t="shared" si="62"/>
        <v>0</v>
      </c>
      <c r="AJ260" s="60">
        <f t="shared" si="73"/>
        <v>0</v>
      </c>
      <c r="AK260" s="87">
        <f>IF(AB260=1,IFERROR(S260/VLOOKUP(F260,'⑥战队统计表-B-a-②呈现-业绩明细表④'!A:C,3,0),0),0)</f>
        <v>0</v>
      </c>
      <c r="AL260" s="85" t="str">
        <f t="shared" si="63"/>
        <v/>
      </c>
      <c r="AM260" s="53" t="str">
        <f>IF(D260="顾问",_xlfn.XLOOKUP(F260,'⑥战队统计表-B-a-②呈现-业绩明细表④'!A:A,'⑥战队统计表-B-a-②呈现-业绩明细表④'!H:H,0),"")</f>
        <v/>
      </c>
      <c r="AN260" s="53" t="str">
        <f t="shared" si="70"/>
        <v>单人</v>
      </c>
    </row>
    <row r="261" spans="1:40" s="112" customFormat="1" x14ac:dyDescent="0.15">
      <c r="A261" s="79" t="s">
        <v>428</v>
      </c>
      <c r="B261" s="104" t="s">
        <v>75</v>
      </c>
      <c r="C261" s="82" t="s">
        <v>36</v>
      </c>
      <c r="D261" s="82" t="s">
        <v>36</v>
      </c>
      <c r="E261" s="104" t="s">
        <v>265</v>
      </c>
      <c r="F261" s="53" t="str">
        <f t="shared" si="64"/>
        <v>龙城国际+T区</v>
      </c>
      <c r="G261" s="53" t="str">
        <f>IFERROR(_xlfn.XLOOKUP(B261,'①门店信息-A-a-①-增加'!B:B,'①门店信息-A-a-①-增加'!E:E,0),"")</f>
        <v>新店</v>
      </c>
      <c r="H261" s="54" t="str">
        <f>_xlfn.XLOOKUP(B261,'①门店信息-A-a-①-增加'!B:B,'①门店信息-A-a-①-增加'!F:F,0)</f>
        <v>新店二阶段</v>
      </c>
      <c r="I261" s="55">
        <f>_xlfn.XLOOKUP(E261,'③新店考核-B-a-②呈现-业绩明细表-③'!B:B,'③新店考核-B-a-②呈现-业绩明细表-③'!E:E,0)</f>
        <v>0</v>
      </c>
      <c r="J261" s="54">
        <f>_xlfn.XLOOKUP(E261,'③新店考核-B-a-②呈现-业绩明细表-③'!B:B,'③新店考核-B-a-②呈现-业绩明细表-③'!F:F,0)</f>
        <v>0</v>
      </c>
      <c r="K261" s="55">
        <f>IF(H261="新店一阶段",LOOKUP(I261,'②提成标准-B-a-①-增加'!$M$9:$M$12,'②提成标准-B-a-①-增加'!$O$9:$O$12),0)</f>
        <v>0</v>
      </c>
      <c r="L261" s="56">
        <f t="shared" si="65"/>
        <v>0</v>
      </c>
      <c r="M261" s="57">
        <f>_xlfn.XLOOKUP(E261,'③新店考核-B-a-②呈现-业绩明细表-③'!B:B,'③新店考核-B-a-②呈现-业绩明细表-③'!G:G,0)</f>
        <v>0</v>
      </c>
      <c r="N261" s="58" t="str">
        <f>LOOKUP(M261,'②提成标准-B-a-①-增加'!$M$1:$M$4,'②提成标准-B-a-①-增加'!$O$1:$O$4)</f>
        <v>同老店</v>
      </c>
      <c r="O261" s="57">
        <f>_xlfn.XLOOKUP(E261,'③新店考核-B-a-②呈现-业绩明细表-③'!B:B,'③新店考核-B-a-②呈现-业绩明细表-③'!H:H,0)</f>
        <v>0</v>
      </c>
      <c r="P261" s="57">
        <f t="shared" si="66"/>
        <v>0</v>
      </c>
      <c r="Q261" s="53">
        <f>_xlfn.XLOOKUP(E261,'④考勤-B-a-26考勤汇总表'!D:D,'④考勤-B-a-26考勤汇总表'!AP:AP,0)</f>
        <v>0</v>
      </c>
      <c r="R261" s="53" t="str">
        <f t="shared" si="60"/>
        <v/>
      </c>
      <c r="S261" s="53">
        <f t="shared" si="71"/>
        <v>0</v>
      </c>
      <c r="T261" s="53">
        <v>0</v>
      </c>
      <c r="U261" s="53">
        <v>0</v>
      </c>
      <c r="V261" s="53">
        <v>0</v>
      </c>
      <c r="W261" s="53">
        <f>_xlfn.XLOOKUP(E261,'⑤项目数-B-a-③消耗明细表'!C:C,'⑤项目数-B-a-③消耗明细表'!E:E,0)</f>
        <v>68388</v>
      </c>
      <c r="X261" s="53">
        <f>_xlfn.XLOOKUP(E261,'⑤项目数-B-a-③消耗明细表'!C:C,'⑤项目数-B-a-③消耗明细表'!D:D,0)</f>
        <v>23</v>
      </c>
      <c r="Y261" s="53">
        <f>_xlfn.XLOOKUP(E261,'⑤项目数-B-a-③消耗明细表'!C:C,'⑤项目数-B-a-③消耗明细表'!F:F,0)</f>
        <v>0</v>
      </c>
      <c r="Z261" s="53">
        <f>_xlfn.XLOOKUP(E261,'⑤项目数-B-a-③消耗明细表'!C:C,'⑤项目数-B-a-③消耗明细表'!G:G,0)</f>
        <v>0</v>
      </c>
      <c r="AA261" s="84" t="str">
        <f t="shared" si="67"/>
        <v>新店</v>
      </c>
      <c r="AB261" s="84">
        <f t="shared" si="68"/>
        <v>0</v>
      </c>
      <c r="AC261" s="53">
        <f>_xlfn.XLOOKUP(F261,'⑥战队统计表-B-a-②呈现-业绩明细表④'!A:A,'⑥战队统计表-B-a-②呈现-业绩明细表④'!B:B,0)</f>
        <v>0</v>
      </c>
      <c r="AD261" s="53">
        <f t="shared" si="72"/>
        <v>1</v>
      </c>
      <c r="AE261" s="59">
        <f>IF(AD261="",_xlfn.XLOOKUP(F261,'⑥战队统计表-B-a-②呈现-业绩明细表④'!A:A,'⑥战队统计表-B-a-②呈现-业绩明细表④'!D:D,0),0)</f>
        <v>0</v>
      </c>
      <c r="AF261" s="85">
        <f>IF(AND(E261="T区",E261="门店T区"),"",IF(AD261="",0,IF(R261="",LOOKUP(S261,'②提成标准-B-a-①-增加'!$B$16:$B$20,'②提成标准-B-a-①-增加'!$D$16:$D$20),LOOKUP(S261/Q261,'②提成标准-B-a-①-增加'!$B$23:$B$27,'②提成标准-B-a-①-增加'!$D$23:$D$27))))</f>
        <v>0</v>
      </c>
      <c r="AG261" s="85">
        <f t="shared" si="69"/>
        <v>0</v>
      </c>
      <c r="AH261" s="60">
        <f t="shared" si="61"/>
        <v>0</v>
      </c>
      <c r="AI261" s="86">
        <f t="shared" si="62"/>
        <v>0</v>
      </c>
      <c r="AJ261" s="60">
        <f t="shared" si="73"/>
        <v>0</v>
      </c>
      <c r="AK261" s="87">
        <f>IF(AB261=1,IFERROR(S261/VLOOKUP(F261,'⑥战队统计表-B-a-②呈现-业绩明细表④'!A:C,3,0),0),0)</f>
        <v>0</v>
      </c>
      <c r="AL261" s="85" t="str">
        <f t="shared" si="63"/>
        <v/>
      </c>
      <c r="AM261" s="53" t="str">
        <f>IF(D261="顾问",_xlfn.XLOOKUP(F261,'⑥战队统计表-B-a-②呈现-业绩明细表④'!A:A,'⑥战队统计表-B-a-②呈现-业绩明细表④'!H:H,0),"")</f>
        <v/>
      </c>
      <c r="AN261" s="53" t="str">
        <f t="shared" si="70"/>
        <v>单人</v>
      </c>
    </row>
    <row r="262" spans="1:40" s="112" customFormat="1" hidden="1" x14ac:dyDescent="0.15">
      <c r="A262" s="79" t="s">
        <v>428</v>
      </c>
      <c r="B262" s="104" t="s">
        <v>81</v>
      </c>
      <c r="C262" s="82" t="s">
        <v>36</v>
      </c>
      <c r="D262" s="82" t="s">
        <v>36</v>
      </c>
      <c r="E262" s="104" t="s">
        <v>266</v>
      </c>
      <c r="F262" s="53" t="str">
        <f t="shared" si="64"/>
        <v>优品道+T区</v>
      </c>
      <c r="G262" s="53">
        <f>IFERROR(_xlfn.XLOOKUP(B262,'①门店信息-A-a-①-增加'!B:B,'①门店信息-A-a-①-增加'!E:E,0),"")</f>
        <v>0</v>
      </c>
      <c r="H262" s="54">
        <f>_xlfn.XLOOKUP(B262,'①门店信息-A-a-①-增加'!B:B,'①门店信息-A-a-①-增加'!F:F,0)</f>
        <v>0</v>
      </c>
      <c r="I262" s="55">
        <f>_xlfn.XLOOKUP(E262,'③新店考核-B-a-②呈现-业绩明细表-③'!B:B,'③新店考核-B-a-②呈现-业绩明细表-③'!E:E,0)</f>
        <v>0</v>
      </c>
      <c r="J262" s="54">
        <f>_xlfn.XLOOKUP(E262,'③新店考核-B-a-②呈现-业绩明细表-③'!B:B,'③新店考核-B-a-②呈现-业绩明细表-③'!F:F,0)</f>
        <v>0</v>
      </c>
      <c r="K262" s="55">
        <f>IF(H262="新店一阶段",LOOKUP(I262,'②提成标准-B-a-①-增加'!$M$9:$M$12,'②提成标准-B-a-①-增加'!$O$9:$O$12),0)</f>
        <v>0</v>
      </c>
      <c r="L262" s="56">
        <f t="shared" si="65"/>
        <v>0</v>
      </c>
      <c r="M262" s="57">
        <f>_xlfn.XLOOKUP(E262,'③新店考核-B-a-②呈现-业绩明细表-③'!B:B,'③新店考核-B-a-②呈现-业绩明细表-③'!G:G,0)</f>
        <v>0</v>
      </c>
      <c r="N262" s="58" t="str">
        <f>LOOKUP(M262,'②提成标准-B-a-①-增加'!$M$1:$M$4,'②提成标准-B-a-①-增加'!$O$1:$O$4)</f>
        <v>同老店</v>
      </c>
      <c r="O262" s="57">
        <f>_xlfn.XLOOKUP(E262,'③新店考核-B-a-②呈现-业绩明细表-③'!B:B,'③新店考核-B-a-②呈现-业绩明细表-③'!H:H,0)</f>
        <v>0</v>
      </c>
      <c r="P262" s="57">
        <f t="shared" si="66"/>
        <v>0</v>
      </c>
      <c r="Q262" s="53">
        <f>_xlfn.XLOOKUP(E262,'④考勤-B-a-26考勤汇总表'!D:D,'④考勤-B-a-26考勤汇总表'!AP:AP,0)</f>
        <v>0</v>
      </c>
      <c r="R262" s="53" t="str">
        <f t="shared" si="60"/>
        <v/>
      </c>
      <c r="S262" s="53">
        <f t="shared" si="71"/>
        <v>0</v>
      </c>
      <c r="T262" s="53">
        <v>0</v>
      </c>
      <c r="U262" s="53">
        <v>0</v>
      </c>
      <c r="V262" s="53">
        <v>0</v>
      </c>
      <c r="W262" s="53">
        <f>_xlfn.XLOOKUP(E262,'⑤项目数-B-a-③消耗明细表'!C:C,'⑤项目数-B-a-③消耗明细表'!E:E,0)</f>
        <v>41060</v>
      </c>
      <c r="X262" s="53">
        <f>_xlfn.XLOOKUP(E262,'⑤项目数-B-a-③消耗明细表'!C:C,'⑤项目数-B-a-③消耗明细表'!D:D,0)</f>
        <v>43</v>
      </c>
      <c r="Y262" s="53">
        <f>_xlfn.XLOOKUP(E262,'⑤项目数-B-a-③消耗明细表'!C:C,'⑤项目数-B-a-③消耗明细表'!F:F,0)</f>
        <v>4</v>
      </c>
      <c r="Z262" s="53">
        <f>_xlfn.XLOOKUP(E262,'⑤项目数-B-a-③消耗明细表'!C:C,'⑤项目数-B-a-③消耗明细表'!G:G,0)</f>
        <v>0</v>
      </c>
      <c r="AA262" s="84" t="str">
        <f t="shared" si="67"/>
        <v>不属于战队</v>
      </c>
      <c r="AB262" s="84">
        <f t="shared" si="68"/>
        <v>0</v>
      </c>
      <c r="AC262" s="53">
        <f>_xlfn.XLOOKUP(F262,'⑥战队统计表-B-a-②呈现-业绩明细表④'!A:A,'⑥战队统计表-B-a-②呈现-业绩明细表④'!B:B,0)</f>
        <v>0</v>
      </c>
      <c r="AD262" s="53">
        <f t="shared" si="72"/>
        <v>1</v>
      </c>
      <c r="AE262" s="59">
        <f>IF(AD262="",_xlfn.XLOOKUP(F262,'⑥战队统计表-B-a-②呈现-业绩明细表④'!A:A,'⑥战队统计表-B-a-②呈现-业绩明细表④'!D:D,0),0)</f>
        <v>0</v>
      </c>
      <c r="AF262" s="85">
        <f>IF(AND(E262="T区",E262="门店T区"),"",IF(AD262="",0,IF(R262="",LOOKUP(S262,'②提成标准-B-a-①-增加'!$B$16:$B$20,'②提成标准-B-a-①-增加'!$D$16:$D$20),LOOKUP(S262/Q262,'②提成标准-B-a-①-增加'!$B$23:$B$27,'②提成标准-B-a-①-增加'!$D$23:$D$27))))</f>
        <v>0</v>
      </c>
      <c r="AG262" s="85">
        <f t="shared" si="69"/>
        <v>0</v>
      </c>
      <c r="AH262" s="60">
        <f t="shared" si="61"/>
        <v>0</v>
      </c>
      <c r="AI262" s="86">
        <f t="shared" si="62"/>
        <v>0</v>
      </c>
      <c r="AJ262" s="60">
        <f t="shared" si="73"/>
        <v>0</v>
      </c>
      <c r="AK262" s="87">
        <f>IF(AB262=1,IFERROR(S262/VLOOKUP(F262,'⑥战队统计表-B-a-②呈现-业绩明细表④'!A:C,3,0),0),0)</f>
        <v>0</v>
      </c>
      <c r="AL262" s="85" t="str">
        <f t="shared" si="63"/>
        <v/>
      </c>
      <c r="AM262" s="53" t="str">
        <f>IF(D262="顾问",_xlfn.XLOOKUP(F262,'⑥战队统计表-B-a-②呈现-业绩明细表④'!A:A,'⑥战队统计表-B-a-②呈现-业绩明细表④'!H:H,0),"")</f>
        <v/>
      </c>
      <c r="AN262" s="53" t="str">
        <f t="shared" si="70"/>
        <v>单人</v>
      </c>
    </row>
    <row r="263" spans="1:40" s="112" customFormat="1" hidden="1" x14ac:dyDescent="0.15">
      <c r="A263" s="79" t="s">
        <v>428</v>
      </c>
      <c r="B263" s="104" t="s">
        <v>90</v>
      </c>
      <c r="C263" s="82" t="s">
        <v>36</v>
      </c>
      <c r="D263" s="82" t="s">
        <v>36</v>
      </c>
      <c r="E263" s="104" t="s">
        <v>267</v>
      </c>
      <c r="F263" s="53" t="str">
        <f t="shared" si="64"/>
        <v>大源+T区</v>
      </c>
      <c r="G263" s="53">
        <f>IFERROR(_xlfn.XLOOKUP(B263,'①门店信息-A-a-①-增加'!B:B,'①门店信息-A-a-①-增加'!E:E,0),"")</f>
        <v>0</v>
      </c>
      <c r="H263" s="54">
        <f>_xlfn.XLOOKUP(B263,'①门店信息-A-a-①-增加'!B:B,'①门店信息-A-a-①-增加'!F:F,0)</f>
        <v>0</v>
      </c>
      <c r="I263" s="55">
        <f>_xlfn.XLOOKUP(E263,'③新店考核-B-a-②呈现-业绩明细表-③'!B:B,'③新店考核-B-a-②呈现-业绩明细表-③'!E:E,0)</f>
        <v>0</v>
      </c>
      <c r="J263" s="54">
        <f>_xlfn.XLOOKUP(E263,'③新店考核-B-a-②呈现-业绩明细表-③'!B:B,'③新店考核-B-a-②呈现-业绩明细表-③'!F:F,0)</f>
        <v>0</v>
      </c>
      <c r="K263" s="55">
        <f>IF(H263="新店一阶段",LOOKUP(I263,'②提成标准-B-a-①-增加'!$M$9:$M$12,'②提成标准-B-a-①-增加'!$O$9:$O$12),0)</f>
        <v>0</v>
      </c>
      <c r="L263" s="56">
        <f t="shared" si="65"/>
        <v>0</v>
      </c>
      <c r="M263" s="57">
        <f>_xlfn.XLOOKUP(E263,'③新店考核-B-a-②呈现-业绩明细表-③'!B:B,'③新店考核-B-a-②呈现-业绩明细表-③'!G:G,0)</f>
        <v>0</v>
      </c>
      <c r="N263" s="58" t="str">
        <f>LOOKUP(M263,'②提成标准-B-a-①-增加'!$M$1:$M$4,'②提成标准-B-a-①-增加'!$O$1:$O$4)</f>
        <v>同老店</v>
      </c>
      <c r="O263" s="57">
        <f>_xlfn.XLOOKUP(E263,'③新店考核-B-a-②呈现-业绩明细表-③'!B:B,'③新店考核-B-a-②呈现-业绩明细表-③'!H:H,0)</f>
        <v>0</v>
      </c>
      <c r="P263" s="57">
        <f t="shared" si="66"/>
        <v>0</v>
      </c>
      <c r="Q263" s="53">
        <f>_xlfn.XLOOKUP(E263,'④考勤-B-a-26考勤汇总表'!D:D,'④考勤-B-a-26考勤汇总表'!AP:AP,0)</f>
        <v>0</v>
      </c>
      <c r="R263" s="53" t="str">
        <f t="shared" ref="R263:R284" si="74">IF(Q263=0,"",IF(Q263&lt;$R$1,"不足月",""))</f>
        <v/>
      </c>
      <c r="S263" s="53">
        <f t="shared" si="71"/>
        <v>0</v>
      </c>
      <c r="T263" s="53">
        <v>0</v>
      </c>
      <c r="U263" s="53">
        <v>0</v>
      </c>
      <c r="V263" s="53">
        <v>0</v>
      </c>
      <c r="W263" s="53">
        <f>_xlfn.XLOOKUP(E263,'⑤项目数-B-a-③消耗明细表'!C:C,'⑤项目数-B-a-③消耗明细表'!E:E,0)</f>
        <v>30811.75</v>
      </c>
      <c r="X263" s="53">
        <f>_xlfn.XLOOKUP(E263,'⑤项目数-B-a-③消耗明细表'!C:C,'⑤项目数-B-a-③消耗明细表'!D:D,0)</f>
        <v>93</v>
      </c>
      <c r="Y263" s="53">
        <f>_xlfn.XLOOKUP(E263,'⑤项目数-B-a-③消耗明细表'!C:C,'⑤项目数-B-a-③消耗明细表'!F:F,0)</f>
        <v>0</v>
      </c>
      <c r="Z263" s="53">
        <f>_xlfn.XLOOKUP(E263,'⑤项目数-B-a-③消耗明细表'!C:C,'⑤项目数-B-a-③消耗明细表'!G:G,0)</f>
        <v>0</v>
      </c>
      <c r="AA263" s="84" t="str">
        <f t="shared" si="67"/>
        <v>不属于战队</v>
      </c>
      <c r="AB263" s="84">
        <f t="shared" si="68"/>
        <v>0</v>
      </c>
      <c r="AC263" s="53">
        <f>_xlfn.XLOOKUP(F263,'⑥战队统计表-B-a-②呈现-业绩明细表④'!A:A,'⑥战队统计表-B-a-②呈现-业绩明细表④'!B:B,0)</f>
        <v>0</v>
      </c>
      <c r="AD263" s="53">
        <f t="shared" si="72"/>
        <v>1</v>
      </c>
      <c r="AE263" s="59">
        <f>IF(AD263="",_xlfn.XLOOKUP(F263,'⑥战队统计表-B-a-②呈现-业绩明细表④'!A:A,'⑥战队统计表-B-a-②呈现-业绩明细表④'!D:D,0),0)</f>
        <v>0</v>
      </c>
      <c r="AF263" s="85">
        <f>IF(AND(E263="T区",E263="门店T区"),"",IF(AD263="",0,IF(R263="",LOOKUP(S263,'②提成标准-B-a-①-增加'!$B$16:$B$20,'②提成标准-B-a-①-增加'!$D$16:$D$20),LOOKUP(S263/Q263,'②提成标准-B-a-①-增加'!$B$23:$B$27,'②提成标准-B-a-①-增加'!$D$23:$D$27))))</f>
        <v>0</v>
      </c>
      <c r="AG263" s="85">
        <f t="shared" si="69"/>
        <v>0</v>
      </c>
      <c r="AH263" s="60">
        <f t="shared" ref="AH263:AH284" si="75">IF(D263="门店T区",0,IF(H263="新店一阶段",J263*K263*0.95+L263*AF263*0.95,IF(N263="同老店",IF(AND($E$6="T区",$E$6="门店T区"),"",AG263*T263*0.95),O263*N263*0.95+P263*0.95*AG263)))</f>
        <v>0</v>
      </c>
      <c r="AI263" s="86">
        <f t="shared" ref="AI263:AI284" si="76">IF(D263="门店T区",0,IF(AND($E$6="T区",$E$6="门店T区"),"",AG263*U263*0.95*0.65))</f>
        <v>0</v>
      </c>
      <c r="AJ263" s="60">
        <f t="shared" si="73"/>
        <v>0</v>
      </c>
      <c r="AK263" s="87">
        <f>IF(AB263=1,IFERROR(S263/VLOOKUP(F263,'⑥战队统计表-B-a-②呈现-业绩明细表④'!A:C,3,0),0),0)</f>
        <v>0</v>
      </c>
      <c r="AL263" s="85" t="str">
        <f t="shared" si="63"/>
        <v/>
      </c>
      <c r="AM263" s="53" t="str">
        <f>IF(D263="顾问",_xlfn.XLOOKUP(F263,'⑥战队统计表-B-a-②呈现-业绩明细表④'!A:A,'⑥战队统计表-B-a-②呈现-业绩明细表④'!H:H,0),"")</f>
        <v/>
      </c>
      <c r="AN263" s="53" t="str">
        <f t="shared" si="70"/>
        <v>单人</v>
      </c>
    </row>
    <row r="264" spans="1:40" s="112" customFormat="1" hidden="1" x14ac:dyDescent="0.15">
      <c r="A264" s="79" t="s">
        <v>428</v>
      </c>
      <c r="B264" s="104" t="s">
        <v>97</v>
      </c>
      <c r="C264" s="82" t="s">
        <v>36</v>
      </c>
      <c r="D264" s="82" t="s">
        <v>36</v>
      </c>
      <c r="E264" s="104" t="s">
        <v>268</v>
      </c>
      <c r="F264" s="53" t="str">
        <f t="shared" si="64"/>
        <v>保利+T区</v>
      </c>
      <c r="G264" s="53">
        <f>IFERROR(_xlfn.XLOOKUP(B264,'①门店信息-A-a-①-增加'!B:B,'①门店信息-A-a-①-增加'!E:E,0),"")</f>
        <v>0</v>
      </c>
      <c r="H264" s="54">
        <f>_xlfn.XLOOKUP(B264,'①门店信息-A-a-①-增加'!B:B,'①门店信息-A-a-①-增加'!F:F,0)</f>
        <v>0</v>
      </c>
      <c r="I264" s="55">
        <f>_xlfn.XLOOKUP(E264,'③新店考核-B-a-②呈现-业绩明细表-③'!B:B,'③新店考核-B-a-②呈现-业绩明细表-③'!E:E,0)</f>
        <v>0</v>
      </c>
      <c r="J264" s="54">
        <f>_xlfn.XLOOKUP(E264,'③新店考核-B-a-②呈现-业绩明细表-③'!B:B,'③新店考核-B-a-②呈现-业绩明细表-③'!F:F,0)</f>
        <v>0</v>
      </c>
      <c r="K264" s="55">
        <f>IF(H264="新店一阶段",LOOKUP(I264,'②提成标准-B-a-①-增加'!$M$9:$M$12,'②提成标准-B-a-①-增加'!$O$9:$O$12),0)</f>
        <v>0</v>
      </c>
      <c r="L264" s="56">
        <f t="shared" si="65"/>
        <v>0</v>
      </c>
      <c r="M264" s="57">
        <f>_xlfn.XLOOKUP(E264,'③新店考核-B-a-②呈现-业绩明细表-③'!B:B,'③新店考核-B-a-②呈现-业绩明细表-③'!G:G,0)</f>
        <v>0</v>
      </c>
      <c r="N264" s="58" t="str">
        <f>LOOKUP(M264,'②提成标准-B-a-①-增加'!$M$1:$M$4,'②提成标准-B-a-①-增加'!$O$1:$O$4)</f>
        <v>同老店</v>
      </c>
      <c r="O264" s="57">
        <f>_xlfn.XLOOKUP(E264,'③新店考核-B-a-②呈现-业绩明细表-③'!B:B,'③新店考核-B-a-②呈现-业绩明细表-③'!H:H,0)</f>
        <v>0</v>
      </c>
      <c r="P264" s="57">
        <f t="shared" si="66"/>
        <v>0</v>
      </c>
      <c r="Q264" s="53">
        <f>_xlfn.XLOOKUP(E264,'④考勤-B-a-26考勤汇总表'!D:D,'④考勤-B-a-26考勤汇总表'!AP:AP,0)</f>
        <v>0</v>
      </c>
      <c r="R264" s="53" t="str">
        <f t="shared" si="74"/>
        <v/>
      </c>
      <c r="S264" s="53">
        <f t="shared" si="71"/>
        <v>0</v>
      </c>
      <c r="T264" s="53">
        <v>0</v>
      </c>
      <c r="U264" s="53">
        <v>0</v>
      </c>
      <c r="V264" s="53">
        <v>0</v>
      </c>
      <c r="W264" s="53">
        <f>_xlfn.XLOOKUP(E264,'⑤项目数-B-a-③消耗明细表'!C:C,'⑤项目数-B-a-③消耗明细表'!E:E,0)</f>
        <v>21218</v>
      </c>
      <c r="X264" s="53">
        <f>_xlfn.XLOOKUP(E264,'⑤项目数-B-a-③消耗明细表'!C:C,'⑤项目数-B-a-③消耗明细表'!D:D,0)</f>
        <v>21</v>
      </c>
      <c r="Y264" s="53">
        <f>_xlfn.XLOOKUP(E264,'⑤项目数-B-a-③消耗明细表'!C:C,'⑤项目数-B-a-③消耗明细表'!F:F,0)</f>
        <v>0</v>
      </c>
      <c r="Z264" s="53">
        <f>_xlfn.XLOOKUP(E264,'⑤项目数-B-a-③消耗明细表'!C:C,'⑤项目数-B-a-③消耗明细表'!G:G,0)</f>
        <v>0</v>
      </c>
      <c r="AA264" s="84" t="str">
        <f t="shared" si="67"/>
        <v>不属于战队</v>
      </c>
      <c r="AB264" s="84">
        <f t="shared" si="68"/>
        <v>0</v>
      </c>
      <c r="AC264" s="53">
        <f>_xlfn.XLOOKUP(F264,'⑥战队统计表-B-a-②呈现-业绩明细表④'!A:A,'⑥战队统计表-B-a-②呈现-业绩明细表④'!B:B,0)</f>
        <v>0</v>
      </c>
      <c r="AD264" s="53">
        <f t="shared" si="72"/>
        <v>1</v>
      </c>
      <c r="AE264" s="59">
        <f>IF(AD264="",_xlfn.XLOOKUP(F264,'⑥战队统计表-B-a-②呈现-业绩明细表④'!A:A,'⑥战队统计表-B-a-②呈现-业绩明细表④'!D:D,0),0)</f>
        <v>0</v>
      </c>
      <c r="AF264" s="85">
        <f>IF(AND(E264="T区",E264="门店T区"),"",IF(AD264="",0,IF(R264="",LOOKUP(S264,'②提成标准-B-a-①-增加'!$B$16:$B$20,'②提成标准-B-a-①-增加'!$D$16:$D$20),LOOKUP(S264/Q264,'②提成标准-B-a-①-增加'!$B$23:$B$27,'②提成标准-B-a-①-增加'!$D$23:$D$27))))</f>
        <v>0</v>
      </c>
      <c r="AG264" s="85">
        <f t="shared" si="69"/>
        <v>0</v>
      </c>
      <c r="AH264" s="60">
        <f t="shared" si="75"/>
        <v>0</v>
      </c>
      <c r="AI264" s="86">
        <f t="shared" si="76"/>
        <v>0</v>
      </c>
      <c r="AJ264" s="60">
        <f t="shared" si="73"/>
        <v>0</v>
      </c>
      <c r="AK264" s="87">
        <f>IF(AB264=1,IFERROR(S264/VLOOKUP(F264,'⑥战队统计表-B-a-②呈现-业绩明细表④'!A:C,3,0),0),0)</f>
        <v>0</v>
      </c>
      <c r="AL264" s="85" t="str">
        <f t="shared" si="63"/>
        <v/>
      </c>
      <c r="AM264" s="53" t="str">
        <f>IF(D264="顾问",_xlfn.XLOOKUP(F264,'⑥战队统计表-B-a-②呈现-业绩明细表④'!A:A,'⑥战队统计表-B-a-②呈现-业绩明细表④'!H:H,0),"")</f>
        <v/>
      </c>
      <c r="AN264" s="53" t="str">
        <f t="shared" si="70"/>
        <v>单人</v>
      </c>
    </row>
    <row r="265" spans="1:40" s="112" customFormat="1" hidden="1" x14ac:dyDescent="0.15">
      <c r="A265" s="79" t="s">
        <v>428</v>
      </c>
      <c r="B265" s="104" t="s">
        <v>102</v>
      </c>
      <c r="C265" s="82" t="s">
        <v>36</v>
      </c>
      <c r="D265" s="82" t="s">
        <v>36</v>
      </c>
      <c r="E265" s="104" t="s">
        <v>269</v>
      </c>
      <c r="F265" s="53" t="str">
        <f t="shared" si="64"/>
        <v>骑士郡+T区</v>
      </c>
      <c r="G265" s="53">
        <f>IFERROR(_xlfn.XLOOKUP(B265,'①门店信息-A-a-①-增加'!B:B,'①门店信息-A-a-①-增加'!E:E,0),"")</f>
        <v>0</v>
      </c>
      <c r="H265" s="54">
        <f>_xlfn.XLOOKUP(B265,'①门店信息-A-a-①-增加'!B:B,'①门店信息-A-a-①-增加'!F:F,0)</f>
        <v>0</v>
      </c>
      <c r="I265" s="55">
        <f>_xlfn.XLOOKUP(E265,'③新店考核-B-a-②呈现-业绩明细表-③'!B:B,'③新店考核-B-a-②呈现-业绩明细表-③'!E:E,0)</f>
        <v>0</v>
      </c>
      <c r="J265" s="54">
        <f>_xlfn.XLOOKUP(E265,'③新店考核-B-a-②呈现-业绩明细表-③'!B:B,'③新店考核-B-a-②呈现-业绩明细表-③'!F:F,0)</f>
        <v>0</v>
      </c>
      <c r="K265" s="55">
        <f>IF(H265="新店一阶段",LOOKUP(I265,'②提成标准-B-a-①-增加'!$M$9:$M$12,'②提成标准-B-a-①-增加'!$O$9:$O$12),0)</f>
        <v>0</v>
      </c>
      <c r="L265" s="56">
        <f t="shared" si="65"/>
        <v>0</v>
      </c>
      <c r="M265" s="57">
        <f>_xlfn.XLOOKUP(E265,'③新店考核-B-a-②呈现-业绩明细表-③'!B:B,'③新店考核-B-a-②呈现-业绩明细表-③'!G:G,0)</f>
        <v>0</v>
      </c>
      <c r="N265" s="58" t="str">
        <f>LOOKUP(M265,'②提成标准-B-a-①-增加'!$M$1:$M$4,'②提成标准-B-a-①-增加'!$O$1:$O$4)</f>
        <v>同老店</v>
      </c>
      <c r="O265" s="57">
        <f>_xlfn.XLOOKUP(E265,'③新店考核-B-a-②呈现-业绩明细表-③'!B:B,'③新店考核-B-a-②呈现-业绩明细表-③'!H:H,0)</f>
        <v>0</v>
      </c>
      <c r="P265" s="57">
        <f t="shared" si="66"/>
        <v>0</v>
      </c>
      <c r="Q265" s="53">
        <f>_xlfn.XLOOKUP(E265,'④考勤-B-a-26考勤汇总表'!D:D,'④考勤-B-a-26考勤汇总表'!AP:AP,0)</f>
        <v>0</v>
      </c>
      <c r="R265" s="53" t="str">
        <f t="shared" si="74"/>
        <v/>
      </c>
      <c r="S265" s="53">
        <f t="shared" si="71"/>
        <v>0</v>
      </c>
      <c r="T265" s="53">
        <v>0</v>
      </c>
      <c r="U265" s="53">
        <v>0</v>
      </c>
      <c r="V265" s="53">
        <v>0</v>
      </c>
      <c r="W265" s="53">
        <f>_xlfn.XLOOKUP(E265,'⑤项目数-B-a-③消耗明细表'!C:C,'⑤项目数-B-a-③消耗明细表'!E:E,0)</f>
        <v>4197.9799999999996</v>
      </c>
      <c r="X265" s="53">
        <f>_xlfn.XLOOKUP(E265,'⑤项目数-B-a-③消耗明细表'!C:C,'⑤项目数-B-a-③消耗明细表'!D:D,0)</f>
        <v>20</v>
      </c>
      <c r="Y265" s="53">
        <f>_xlfn.XLOOKUP(E265,'⑤项目数-B-a-③消耗明细表'!C:C,'⑤项目数-B-a-③消耗明细表'!F:F,0)</f>
        <v>0</v>
      </c>
      <c r="Z265" s="53">
        <f>_xlfn.XLOOKUP(E265,'⑤项目数-B-a-③消耗明细表'!C:C,'⑤项目数-B-a-③消耗明细表'!G:G,0)</f>
        <v>0</v>
      </c>
      <c r="AA265" s="84" t="str">
        <f t="shared" si="67"/>
        <v>不属于战队</v>
      </c>
      <c r="AB265" s="84">
        <f t="shared" si="68"/>
        <v>0</v>
      </c>
      <c r="AC265" s="53">
        <f>_xlfn.XLOOKUP(F265,'⑥战队统计表-B-a-②呈现-业绩明细表④'!A:A,'⑥战队统计表-B-a-②呈现-业绩明细表④'!B:B,0)</f>
        <v>0</v>
      </c>
      <c r="AD265" s="53">
        <f t="shared" si="72"/>
        <v>1</v>
      </c>
      <c r="AE265" s="59">
        <f>IF(AD265="",_xlfn.XLOOKUP(F265,'⑥战队统计表-B-a-②呈现-业绩明细表④'!A:A,'⑥战队统计表-B-a-②呈现-业绩明细表④'!D:D,0),0)</f>
        <v>0</v>
      </c>
      <c r="AF265" s="85">
        <f>IF(AND(E265="T区",E265="门店T区"),"",IF(AD265="",0,IF(R265="",LOOKUP(S265,'②提成标准-B-a-①-增加'!$B$16:$B$20,'②提成标准-B-a-①-增加'!$D$16:$D$20),LOOKUP(S265/Q265,'②提成标准-B-a-①-增加'!$B$23:$B$27,'②提成标准-B-a-①-增加'!$D$23:$D$27))))</f>
        <v>0</v>
      </c>
      <c r="AG265" s="85">
        <f t="shared" si="69"/>
        <v>0</v>
      </c>
      <c r="AH265" s="60">
        <f t="shared" si="75"/>
        <v>0</v>
      </c>
      <c r="AI265" s="86">
        <f t="shared" si="76"/>
        <v>0</v>
      </c>
      <c r="AJ265" s="60">
        <f t="shared" si="73"/>
        <v>0</v>
      </c>
      <c r="AK265" s="87">
        <f>IF(AB265=1,IFERROR(S265/VLOOKUP(F265,'⑥战队统计表-B-a-②呈现-业绩明细表④'!A:C,3,0),0),0)</f>
        <v>0</v>
      </c>
      <c r="AL265" s="85" t="str">
        <f t="shared" si="63"/>
        <v/>
      </c>
      <c r="AM265" s="53" t="str">
        <f>IF(D265="顾问",_xlfn.XLOOKUP(F265,'⑥战队统计表-B-a-②呈现-业绩明细表④'!A:A,'⑥战队统计表-B-a-②呈现-业绩明细表④'!H:H,0),"")</f>
        <v/>
      </c>
      <c r="AN265" s="53" t="str">
        <f t="shared" si="70"/>
        <v>单人</v>
      </c>
    </row>
    <row r="266" spans="1:40" s="112" customFormat="1" hidden="1" x14ac:dyDescent="0.15">
      <c r="A266" s="79" t="s">
        <v>428</v>
      </c>
      <c r="B266" s="104" t="s">
        <v>112</v>
      </c>
      <c r="C266" s="82" t="s">
        <v>36</v>
      </c>
      <c r="D266" s="82" t="s">
        <v>36</v>
      </c>
      <c r="E266" s="104" t="s">
        <v>270</v>
      </c>
      <c r="F266" s="53" t="str">
        <f t="shared" si="64"/>
        <v>荣华南路+T区</v>
      </c>
      <c r="G266" s="53">
        <f>IFERROR(_xlfn.XLOOKUP(B266,'①门店信息-A-a-①-增加'!B:B,'①门店信息-A-a-①-增加'!E:E,0),"")</f>
        <v>0</v>
      </c>
      <c r="H266" s="54">
        <f>_xlfn.XLOOKUP(B266,'①门店信息-A-a-①-增加'!B:B,'①门店信息-A-a-①-增加'!F:F,0)</f>
        <v>0</v>
      </c>
      <c r="I266" s="55">
        <f>_xlfn.XLOOKUP(E266,'③新店考核-B-a-②呈现-业绩明细表-③'!B:B,'③新店考核-B-a-②呈现-业绩明细表-③'!E:E,0)</f>
        <v>0</v>
      </c>
      <c r="J266" s="54">
        <f>_xlfn.XLOOKUP(E266,'③新店考核-B-a-②呈现-业绩明细表-③'!B:B,'③新店考核-B-a-②呈现-业绩明细表-③'!F:F,0)</f>
        <v>0</v>
      </c>
      <c r="K266" s="55">
        <f>IF(H266="新店一阶段",LOOKUP(I266,'②提成标准-B-a-①-增加'!$M$9:$M$12,'②提成标准-B-a-①-增加'!$O$9:$O$12),0)</f>
        <v>0</v>
      </c>
      <c r="L266" s="56">
        <f t="shared" si="65"/>
        <v>0</v>
      </c>
      <c r="M266" s="57">
        <f>_xlfn.XLOOKUP(E266,'③新店考核-B-a-②呈现-业绩明细表-③'!B:B,'③新店考核-B-a-②呈现-业绩明细表-③'!G:G,0)</f>
        <v>0</v>
      </c>
      <c r="N266" s="58" t="str">
        <f>LOOKUP(M266,'②提成标准-B-a-①-增加'!$M$1:$M$4,'②提成标准-B-a-①-增加'!$O$1:$O$4)</f>
        <v>同老店</v>
      </c>
      <c r="O266" s="57">
        <f>_xlfn.XLOOKUP(E266,'③新店考核-B-a-②呈现-业绩明细表-③'!B:B,'③新店考核-B-a-②呈现-业绩明细表-③'!H:H,0)</f>
        <v>0</v>
      </c>
      <c r="P266" s="57">
        <f t="shared" si="66"/>
        <v>0</v>
      </c>
      <c r="Q266" s="53">
        <f>_xlfn.XLOOKUP(E266,'④考勤-B-a-26考勤汇总表'!D:D,'④考勤-B-a-26考勤汇总表'!AP:AP,0)</f>
        <v>0</v>
      </c>
      <c r="R266" s="53" t="str">
        <f t="shared" si="74"/>
        <v/>
      </c>
      <c r="S266" s="53">
        <f t="shared" si="71"/>
        <v>0</v>
      </c>
      <c r="T266" s="53">
        <v>0</v>
      </c>
      <c r="U266" s="53">
        <v>0</v>
      </c>
      <c r="V266" s="53">
        <v>0</v>
      </c>
      <c r="W266" s="53">
        <f>_xlfn.XLOOKUP(E266,'⑤项目数-B-a-③消耗明细表'!C:C,'⑤项目数-B-a-③消耗明细表'!E:E,0)</f>
        <v>4592.87</v>
      </c>
      <c r="X266" s="53">
        <f>_xlfn.XLOOKUP(E266,'⑤项目数-B-a-③消耗明细表'!C:C,'⑤项目数-B-a-③消耗明细表'!D:D,0)</f>
        <v>3</v>
      </c>
      <c r="Y266" s="53">
        <f>_xlfn.XLOOKUP(E266,'⑤项目数-B-a-③消耗明细表'!C:C,'⑤项目数-B-a-③消耗明细表'!F:F,0)</f>
        <v>0</v>
      </c>
      <c r="Z266" s="53">
        <f>_xlfn.XLOOKUP(E266,'⑤项目数-B-a-③消耗明细表'!C:C,'⑤项目数-B-a-③消耗明细表'!G:G,0)</f>
        <v>0</v>
      </c>
      <c r="AA266" s="84" t="str">
        <f t="shared" si="67"/>
        <v>不属于战队</v>
      </c>
      <c r="AB266" s="84">
        <f t="shared" si="68"/>
        <v>0</v>
      </c>
      <c r="AC266" s="53">
        <f>_xlfn.XLOOKUP(F266,'⑥战队统计表-B-a-②呈现-业绩明细表④'!A:A,'⑥战队统计表-B-a-②呈现-业绩明细表④'!B:B,0)</f>
        <v>0</v>
      </c>
      <c r="AD266" s="53">
        <f t="shared" si="72"/>
        <v>1</v>
      </c>
      <c r="AE266" s="59">
        <f>IF(AD266="",_xlfn.XLOOKUP(F266,'⑥战队统计表-B-a-②呈现-业绩明细表④'!A:A,'⑥战队统计表-B-a-②呈现-业绩明细表④'!D:D,0),0)</f>
        <v>0</v>
      </c>
      <c r="AF266" s="85">
        <f>IF(AND(E266="T区",E266="门店T区"),"",IF(AD266="",0,IF(R266="",LOOKUP(S266,'②提成标准-B-a-①-增加'!$B$16:$B$20,'②提成标准-B-a-①-增加'!$D$16:$D$20),LOOKUP(S266/Q266,'②提成标准-B-a-①-增加'!$B$23:$B$27,'②提成标准-B-a-①-增加'!$D$23:$D$27))))</f>
        <v>0</v>
      </c>
      <c r="AG266" s="85">
        <f t="shared" si="69"/>
        <v>0</v>
      </c>
      <c r="AH266" s="60">
        <f t="shared" si="75"/>
        <v>0</v>
      </c>
      <c r="AI266" s="86">
        <f t="shared" si="76"/>
        <v>0</v>
      </c>
      <c r="AJ266" s="60">
        <f t="shared" si="73"/>
        <v>0</v>
      </c>
      <c r="AK266" s="87">
        <f>IF(AB266=1,IFERROR(S266/VLOOKUP(F266,'⑥战队统计表-B-a-②呈现-业绩明细表④'!A:C,3,0),0),0)</f>
        <v>0</v>
      </c>
      <c r="AL266" s="85" t="str">
        <f t="shared" si="63"/>
        <v/>
      </c>
      <c r="AM266" s="53" t="str">
        <f>IF(D266="顾问",_xlfn.XLOOKUP(F266,'⑥战队统计表-B-a-②呈现-业绩明细表④'!A:A,'⑥战队统计表-B-a-②呈现-业绩明细表④'!H:H,0),"")</f>
        <v/>
      </c>
      <c r="AN266" s="53" t="str">
        <f t="shared" si="70"/>
        <v>单人</v>
      </c>
    </row>
    <row r="267" spans="1:40" s="112" customFormat="1" hidden="1" x14ac:dyDescent="0.15">
      <c r="A267" s="79" t="s">
        <v>428</v>
      </c>
      <c r="B267" s="104" t="s">
        <v>120</v>
      </c>
      <c r="C267" s="82" t="s">
        <v>36</v>
      </c>
      <c r="D267" s="82" t="s">
        <v>36</v>
      </c>
      <c r="E267" s="104" t="s">
        <v>271</v>
      </c>
      <c r="F267" s="53" t="str">
        <f t="shared" si="64"/>
        <v>融创+T区</v>
      </c>
      <c r="G267" s="53">
        <f>IFERROR(_xlfn.XLOOKUP(B267,'①门店信息-A-a-①-增加'!B:B,'①门店信息-A-a-①-增加'!E:E,0),"")</f>
        <v>0</v>
      </c>
      <c r="H267" s="54">
        <f>_xlfn.XLOOKUP(B267,'①门店信息-A-a-①-增加'!B:B,'①门店信息-A-a-①-增加'!F:F,0)</f>
        <v>0</v>
      </c>
      <c r="I267" s="55">
        <f>_xlfn.XLOOKUP(E267,'③新店考核-B-a-②呈现-业绩明细表-③'!B:B,'③新店考核-B-a-②呈现-业绩明细表-③'!E:E,0)</f>
        <v>0</v>
      </c>
      <c r="J267" s="54">
        <f>_xlfn.XLOOKUP(E267,'③新店考核-B-a-②呈现-业绩明细表-③'!B:B,'③新店考核-B-a-②呈现-业绩明细表-③'!F:F,0)</f>
        <v>0</v>
      </c>
      <c r="K267" s="55">
        <f>IF(H267="新店一阶段",LOOKUP(I267,'②提成标准-B-a-①-增加'!$M$9:$M$12,'②提成标准-B-a-①-增加'!$O$9:$O$12),0)</f>
        <v>0</v>
      </c>
      <c r="L267" s="56">
        <f t="shared" si="65"/>
        <v>0</v>
      </c>
      <c r="M267" s="57">
        <f>_xlfn.XLOOKUP(E267,'③新店考核-B-a-②呈现-业绩明细表-③'!B:B,'③新店考核-B-a-②呈现-业绩明细表-③'!G:G,0)</f>
        <v>0</v>
      </c>
      <c r="N267" s="58" t="str">
        <f>LOOKUP(M267,'②提成标准-B-a-①-增加'!$M$1:$M$4,'②提成标准-B-a-①-增加'!$O$1:$O$4)</f>
        <v>同老店</v>
      </c>
      <c r="O267" s="57">
        <f>_xlfn.XLOOKUP(E267,'③新店考核-B-a-②呈现-业绩明细表-③'!B:B,'③新店考核-B-a-②呈现-业绩明细表-③'!H:H,0)</f>
        <v>0</v>
      </c>
      <c r="P267" s="57">
        <f t="shared" si="66"/>
        <v>0</v>
      </c>
      <c r="Q267" s="53">
        <f>_xlfn.XLOOKUP(E267,'④考勤-B-a-26考勤汇总表'!D:D,'④考勤-B-a-26考勤汇总表'!AP:AP,0)</f>
        <v>0</v>
      </c>
      <c r="R267" s="53" t="str">
        <f t="shared" si="74"/>
        <v/>
      </c>
      <c r="S267" s="53">
        <f t="shared" si="71"/>
        <v>0</v>
      </c>
      <c r="T267" s="53">
        <v>0</v>
      </c>
      <c r="U267" s="53">
        <v>0</v>
      </c>
      <c r="V267" s="53">
        <v>0</v>
      </c>
      <c r="W267" s="53">
        <f>_xlfn.XLOOKUP(E267,'⑤项目数-B-a-③消耗明细表'!C:C,'⑤项目数-B-a-③消耗明细表'!E:E,0)</f>
        <v>1320</v>
      </c>
      <c r="X267" s="53">
        <f>_xlfn.XLOOKUP(E267,'⑤项目数-B-a-③消耗明细表'!C:C,'⑤项目数-B-a-③消耗明细表'!D:D,0)</f>
        <v>19</v>
      </c>
      <c r="Y267" s="53">
        <f>_xlfn.XLOOKUP(E267,'⑤项目数-B-a-③消耗明细表'!C:C,'⑤项目数-B-a-③消耗明细表'!F:F,0)</f>
        <v>0</v>
      </c>
      <c r="Z267" s="53">
        <f>_xlfn.XLOOKUP(E267,'⑤项目数-B-a-③消耗明细表'!C:C,'⑤项目数-B-a-③消耗明细表'!G:G,0)</f>
        <v>0</v>
      </c>
      <c r="AA267" s="84" t="str">
        <f t="shared" si="67"/>
        <v>不属于战队</v>
      </c>
      <c r="AB267" s="84">
        <f t="shared" si="68"/>
        <v>0</v>
      </c>
      <c r="AC267" s="53">
        <f>_xlfn.XLOOKUP(F267,'⑥战队统计表-B-a-②呈现-业绩明细表④'!A:A,'⑥战队统计表-B-a-②呈现-业绩明细表④'!B:B,0)</f>
        <v>0</v>
      </c>
      <c r="AD267" s="53">
        <f t="shared" si="72"/>
        <v>1</v>
      </c>
      <c r="AE267" s="59">
        <f>IF(AD267="",_xlfn.XLOOKUP(F267,'⑥战队统计表-B-a-②呈现-业绩明细表④'!A:A,'⑥战队统计表-B-a-②呈现-业绩明细表④'!D:D,0),0)</f>
        <v>0</v>
      </c>
      <c r="AF267" s="85">
        <f>IF(AND(E267="T区",E267="门店T区"),"",IF(AD267="",0,IF(R267="",LOOKUP(S267,'②提成标准-B-a-①-增加'!$B$16:$B$20,'②提成标准-B-a-①-增加'!$D$16:$D$20),LOOKUP(S267/Q267,'②提成标准-B-a-①-增加'!$B$23:$B$27,'②提成标准-B-a-①-增加'!$D$23:$D$27))))</f>
        <v>0</v>
      </c>
      <c r="AG267" s="85">
        <f t="shared" si="69"/>
        <v>0</v>
      </c>
      <c r="AH267" s="60">
        <f t="shared" si="75"/>
        <v>0</v>
      </c>
      <c r="AI267" s="86">
        <f t="shared" si="76"/>
        <v>0</v>
      </c>
      <c r="AJ267" s="60">
        <f t="shared" si="73"/>
        <v>0</v>
      </c>
      <c r="AK267" s="87">
        <f>IF(AB267=1,IFERROR(S267/VLOOKUP(F267,'⑥战队统计表-B-a-②呈现-业绩明细表④'!A:C,3,0),0),0)</f>
        <v>0</v>
      </c>
      <c r="AL267" s="85" t="str">
        <f t="shared" si="63"/>
        <v/>
      </c>
      <c r="AM267" s="53" t="str">
        <f>IF(D267="顾问",_xlfn.XLOOKUP(F267,'⑥战队统计表-B-a-②呈现-业绩明细表④'!A:A,'⑥战队统计表-B-a-②呈现-业绩明细表④'!H:H,0),"")</f>
        <v/>
      </c>
      <c r="AN267" s="53" t="str">
        <f t="shared" si="70"/>
        <v>单人</v>
      </c>
    </row>
    <row r="268" spans="1:40" s="112" customFormat="1" hidden="1" x14ac:dyDescent="0.15">
      <c r="A268" s="79" t="s">
        <v>428</v>
      </c>
      <c r="B268" s="104" t="s">
        <v>129</v>
      </c>
      <c r="C268" s="82" t="s">
        <v>36</v>
      </c>
      <c r="D268" s="82" t="s">
        <v>36</v>
      </c>
      <c r="E268" s="104" t="s">
        <v>272</v>
      </c>
      <c r="F268" s="53" t="str">
        <f t="shared" si="64"/>
        <v>沙河+T区</v>
      </c>
      <c r="G268" s="53">
        <f>IFERROR(_xlfn.XLOOKUP(B268,'①门店信息-A-a-①-增加'!B:B,'①门店信息-A-a-①-增加'!E:E,0),"")</f>
        <v>0</v>
      </c>
      <c r="H268" s="54">
        <f>_xlfn.XLOOKUP(B268,'①门店信息-A-a-①-增加'!B:B,'①门店信息-A-a-①-增加'!F:F,0)</f>
        <v>0</v>
      </c>
      <c r="I268" s="55">
        <f>_xlfn.XLOOKUP(E268,'③新店考核-B-a-②呈现-业绩明细表-③'!B:B,'③新店考核-B-a-②呈现-业绩明细表-③'!E:E,0)</f>
        <v>0</v>
      </c>
      <c r="J268" s="54">
        <f>_xlfn.XLOOKUP(E268,'③新店考核-B-a-②呈现-业绩明细表-③'!B:B,'③新店考核-B-a-②呈现-业绩明细表-③'!F:F,0)</f>
        <v>0</v>
      </c>
      <c r="K268" s="55">
        <f>IF(H268="新店一阶段",LOOKUP(I268,'②提成标准-B-a-①-增加'!$M$9:$M$12,'②提成标准-B-a-①-增加'!$O$9:$O$12),0)</f>
        <v>0</v>
      </c>
      <c r="L268" s="56">
        <f t="shared" si="65"/>
        <v>0</v>
      </c>
      <c r="M268" s="57">
        <f>_xlfn.XLOOKUP(E268,'③新店考核-B-a-②呈现-业绩明细表-③'!B:B,'③新店考核-B-a-②呈现-业绩明细表-③'!G:G,0)</f>
        <v>0</v>
      </c>
      <c r="N268" s="58" t="str">
        <f>LOOKUP(M268,'②提成标准-B-a-①-增加'!$M$1:$M$4,'②提成标准-B-a-①-增加'!$O$1:$O$4)</f>
        <v>同老店</v>
      </c>
      <c r="O268" s="57">
        <f>_xlfn.XLOOKUP(E268,'③新店考核-B-a-②呈现-业绩明细表-③'!B:B,'③新店考核-B-a-②呈现-业绩明细表-③'!H:H,0)</f>
        <v>0</v>
      </c>
      <c r="P268" s="57">
        <f t="shared" si="66"/>
        <v>0</v>
      </c>
      <c r="Q268" s="53">
        <f>_xlfn.XLOOKUP(E268,'④考勤-B-a-26考勤汇总表'!D:D,'④考勤-B-a-26考勤汇总表'!AP:AP,0)</f>
        <v>0</v>
      </c>
      <c r="R268" s="53" t="str">
        <f t="shared" si="74"/>
        <v/>
      </c>
      <c r="S268" s="53">
        <f t="shared" si="71"/>
        <v>0</v>
      </c>
      <c r="T268" s="53">
        <v>0</v>
      </c>
      <c r="U268" s="53">
        <v>0</v>
      </c>
      <c r="V268" s="53">
        <v>0</v>
      </c>
      <c r="W268" s="53">
        <f>_xlfn.XLOOKUP(E268,'⑤项目数-B-a-③消耗明细表'!C:C,'⑤项目数-B-a-③消耗明细表'!E:E,0)</f>
        <v>10389</v>
      </c>
      <c r="X268" s="53">
        <f>_xlfn.XLOOKUP(E268,'⑤项目数-B-a-③消耗明细表'!C:C,'⑤项目数-B-a-③消耗明细表'!D:D,0)</f>
        <v>35</v>
      </c>
      <c r="Y268" s="53">
        <f>_xlfn.XLOOKUP(E268,'⑤项目数-B-a-③消耗明细表'!C:C,'⑤项目数-B-a-③消耗明细表'!F:F,0)</f>
        <v>20</v>
      </c>
      <c r="Z268" s="53">
        <f>_xlfn.XLOOKUP(E268,'⑤项目数-B-a-③消耗明细表'!C:C,'⑤项目数-B-a-③消耗明细表'!G:G,0)</f>
        <v>0</v>
      </c>
      <c r="AA268" s="84" t="str">
        <f t="shared" si="67"/>
        <v>不属于战队</v>
      </c>
      <c r="AB268" s="84">
        <f t="shared" si="68"/>
        <v>0</v>
      </c>
      <c r="AC268" s="53">
        <f>_xlfn.XLOOKUP(F268,'⑥战队统计表-B-a-②呈现-业绩明细表④'!A:A,'⑥战队统计表-B-a-②呈现-业绩明细表④'!B:B,0)</f>
        <v>0</v>
      </c>
      <c r="AD268" s="53">
        <f t="shared" si="72"/>
        <v>1</v>
      </c>
      <c r="AE268" s="59">
        <f>IF(AD268="",_xlfn.XLOOKUP(F268,'⑥战队统计表-B-a-②呈现-业绩明细表④'!A:A,'⑥战队统计表-B-a-②呈现-业绩明细表④'!D:D,0),0)</f>
        <v>0</v>
      </c>
      <c r="AF268" s="85">
        <f>IF(AND(E268="T区",E268="门店T区"),"",IF(AD268="",0,IF(R268="",LOOKUP(S268,'②提成标准-B-a-①-增加'!$B$16:$B$20,'②提成标准-B-a-①-增加'!$D$16:$D$20),LOOKUP(S268/Q268,'②提成标准-B-a-①-增加'!$B$23:$B$27,'②提成标准-B-a-①-增加'!$D$23:$D$27))))</f>
        <v>0</v>
      </c>
      <c r="AG268" s="85">
        <f t="shared" si="69"/>
        <v>0</v>
      </c>
      <c r="AH268" s="60">
        <f t="shared" si="75"/>
        <v>0</v>
      </c>
      <c r="AI268" s="86">
        <f t="shared" si="76"/>
        <v>0</v>
      </c>
      <c r="AJ268" s="60">
        <f t="shared" si="73"/>
        <v>0</v>
      </c>
      <c r="AK268" s="87">
        <f>IF(AB268=1,IFERROR(S268/VLOOKUP(F268,'⑥战队统计表-B-a-②呈现-业绩明细表④'!A:C,3,0),0),0)</f>
        <v>0</v>
      </c>
      <c r="AL268" s="85" t="str">
        <f t="shared" si="63"/>
        <v/>
      </c>
      <c r="AM268" s="53" t="str">
        <f>IF(D268="顾问",_xlfn.XLOOKUP(F268,'⑥战队统计表-B-a-②呈现-业绩明细表④'!A:A,'⑥战队统计表-B-a-②呈现-业绩明细表④'!H:H,0),"")</f>
        <v/>
      </c>
      <c r="AN268" s="53" t="str">
        <f t="shared" si="70"/>
        <v>单人</v>
      </c>
    </row>
    <row r="269" spans="1:40" s="112" customFormat="1" hidden="1" x14ac:dyDescent="0.15">
      <c r="A269" s="79" t="s">
        <v>428</v>
      </c>
      <c r="B269" s="104" t="s">
        <v>136</v>
      </c>
      <c r="C269" s="82" t="s">
        <v>36</v>
      </c>
      <c r="D269" s="82" t="s">
        <v>36</v>
      </c>
      <c r="E269" s="104" t="s">
        <v>273</v>
      </c>
      <c r="F269" s="53" t="str">
        <f t="shared" si="64"/>
        <v>涌泉+T区</v>
      </c>
      <c r="G269" s="53">
        <f>IFERROR(_xlfn.XLOOKUP(B269,'①门店信息-A-a-①-增加'!B:B,'①门店信息-A-a-①-增加'!E:E,0),"")</f>
        <v>0</v>
      </c>
      <c r="H269" s="54">
        <f>_xlfn.XLOOKUP(B269,'①门店信息-A-a-①-增加'!B:B,'①门店信息-A-a-①-增加'!F:F,0)</f>
        <v>0</v>
      </c>
      <c r="I269" s="55">
        <f>_xlfn.XLOOKUP(E269,'③新店考核-B-a-②呈现-业绩明细表-③'!B:B,'③新店考核-B-a-②呈现-业绩明细表-③'!E:E,0)</f>
        <v>0</v>
      </c>
      <c r="J269" s="54">
        <f>_xlfn.XLOOKUP(E269,'③新店考核-B-a-②呈现-业绩明细表-③'!B:B,'③新店考核-B-a-②呈现-业绩明细表-③'!F:F,0)</f>
        <v>0</v>
      </c>
      <c r="K269" s="55">
        <f>IF(H269="新店一阶段",LOOKUP(I269,'②提成标准-B-a-①-增加'!$M$9:$M$12,'②提成标准-B-a-①-增加'!$O$9:$O$12),0)</f>
        <v>0</v>
      </c>
      <c r="L269" s="56">
        <f t="shared" si="65"/>
        <v>0</v>
      </c>
      <c r="M269" s="57">
        <f>_xlfn.XLOOKUP(E269,'③新店考核-B-a-②呈现-业绩明细表-③'!B:B,'③新店考核-B-a-②呈现-业绩明细表-③'!G:G,0)</f>
        <v>0</v>
      </c>
      <c r="N269" s="58" t="str">
        <f>LOOKUP(M269,'②提成标准-B-a-①-增加'!$M$1:$M$4,'②提成标准-B-a-①-增加'!$O$1:$O$4)</f>
        <v>同老店</v>
      </c>
      <c r="O269" s="57">
        <f>_xlfn.XLOOKUP(E269,'③新店考核-B-a-②呈现-业绩明细表-③'!B:B,'③新店考核-B-a-②呈现-业绩明细表-③'!H:H,0)</f>
        <v>0</v>
      </c>
      <c r="P269" s="57">
        <f t="shared" si="66"/>
        <v>0</v>
      </c>
      <c r="Q269" s="53">
        <f>_xlfn.XLOOKUP(E269,'④考勤-B-a-26考勤汇总表'!D:D,'④考勤-B-a-26考勤汇总表'!AP:AP,0)</f>
        <v>0</v>
      </c>
      <c r="R269" s="53" t="str">
        <f t="shared" si="74"/>
        <v/>
      </c>
      <c r="S269" s="53">
        <f t="shared" si="71"/>
        <v>0</v>
      </c>
      <c r="T269" s="53">
        <v>0</v>
      </c>
      <c r="U269" s="53">
        <v>0</v>
      </c>
      <c r="V269" s="53">
        <v>0</v>
      </c>
      <c r="W269" s="53">
        <f>_xlfn.XLOOKUP(E269,'⑤项目数-B-a-③消耗明细表'!C:C,'⑤项目数-B-a-③消耗明细表'!E:E,0)</f>
        <v>64770</v>
      </c>
      <c r="X269" s="53">
        <f>_xlfn.XLOOKUP(E269,'⑤项目数-B-a-③消耗明细表'!C:C,'⑤项目数-B-a-③消耗明细表'!D:D,0)</f>
        <v>21</v>
      </c>
      <c r="Y269" s="53">
        <f>_xlfn.XLOOKUP(E269,'⑤项目数-B-a-③消耗明细表'!C:C,'⑤项目数-B-a-③消耗明细表'!F:F,0)</f>
        <v>0</v>
      </c>
      <c r="Z269" s="53">
        <f>_xlfn.XLOOKUP(E269,'⑤项目数-B-a-③消耗明细表'!C:C,'⑤项目数-B-a-③消耗明细表'!G:G,0)</f>
        <v>0</v>
      </c>
      <c r="AA269" s="84" t="str">
        <f t="shared" si="67"/>
        <v>不属于战队</v>
      </c>
      <c r="AB269" s="84">
        <f t="shared" si="68"/>
        <v>0</v>
      </c>
      <c r="AC269" s="53">
        <f>_xlfn.XLOOKUP(F269,'⑥战队统计表-B-a-②呈现-业绩明细表④'!A:A,'⑥战队统计表-B-a-②呈现-业绩明细表④'!B:B,0)</f>
        <v>0</v>
      </c>
      <c r="AD269" s="53">
        <f t="shared" si="72"/>
        <v>1</v>
      </c>
      <c r="AE269" s="59">
        <f>IF(AD269="",_xlfn.XLOOKUP(F269,'⑥战队统计表-B-a-②呈现-业绩明细表④'!A:A,'⑥战队统计表-B-a-②呈现-业绩明细表④'!D:D,0),0)</f>
        <v>0</v>
      </c>
      <c r="AF269" s="85">
        <f>IF(AND(E269="T区",E269="门店T区"),"",IF(AD269="",0,IF(R269="",LOOKUP(S269,'②提成标准-B-a-①-增加'!$B$16:$B$20,'②提成标准-B-a-①-增加'!$D$16:$D$20),LOOKUP(S269/Q269,'②提成标准-B-a-①-增加'!$B$23:$B$27,'②提成标准-B-a-①-增加'!$D$23:$D$27))))</f>
        <v>0</v>
      </c>
      <c r="AG269" s="85">
        <f t="shared" si="69"/>
        <v>0</v>
      </c>
      <c r="AH269" s="60">
        <f t="shared" si="75"/>
        <v>0</v>
      </c>
      <c r="AI269" s="86">
        <f t="shared" si="76"/>
        <v>0</v>
      </c>
      <c r="AJ269" s="60">
        <f t="shared" si="73"/>
        <v>0</v>
      </c>
      <c r="AK269" s="87">
        <f>IF(AB269=1,IFERROR(S269/VLOOKUP(F269,'⑥战队统计表-B-a-②呈现-业绩明细表④'!A:C,3,0),0),0)</f>
        <v>0</v>
      </c>
      <c r="AL269" s="85" t="str">
        <f t="shared" si="63"/>
        <v/>
      </c>
      <c r="AM269" s="53" t="str">
        <f>IF(D269="顾问",_xlfn.XLOOKUP(F269,'⑥战队统计表-B-a-②呈现-业绩明细表④'!A:A,'⑥战队统计表-B-a-②呈现-业绩明细表④'!H:H,0),"")</f>
        <v/>
      </c>
      <c r="AN269" s="53" t="str">
        <f t="shared" si="70"/>
        <v>单人</v>
      </c>
    </row>
    <row r="270" spans="1:40" s="112" customFormat="1" hidden="1" x14ac:dyDescent="0.15">
      <c r="A270" s="79" t="s">
        <v>428</v>
      </c>
      <c r="B270" s="104" t="s">
        <v>145</v>
      </c>
      <c r="C270" s="82" t="s">
        <v>36</v>
      </c>
      <c r="D270" s="82" t="s">
        <v>36</v>
      </c>
      <c r="E270" s="104" t="s">
        <v>274</v>
      </c>
      <c r="F270" s="53" t="str">
        <f t="shared" si="64"/>
        <v>中和+T区</v>
      </c>
      <c r="G270" s="53">
        <f>IFERROR(_xlfn.XLOOKUP(B270,'①门店信息-A-a-①-增加'!B:B,'①门店信息-A-a-①-增加'!E:E,0),"")</f>
        <v>0</v>
      </c>
      <c r="H270" s="54">
        <f>_xlfn.XLOOKUP(B270,'①门店信息-A-a-①-增加'!B:B,'①门店信息-A-a-①-增加'!F:F,0)</f>
        <v>0</v>
      </c>
      <c r="I270" s="55">
        <f>_xlfn.XLOOKUP(E270,'③新店考核-B-a-②呈现-业绩明细表-③'!B:B,'③新店考核-B-a-②呈现-业绩明细表-③'!E:E,0)</f>
        <v>0</v>
      </c>
      <c r="J270" s="54">
        <f>_xlfn.XLOOKUP(E270,'③新店考核-B-a-②呈现-业绩明细表-③'!B:B,'③新店考核-B-a-②呈现-业绩明细表-③'!F:F,0)</f>
        <v>0</v>
      </c>
      <c r="K270" s="55">
        <f>IF(H270="新店一阶段",LOOKUP(I270,'②提成标准-B-a-①-增加'!$M$9:$M$12,'②提成标准-B-a-①-增加'!$O$9:$O$12),0)</f>
        <v>0</v>
      </c>
      <c r="L270" s="56">
        <f t="shared" si="65"/>
        <v>0</v>
      </c>
      <c r="M270" s="57">
        <f>_xlfn.XLOOKUP(E270,'③新店考核-B-a-②呈现-业绩明细表-③'!B:B,'③新店考核-B-a-②呈现-业绩明细表-③'!G:G,0)</f>
        <v>0</v>
      </c>
      <c r="N270" s="58" t="str">
        <f>LOOKUP(M270,'②提成标准-B-a-①-增加'!$M$1:$M$4,'②提成标准-B-a-①-增加'!$O$1:$O$4)</f>
        <v>同老店</v>
      </c>
      <c r="O270" s="57">
        <f>_xlfn.XLOOKUP(E270,'③新店考核-B-a-②呈现-业绩明细表-③'!B:B,'③新店考核-B-a-②呈现-业绩明细表-③'!H:H,0)</f>
        <v>0</v>
      </c>
      <c r="P270" s="57">
        <f t="shared" si="66"/>
        <v>0</v>
      </c>
      <c r="Q270" s="53">
        <f>_xlfn.XLOOKUP(E270,'④考勤-B-a-26考勤汇总表'!D:D,'④考勤-B-a-26考勤汇总表'!AP:AP,0)</f>
        <v>0</v>
      </c>
      <c r="R270" s="53" t="str">
        <f t="shared" si="74"/>
        <v/>
      </c>
      <c r="S270" s="53">
        <f t="shared" si="71"/>
        <v>0</v>
      </c>
      <c r="T270" s="53">
        <v>0</v>
      </c>
      <c r="U270" s="53">
        <v>0</v>
      </c>
      <c r="V270" s="53">
        <v>0</v>
      </c>
      <c r="W270" s="53">
        <f>_xlfn.XLOOKUP(E270,'⑤项目数-B-a-③消耗明细表'!C:C,'⑤项目数-B-a-③消耗明细表'!E:E,0)</f>
        <v>18360</v>
      </c>
      <c r="X270" s="53">
        <f>_xlfn.XLOOKUP(E270,'⑤项目数-B-a-③消耗明细表'!C:C,'⑤项目数-B-a-③消耗明细表'!D:D,0)</f>
        <v>10</v>
      </c>
      <c r="Y270" s="53">
        <f>_xlfn.XLOOKUP(E270,'⑤项目数-B-a-③消耗明细表'!C:C,'⑤项目数-B-a-③消耗明细表'!F:F,0)</f>
        <v>0</v>
      </c>
      <c r="Z270" s="53">
        <f>_xlfn.XLOOKUP(E270,'⑤项目数-B-a-③消耗明细表'!C:C,'⑤项目数-B-a-③消耗明细表'!G:G,0)</f>
        <v>0</v>
      </c>
      <c r="AA270" s="84" t="str">
        <f t="shared" si="67"/>
        <v>不属于战队</v>
      </c>
      <c r="AB270" s="84">
        <f t="shared" si="68"/>
        <v>0</v>
      </c>
      <c r="AC270" s="53">
        <f>_xlfn.XLOOKUP(F270,'⑥战队统计表-B-a-②呈现-业绩明细表④'!A:A,'⑥战队统计表-B-a-②呈现-业绩明细表④'!B:B,0)</f>
        <v>0</v>
      </c>
      <c r="AD270" s="53">
        <f t="shared" si="72"/>
        <v>1</v>
      </c>
      <c r="AE270" s="59">
        <f>IF(AD270="",_xlfn.XLOOKUP(F270,'⑥战队统计表-B-a-②呈现-业绩明细表④'!A:A,'⑥战队统计表-B-a-②呈现-业绩明细表④'!D:D,0),0)</f>
        <v>0</v>
      </c>
      <c r="AF270" s="85">
        <f>IF(AND(E270="T区",E270="门店T区"),"",IF(AD270="",0,IF(R270="",LOOKUP(S270,'②提成标准-B-a-①-增加'!$B$16:$B$20,'②提成标准-B-a-①-增加'!$D$16:$D$20),LOOKUP(S270/Q270,'②提成标准-B-a-①-增加'!$B$23:$B$27,'②提成标准-B-a-①-增加'!$D$23:$D$27))))</f>
        <v>0</v>
      </c>
      <c r="AG270" s="85">
        <f t="shared" si="69"/>
        <v>0</v>
      </c>
      <c r="AH270" s="60">
        <f t="shared" si="75"/>
        <v>0</v>
      </c>
      <c r="AI270" s="86">
        <f t="shared" si="76"/>
        <v>0</v>
      </c>
      <c r="AJ270" s="60">
        <f t="shared" si="73"/>
        <v>0</v>
      </c>
      <c r="AK270" s="87">
        <f>IF(AB270=1,IFERROR(S270/VLOOKUP(F270,'⑥战队统计表-B-a-②呈现-业绩明细表④'!A:C,3,0),0),0)</f>
        <v>0</v>
      </c>
      <c r="AL270" s="85" t="str">
        <f t="shared" si="63"/>
        <v/>
      </c>
      <c r="AM270" s="53" t="str">
        <f>IF(D270="顾问",_xlfn.XLOOKUP(F270,'⑥战队统计表-B-a-②呈现-业绩明细表④'!A:A,'⑥战队统计表-B-a-②呈现-业绩明细表④'!H:H,0),"")</f>
        <v/>
      </c>
      <c r="AN270" s="53" t="str">
        <f t="shared" si="70"/>
        <v>单人</v>
      </c>
    </row>
    <row r="271" spans="1:40" s="112" customFormat="1" hidden="1" x14ac:dyDescent="0.15">
      <c r="A271" s="79" t="s">
        <v>428</v>
      </c>
      <c r="B271" s="104" t="s">
        <v>162</v>
      </c>
      <c r="C271" s="82" t="s">
        <v>36</v>
      </c>
      <c r="D271" s="82" t="s">
        <v>36</v>
      </c>
      <c r="E271" s="104" t="s">
        <v>275</v>
      </c>
      <c r="F271" s="53" t="str">
        <f t="shared" si="64"/>
        <v>光华+T区</v>
      </c>
      <c r="G271" s="53">
        <f>IFERROR(_xlfn.XLOOKUP(B271,'①门店信息-A-a-①-增加'!B:B,'①门店信息-A-a-①-增加'!E:E,0),"")</f>
        <v>0</v>
      </c>
      <c r="H271" s="54">
        <f>_xlfn.XLOOKUP(B271,'①门店信息-A-a-①-增加'!B:B,'①门店信息-A-a-①-增加'!F:F,0)</f>
        <v>0</v>
      </c>
      <c r="I271" s="55">
        <f>_xlfn.XLOOKUP(E271,'③新店考核-B-a-②呈现-业绩明细表-③'!B:B,'③新店考核-B-a-②呈现-业绩明细表-③'!E:E,0)</f>
        <v>0</v>
      </c>
      <c r="J271" s="54">
        <f>_xlfn.XLOOKUP(E271,'③新店考核-B-a-②呈现-业绩明细表-③'!B:B,'③新店考核-B-a-②呈现-业绩明细表-③'!F:F,0)</f>
        <v>0</v>
      </c>
      <c r="K271" s="55">
        <f>IF(H271="新店一阶段",LOOKUP(I271,'②提成标准-B-a-①-增加'!$M$9:$M$12,'②提成标准-B-a-①-增加'!$O$9:$O$12),0)</f>
        <v>0</v>
      </c>
      <c r="L271" s="56">
        <f t="shared" si="65"/>
        <v>0</v>
      </c>
      <c r="M271" s="57">
        <f>_xlfn.XLOOKUP(E271,'③新店考核-B-a-②呈现-业绩明细表-③'!B:B,'③新店考核-B-a-②呈现-业绩明细表-③'!G:G,0)</f>
        <v>0</v>
      </c>
      <c r="N271" s="58" t="str">
        <f>LOOKUP(M271,'②提成标准-B-a-①-增加'!$M$1:$M$4,'②提成标准-B-a-①-增加'!$O$1:$O$4)</f>
        <v>同老店</v>
      </c>
      <c r="O271" s="57">
        <f>_xlfn.XLOOKUP(E271,'③新店考核-B-a-②呈现-业绩明细表-③'!B:B,'③新店考核-B-a-②呈现-业绩明细表-③'!H:H,0)</f>
        <v>0</v>
      </c>
      <c r="P271" s="57">
        <f t="shared" si="66"/>
        <v>0</v>
      </c>
      <c r="Q271" s="53">
        <f>_xlfn.XLOOKUP(E271,'④考勤-B-a-26考勤汇总表'!D:D,'④考勤-B-a-26考勤汇总表'!AP:AP,0)</f>
        <v>0</v>
      </c>
      <c r="R271" s="53" t="str">
        <f t="shared" si="74"/>
        <v/>
      </c>
      <c r="S271" s="53">
        <f t="shared" si="71"/>
        <v>0</v>
      </c>
      <c r="T271" s="53">
        <v>0</v>
      </c>
      <c r="U271" s="53">
        <v>0</v>
      </c>
      <c r="V271" s="53">
        <v>0</v>
      </c>
      <c r="W271" s="53">
        <f>_xlfn.XLOOKUP(E271,'⑤项目数-B-a-③消耗明细表'!C:C,'⑤项目数-B-a-③消耗明细表'!E:E,0)</f>
        <v>1789.33</v>
      </c>
      <c r="X271" s="53">
        <f>_xlfn.XLOOKUP(E271,'⑤项目数-B-a-③消耗明细表'!C:C,'⑤项目数-B-a-③消耗明细表'!D:D,0)</f>
        <v>11</v>
      </c>
      <c r="Y271" s="53">
        <f>_xlfn.XLOOKUP(E271,'⑤项目数-B-a-③消耗明细表'!C:C,'⑤项目数-B-a-③消耗明细表'!F:F,0)</f>
        <v>32</v>
      </c>
      <c r="Z271" s="53">
        <f>_xlfn.XLOOKUP(E271,'⑤项目数-B-a-③消耗明细表'!C:C,'⑤项目数-B-a-③消耗明细表'!G:G,0)</f>
        <v>0</v>
      </c>
      <c r="AA271" s="84" t="str">
        <f t="shared" si="67"/>
        <v>不属于战队</v>
      </c>
      <c r="AB271" s="84">
        <f t="shared" si="68"/>
        <v>0</v>
      </c>
      <c r="AC271" s="53">
        <f>_xlfn.XLOOKUP(F271,'⑥战队统计表-B-a-②呈现-业绩明细表④'!A:A,'⑥战队统计表-B-a-②呈现-业绩明细表④'!B:B,0)</f>
        <v>0</v>
      </c>
      <c r="AD271" s="53">
        <f t="shared" si="72"/>
        <v>1</v>
      </c>
      <c r="AE271" s="59">
        <f>IF(AD271="",_xlfn.XLOOKUP(F271,'⑥战队统计表-B-a-②呈现-业绩明细表④'!A:A,'⑥战队统计表-B-a-②呈现-业绩明细表④'!D:D,0),0)</f>
        <v>0</v>
      </c>
      <c r="AF271" s="85">
        <f>IF(AND(E271="T区",E271="门店T区"),"",IF(AD271="",0,IF(R271="",LOOKUP(S271,'②提成标准-B-a-①-增加'!$B$16:$B$20,'②提成标准-B-a-①-增加'!$D$16:$D$20),LOOKUP(S271/Q271,'②提成标准-B-a-①-增加'!$B$23:$B$27,'②提成标准-B-a-①-增加'!$D$23:$D$27))))</f>
        <v>0</v>
      </c>
      <c r="AG271" s="85">
        <f t="shared" si="69"/>
        <v>0</v>
      </c>
      <c r="AH271" s="60">
        <f t="shared" si="75"/>
        <v>0</v>
      </c>
      <c r="AI271" s="86">
        <f t="shared" si="76"/>
        <v>0</v>
      </c>
      <c r="AJ271" s="60">
        <f t="shared" si="73"/>
        <v>0</v>
      </c>
      <c r="AK271" s="87">
        <f>IF(AB271=1,IFERROR(S271/VLOOKUP(F271,'⑥战队统计表-B-a-②呈现-业绩明细表④'!A:C,3,0),0),0)</f>
        <v>0</v>
      </c>
      <c r="AL271" s="85" t="str">
        <f t="shared" si="63"/>
        <v/>
      </c>
      <c r="AM271" s="53" t="str">
        <f>IF(D271="顾问",_xlfn.XLOOKUP(F271,'⑥战队统计表-B-a-②呈现-业绩明细表④'!A:A,'⑥战队统计表-B-a-②呈现-业绩明细表④'!H:H,0),"")</f>
        <v/>
      </c>
      <c r="AN271" s="53" t="str">
        <f t="shared" si="70"/>
        <v>单人</v>
      </c>
    </row>
    <row r="272" spans="1:40" s="112" customFormat="1" hidden="1" x14ac:dyDescent="0.15">
      <c r="A272" s="79" t="s">
        <v>428</v>
      </c>
      <c r="B272" s="104" t="s">
        <v>169</v>
      </c>
      <c r="C272" s="82" t="s">
        <v>36</v>
      </c>
      <c r="D272" s="82" t="s">
        <v>36</v>
      </c>
      <c r="E272" s="104" t="s">
        <v>276</v>
      </c>
      <c r="F272" s="53" t="str">
        <f t="shared" si="64"/>
        <v>龙湖+T区</v>
      </c>
      <c r="G272" s="53">
        <f>IFERROR(_xlfn.XLOOKUP(B272,'①门店信息-A-a-①-增加'!B:B,'①门店信息-A-a-①-增加'!E:E,0),"")</f>
        <v>0</v>
      </c>
      <c r="H272" s="54">
        <f>_xlfn.XLOOKUP(B272,'①门店信息-A-a-①-增加'!B:B,'①门店信息-A-a-①-增加'!F:F,0)</f>
        <v>0</v>
      </c>
      <c r="I272" s="55">
        <f>_xlfn.XLOOKUP(E272,'③新店考核-B-a-②呈现-业绩明细表-③'!B:B,'③新店考核-B-a-②呈现-业绩明细表-③'!E:E,0)</f>
        <v>0</v>
      </c>
      <c r="J272" s="54">
        <f>_xlfn.XLOOKUP(E272,'③新店考核-B-a-②呈现-业绩明细表-③'!B:B,'③新店考核-B-a-②呈现-业绩明细表-③'!F:F,0)</f>
        <v>0</v>
      </c>
      <c r="K272" s="55">
        <f>IF(H272="新店一阶段",LOOKUP(I272,'②提成标准-B-a-①-增加'!$M$9:$M$12,'②提成标准-B-a-①-增加'!$O$9:$O$12),0)</f>
        <v>0</v>
      </c>
      <c r="L272" s="56">
        <f t="shared" si="65"/>
        <v>0</v>
      </c>
      <c r="M272" s="57">
        <f>_xlfn.XLOOKUP(E272,'③新店考核-B-a-②呈现-业绩明细表-③'!B:B,'③新店考核-B-a-②呈现-业绩明细表-③'!G:G,0)</f>
        <v>0</v>
      </c>
      <c r="N272" s="58" t="str">
        <f>LOOKUP(M272,'②提成标准-B-a-①-增加'!$M$1:$M$4,'②提成标准-B-a-①-增加'!$O$1:$O$4)</f>
        <v>同老店</v>
      </c>
      <c r="O272" s="57">
        <f>_xlfn.XLOOKUP(E272,'③新店考核-B-a-②呈现-业绩明细表-③'!B:B,'③新店考核-B-a-②呈现-业绩明细表-③'!H:H,0)</f>
        <v>0</v>
      </c>
      <c r="P272" s="57">
        <f t="shared" si="66"/>
        <v>0</v>
      </c>
      <c r="Q272" s="53">
        <f>_xlfn.XLOOKUP(E272,'④考勤-B-a-26考勤汇总表'!D:D,'④考勤-B-a-26考勤汇总表'!AP:AP,0)</f>
        <v>0</v>
      </c>
      <c r="R272" s="53" t="str">
        <f t="shared" si="74"/>
        <v/>
      </c>
      <c r="S272" s="53">
        <f t="shared" si="71"/>
        <v>0</v>
      </c>
      <c r="T272" s="53">
        <v>0</v>
      </c>
      <c r="U272" s="53">
        <v>0</v>
      </c>
      <c r="V272" s="53">
        <v>0</v>
      </c>
      <c r="W272" s="53">
        <f>_xlfn.XLOOKUP(E272,'⑤项目数-B-a-③消耗明细表'!C:C,'⑤项目数-B-a-③消耗明细表'!E:E,0)</f>
        <v>32053.26</v>
      </c>
      <c r="X272" s="53">
        <f>_xlfn.XLOOKUP(E272,'⑤项目数-B-a-③消耗明细表'!C:C,'⑤项目数-B-a-③消耗明细表'!D:D,0)</f>
        <v>25</v>
      </c>
      <c r="Y272" s="53">
        <f>_xlfn.XLOOKUP(E272,'⑤项目数-B-a-③消耗明细表'!C:C,'⑤项目数-B-a-③消耗明细表'!F:F,0)</f>
        <v>0</v>
      </c>
      <c r="Z272" s="53">
        <f>_xlfn.XLOOKUP(E272,'⑤项目数-B-a-③消耗明细表'!C:C,'⑤项目数-B-a-③消耗明细表'!G:G,0)</f>
        <v>0</v>
      </c>
      <c r="AA272" s="84" t="str">
        <f t="shared" si="67"/>
        <v>不属于战队</v>
      </c>
      <c r="AB272" s="84">
        <f t="shared" si="68"/>
        <v>0</v>
      </c>
      <c r="AC272" s="53">
        <f>_xlfn.XLOOKUP(F272,'⑥战队统计表-B-a-②呈现-业绩明细表④'!A:A,'⑥战队统计表-B-a-②呈现-业绩明细表④'!B:B,0)</f>
        <v>0</v>
      </c>
      <c r="AD272" s="53">
        <f t="shared" si="72"/>
        <v>1</v>
      </c>
      <c r="AE272" s="59">
        <f>IF(AD272="",_xlfn.XLOOKUP(F272,'⑥战队统计表-B-a-②呈现-业绩明细表④'!A:A,'⑥战队统计表-B-a-②呈现-业绩明细表④'!D:D,0),0)</f>
        <v>0</v>
      </c>
      <c r="AF272" s="85">
        <f>IF(AND(E272="T区",E272="门店T区"),"",IF(AD272="",0,IF(R272="",LOOKUP(S272,'②提成标准-B-a-①-增加'!$B$16:$B$20,'②提成标准-B-a-①-增加'!$D$16:$D$20),LOOKUP(S272/Q272,'②提成标准-B-a-①-增加'!$B$23:$B$27,'②提成标准-B-a-①-增加'!$D$23:$D$27))))</f>
        <v>0</v>
      </c>
      <c r="AG272" s="85">
        <f t="shared" si="69"/>
        <v>0</v>
      </c>
      <c r="AH272" s="60">
        <f t="shared" si="75"/>
        <v>0</v>
      </c>
      <c r="AI272" s="86">
        <f t="shared" si="76"/>
        <v>0</v>
      </c>
      <c r="AJ272" s="60">
        <f t="shared" si="73"/>
        <v>0</v>
      </c>
      <c r="AK272" s="87">
        <f>IF(AB272=1,IFERROR(S272/VLOOKUP(F272,'⑥战队统计表-B-a-②呈现-业绩明细表④'!A:C,3,0),0),0)</f>
        <v>0</v>
      </c>
      <c r="AL272" s="85" t="str">
        <f t="shared" si="63"/>
        <v/>
      </c>
      <c r="AM272" s="53" t="str">
        <f>IF(D272="顾问",_xlfn.XLOOKUP(F272,'⑥战队统计表-B-a-②呈现-业绩明细表④'!A:A,'⑥战队统计表-B-a-②呈现-业绩明细表④'!H:H,0),"")</f>
        <v/>
      </c>
      <c r="AN272" s="53" t="str">
        <f t="shared" si="70"/>
        <v>单人</v>
      </c>
    </row>
    <row r="273" spans="1:40" s="112" customFormat="1" hidden="1" x14ac:dyDescent="0.15">
      <c r="A273" s="79" t="s">
        <v>428</v>
      </c>
      <c r="B273" s="104" t="s">
        <v>177</v>
      </c>
      <c r="C273" s="82" t="s">
        <v>36</v>
      </c>
      <c r="D273" s="82" t="s">
        <v>36</v>
      </c>
      <c r="E273" s="104" t="s">
        <v>277</v>
      </c>
      <c r="F273" s="53" t="str">
        <f t="shared" si="64"/>
        <v>鹭岛+T区</v>
      </c>
      <c r="G273" s="53">
        <f>IFERROR(_xlfn.XLOOKUP(B273,'①门店信息-A-a-①-增加'!B:B,'①门店信息-A-a-①-增加'!E:E,0),"")</f>
        <v>0</v>
      </c>
      <c r="H273" s="54">
        <f>_xlfn.XLOOKUP(B273,'①门店信息-A-a-①-增加'!B:B,'①门店信息-A-a-①-增加'!F:F,0)</f>
        <v>0</v>
      </c>
      <c r="I273" s="55">
        <f>_xlfn.XLOOKUP(E273,'③新店考核-B-a-②呈现-业绩明细表-③'!B:B,'③新店考核-B-a-②呈现-业绩明细表-③'!E:E,0)</f>
        <v>0</v>
      </c>
      <c r="J273" s="54">
        <f>_xlfn.XLOOKUP(E273,'③新店考核-B-a-②呈现-业绩明细表-③'!B:B,'③新店考核-B-a-②呈现-业绩明细表-③'!F:F,0)</f>
        <v>0</v>
      </c>
      <c r="K273" s="55">
        <f>IF(H273="新店一阶段",LOOKUP(I273,'②提成标准-B-a-①-增加'!$M$9:$M$12,'②提成标准-B-a-①-增加'!$O$9:$O$12),0)</f>
        <v>0</v>
      </c>
      <c r="L273" s="56">
        <f t="shared" si="65"/>
        <v>0</v>
      </c>
      <c r="M273" s="57">
        <f>_xlfn.XLOOKUP(E273,'③新店考核-B-a-②呈现-业绩明细表-③'!B:B,'③新店考核-B-a-②呈现-业绩明细表-③'!G:G,0)</f>
        <v>0</v>
      </c>
      <c r="N273" s="58" t="str">
        <f>LOOKUP(M273,'②提成标准-B-a-①-增加'!$M$1:$M$4,'②提成标准-B-a-①-增加'!$O$1:$O$4)</f>
        <v>同老店</v>
      </c>
      <c r="O273" s="57">
        <f>_xlfn.XLOOKUP(E273,'③新店考核-B-a-②呈现-业绩明细表-③'!B:B,'③新店考核-B-a-②呈现-业绩明细表-③'!H:H,0)</f>
        <v>0</v>
      </c>
      <c r="P273" s="57">
        <f t="shared" si="66"/>
        <v>0</v>
      </c>
      <c r="Q273" s="53">
        <f>_xlfn.XLOOKUP(E273,'④考勤-B-a-26考勤汇总表'!D:D,'④考勤-B-a-26考勤汇总表'!AP:AP,0)</f>
        <v>0</v>
      </c>
      <c r="R273" s="53" t="str">
        <f t="shared" si="74"/>
        <v/>
      </c>
      <c r="S273" s="53">
        <f t="shared" si="71"/>
        <v>0</v>
      </c>
      <c r="T273" s="53">
        <v>0</v>
      </c>
      <c r="U273" s="53">
        <v>0</v>
      </c>
      <c r="V273" s="53">
        <v>0</v>
      </c>
      <c r="W273" s="53">
        <f>_xlfn.XLOOKUP(E273,'⑤项目数-B-a-③消耗明细表'!C:C,'⑤项目数-B-a-③消耗明细表'!E:E,0)</f>
        <v>11817.05</v>
      </c>
      <c r="X273" s="53">
        <f>_xlfn.XLOOKUP(E273,'⑤项目数-B-a-③消耗明细表'!C:C,'⑤项目数-B-a-③消耗明细表'!D:D,0)</f>
        <v>14</v>
      </c>
      <c r="Y273" s="53">
        <f>_xlfn.XLOOKUP(E273,'⑤项目数-B-a-③消耗明细表'!C:C,'⑤项目数-B-a-③消耗明细表'!F:F,0)</f>
        <v>0</v>
      </c>
      <c r="Z273" s="53">
        <f>_xlfn.XLOOKUP(E273,'⑤项目数-B-a-③消耗明细表'!C:C,'⑤项目数-B-a-③消耗明细表'!G:G,0)</f>
        <v>0</v>
      </c>
      <c r="AA273" s="84" t="str">
        <f t="shared" si="67"/>
        <v>不属于战队</v>
      </c>
      <c r="AB273" s="84">
        <f t="shared" si="68"/>
        <v>0</v>
      </c>
      <c r="AC273" s="53">
        <f>_xlfn.XLOOKUP(F273,'⑥战队统计表-B-a-②呈现-业绩明细表④'!A:A,'⑥战队统计表-B-a-②呈现-业绩明细表④'!B:B,0)</f>
        <v>0</v>
      </c>
      <c r="AD273" s="53">
        <f t="shared" si="72"/>
        <v>1</v>
      </c>
      <c r="AE273" s="59">
        <f>IF(AD273="",_xlfn.XLOOKUP(F273,'⑥战队统计表-B-a-②呈现-业绩明细表④'!A:A,'⑥战队统计表-B-a-②呈现-业绩明细表④'!D:D,0),0)</f>
        <v>0</v>
      </c>
      <c r="AF273" s="85">
        <f>IF(AND(E273="T区",E273="门店T区"),"",IF(AD273="",0,IF(R273="",LOOKUP(S273,'②提成标准-B-a-①-增加'!$B$16:$B$20,'②提成标准-B-a-①-增加'!$D$16:$D$20),LOOKUP(S273/Q273,'②提成标准-B-a-①-增加'!$B$23:$B$27,'②提成标准-B-a-①-增加'!$D$23:$D$27))))</f>
        <v>0</v>
      </c>
      <c r="AG273" s="85">
        <f t="shared" si="69"/>
        <v>0</v>
      </c>
      <c r="AH273" s="60">
        <f t="shared" si="75"/>
        <v>0</v>
      </c>
      <c r="AI273" s="86">
        <f t="shared" si="76"/>
        <v>0</v>
      </c>
      <c r="AJ273" s="60">
        <f t="shared" si="73"/>
        <v>0</v>
      </c>
      <c r="AK273" s="87">
        <f>IF(AB273=1,IFERROR(S273/VLOOKUP(F273,'⑥战队统计表-B-a-②呈现-业绩明细表④'!A:C,3,0),0),0)</f>
        <v>0</v>
      </c>
      <c r="AL273" s="85" t="str">
        <f t="shared" si="63"/>
        <v/>
      </c>
      <c r="AM273" s="53" t="str">
        <f>IF(D273="顾问",_xlfn.XLOOKUP(F273,'⑥战队统计表-B-a-②呈现-业绩明细表④'!A:A,'⑥战队统计表-B-a-②呈现-业绩明细表④'!H:H,0),"")</f>
        <v/>
      </c>
      <c r="AN273" s="53" t="str">
        <f t="shared" si="70"/>
        <v>单人</v>
      </c>
    </row>
    <row r="274" spans="1:40" s="112" customFormat="1" hidden="1" x14ac:dyDescent="0.15">
      <c r="A274" s="79" t="s">
        <v>428</v>
      </c>
      <c r="B274" s="104" t="s">
        <v>184</v>
      </c>
      <c r="C274" s="82" t="s">
        <v>36</v>
      </c>
      <c r="D274" s="82" t="s">
        <v>36</v>
      </c>
      <c r="E274" s="104" t="s">
        <v>278</v>
      </c>
      <c r="F274" s="53" t="str">
        <f t="shared" si="64"/>
        <v>南湖+T区</v>
      </c>
      <c r="G274" s="53">
        <f>IFERROR(_xlfn.XLOOKUP(B274,'①门店信息-A-a-①-增加'!B:B,'①门店信息-A-a-①-增加'!E:E,0),"")</f>
        <v>0</v>
      </c>
      <c r="H274" s="54">
        <f>_xlfn.XLOOKUP(B274,'①门店信息-A-a-①-增加'!B:B,'①门店信息-A-a-①-增加'!F:F,0)</f>
        <v>0</v>
      </c>
      <c r="I274" s="55">
        <f>_xlfn.XLOOKUP(E274,'③新店考核-B-a-②呈现-业绩明细表-③'!B:B,'③新店考核-B-a-②呈现-业绩明细表-③'!E:E,0)</f>
        <v>0</v>
      </c>
      <c r="J274" s="54">
        <f>_xlfn.XLOOKUP(E274,'③新店考核-B-a-②呈现-业绩明细表-③'!B:B,'③新店考核-B-a-②呈现-业绩明细表-③'!F:F,0)</f>
        <v>0</v>
      </c>
      <c r="K274" s="55">
        <f>IF(H274="新店一阶段",LOOKUP(I274,'②提成标准-B-a-①-增加'!$M$9:$M$12,'②提成标准-B-a-①-增加'!$O$9:$O$12),0)</f>
        <v>0</v>
      </c>
      <c r="L274" s="56">
        <f t="shared" si="65"/>
        <v>0</v>
      </c>
      <c r="M274" s="57">
        <f>_xlfn.XLOOKUP(E274,'③新店考核-B-a-②呈现-业绩明细表-③'!B:B,'③新店考核-B-a-②呈现-业绩明细表-③'!G:G,0)</f>
        <v>0</v>
      </c>
      <c r="N274" s="58" t="str">
        <f>LOOKUP(M274,'②提成标准-B-a-①-增加'!$M$1:$M$4,'②提成标准-B-a-①-增加'!$O$1:$O$4)</f>
        <v>同老店</v>
      </c>
      <c r="O274" s="57">
        <f>_xlfn.XLOOKUP(E274,'③新店考核-B-a-②呈现-业绩明细表-③'!B:B,'③新店考核-B-a-②呈现-业绩明细表-③'!H:H,0)</f>
        <v>0</v>
      </c>
      <c r="P274" s="57">
        <f t="shared" si="66"/>
        <v>0</v>
      </c>
      <c r="Q274" s="53">
        <f>_xlfn.XLOOKUP(E274,'④考勤-B-a-26考勤汇总表'!D:D,'④考勤-B-a-26考勤汇总表'!AP:AP,0)</f>
        <v>0</v>
      </c>
      <c r="R274" s="53" t="str">
        <f t="shared" si="74"/>
        <v/>
      </c>
      <c r="S274" s="53">
        <f t="shared" si="71"/>
        <v>0</v>
      </c>
      <c r="T274" s="53">
        <v>0</v>
      </c>
      <c r="U274" s="53">
        <v>0</v>
      </c>
      <c r="V274" s="53">
        <v>0</v>
      </c>
      <c r="W274" s="53">
        <f>_xlfn.XLOOKUP(E274,'⑤项目数-B-a-③消耗明细表'!C:C,'⑤项目数-B-a-③消耗明细表'!E:E,0)</f>
        <v>61499.07</v>
      </c>
      <c r="X274" s="53">
        <f>_xlfn.XLOOKUP(E274,'⑤项目数-B-a-③消耗明细表'!C:C,'⑤项目数-B-a-③消耗明细表'!D:D,0)</f>
        <v>44</v>
      </c>
      <c r="Y274" s="53">
        <f>_xlfn.XLOOKUP(E274,'⑤项目数-B-a-③消耗明细表'!C:C,'⑤项目数-B-a-③消耗明细表'!F:F,0)</f>
        <v>75</v>
      </c>
      <c r="Z274" s="53">
        <f>_xlfn.XLOOKUP(E274,'⑤项目数-B-a-③消耗明细表'!C:C,'⑤项目数-B-a-③消耗明细表'!G:G,0)</f>
        <v>0</v>
      </c>
      <c r="AA274" s="84" t="str">
        <f t="shared" si="67"/>
        <v>不属于战队</v>
      </c>
      <c r="AB274" s="84">
        <f t="shared" si="68"/>
        <v>0</v>
      </c>
      <c r="AC274" s="53">
        <f>_xlfn.XLOOKUP(F274,'⑥战队统计表-B-a-②呈现-业绩明细表④'!A:A,'⑥战队统计表-B-a-②呈现-业绩明细表④'!B:B,0)</f>
        <v>0</v>
      </c>
      <c r="AD274" s="53">
        <f t="shared" si="72"/>
        <v>1</v>
      </c>
      <c r="AE274" s="59">
        <f>IF(AD274="",_xlfn.XLOOKUP(F274,'⑥战队统计表-B-a-②呈现-业绩明细表④'!A:A,'⑥战队统计表-B-a-②呈现-业绩明细表④'!D:D,0),0)</f>
        <v>0</v>
      </c>
      <c r="AF274" s="85">
        <f>IF(AND(E274="T区",E274="门店T区"),"",IF(AD274="",0,IF(R274="",LOOKUP(S274,'②提成标准-B-a-①-增加'!$B$16:$B$20,'②提成标准-B-a-①-增加'!$D$16:$D$20),LOOKUP(S274/Q274,'②提成标准-B-a-①-增加'!$B$23:$B$27,'②提成标准-B-a-①-增加'!$D$23:$D$27))))</f>
        <v>0</v>
      </c>
      <c r="AG274" s="85">
        <f t="shared" si="69"/>
        <v>0</v>
      </c>
      <c r="AH274" s="60">
        <f t="shared" si="75"/>
        <v>0</v>
      </c>
      <c r="AI274" s="86">
        <f t="shared" si="76"/>
        <v>0</v>
      </c>
      <c r="AJ274" s="60">
        <f t="shared" si="73"/>
        <v>0</v>
      </c>
      <c r="AK274" s="87">
        <f>IF(AB274=1,IFERROR(S274/VLOOKUP(F274,'⑥战队统计表-B-a-②呈现-业绩明细表④'!A:C,3,0),0),0)</f>
        <v>0</v>
      </c>
      <c r="AL274" s="85" t="str">
        <f t="shared" si="63"/>
        <v/>
      </c>
      <c r="AM274" s="53" t="str">
        <f>IF(D274="顾问",_xlfn.XLOOKUP(F274,'⑥战队统计表-B-a-②呈现-业绩明细表④'!A:A,'⑥战队统计表-B-a-②呈现-业绩明细表④'!H:H,0),"")</f>
        <v/>
      </c>
      <c r="AN274" s="53" t="str">
        <f t="shared" si="70"/>
        <v>单人</v>
      </c>
    </row>
    <row r="275" spans="1:40" s="112" customFormat="1" hidden="1" x14ac:dyDescent="0.15">
      <c r="A275" s="79" t="s">
        <v>428</v>
      </c>
      <c r="B275" s="104" t="s">
        <v>193</v>
      </c>
      <c r="C275" s="82" t="s">
        <v>36</v>
      </c>
      <c r="D275" s="82" t="s">
        <v>36</v>
      </c>
      <c r="E275" s="104" t="s">
        <v>279</v>
      </c>
      <c r="F275" s="53" t="str">
        <f t="shared" si="64"/>
        <v>荣华北路+T区</v>
      </c>
      <c r="G275" s="53">
        <f>IFERROR(_xlfn.XLOOKUP(B275,'①门店信息-A-a-①-增加'!B:B,'①门店信息-A-a-①-增加'!E:E,0),"")</f>
        <v>0</v>
      </c>
      <c r="H275" s="54">
        <f>_xlfn.XLOOKUP(B275,'①门店信息-A-a-①-增加'!B:B,'①门店信息-A-a-①-增加'!F:F,0)</f>
        <v>0</v>
      </c>
      <c r="I275" s="55">
        <f>_xlfn.XLOOKUP(E275,'③新店考核-B-a-②呈现-业绩明细表-③'!B:B,'③新店考核-B-a-②呈现-业绩明细表-③'!E:E,0)</f>
        <v>0</v>
      </c>
      <c r="J275" s="54">
        <f>_xlfn.XLOOKUP(E275,'③新店考核-B-a-②呈现-业绩明细表-③'!B:B,'③新店考核-B-a-②呈现-业绩明细表-③'!F:F,0)</f>
        <v>0</v>
      </c>
      <c r="K275" s="55">
        <f>IF(H275="新店一阶段",LOOKUP(I275,'②提成标准-B-a-①-增加'!$M$9:$M$12,'②提成标准-B-a-①-增加'!$O$9:$O$12),0)</f>
        <v>0</v>
      </c>
      <c r="L275" s="56">
        <f t="shared" si="65"/>
        <v>0</v>
      </c>
      <c r="M275" s="57">
        <f>_xlfn.XLOOKUP(E275,'③新店考核-B-a-②呈现-业绩明细表-③'!B:B,'③新店考核-B-a-②呈现-业绩明细表-③'!G:G,0)</f>
        <v>0</v>
      </c>
      <c r="N275" s="58" t="str">
        <f>LOOKUP(M275,'②提成标准-B-a-①-增加'!$M$1:$M$4,'②提成标准-B-a-①-增加'!$O$1:$O$4)</f>
        <v>同老店</v>
      </c>
      <c r="O275" s="57">
        <f>_xlfn.XLOOKUP(E275,'③新店考核-B-a-②呈现-业绩明细表-③'!B:B,'③新店考核-B-a-②呈现-业绩明细表-③'!H:H,0)</f>
        <v>0</v>
      </c>
      <c r="P275" s="57">
        <f t="shared" si="66"/>
        <v>0</v>
      </c>
      <c r="Q275" s="53">
        <f>_xlfn.XLOOKUP(E275,'④考勤-B-a-26考勤汇总表'!D:D,'④考勤-B-a-26考勤汇总表'!AP:AP,0)</f>
        <v>0</v>
      </c>
      <c r="R275" s="53" t="str">
        <f t="shared" si="74"/>
        <v/>
      </c>
      <c r="S275" s="53">
        <f t="shared" si="71"/>
        <v>0</v>
      </c>
      <c r="T275" s="53">
        <v>0</v>
      </c>
      <c r="U275" s="53">
        <v>0</v>
      </c>
      <c r="V275" s="53">
        <v>0</v>
      </c>
      <c r="W275" s="53">
        <f>_xlfn.XLOOKUP(E275,'⑤项目数-B-a-③消耗明细表'!C:C,'⑤项目数-B-a-③消耗明细表'!E:E,0)</f>
        <v>15557</v>
      </c>
      <c r="X275" s="53">
        <f>_xlfn.XLOOKUP(E275,'⑤项目数-B-a-③消耗明细表'!C:C,'⑤项目数-B-a-③消耗明细表'!D:D,0)</f>
        <v>37</v>
      </c>
      <c r="Y275" s="53">
        <f>_xlfn.XLOOKUP(E275,'⑤项目数-B-a-③消耗明细表'!C:C,'⑤项目数-B-a-③消耗明细表'!F:F,0)</f>
        <v>231</v>
      </c>
      <c r="Z275" s="53">
        <f>_xlfn.XLOOKUP(E275,'⑤项目数-B-a-③消耗明细表'!C:C,'⑤项目数-B-a-③消耗明细表'!G:G,0)</f>
        <v>0</v>
      </c>
      <c r="AA275" s="84" t="str">
        <f t="shared" si="67"/>
        <v>不属于战队</v>
      </c>
      <c r="AB275" s="84">
        <f t="shared" si="68"/>
        <v>0</v>
      </c>
      <c r="AC275" s="53">
        <f>_xlfn.XLOOKUP(F275,'⑥战队统计表-B-a-②呈现-业绩明细表④'!A:A,'⑥战队统计表-B-a-②呈现-业绩明细表④'!B:B,0)</f>
        <v>0</v>
      </c>
      <c r="AD275" s="53">
        <f t="shared" si="72"/>
        <v>1</v>
      </c>
      <c r="AE275" s="59">
        <f>IF(AD275="",_xlfn.XLOOKUP(F275,'⑥战队统计表-B-a-②呈现-业绩明细表④'!A:A,'⑥战队统计表-B-a-②呈现-业绩明细表④'!D:D,0),0)</f>
        <v>0</v>
      </c>
      <c r="AF275" s="85">
        <f>IF(AND(E275="T区",E275="门店T区"),"",IF(AD275="",0,IF(R275="",LOOKUP(S275,'②提成标准-B-a-①-增加'!$B$16:$B$20,'②提成标准-B-a-①-增加'!$D$16:$D$20),LOOKUP(S275/Q275,'②提成标准-B-a-①-增加'!$B$23:$B$27,'②提成标准-B-a-①-增加'!$D$23:$D$27))))</f>
        <v>0</v>
      </c>
      <c r="AG275" s="85">
        <f t="shared" si="69"/>
        <v>0</v>
      </c>
      <c r="AH275" s="60">
        <f t="shared" si="75"/>
        <v>0</v>
      </c>
      <c r="AI275" s="86">
        <f t="shared" si="76"/>
        <v>0</v>
      </c>
      <c r="AJ275" s="60">
        <f t="shared" si="73"/>
        <v>0</v>
      </c>
      <c r="AK275" s="87">
        <f>IF(AB275=1,IFERROR(S275/VLOOKUP(F275,'⑥战队统计表-B-a-②呈现-业绩明细表④'!A:C,3,0),0),0)</f>
        <v>0</v>
      </c>
      <c r="AL275" s="85" t="str">
        <f t="shared" si="63"/>
        <v/>
      </c>
      <c r="AM275" s="53" t="str">
        <f>IF(D275="顾问",_xlfn.XLOOKUP(F275,'⑥战队统计表-B-a-②呈现-业绩明细表④'!A:A,'⑥战队统计表-B-a-②呈现-业绩明细表④'!H:H,0),"")</f>
        <v/>
      </c>
      <c r="AN275" s="53" t="str">
        <f t="shared" si="70"/>
        <v>单人</v>
      </c>
    </row>
    <row r="276" spans="1:40" s="112" customFormat="1" hidden="1" x14ac:dyDescent="0.15">
      <c r="A276" s="79" t="s">
        <v>428</v>
      </c>
      <c r="B276" s="104" t="s">
        <v>198</v>
      </c>
      <c r="C276" s="82" t="s">
        <v>36</v>
      </c>
      <c r="D276" s="82" t="s">
        <v>36</v>
      </c>
      <c r="E276" s="104" t="s">
        <v>280</v>
      </c>
      <c r="F276" s="53" t="str">
        <f t="shared" si="64"/>
        <v>紫荆+T区</v>
      </c>
      <c r="G276" s="53">
        <f>IFERROR(_xlfn.XLOOKUP(B276,'①门店信息-A-a-①-增加'!B:B,'①门店信息-A-a-①-增加'!E:E,0),"")</f>
        <v>0</v>
      </c>
      <c r="H276" s="54">
        <f>_xlfn.XLOOKUP(B276,'①门店信息-A-a-①-增加'!B:B,'①门店信息-A-a-①-增加'!F:F,0)</f>
        <v>0</v>
      </c>
      <c r="I276" s="55">
        <f>_xlfn.XLOOKUP(E276,'③新店考核-B-a-②呈现-业绩明细表-③'!B:B,'③新店考核-B-a-②呈现-业绩明细表-③'!E:E,0)</f>
        <v>0</v>
      </c>
      <c r="J276" s="54">
        <f>_xlfn.XLOOKUP(E276,'③新店考核-B-a-②呈现-业绩明细表-③'!B:B,'③新店考核-B-a-②呈现-业绩明细表-③'!F:F,0)</f>
        <v>0</v>
      </c>
      <c r="K276" s="55">
        <f>IF(H276="新店一阶段",LOOKUP(I276,'②提成标准-B-a-①-增加'!$M$9:$M$12,'②提成标准-B-a-①-增加'!$O$9:$O$12),0)</f>
        <v>0</v>
      </c>
      <c r="L276" s="56">
        <f t="shared" si="65"/>
        <v>0</v>
      </c>
      <c r="M276" s="57">
        <f>_xlfn.XLOOKUP(E276,'③新店考核-B-a-②呈现-业绩明细表-③'!B:B,'③新店考核-B-a-②呈现-业绩明细表-③'!G:G,0)</f>
        <v>0</v>
      </c>
      <c r="N276" s="58" t="str">
        <f>LOOKUP(M276,'②提成标准-B-a-①-增加'!$M$1:$M$4,'②提成标准-B-a-①-增加'!$O$1:$O$4)</f>
        <v>同老店</v>
      </c>
      <c r="O276" s="57">
        <f>_xlfn.XLOOKUP(E276,'③新店考核-B-a-②呈现-业绩明细表-③'!B:B,'③新店考核-B-a-②呈现-业绩明细表-③'!H:H,0)</f>
        <v>0</v>
      </c>
      <c r="P276" s="57">
        <f t="shared" si="66"/>
        <v>0</v>
      </c>
      <c r="Q276" s="53">
        <f>_xlfn.XLOOKUP(E276,'④考勤-B-a-26考勤汇总表'!D:D,'④考勤-B-a-26考勤汇总表'!AP:AP,0)</f>
        <v>0</v>
      </c>
      <c r="R276" s="53" t="str">
        <f t="shared" si="74"/>
        <v/>
      </c>
      <c r="S276" s="53">
        <f t="shared" si="71"/>
        <v>0</v>
      </c>
      <c r="T276" s="53">
        <v>0</v>
      </c>
      <c r="U276" s="53">
        <v>0</v>
      </c>
      <c r="V276" s="53">
        <v>0</v>
      </c>
      <c r="W276" s="53">
        <f>_xlfn.XLOOKUP(E276,'⑤项目数-B-a-③消耗明细表'!C:C,'⑤项目数-B-a-③消耗明细表'!E:E,0)</f>
        <v>105411</v>
      </c>
      <c r="X276" s="53">
        <f>_xlfn.XLOOKUP(E276,'⑤项目数-B-a-③消耗明细表'!C:C,'⑤项目数-B-a-③消耗明细表'!D:D,0)</f>
        <v>17</v>
      </c>
      <c r="Y276" s="53">
        <f>_xlfn.XLOOKUP(E276,'⑤项目数-B-a-③消耗明细表'!C:C,'⑤项目数-B-a-③消耗明细表'!F:F,0)</f>
        <v>12</v>
      </c>
      <c r="Z276" s="53">
        <f>_xlfn.XLOOKUP(E276,'⑤项目数-B-a-③消耗明细表'!C:C,'⑤项目数-B-a-③消耗明细表'!G:G,0)</f>
        <v>0</v>
      </c>
      <c r="AA276" s="84" t="str">
        <f t="shared" si="67"/>
        <v>不属于战队</v>
      </c>
      <c r="AB276" s="84">
        <f t="shared" si="68"/>
        <v>0</v>
      </c>
      <c r="AC276" s="53">
        <f>_xlfn.XLOOKUP(F276,'⑥战队统计表-B-a-②呈现-业绩明细表④'!A:A,'⑥战队统计表-B-a-②呈现-业绩明细表④'!B:B,0)</f>
        <v>0</v>
      </c>
      <c r="AD276" s="53">
        <f t="shared" si="72"/>
        <v>1</v>
      </c>
      <c r="AE276" s="59">
        <f>IF(AD276="",_xlfn.XLOOKUP(F276,'⑥战队统计表-B-a-②呈现-业绩明细表④'!A:A,'⑥战队统计表-B-a-②呈现-业绩明细表④'!D:D,0),0)</f>
        <v>0</v>
      </c>
      <c r="AF276" s="85">
        <f>IF(AND(E276="T区",E276="门店T区"),"",IF(AD276="",0,IF(R276="",LOOKUP(S276,'②提成标准-B-a-①-增加'!$B$16:$B$20,'②提成标准-B-a-①-增加'!$D$16:$D$20),LOOKUP(S276/Q276,'②提成标准-B-a-①-增加'!$B$23:$B$27,'②提成标准-B-a-①-增加'!$D$23:$D$27))))</f>
        <v>0</v>
      </c>
      <c r="AG276" s="85">
        <f t="shared" si="69"/>
        <v>0</v>
      </c>
      <c r="AH276" s="60">
        <f t="shared" si="75"/>
        <v>0</v>
      </c>
      <c r="AI276" s="86">
        <f t="shared" si="76"/>
        <v>0</v>
      </c>
      <c r="AJ276" s="60">
        <f t="shared" si="73"/>
        <v>0</v>
      </c>
      <c r="AK276" s="87">
        <f>IF(AB276=1,IFERROR(S276/VLOOKUP(F276,'⑥战队统计表-B-a-②呈现-业绩明细表④'!A:C,3,0),0),0)</f>
        <v>0</v>
      </c>
      <c r="AL276" s="85" t="str">
        <f t="shared" si="63"/>
        <v/>
      </c>
      <c r="AM276" s="53" t="str">
        <f>IF(D276="顾问",_xlfn.XLOOKUP(F276,'⑥战队统计表-B-a-②呈现-业绩明细表④'!A:A,'⑥战队统计表-B-a-②呈现-业绩明细表④'!H:H,0),"")</f>
        <v/>
      </c>
      <c r="AN276" s="53" t="str">
        <f t="shared" si="70"/>
        <v>单人</v>
      </c>
    </row>
    <row r="277" spans="1:40" s="112" customFormat="1" hidden="1" x14ac:dyDescent="0.15">
      <c r="A277" s="79" t="s">
        <v>428</v>
      </c>
      <c r="B277" s="104" t="s">
        <v>209</v>
      </c>
      <c r="C277" s="82" t="s">
        <v>36</v>
      </c>
      <c r="D277" s="82" t="s">
        <v>36</v>
      </c>
      <c r="E277" s="104" t="s">
        <v>281</v>
      </c>
      <c r="F277" s="53" t="str">
        <f t="shared" si="64"/>
        <v>双流+T区</v>
      </c>
      <c r="G277" s="53">
        <f>IFERROR(_xlfn.XLOOKUP(B277,'①门店信息-A-a-①-增加'!B:B,'①门店信息-A-a-①-增加'!E:E,0),"")</f>
        <v>0</v>
      </c>
      <c r="H277" s="54">
        <f>_xlfn.XLOOKUP(B277,'①门店信息-A-a-①-增加'!B:B,'①门店信息-A-a-①-增加'!F:F,0)</f>
        <v>0</v>
      </c>
      <c r="I277" s="55">
        <f>_xlfn.XLOOKUP(E277,'③新店考核-B-a-②呈现-业绩明细表-③'!B:B,'③新店考核-B-a-②呈现-业绩明细表-③'!E:E,0)</f>
        <v>0</v>
      </c>
      <c r="J277" s="54">
        <f>_xlfn.XLOOKUP(E277,'③新店考核-B-a-②呈现-业绩明细表-③'!B:B,'③新店考核-B-a-②呈现-业绩明细表-③'!F:F,0)</f>
        <v>0</v>
      </c>
      <c r="K277" s="55">
        <f>IF(H277="新店一阶段",LOOKUP(I277,'②提成标准-B-a-①-增加'!$M$9:$M$12,'②提成标准-B-a-①-增加'!$O$9:$O$12),0)</f>
        <v>0</v>
      </c>
      <c r="L277" s="56">
        <f t="shared" si="65"/>
        <v>0</v>
      </c>
      <c r="M277" s="57">
        <f>_xlfn.XLOOKUP(E277,'③新店考核-B-a-②呈现-业绩明细表-③'!B:B,'③新店考核-B-a-②呈现-业绩明细表-③'!G:G,0)</f>
        <v>0</v>
      </c>
      <c r="N277" s="58" t="str">
        <f>LOOKUP(M277,'②提成标准-B-a-①-增加'!$M$1:$M$4,'②提成标准-B-a-①-增加'!$O$1:$O$4)</f>
        <v>同老店</v>
      </c>
      <c r="O277" s="57">
        <f>_xlfn.XLOOKUP(E277,'③新店考核-B-a-②呈现-业绩明细表-③'!B:B,'③新店考核-B-a-②呈现-业绩明细表-③'!H:H,0)</f>
        <v>0</v>
      </c>
      <c r="P277" s="57">
        <f t="shared" si="66"/>
        <v>0</v>
      </c>
      <c r="Q277" s="53">
        <f>_xlfn.XLOOKUP(E277,'④考勤-B-a-26考勤汇总表'!D:D,'④考勤-B-a-26考勤汇总表'!AP:AP,0)</f>
        <v>0</v>
      </c>
      <c r="R277" s="53" t="str">
        <f t="shared" si="74"/>
        <v/>
      </c>
      <c r="S277" s="53">
        <f t="shared" si="71"/>
        <v>0</v>
      </c>
      <c r="T277" s="53">
        <v>0</v>
      </c>
      <c r="U277" s="53">
        <v>0</v>
      </c>
      <c r="V277" s="53">
        <v>0</v>
      </c>
      <c r="W277" s="53">
        <f>_xlfn.XLOOKUP(E277,'⑤项目数-B-a-③消耗明细表'!C:C,'⑤项目数-B-a-③消耗明细表'!E:E,0)</f>
        <v>186417</v>
      </c>
      <c r="X277" s="53">
        <f>_xlfn.XLOOKUP(E277,'⑤项目数-B-a-③消耗明细表'!C:C,'⑤项目数-B-a-③消耗明细表'!D:D,0)</f>
        <v>40</v>
      </c>
      <c r="Y277" s="53">
        <f>_xlfn.XLOOKUP(E277,'⑤项目数-B-a-③消耗明细表'!C:C,'⑤项目数-B-a-③消耗明细表'!F:F,0)</f>
        <v>0</v>
      </c>
      <c r="Z277" s="53">
        <f>_xlfn.XLOOKUP(E277,'⑤项目数-B-a-③消耗明细表'!C:C,'⑤项目数-B-a-③消耗明细表'!G:G,0)</f>
        <v>0</v>
      </c>
      <c r="AA277" s="84" t="str">
        <f t="shared" si="67"/>
        <v>不属于战队</v>
      </c>
      <c r="AB277" s="84">
        <f t="shared" si="68"/>
        <v>0</v>
      </c>
      <c r="AC277" s="53">
        <f>_xlfn.XLOOKUP(F277,'⑥战队统计表-B-a-②呈现-业绩明细表④'!A:A,'⑥战队统计表-B-a-②呈现-业绩明细表④'!B:B,0)</f>
        <v>0</v>
      </c>
      <c r="AD277" s="53">
        <f t="shared" si="72"/>
        <v>1</v>
      </c>
      <c r="AE277" s="59">
        <f>IF(AD277="",_xlfn.XLOOKUP(F277,'⑥战队统计表-B-a-②呈现-业绩明细表④'!A:A,'⑥战队统计表-B-a-②呈现-业绩明细表④'!D:D,0),0)</f>
        <v>0</v>
      </c>
      <c r="AF277" s="85">
        <f>IF(AND(E277="T区",E277="门店T区"),"",IF(AD277="",0,IF(R277="",LOOKUP(S277,'②提成标准-B-a-①-增加'!$B$16:$B$20,'②提成标准-B-a-①-增加'!$D$16:$D$20),LOOKUP(S277/Q277,'②提成标准-B-a-①-增加'!$B$23:$B$27,'②提成标准-B-a-①-增加'!$D$23:$D$27))))</f>
        <v>0</v>
      </c>
      <c r="AG277" s="85">
        <f t="shared" si="69"/>
        <v>0</v>
      </c>
      <c r="AH277" s="60">
        <f t="shared" si="75"/>
        <v>0</v>
      </c>
      <c r="AI277" s="86">
        <f t="shared" si="76"/>
        <v>0</v>
      </c>
      <c r="AJ277" s="60">
        <f t="shared" si="73"/>
        <v>0</v>
      </c>
      <c r="AK277" s="87">
        <f>IF(AB277=1,IFERROR(S277/VLOOKUP(F277,'⑥战队统计表-B-a-②呈现-业绩明细表④'!A:C,3,0),0),0)</f>
        <v>0</v>
      </c>
      <c r="AL277" s="85" t="str">
        <f t="shared" si="63"/>
        <v/>
      </c>
      <c r="AM277" s="53" t="str">
        <f>IF(D277="顾问",_xlfn.XLOOKUP(F277,'⑥战队统计表-B-a-②呈现-业绩明细表④'!A:A,'⑥战队统计表-B-a-②呈现-业绩明细表④'!H:H,0),"")</f>
        <v/>
      </c>
      <c r="AN277" s="53" t="str">
        <f t="shared" si="70"/>
        <v>单人</v>
      </c>
    </row>
    <row r="278" spans="1:40" s="112" customFormat="1" hidden="1" x14ac:dyDescent="0.15">
      <c r="A278" s="79" t="s">
        <v>428</v>
      </c>
      <c r="B278" s="104" t="s">
        <v>217</v>
      </c>
      <c r="C278" s="82" t="s">
        <v>36</v>
      </c>
      <c r="D278" s="82" t="s">
        <v>36</v>
      </c>
      <c r="E278" s="104" t="s">
        <v>282</v>
      </c>
      <c r="F278" s="53" t="str">
        <f t="shared" si="64"/>
        <v>亚洲湾+T区</v>
      </c>
      <c r="G278" s="53">
        <f>IFERROR(_xlfn.XLOOKUP(B278,'①门店信息-A-a-①-增加'!B:B,'①门店信息-A-a-①-增加'!E:E,0),"")</f>
        <v>0</v>
      </c>
      <c r="H278" s="54">
        <f>_xlfn.XLOOKUP(B278,'①门店信息-A-a-①-增加'!B:B,'①门店信息-A-a-①-增加'!F:F,0)</f>
        <v>0</v>
      </c>
      <c r="I278" s="55">
        <f>_xlfn.XLOOKUP(E278,'③新店考核-B-a-②呈现-业绩明细表-③'!B:B,'③新店考核-B-a-②呈现-业绩明细表-③'!E:E,0)</f>
        <v>0</v>
      </c>
      <c r="J278" s="54">
        <f>_xlfn.XLOOKUP(E278,'③新店考核-B-a-②呈现-业绩明细表-③'!B:B,'③新店考核-B-a-②呈现-业绩明细表-③'!F:F,0)</f>
        <v>0</v>
      </c>
      <c r="K278" s="55">
        <f>IF(H278="新店一阶段",LOOKUP(I278,'②提成标准-B-a-①-增加'!$M$9:$M$12,'②提成标准-B-a-①-增加'!$O$9:$O$12),0)</f>
        <v>0</v>
      </c>
      <c r="L278" s="56">
        <f t="shared" si="65"/>
        <v>0</v>
      </c>
      <c r="M278" s="57">
        <f>_xlfn.XLOOKUP(E278,'③新店考核-B-a-②呈现-业绩明细表-③'!B:B,'③新店考核-B-a-②呈现-业绩明细表-③'!G:G,0)</f>
        <v>0</v>
      </c>
      <c r="N278" s="58" t="str">
        <f>LOOKUP(M278,'②提成标准-B-a-①-增加'!$M$1:$M$4,'②提成标准-B-a-①-增加'!$O$1:$O$4)</f>
        <v>同老店</v>
      </c>
      <c r="O278" s="57">
        <f>_xlfn.XLOOKUP(E278,'③新店考核-B-a-②呈现-业绩明细表-③'!B:B,'③新店考核-B-a-②呈现-业绩明细表-③'!H:H,0)</f>
        <v>0</v>
      </c>
      <c r="P278" s="57">
        <f t="shared" si="66"/>
        <v>0</v>
      </c>
      <c r="Q278" s="53">
        <f>_xlfn.XLOOKUP(E278,'④考勤-B-a-26考勤汇总表'!D:D,'④考勤-B-a-26考勤汇总表'!AP:AP,0)</f>
        <v>0</v>
      </c>
      <c r="R278" s="53" t="str">
        <f t="shared" si="74"/>
        <v/>
      </c>
      <c r="S278" s="53">
        <f t="shared" si="71"/>
        <v>0</v>
      </c>
      <c r="T278" s="53">
        <v>0</v>
      </c>
      <c r="U278" s="53">
        <v>0</v>
      </c>
      <c r="V278" s="53">
        <v>0</v>
      </c>
      <c r="W278" s="53">
        <f>_xlfn.XLOOKUP(E278,'⑤项目数-B-a-③消耗明细表'!C:C,'⑤项目数-B-a-③消耗明细表'!E:E,0)</f>
        <v>46218.71</v>
      </c>
      <c r="X278" s="53">
        <f>_xlfn.XLOOKUP(E278,'⑤项目数-B-a-③消耗明细表'!C:C,'⑤项目数-B-a-③消耗明细表'!D:D,0)</f>
        <v>34</v>
      </c>
      <c r="Y278" s="53">
        <f>_xlfn.XLOOKUP(E278,'⑤项目数-B-a-③消耗明细表'!C:C,'⑤项目数-B-a-③消耗明细表'!F:F,0)</f>
        <v>0</v>
      </c>
      <c r="Z278" s="53">
        <f>_xlfn.XLOOKUP(E278,'⑤项目数-B-a-③消耗明细表'!C:C,'⑤项目数-B-a-③消耗明细表'!G:G,0)</f>
        <v>0</v>
      </c>
      <c r="AA278" s="84" t="str">
        <f t="shared" si="67"/>
        <v>不属于战队</v>
      </c>
      <c r="AB278" s="84">
        <f t="shared" si="68"/>
        <v>0</v>
      </c>
      <c r="AC278" s="53">
        <f>_xlfn.XLOOKUP(F278,'⑥战队统计表-B-a-②呈现-业绩明细表④'!A:A,'⑥战队统计表-B-a-②呈现-业绩明细表④'!B:B,0)</f>
        <v>0</v>
      </c>
      <c r="AD278" s="53">
        <f t="shared" si="72"/>
        <v>1</v>
      </c>
      <c r="AE278" s="59">
        <f>IF(AD278="",_xlfn.XLOOKUP(F278,'⑥战队统计表-B-a-②呈现-业绩明细表④'!A:A,'⑥战队统计表-B-a-②呈现-业绩明细表④'!D:D,0),0)</f>
        <v>0</v>
      </c>
      <c r="AF278" s="85">
        <f>IF(AND(E278="T区",E278="门店T区"),"",IF(AD278="",0,IF(R278="",LOOKUP(S278,'②提成标准-B-a-①-增加'!$B$16:$B$20,'②提成标准-B-a-①-增加'!$D$16:$D$20),LOOKUP(S278/Q278,'②提成标准-B-a-①-增加'!$B$23:$B$27,'②提成标准-B-a-①-增加'!$D$23:$D$27))))</f>
        <v>0</v>
      </c>
      <c r="AG278" s="85">
        <f t="shared" si="69"/>
        <v>0</v>
      </c>
      <c r="AH278" s="60">
        <f t="shared" si="75"/>
        <v>0</v>
      </c>
      <c r="AI278" s="86">
        <f t="shared" si="76"/>
        <v>0</v>
      </c>
      <c r="AJ278" s="60">
        <f t="shared" si="73"/>
        <v>0</v>
      </c>
      <c r="AK278" s="87">
        <f>IF(AB278=1,IFERROR(S278/VLOOKUP(F278,'⑥战队统计表-B-a-②呈现-业绩明细表④'!A:C,3,0),0),0)</f>
        <v>0</v>
      </c>
      <c r="AL278" s="85" t="str">
        <f t="shared" si="63"/>
        <v/>
      </c>
      <c r="AM278" s="53" t="str">
        <f>IF(D278="顾问",_xlfn.XLOOKUP(F278,'⑥战队统计表-B-a-②呈现-业绩明细表④'!A:A,'⑥战队统计表-B-a-②呈现-业绩明细表④'!H:H,0),"")</f>
        <v/>
      </c>
      <c r="AN278" s="53" t="str">
        <f t="shared" si="70"/>
        <v>单人</v>
      </c>
    </row>
    <row r="279" spans="1:40" s="112" customFormat="1" hidden="1" x14ac:dyDescent="0.15">
      <c r="A279" s="79" t="s">
        <v>428</v>
      </c>
      <c r="B279" s="104" t="s">
        <v>225</v>
      </c>
      <c r="C279" s="82" t="s">
        <v>36</v>
      </c>
      <c r="D279" s="82" t="s">
        <v>36</v>
      </c>
      <c r="E279" s="104" t="s">
        <v>283</v>
      </c>
      <c r="F279" s="53" t="str">
        <f t="shared" si="64"/>
        <v>川师+T区</v>
      </c>
      <c r="G279" s="53">
        <f>IFERROR(_xlfn.XLOOKUP(B279,'①门店信息-A-a-①-增加'!B:B,'①门店信息-A-a-①-增加'!E:E,0),"")</f>
        <v>0</v>
      </c>
      <c r="H279" s="54">
        <f>_xlfn.XLOOKUP(B279,'①门店信息-A-a-①-增加'!B:B,'①门店信息-A-a-①-增加'!F:F,0)</f>
        <v>0</v>
      </c>
      <c r="I279" s="55">
        <f>_xlfn.XLOOKUP(E279,'③新店考核-B-a-②呈现-业绩明细表-③'!B:B,'③新店考核-B-a-②呈现-业绩明细表-③'!E:E,0)</f>
        <v>0</v>
      </c>
      <c r="J279" s="54">
        <f>_xlfn.XLOOKUP(E279,'③新店考核-B-a-②呈现-业绩明细表-③'!B:B,'③新店考核-B-a-②呈现-业绩明细表-③'!F:F,0)</f>
        <v>0</v>
      </c>
      <c r="K279" s="55">
        <f>IF(H279="新店一阶段",LOOKUP(I279,'②提成标准-B-a-①-增加'!$M$9:$M$12,'②提成标准-B-a-①-增加'!$O$9:$O$12),0)</f>
        <v>0</v>
      </c>
      <c r="L279" s="56">
        <f t="shared" si="65"/>
        <v>0</v>
      </c>
      <c r="M279" s="57">
        <f>_xlfn.XLOOKUP(E279,'③新店考核-B-a-②呈现-业绩明细表-③'!B:B,'③新店考核-B-a-②呈现-业绩明细表-③'!G:G,0)</f>
        <v>0</v>
      </c>
      <c r="N279" s="58" t="str">
        <f>LOOKUP(M279,'②提成标准-B-a-①-增加'!$M$1:$M$4,'②提成标准-B-a-①-增加'!$O$1:$O$4)</f>
        <v>同老店</v>
      </c>
      <c r="O279" s="57">
        <f>_xlfn.XLOOKUP(E279,'③新店考核-B-a-②呈现-业绩明细表-③'!B:B,'③新店考核-B-a-②呈现-业绩明细表-③'!H:H,0)</f>
        <v>0</v>
      </c>
      <c r="P279" s="57">
        <f t="shared" si="66"/>
        <v>0</v>
      </c>
      <c r="Q279" s="53">
        <f>_xlfn.XLOOKUP(E279,'④考勤-B-a-26考勤汇总表'!D:D,'④考勤-B-a-26考勤汇总表'!AP:AP,0)</f>
        <v>0</v>
      </c>
      <c r="R279" s="53" t="str">
        <f t="shared" si="74"/>
        <v/>
      </c>
      <c r="S279" s="53">
        <f t="shared" si="71"/>
        <v>0</v>
      </c>
      <c r="T279" s="53">
        <v>0</v>
      </c>
      <c r="U279" s="53">
        <v>0</v>
      </c>
      <c r="V279" s="53">
        <v>0</v>
      </c>
      <c r="W279" s="53">
        <f>_xlfn.XLOOKUP(E279,'⑤项目数-B-a-③消耗明细表'!C:C,'⑤项目数-B-a-③消耗明细表'!E:E,0)</f>
        <v>65106.42</v>
      </c>
      <c r="X279" s="53">
        <f>_xlfn.XLOOKUP(E279,'⑤项目数-B-a-③消耗明细表'!C:C,'⑤项目数-B-a-③消耗明细表'!D:D,0)</f>
        <v>58</v>
      </c>
      <c r="Y279" s="53">
        <f>_xlfn.XLOOKUP(E279,'⑤项目数-B-a-③消耗明细表'!C:C,'⑤项目数-B-a-③消耗明细表'!F:F,0)</f>
        <v>0</v>
      </c>
      <c r="Z279" s="53">
        <f>_xlfn.XLOOKUP(E279,'⑤项目数-B-a-③消耗明细表'!C:C,'⑤项目数-B-a-③消耗明细表'!G:G,0)</f>
        <v>0</v>
      </c>
      <c r="AA279" s="84" t="str">
        <f t="shared" si="67"/>
        <v>不属于战队</v>
      </c>
      <c r="AB279" s="84">
        <f t="shared" si="68"/>
        <v>0</v>
      </c>
      <c r="AC279" s="53">
        <f>_xlfn.XLOOKUP(F279,'⑥战队统计表-B-a-②呈现-业绩明细表④'!A:A,'⑥战队统计表-B-a-②呈现-业绩明细表④'!B:B,0)</f>
        <v>0</v>
      </c>
      <c r="AD279" s="53">
        <f t="shared" si="72"/>
        <v>1</v>
      </c>
      <c r="AE279" s="59">
        <f>IF(AD279="",_xlfn.XLOOKUP(F279,'⑥战队统计表-B-a-②呈现-业绩明细表④'!A:A,'⑥战队统计表-B-a-②呈现-业绩明细表④'!D:D,0),0)</f>
        <v>0</v>
      </c>
      <c r="AF279" s="85">
        <f>IF(AND(E279="T区",E279="门店T区"),"",IF(AD279="",0,IF(R279="",LOOKUP(S279,'②提成标准-B-a-①-增加'!$B$16:$B$20,'②提成标准-B-a-①-增加'!$D$16:$D$20),LOOKUP(S279/Q279,'②提成标准-B-a-①-增加'!$B$23:$B$27,'②提成标准-B-a-①-增加'!$D$23:$D$27))))</f>
        <v>0</v>
      </c>
      <c r="AG279" s="85">
        <f t="shared" si="69"/>
        <v>0</v>
      </c>
      <c r="AH279" s="60">
        <f t="shared" si="75"/>
        <v>0</v>
      </c>
      <c r="AI279" s="86">
        <f t="shared" si="76"/>
        <v>0</v>
      </c>
      <c r="AJ279" s="60">
        <f t="shared" si="73"/>
        <v>0</v>
      </c>
      <c r="AK279" s="87">
        <f>IF(AB279=1,IFERROR(S279/VLOOKUP(F279,'⑥战队统计表-B-a-②呈现-业绩明细表④'!A:C,3,0),0),0)</f>
        <v>0</v>
      </c>
      <c r="AL279" s="85" t="str">
        <f t="shared" si="63"/>
        <v/>
      </c>
      <c r="AM279" s="53" t="str">
        <f>IF(D279="顾问",_xlfn.XLOOKUP(F279,'⑥战队统计表-B-a-②呈现-业绩明细表④'!A:A,'⑥战队统计表-B-a-②呈现-业绩明细表④'!H:H,0),"")</f>
        <v/>
      </c>
      <c r="AN279" s="53" t="str">
        <f t="shared" si="70"/>
        <v>单人</v>
      </c>
    </row>
    <row r="280" spans="1:40" hidden="1" x14ac:dyDescent="0.15">
      <c r="A280" s="79" t="s">
        <v>428</v>
      </c>
      <c r="B280" s="52" t="s">
        <v>233</v>
      </c>
      <c r="C280" s="52" t="s">
        <v>36</v>
      </c>
      <c r="D280" s="52" t="s">
        <v>36</v>
      </c>
      <c r="E280" s="52" t="s">
        <v>284</v>
      </c>
      <c r="F280" s="53" t="str">
        <f t="shared" si="64"/>
        <v>明信+T区</v>
      </c>
      <c r="G280" s="53">
        <f>IFERROR(_xlfn.XLOOKUP(B280,'①门店信息-A-a-①-增加'!B:B,'①门店信息-A-a-①-增加'!E:E,0),"")</f>
        <v>0</v>
      </c>
      <c r="H280" s="54">
        <f>_xlfn.XLOOKUP(B280,'①门店信息-A-a-①-增加'!B:B,'①门店信息-A-a-①-增加'!F:F,0)</f>
        <v>0</v>
      </c>
      <c r="I280" s="55">
        <f>_xlfn.XLOOKUP(E280,'③新店考核-B-a-②呈现-业绩明细表-③'!B:B,'③新店考核-B-a-②呈现-业绩明细表-③'!E:E,0)</f>
        <v>0</v>
      </c>
      <c r="J280" s="54">
        <f>_xlfn.XLOOKUP(E280,'③新店考核-B-a-②呈现-业绩明细表-③'!B:B,'③新店考核-B-a-②呈现-业绩明细表-③'!F:F,0)</f>
        <v>0</v>
      </c>
      <c r="K280" s="55">
        <f>IF(H280="新店一阶段",LOOKUP(I280,'②提成标准-B-a-①-增加'!$M$9:$M$12,'②提成标准-B-a-①-增加'!$O$9:$O$12),0)</f>
        <v>0</v>
      </c>
      <c r="L280" s="56">
        <f t="shared" si="65"/>
        <v>0</v>
      </c>
      <c r="M280" s="57">
        <f>_xlfn.XLOOKUP(E280,'③新店考核-B-a-②呈现-业绩明细表-③'!B:B,'③新店考核-B-a-②呈现-业绩明细表-③'!G:G,0)</f>
        <v>0</v>
      </c>
      <c r="N280" s="58" t="str">
        <f>LOOKUP(M280,'②提成标准-B-a-①-增加'!$M$1:$M$4,'②提成标准-B-a-①-增加'!$O$1:$O$4)</f>
        <v>同老店</v>
      </c>
      <c r="O280" s="57">
        <f>_xlfn.XLOOKUP(E280,'③新店考核-B-a-②呈现-业绩明细表-③'!B:B,'③新店考核-B-a-②呈现-业绩明细表-③'!H:H,0)</f>
        <v>0</v>
      </c>
      <c r="P280" s="57">
        <f t="shared" si="66"/>
        <v>0</v>
      </c>
      <c r="Q280" s="53">
        <f>_xlfn.XLOOKUP(E280,'④考勤-B-a-26考勤汇总表'!D:D,'④考勤-B-a-26考勤汇总表'!AP:AP,0)</f>
        <v>0</v>
      </c>
      <c r="R280" s="53" t="str">
        <f t="shared" si="74"/>
        <v/>
      </c>
      <c r="S280" s="53">
        <f t="shared" si="71"/>
        <v>0</v>
      </c>
      <c r="T280" s="53">
        <v>0</v>
      </c>
      <c r="U280" s="53">
        <v>0</v>
      </c>
      <c r="V280" s="53">
        <v>0</v>
      </c>
      <c r="W280" s="53">
        <f>_xlfn.XLOOKUP(E280,'⑤项目数-B-a-③消耗明细表'!C:C,'⑤项目数-B-a-③消耗明细表'!E:E,0)</f>
        <v>4996.3</v>
      </c>
      <c r="X280" s="53">
        <f>_xlfn.XLOOKUP(E280,'⑤项目数-B-a-③消耗明细表'!C:C,'⑤项目数-B-a-③消耗明细表'!D:D,0)</f>
        <v>31.5</v>
      </c>
      <c r="Y280" s="53">
        <f>_xlfn.XLOOKUP(E280,'⑤项目数-B-a-③消耗明细表'!C:C,'⑤项目数-B-a-③消耗明细表'!F:F,0)</f>
        <v>0</v>
      </c>
      <c r="Z280" s="53">
        <f>_xlfn.XLOOKUP(E280,'⑤项目数-B-a-③消耗明细表'!C:C,'⑤项目数-B-a-③消耗明细表'!G:G,0)</f>
        <v>0</v>
      </c>
      <c r="AA280" s="84" t="str">
        <f t="shared" si="67"/>
        <v>不属于战队</v>
      </c>
      <c r="AB280" s="84">
        <f t="shared" si="68"/>
        <v>0</v>
      </c>
      <c r="AC280" s="53">
        <f>_xlfn.XLOOKUP(F280,'⑥战队统计表-B-a-②呈现-业绩明细表④'!A:A,'⑥战队统计表-B-a-②呈现-业绩明细表④'!B:B,0)</f>
        <v>0</v>
      </c>
      <c r="AD280" s="53">
        <f t="shared" si="72"/>
        <v>1</v>
      </c>
      <c r="AE280" s="59">
        <f>IF(AD280="",_xlfn.XLOOKUP(F280,'⑥战队统计表-B-a-②呈现-业绩明细表④'!A:A,'⑥战队统计表-B-a-②呈现-业绩明细表④'!D:D,0),0)</f>
        <v>0</v>
      </c>
      <c r="AF280" s="85">
        <f>IF(AND(E280="T区",E280="门店T区"),"",IF(AD280="",0,IF(R280="",LOOKUP(S280,'②提成标准-B-a-①-增加'!$B$16:$B$20,'②提成标准-B-a-①-增加'!$D$16:$D$20),LOOKUP(S280/Q280,'②提成标准-B-a-①-增加'!$B$23:$B$27,'②提成标准-B-a-①-增加'!$D$23:$D$27))))</f>
        <v>0</v>
      </c>
      <c r="AG280" s="85">
        <f t="shared" si="69"/>
        <v>0</v>
      </c>
      <c r="AH280" s="60">
        <f t="shared" si="75"/>
        <v>0</v>
      </c>
      <c r="AI280" s="86">
        <f t="shared" si="76"/>
        <v>0</v>
      </c>
      <c r="AJ280" s="60">
        <f t="shared" si="73"/>
        <v>0</v>
      </c>
      <c r="AK280" s="87">
        <f>IF(AB280=1,IFERROR(S280/VLOOKUP(F280,'⑥战队统计表-B-a-②呈现-业绩明细表④'!A:C,3,0),0),0)</f>
        <v>0</v>
      </c>
      <c r="AL280" s="85" t="str">
        <f t="shared" si="63"/>
        <v/>
      </c>
      <c r="AM280" s="53" t="str">
        <f>IF(D280="顾问",_xlfn.XLOOKUP(F280,'⑥战队统计表-B-a-②呈现-业绩明细表④'!A:A,'⑥战队统计表-B-a-②呈现-业绩明细表④'!H:H,0),"")</f>
        <v/>
      </c>
      <c r="AN280" s="53" t="str">
        <f t="shared" si="70"/>
        <v>单人</v>
      </c>
    </row>
    <row r="281" spans="1:40" hidden="1" x14ac:dyDescent="0.15">
      <c r="A281" s="79" t="s">
        <v>428</v>
      </c>
      <c r="B281" s="52" t="s">
        <v>238</v>
      </c>
      <c r="C281" s="52" t="s">
        <v>36</v>
      </c>
      <c r="D281" s="52" t="s">
        <v>36</v>
      </c>
      <c r="E281" s="52" t="s">
        <v>285</v>
      </c>
      <c r="F281" s="53" t="str">
        <f t="shared" si="64"/>
        <v>千禧+T区</v>
      </c>
      <c r="G281" s="53">
        <f>IFERROR(_xlfn.XLOOKUP(B281,'①门店信息-A-a-①-增加'!B:B,'①门店信息-A-a-①-增加'!E:E,0),"")</f>
        <v>0</v>
      </c>
      <c r="H281" s="54">
        <f>_xlfn.XLOOKUP(B281,'①门店信息-A-a-①-增加'!B:B,'①门店信息-A-a-①-增加'!F:F,0)</f>
        <v>0</v>
      </c>
      <c r="I281" s="55">
        <f>_xlfn.XLOOKUP(E281,'③新店考核-B-a-②呈现-业绩明细表-③'!B:B,'③新店考核-B-a-②呈现-业绩明细表-③'!E:E,0)</f>
        <v>0</v>
      </c>
      <c r="J281" s="54">
        <f>_xlfn.XLOOKUP(E281,'③新店考核-B-a-②呈现-业绩明细表-③'!B:B,'③新店考核-B-a-②呈现-业绩明细表-③'!F:F,0)</f>
        <v>0</v>
      </c>
      <c r="K281" s="55">
        <f>IF(H281="新店一阶段",LOOKUP(I281,'②提成标准-B-a-①-增加'!$M$9:$M$12,'②提成标准-B-a-①-增加'!$O$9:$O$12),0)</f>
        <v>0</v>
      </c>
      <c r="L281" s="56">
        <f t="shared" si="65"/>
        <v>0</v>
      </c>
      <c r="M281" s="57">
        <f>_xlfn.XLOOKUP(E281,'③新店考核-B-a-②呈现-业绩明细表-③'!B:B,'③新店考核-B-a-②呈现-业绩明细表-③'!G:G,0)</f>
        <v>0</v>
      </c>
      <c r="N281" s="58" t="str">
        <f>LOOKUP(M281,'②提成标准-B-a-①-增加'!$M$1:$M$4,'②提成标准-B-a-①-增加'!$O$1:$O$4)</f>
        <v>同老店</v>
      </c>
      <c r="O281" s="57">
        <f>_xlfn.XLOOKUP(E281,'③新店考核-B-a-②呈现-业绩明细表-③'!B:B,'③新店考核-B-a-②呈现-业绩明细表-③'!H:H,0)</f>
        <v>0</v>
      </c>
      <c r="P281" s="57">
        <f t="shared" si="66"/>
        <v>0</v>
      </c>
      <c r="Q281" s="53">
        <f>_xlfn.XLOOKUP(E281,'④考勤-B-a-26考勤汇总表'!D:D,'④考勤-B-a-26考勤汇总表'!AP:AP,0)</f>
        <v>0</v>
      </c>
      <c r="R281" s="53" t="str">
        <f t="shared" si="74"/>
        <v/>
      </c>
      <c r="S281" s="53">
        <f t="shared" si="71"/>
        <v>0</v>
      </c>
      <c r="T281" s="53">
        <v>0</v>
      </c>
      <c r="U281" s="53">
        <v>0</v>
      </c>
      <c r="V281" s="53">
        <v>0</v>
      </c>
      <c r="W281" s="53">
        <f>_xlfn.XLOOKUP(E281,'⑤项目数-B-a-③消耗明细表'!C:C,'⑤项目数-B-a-③消耗明细表'!E:E,0)</f>
        <v>2797.5</v>
      </c>
      <c r="X281" s="53">
        <f>_xlfn.XLOOKUP(E281,'⑤项目数-B-a-③消耗明细表'!C:C,'⑤项目数-B-a-③消耗明细表'!D:D,0)</f>
        <v>23</v>
      </c>
      <c r="Y281" s="53">
        <f>_xlfn.XLOOKUP(E281,'⑤项目数-B-a-③消耗明细表'!C:C,'⑤项目数-B-a-③消耗明细表'!F:F,0)</f>
        <v>0</v>
      </c>
      <c r="Z281" s="53">
        <f>_xlfn.XLOOKUP(E281,'⑤项目数-B-a-③消耗明细表'!C:C,'⑤项目数-B-a-③消耗明细表'!G:G,0)</f>
        <v>0</v>
      </c>
      <c r="AA281" s="84" t="str">
        <f t="shared" si="67"/>
        <v>不属于战队</v>
      </c>
      <c r="AB281" s="84">
        <f t="shared" si="68"/>
        <v>0</v>
      </c>
      <c r="AC281" s="53">
        <f>_xlfn.XLOOKUP(F281,'⑥战队统计表-B-a-②呈现-业绩明细表④'!A:A,'⑥战队统计表-B-a-②呈现-业绩明细表④'!B:B,0)</f>
        <v>0</v>
      </c>
      <c r="AD281" s="53">
        <f t="shared" si="72"/>
        <v>1</v>
      </c>
      <c r="AE281" s="59">
        <f>IF(AD281="",_xlfn.XLOOKUP(F281,'⑥战队统计表-B-a-②呈现-业绩明细表④'!A:A,'⑥战队统计表-B-a-②呈现-业绩明细表④'!D:D,0),0)</f>
        <v>0</v>
      </c>
      <c r="AF281" s="85">
        <f>IF(AND(E281="T区",E281="门店T区"),"",IF(AD281="",0,IF(R281="",LOOKUP(S281,'②提成标准-B-a-①-增加'!$B$16:$B$20,'②提成标准-B-a-①-增加'!$D$16:$D$20),LOOKUP(S281/Q281,'②提成标准-B-a-①-增加'!$B$23:$B$27,'②提成标准-B-a-①-增加'!$D$23:$D$27))))</f>
        <v>0</v>
      </c>
      <c r="AG281" s="85">
        <f t="shared" si="69"/>
        <v>0</v>
      </c>
      <c r="AH281" s="60">
        <f t="shared" si="75"/>
        <v>0</v>
      </c>
      <c r="AI281" s="86">
        <f t="shared" si="76"/>
        <v>0</v>
      </c>
      <c r="AJ281" s="60">
        <f t="shared" si="73"/>
        <v>0</v>
      </c>
      <c r="AK281" s="87">
        <f>IF(AB281=1,IFERROR(S281/VLOOKUP(F281,'⑥战队统计表-B-a-②呈现-业绩明细表④'!A:C,3,0),0),0)</f>
        <v>0</v>
      </c>
      <c r="AL281" s="85" t="str">
        <f t="shared" ref="AL281:AL284" si="77">IF(D281="顾问",SUMIFS(AK:AK,$F:$F,F281,$D:$D,"健康师"),"")</f>
        <v/>
      </c>
      <c r="AM281" s="53" t="str">
        <f>IF(D281="顾问",_xlfn.XLOOKUP(F281,'⑥战队统计表-B-a-②呈现-业绩明细表④'!A:A,'⑥战队统计表-B-a-②呈现-业绩明细表④'!H:H,0),"")</f>
        <v/>
      </c>
      <c r="AN281" s="53" t="str">
        <f t="shared" si="70"/>
        <v>单人</v>
      </c>
    </row>
    <row r="282" spans="1:40" hidden="1" x14ac:dyDescent="0.15">
      <c r="A282" s="79" t="s">
        <v>428</v>
      </c>
      <c r="B282" s="52" t="s">
        <v>245</v>
      </c>
      <c r="C282" s="52" t="s">
        <v>36</v>
      </c>
      <c r="D282" s="52" t="s">
        <v>36</v>
      </c>
      <c r="E282" s="52" t="s">
        <v>286</v>
      </c>
      <c r="F282" s="53" t="str">
        <f t="shared" si="64"/>
        <v>大丰+T区</v>
      </c>
      <c r="G282" s="53">
        <f>IFERROR(_xlfn.XLOOKUP(B282,'①门店信息-A-a-①-增加'!B:B,'①门店信息-A-a-①-增加'!E:E,0),"")</f>
        <v>0</v>
      </c>
      <c r="H282" s="54">
        <f>_xlfn.XLOOKUP(B282,'①门店信息-A-a-①-增加'!B:B,'①门店信息-A-a-①-增加'!F:F,0)</f>
        <v>0</v>
      </c>
      <c r="I282" s="55">
        <f>_xlfn.XLOOKUP(E282,'③新店考核-B-a-②呈现-业绩明细表-③'!B:B,'③新店考核-B-a-②呈现-业绩明细表-③'!E:E,0)</f>
        <v>0</v>
      </c>
      <c r="J282" s="54">
        <f>_xlfn.XLOOKUP(E282,'③新店考核-B-a-②呈现-业绩明细表-③'!B:B,'③新店考核-B-a-②呈现-业绩明细表-③'!F:F,0)</f>
        <v>0</v>
      </c>
      <c r="K282" s="55">
        <f>IF(H282="新店一阶段",LOOKUP(I282,'②提成标准-B-a-①-增加'!$M$9:$M$12,'②提成标准-B-a-①-增加'!$O$9:$O$12),0)</f>
        <v>0</v>
      </c>
      <c r="L282" s="56">
        <f t="shared" si="65"/>
        <v>0</v>
      </c>
      <c r="M282" s="57">
        <f>_xlfn.XLOOKUP(E282,'③新店考核-B-a-②呈现-业绩明细表-③'!B:B,'③新店考核-B-a-②呈现-业绩明细表-③'!G:G,0)</f>
        <v>0</v>
      </c>
      <c r="N282" s="58" t="str">
        <f>LOOKUP(M282,'②提成标准-B-a-①-增加'!$M$1:$M$4,'②提成标准-B-a-①-增加'!$O$1:$O$4)</f>
        <v>同老店</v>
      </c>
      <c r="O282" s="57">
        <f>_xlfn.XLOOKUP(E282,'③新店考核-B-a-②呈现-业绩明细表-③'!B:B,'③新店考核-B-a-②呈现-业绩明细表-③'!H:H,0)</f>
        <v>0</v>
      </c>
      <c r="P282" s="57">
        <f t="shared" si="66"/>
        <v>0</v>
      </c>
      <c r="Q282" s="53">
        <f>_xlfn.XLOOKUP(E282,'④考勤-B-a-26考勤汇总表'!D:D,'④考勤-B-a-26考勤汇总表'!AP:AP,0)</f>
        <v>0</v>
      </c>
      <c r="R282" s="53" t="str">
        <f t="shared" si="74"/>
        <v/>
      </c>
      <c r="S282" s="53">
        <f t="shared" si="71"/>
        <v>0</v>
      </c>
      <c r="T282" s="53">
        <v>0</v>
      </c>
      <c r="U282" s="53">
        <v>0</v>
      </c>
      <c r="V282" s="53">
        <v>0</v>
      </c>
      <c r="W282" s="53">
        <f>_xlfn.XLOOKUP(E282,'⑤项目数-B-a-③消耗明细表'!C:C,'⑤项目数-B-a-③消耗明细表'!E:E,0)</f>
        <v>50751.5</v>
      </c>
      <c r="X282" s="53">
        <f>_xlfn.XLOOKUP(E282,'⑤项目数-B-a-③消耗明细表'!C:C,'⑤项目数-B-a-③消耗明细表'!D:D,0)</f>
        <v>47</v>
      </c>
      <c r="Y282" s="53">
        <f>_xlfn.XLOOKUP(E282,'⑤项目数-B-a-③消耗明细表'!C:C,'⑤项目数-B-a-③消耗明细表'!F:F,0)</f>
        <v>204</v>
      </c>
      <c r="Z282" s="53">
        <f>_xlfn.XLOOKUP(E282,'⑤项目数-B-a-③消耗明细表'!C:C,'⑤项目数-B-a-③消耗明细表'!G:G,0)</f>
        <v>0</v>
      </c>
      <c r="AA282" s="84" t="str">
        <f t="shared" si="67"/>
        <v>不属于战队</v>
      </c>
      <c r="AB282" s="84">
        <f t="shared" si="68"/>
        <v>0</v>
      </c>
      <c r="AC282" s="53">
        <f>_xlfn.XLOOKUP(F282,'⑥战队统计表-B-a-②呈现-业绩明细表④'!A:A,'⑥战队统计表-B-a-②呈现-业绩明细表④'!B:B,0)</f>
        <v>0</v>
      </c>
      <c r="AD282" s="53">
        <f t="shared" si="72"/>
        <v>1</v>
      </c>
      <c r="AE282" s="59">
        <f>IF(AD282="",_xlfn.XLOOKUP(F282,'⑥战队统计表-B-a-②呈现-业绩明细表④'!A:A,'⑥战队统计表-B-a-②呈现-业绩明细表④'!D:D,0),0)</f>
        <v>0</v>
      </c>
      <c r="AF282" s="85">
        <f>IF(AND(E282="T区",E282="门店T区"),"",IF(AD282="",0,IF(R282="",LOOKUP(S282,'②提成标准-B-a-①-增加'!$B$16:$B$20,'②提成标准-B-a-①-增加'!$D$16:$D$20),LOOKUP(S282/Q282,'②提成标准-B-a-①-增加'!$B$23:$B$27,'②提成标准-B-a-①-增加'!$D$23:$D$27))))</f>
        <v>0</v>
      </c>
      <c r="AG282" s="85">
        <f t="shared" si="69"/>
        <v>0</v>
      </c>
      <c r="AH282" s="60">
        <f t="shared" si="75"/>
        <v>0</v>
      </c>
      <c r="AI282" s="86">
        <f t="shared" si="76"/>
        <v>0</v>
      </c>
      <c r="AJ282" s="60">
        <f t="shared" si="73"/>
        <v>0</v>
      </c>
      <c r="AK282" s="87">
        <f>IF(AB282=1,IFERROR(S282/VLOOKUP(F282,'⑥战队统计表-B-a-②呈现-业绩明细表④'!A:C,3,0),0),0)</f>
        <v>0</v>
      </c>
      <c r="AL282" s="85" t="str">
        <f t="shared" si="77"/>
        <v/>
      </c>
      <c r="AM282" s="53" t="str">
        <f>IF(D282="顾问",_xlfn.XLOOKUP(F282,'⑥战队统计表-B-a-②呈现-业绩明细表④'!A:A,'⑥战队统计表-B-a-②呈现-业绩明细表④'!H:H,0),"")</f>
        <v/>
      </c>
      <c r="AN282" s="53" t="str">
        <f t="shared" si="70"/>
        <v>单人</v>
      </c>
    </row>
    <row r="283" spans="1:40" hidden="1" x14ac:dyDescent="0.15">
      <c r="A283" s="79" t="s">
        <v>428</v>
      </c>
      <c r="B283" s="52" t="s">
        <v>251</v>
      </c>
      <c r="C283" s="52" t="s">
        <v>36</v>
      </c>
      <c r="D283" s="52" t="s">
        <v>36</v>
      </c>
      <c r="E283" s="52" t="s">
        <v>287</v>
      </c>
      <c r="F283" s="53" t="str">
        <f t="shared" si="64"/>
        <v>凤凰山+T区</v>
      </c>
      <c r="G283" s="53">
        <f>IFERROR(_xlfn.XLOOKUP(B283,'①门店信息-A-a-①-增加'!B:B,'①门店信息-A-a-①-增加'!E:E,0),"")</f>
        <v>0</v>
      </c>
      <c r="H283" s="54">
        <f>_xlfn.XLOOKUP(B283,'①门店信息-A-a-①-增加'!B:B,'①门店信息-A-a-①-增加'!F:F,0)</f>
        <v>0</v>
      </c>
      <c r="I283" s="55">
        <f>_xlfn.XLOOKUP(E283,'③新店考核-B-a-②呈现-业绩明细表-③'!B:B,'③新店考核-B-a-②呈现-业绩明细表-③'!E:E,0)</f>
        <v>0</v>
      </c>
      <c r="J283" s="54">
        <f>_xlfn.XLOOKUP(E283,'③新店考核-B-a-②呈现-业绩明细表-③'!B:B,'③新店考核-B-a-②呈现-业绩明细表-③'!F:F,0)</f>
        <v>0</v>
      </c>
      <c r="K283" s="55">
        <f>IF(H283="新店一阶段",LOOKUP(I283,'②提成标准-B-a-①-增加'!$M$9:$M$12,'②提成标准-B-a-①-增加'!$O$9:$O$12),0)</f>
        <v>0</v>
      </c>
      <c r="L283" s="56">
        <f t="shared" si="65"/>
        <v>0</v>
      </c>
      <c r="M283" s="57">
        <f>_xlfn.XLOOKUP(E283,'③新店考核-B-a-②呈现-业绩明细表-③'!B:B,'③新店考核-B-a-②呈现-业绩明细表-③'!G:G,0)</f>
        <v>0</v>
      </c>
      <c r="N283" s="58" t="str">
        <f>LOOKUP(M283,'②提成标准-B-a-①-增加'!$M$1:$M$4,'②提成标准-B-a-①-增加'!$O$1:$O$4)</f>
        <v>同老店</v>
      </c>
      <c r="O283" s="57">
        <f>_xlfn.XLOOKUP(E283,'③新店考核-B-a-②呈现-业绩明细表-③'!B:B,'③新店考核-B-a-②呈现-业绩明细表-③'!H:H,0)</f>
        <v>0</v>
      </c>
      <c r="P283" s="57">
        <f t="shared" si="66"/>
        <v>0</v>
      </c>
      <c r="Q283" s="53">
        <f>_xlfn.XLOOKUP(E283,'④考勤-B-a-26考勤汇总表'!D:D,'④考勤-B-a-26考勤汇总表'!AP:AP,0)</f>
        <v>0</v>
      </c>
      <c r="R283" s="53" t="str">
        <f t="shared" si="74"/>
        <v/>
      </c>
      <c r="S283" s="53">
        <f t="shared" si="71"/>
        <v>0</v>
      </c>
      <c r="T283" s="53">
        <v>0</v>
      </c>
      <c r="U283" s="53">
        <v>0</v>
      </c>
      <c r="V283" s="53">
        <v>0</v>
      </c>
      <c r="W283" s="53">
        <f>_xlfn.XLOOKUP(E283,'⑤项目数-B-a-③消耗明细表'!C:C,'⑤项目数-B-a-③消耗明细表'!E:E,0)</f>
        <v>15219</v>
      </c>
      <c r="X283" s="53">
        <f>_xlfn.XLOOKUP(E283,'⑤项目数-B-a-③消耗明细表'!C:C,'⑤项目数-B-a-③消耗明细表'!D:D,0)</f>
        <v>25</v>
      </c>
      <c r="Y283" s="53">
        <f>_xlfn.XLOOKUP(E283,'⑤项目数-B-a-③消耗明细表'!C:C,'⑤项目数-B-a-③消耗明细表'!F:F,0)</f>
        <v>0</v>
      </c>
      <c r="Z283" s="53">
        <f>_xlfn.XLOOKUP(E283,'⑤项目数-B-a-③消耗明细表'!C:C,'⑤项目数-B-a-③消耗明细表'!G:G,0)</f>
        <v>0</v>
      </c>
      <c r="AA283" s="84" t="str">
        <f t="shared" si="67"/>
        <v>不属于战队</v>
      </c>
      <c r="AB283" s="84">
        <f t="shared" si="68"/>
        <v>0</v>
      </c>
      <c r="AC283" s="53">
        <f>_xlfn.XLOOKUP(F283,'⑥战队统计表-B-a-②呈现-业绩明细表④'!A:A,'⑥战队统计表-B-a-②呈现-业绩明细表④'!B:B,0)</f>
        <v>0</v>
      </c>
      <c r="AD283" s="53">
        <f t="shared" si="72"/>
        <v>1</v>
      </c>
      <c r="AE283" s="59">
        <f>IF(AD283="",_xlfn.XLOOKUP(F283,'⑥战队统计表-B-a-②呈现-业绩明细表④'!A:A,'⑥战队统计表-B-a-②呈现-业绩明细表④'!D:D,0),0)</f>
        <v>0</v>
      </c>
      <c r="AF283" s="85">
        <f>IF(AND(E283="T区",E283="门店T区"),"",IF(AD283="",0,IF(R283="",LOOKUP(S283,'②提成标准-B-a-①-增加'!$B$16:$B$20,'②提成标准-B-a-①-增加'!$D$16:$D$20),LOOKUP(S283/Q283,'②提成标准-B-a-①-增加'!$B$23:$B$27,'②提成标准-B-a-①-增加'!$D$23:$D$27))))</f>
        <v>0</v>
      </c>
      <c r="AG283" s="85">
        <f t="shared" si="69"/>
        <v>0</v>
      </c>
      <c r="AH283" s="60">
        <f t="shared" si="75"/>
        <v>0</v>
      </c>
      <c r="AI283" s="86">
        <f t="shared" si="76"/>
        <v>0</v>
      </c>
      <c r="AJ283" s="60">
        <f t="shared" si="73"/>
        <v>0</v>
      </c>
      <c r="AK283" s="87">
        <f>IF(AB283=1,IFERROR(S283/VLOOKUP(F283,'⑥战队统计表-B-a-②呈现-业绩明细表④'!A:C,3,0),0),0)</f>
        <v>0</v>
      </c>
      <c r="AL283" s="85" t="str">
        <f t="shared" si="77"/>
        <v/>
      </c>
      <c r="AM283" s="53" t="str">
        <f>IF(D283="顾问",_xlfn.XLOOKUP(F283,'⑥战队统计表-B-a-②呈现-业绩明细表④'!A:A,'⑥战队统计表-B-a-②呈现-业绩明细表④'!H:H,0),"")</f>
        <v/>
      </c>
      <c r="AN283" s="53" t="str">
        <f t="shared" si="70"/>
        <v>单人</v>
      </c>
    </row>
    <row r="284" spans="1:40" hidden="1" x14ac:dyDescent="0.15">
      <c r="A284" s="52" t="s">
        <v>685</v>
      </c>
      <c r="B284" s="52" t="s">
        <v>687</v>
      </c>
      <c r="C284" s="52" t="s">
        <v>688</v>
      </c>
      <c r="E284" s="52" t="s">
        <v>686</v>
      </c>
      <c r="F284" s="53" t="str">
        <f t="shared" si="64"/>
        <v>大源+单人</v>
      </c>
      <c r="G284" s="53">
        <f>IFERROR(_xlfn.XLOOKUP(B284,'①门店信息-A-a-①-增加'!B:B,'①门店信息-A-a-①-增加'!E:E,0),"")</f>
        <v>0</v>
      </c>
      <c r="H284" s="54">
        <f>_xlfn.XLOOKUP(B284,'①门店信息-A-a-①-增加'!B:B,'①门店信息-A-a-①-增加'!F:F,0)</f>
        <v>0</v>
      </c>
      <c r="I284" s="55">
        <f>_xlfn.XLOOKUP(E284,'③新店考核-B-a-②呈现-业绩明细表-③'!B:B,'③新店考核-B-a-②呈现-业绩明细表-③'!E:E,0)</f>
        <v>0</v>
      </c>
      <c r="J284" s="54">
        <f>_xlfn.XLOOKUP(E284,'③新店考核-B-a-②呈现-业绩明细表-③'!B:B,'③新店考核-B-a-②呈现-业绩明细表-③'!F:F,0)</f>
        <v>0</v>
      </c>
      <c r="K284" s="55">
        <f>IF(H284="新店一阶段",LOOKUP(I284,'②提成标准-B-a-①-增加'!$M$9:$M$12,'②提成标准-B-a-①-增加'!$O$9:$O$12),0)</f>
        <v>0</v>
      </c>
      <c r="L284" s="56">
        <f t="shared" ref="L284" si="78">T284-J284</f>
        <v>0</v>
      </c>
      <c r="M284" s="57">
        <f>_xlfn.XLOOKUP(E284,'③新店考核-B-a-②呈现-业绩明细表-③'!B:B,'③新店考核-B-a-②呈现-业绩明细表-③'!G:G,0)</f>
        <v>0</v>
      </c>
      <c r="N284" s="58" t="str">
        <f>LOOKUP(M284,'②提成标准-B-a-①-增加'!$M$1:$M$4,'②提成标准-B-a-①-增加'!$O$1:$O$4)</f>
        <v>同老店</v>
      </c>
      <c r="O284" s="57">
        <f>_xlfn.XLOOKUP(E284,'③新店考核-B-a-②呈现-业绩明细表-③'!B:B,'③新店考核-B-a-②呈现-业绩明细表-③'!H:H,0)</f>
        <v>0</v>
      </c>
      <c r="P284" s="57">
        <f t="shared" ref="P284" si="79">T284-O284</f>
        <v>0</v>
      </c>
      <c r="Q284" s="53">
        <f>_xlfn.XLOOKUP(E284,'④考勤-B-a-26考勤汇总表'!D:D,'④考勤-B-a-26考勤汇总表'!AP:AP,0)</f>
        <v>1</v>
      </c>
      <c r="R284" s="53" t="str">
        <f t="shared" si="74"/>
        <v>不足月</v>
      </c>
      <c r="S284" s="53">
        <f t="shared" ref="S284" si="80">T284+U284+V284</f>
        <v>0</v>
      </c>
      <c r="T284" s="53">
        <v>0</v>
      </c>
      <c r="U284" s="53">
        <v>0</v>
      </c>
      <c r="V284" s="53">
        <v>0</v>
      </c>
      <c r="W284" s="53">
        <f>_xlfn.XLOOKUP(E284,'⑤项目数-B-a-③消耗明细表'!C:C,'⑤项目数-B-a-③消耗明细表'!E:E,0)</f>
        <v>81.13</v>
      </c>
      <c r="X284" s="53">
        <f>_xlfn.XLOOKUP(E284,'⑤项目数-B-a-③消耗明细表'!C:C,'⑤项目数-B-a-③消耗明细表'!D:D,0)</f>
        <v>2</v>
      </c>
      <c r="Y284" s="53">
        <f>_xlfn.XLOOKUP(E284,'⑤项目数-B-a-③消耗明细表'!C:C,'⑤项目数-B-a-③消耗明细表'!F:F,0)</f>
        <v>30</v>
      </c>
      <c r="Z284" s="53">
        <f>_xlfn.XLOOKUP(E284,'⑤项目数-B-a-③消耗明细表'!C:C,'⑤项目数-B-a-③消耗明细表'!G:G,0)</f>
        <v>0</v>
      </c>
      <c r="AA284" s="84" t="str">
        <f t="shared" si="67"/>
        <v>单人</v>
      </c>
      <c r="AB284" s="84">
        <f t="shared" si="68"/>
        <v>0</v>
      </c>
      <c r="AC284" s="53">
        <f>_xlfn.XLOOKUP(F284,'⑥战队统计表-B-a-②呈现-业绩明细表④'!A:A,'⑥战队统计表-B-a-②呈现-业绩明细表④'!B:B,0)</f>
        <v>0</v>
      </c>
      <c r="AD284" s="53">
        <f t="shared" si="72"/>
        <v>1</v>
      </c>
      <c r="AE284" s="59">
        <f>IF(AD284="",_xlfn.XLOOKUP(F284,'⑥战队统计表-B-a-②呈现-业绩明细表④'!A:A,'⑥战队统计表-B-a-②呈现-业绩明细表④'!D:D,0),0)</f>
        <v>0</v>
      </c>
      <c r="AF284" s="85">
        <f>IF(AND(E284="T区",E284="门店T区"),"",IF(AD284="",0,IF(R284="",LOOKUP(S284,'②提成标准-B-a-①-增加'!$B$16:$B$20,'②提成标准-B-a-①-增加'!$D$16:$D$20),LOOKUP(S284/Q284,'②提成标准-B-a-①-增加'!$B$23:$B$27,'②提成标准-B-a-①-增加'!$D$23:$D$27))))</f>
        <v>0</v>
      </c>
      <c r="AG284" s="85">
        <f t="shared" si="69"/>
        <v>0</v>
      </c>
      <c r="AH284" s="60">
        <f t="shared" si="75"/>
        <v>0</v>
      </c>
      <c r="AI284" s="86">
        <f t="shared" si="76"/>
        <v>0</v>
      </c>
      <c r="AJ284" s="60">
        <f t="shared" si="73"/>
        <v>0</v>
      </c>
      <c r="AK284" s="87">
        <f>IF(AB284=1,IFERROR(S284/VLOOKUP(F284,'⑥战队统计表-B-a-②呈现-业绩明细表④'!A:C,3,0),0),0)</f>
        <v>0</v>
      </c>
      <c r="AL284" s="85" t="str">
        <f t="shared" si="77"/>
        <v/>
      </c>
      <c r="AM284" s="53" t="str">
        <f>IF(D284="顾问",_xlfn.XLOOKUP(F284,'⑥战队统计表-B-a-②呈现-业绩明细表④'!A:A,'⑥战队统计表-B-a-②呈现-业绩明细表④'!H:H,0),"")</f>
        <v/>
      </c>
      <c r="AN284" s="53" t="str">
        <f t="shared" si="70"/>
        <v>单人</v>
      </c>
    </row>
  </sheetData>
  <autoFilter ref="A5:AM284" xr:uid="{00000000-0001-0000-0000-000000000000}">
    <filterColumn colId="1">
      <filters>
        <filter val="川音"/>
        <filter val="龙城国际"/>
      </filters>
    </filterColumn>
  </autoFilter>
  <phoneticPr fontId="9" type="noConversion"/>
  <conditionalFormatting sqref="E1:E283 E285:E1048576">
    <cfRule type="duplicateValues" dxfId="13" priority="1"/>
  </conditionalFormatting>
  <conditionalFormatting sqref="E28">
    <cfRule type="duplicateValues" dxfId="12" priority="2"/>
  </conditionalFormatting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AE04C-F4BC-47C2-83A0-B28262904556}">
  <sheetPr>
    <tabColor rgb="FF92D050"/>
  </sheetPr>
  <dimension ref="A1:Q14"/>
  <sheetViews>
    <sheetView workbookViewId="0">
      <selection activeCell="K21" sqref="K21"/>
    </sheetView>
  </sheetViews>
  <sheetFormatPr defaultRowHeight="16.5" customHeight="1" x14ac:dyDescent="0.15"/>
  <cols>
    <col min="1" max="4" width="9" style="83"/>
    <col min="5" max="5" width="9" style="113"/>
    <col min="6" max="7" width="9" style="83"/>
    <col min="8" max="8" width="13.5" style="83" customWidth="1"/>
    <col min="9" max="15" width="9" style="83"/>
    <col min="16" max="16" width="25.5" style="83" bestFit="1" customWidth="1"/>
    <col min="17" max="16384" width="9" style="83"/>
  </cols>
  <sheetData>
    <row r="1" spans="1:17" ht="16.5" customHeight="1" x14ac:dyDescent="0.15">
      <c r="C1" s="83" t="s">
        <v>408</v>
      </c>
      <c r="D1" s="83" t="s">
        <v>409</v>
      </c>
      <c r="E1" s="113" t="s">
        <v>410</v>
      </c>
      <c r="F1" s="83" t="s">
        <v>411</v>
      </c>
      <c r="G1" s="135" t="s">
        <v>383</v>
      </c>
      <c r="H1" s="135" t="s">
        <v>384</v>
      </c>
      <c r="I1" s="135" t="s">
        <v>385</v>
      </c>
      <c r="O1" s="83" t="s">
        <v>393</v>
      </c>
      <c r="P1" s="83" t="s">
        <v>394</v>
      </c>
      <c r="Q1" s="83" t="s">
        <v>395</v>
      </c>
    </row>
    <row r="2" spans="1:17" ht="16.5" customHeight="1" x14ac:dyDescent="0.15">
      <c r="A2" s="83" t="s">
        <v>75</v>
      </c>
      <c r="B2" s="83" t="s">
        <v>76</v>
      </c>
      <c r="C2" s="83">
        <v>3</v>
      </c>
      <c r="D2" s="83">
        <v>3</v>
      </c>
      <c r="E2" s="113">
        <v>0.33</v>
      </c>
      <c r="F2" s="83">
        <v>4990</v>
      </c>
      <c r="G2" s="83">
        <v>4</v>
      </c>
      <c r="H2" s="83">
        <v>5256</v>
      </c>
      <c r="I2" s="83" t="s">
        <v>428</v>
      </c>
      <c r="Q2" s="83" t="s">
        <v>396</v>
      </c>
    </row>
    <row r="3" spans="1:17" ht="16.5" customHeight="1" x14ac:dyDescent="0.15">
      <c r="A3" s="83" t="s">
        <v>75</v>
      </c>
      <c r="B3" s="83" t="s">
        <v>79</v>
      </c>
      <c r="G3" s="83">
        <v>0.5</v>
      </c>
      <c r="H3" s="83">
        <v>400</v>
      </c>
      <c r="I3" s="83" t="s">
        <v>428</v>
      </c>
    </row>
    <row r="4" spans="1:17" ht="16.5" customHeight="1" x14ac:dyDescent="0.15">
      <c r="A4" s="83" t="s">
        <v>75</v>
      </c>
      <c r="B4" s="83" t="s">
        <v>78</v>
      </c>
      <c r="G4" s="83">
        <v>0.5</v>
      </c>
      <c r="H4" s="83">
        <v>2500</v>
      </c>
      <c r="I4" s="83" t="s">
        <v>428</v>
      </c>
      <c r="O4" s="83" t="s">
        <v>401</v>
      </c>
      <c r="P4" s="83" t="s">
        <v>402</v>
      </c>
      <c r="Q4" s="83" t="s">
        <v>405</v>
      </c>
    </row>
    <row r="5" spans="1:17" s="114" customFormat="1" ht="16.5" customHeight="1" x14ac:dyDescent="0.15">
      <c r="A5" s="83" t="s">
        <v>75</v>
      </c>
      <c r="B5" s="83" t="s">
        <v>77</v>
      </c>
      <c r="C5" s="83">
        <v>0</v>
      </c>
      <c r="D5" s="83">
        <v>0</v>
      </c>
      <c r="E5" s="113"/>
      <c r="F5" s="83"/>
      <c r="G5" s="83">
        <v>4</v>
      </c>
      <c r="H5" s="83">
        <v>9844.44</v>
      </c>
      <c r="I5" s="83" t="s">
        <v>428</v>
      </c>
      <c r="J5" s="83"/>
      <c r="K5" s="83"/>
      <c r="P5" s="114" t="s">
        <v>403</v>
      </c>
    </row>
    <row r="6" spans="1:17" ht="16.5" customHeight="1" x14ac:dyDescent="0.15">
      <c r="A6" s="83" t="s">
        <v>75</v>
      </c>
      <c r="B6" s="83" t="s">
        <v>80</v>
      </c>
      <c r="G6" s="83">
        <v>3</v>
      </c>
      <c r="H6" s="83">
        <v>9182.44</v>
      </c>
      <c r="I6" s="83" t="s">
        <v>428</v>
      </c>
      <c r="P6" s="83" t="s">
        <v>404</v>
      </c>
    </row>
    <row r="7" spans="1:17" ht="16.5" customHeight="1" x14ac:dyDescent="0.15">
      <c r="A7" s="83" t="s">
        <v>406</v>
      </c>
      <c r="B7" s="83" t="s">
        <v>407</v>
      </c>
      <c r="G7" s="83">
        <v>1</v>
      </c>
      <c r="H7" s="83">
        <v>500</v>
      </c>
      <c r="I7" s="83" t="s">
        <v>428</v>
      </c>
    </row>
    <row r="8" spans="1:17" ht="16.5" customHeight="1" x14ac:dyDescent="0.15">
      <c r="A8" s="83" t="s">
        <v>406</v>
      </c>
      <c r="B8" s="83" t="s">
        <v>412</v>
      </c>
      <c r="G8" s="83">
        <v>1</v>
      </c>
      <c r="H8" s="83">
        <v>5500</v>
      </c>
      <c r="I8" s="83" t="s">
        <v>428</v>
      </c>
    </row>
    <row r="9" spans="1:17" ht="16.5" customHeight="1" x14ac:dyDescent="0.15">
      <c r="A9" s="83" t="s">
        <v>406</v>
      </c>
      <c r="B9" s="83" t="s">
        <v>413</v>
      </c>
      <c r="G9" s="83">
        <v>0</v>
      </c>
      <c r="H9" s="83">
        <v>0</v>
      </c>
      <c r="I9" s="83" t="s">
        <v>428</v>
      </c>
    </row>
    <row r="10" spans="1:17" ht="16.5" customHeight="1" x14ac:dyDescent="0.15">
      <c r="A10" s="83" t="s">
        <v>406</v>
      </c>
      <c r="B10" s="83" t="s">
        <v>414</v>
      </c>
      <c r="G10" s="83">
        <v>1</v>
      </c>
      <c r="H10" s="83">
        <v>1000</v>
      </c>
      <c r="I10" s="83" t="s">
        <v>428</v>
      </c>
    </row>
    <row r="11" spans="1:17" ht="16.5" customHeight="1" x14ac:dyDescent="0.15">
      <c r="A11" s="83" t="s">
        <v>406</v>
      </c>
      <c r="B11" s="83" t="s">
        <v>415</v>
      </c>
      <c r="G11" s="83">
        <v>0.5</v>
      </c>
      <c r="H11" s="83">
        <v>979.2</v>
      </c>
      <c r="I11" s="83" t="s">
        <v>428</v>
      </c>
    </row>
    <row r="12" spans="1:17" ht="16.5" customHeight="1" x14ac:dyDescent="0.15">
      <c r="A12" s="83" t="s">
        <v>406</v>
      </c>
      <c r="B12" s="83" t="s">
        <v>416</v>
      </c>
      <c r="G12" s="83">
        <v>1.5</v>
      </c>
      <c r="H12" s="83">
        <v>2460</v>
      </c>
      <c r="I12" s="83" t="s">
        <v>428</v>
      </c>
    </row>
    <row r="13" spans="1:17" ht="16.5" customHeight="1" x14ac:dyDescent="0.15">
      <c r="A13" s="83" t="s">
        <v>406</v>
      </c>
      <c r="B13" s="83" t="s">
        <v>417</v>
      </c>
      <c r="G13" s="83">
        <v>2.5</v>
      </c>
      <c r="H13" s="83">
        <v>2544.8000000000002</v>
      </c>
      <c r="I13" s="83" t="s">
        <v>428</v>
      </c>
    </row>
    <row r="14" spans="1:17" ht="16.5" customHeight="1" x14ac:dyDescent="0.15">
      <c r="A14" s="83" t="s">
        <v>406</v>
      </c>
      <c r="B14" s="83" t="s">
        <v>418</v>
      </c>
      <c r="G14" s="83">
        <v>2.5</v>
      </c>
      <c r="H14" s="83">
        <v>7200</v>
      </c>
      <c r="I14" s="83" t="s">
        <v>428</v>
      </c>
    </row>
  </sheetData>
  <phoneticPr fontId="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859F9-FD2D-4707-B590-2C1790BD506E}">
  <dimension ref="A1:Q2"/>
  <sheetViews>
    <sheetView workbookViewId="0">
      <selection activeCell="F18" sqref="F18"/>
    </sheetView>
  </sheetViews>
  <sheetFormatPr defaultRowHeight="13.5" x14ac:dyDescent="0.15"/>
  <cols>
    <col min="9" max="9" width="10.625" bestFit="1" customWidth="1"/>
    <col min="14" max="14" width="10.625" customWidth="1"/>
    <col min="16" max="17" width="13.25" bestFit="1" customWidth="1"/>
  </cols>
  <sheetData>
    <row r="1" spans="1:17" ht="15" x14ac:dyDescent="0.15">
      <c r="A1" s="17" t="s">
        <v>2</v>
      </c>
      <c r="B1" s="18" t="s">
        <v>3</v>
      </c>
      <c r="C1" s="18" t="s">
        <v>4</v>
      </c>
      <c r="D1" s="18" t="s">
        <v>5</v>
      </c>
      <c r="E1" s="19" t="s">
        <v>6</v>
      </c>
      <c r="F1" s="49" t="s">
        <v>410</v>
      </c>
      <c r="G1" s="48" t="s">
        <v>411</v>
      </c>
      <c r="H1" s="49" t="s">
        <v>421</v>
      </c>
      <c r="I1" s="51" t="s">
        <v>392</v>
      </c>
      <c r="J1" s="20" t="s">
        <v>9</v>
      </c>
      <c r="K1" s="25" t="s">
        <v>10</v>
      </c>
      <c r="L1" s="25" t="s">
        <v>11</v>
      </c>
      <c r="M1" s="25" t="s">
        <v>12</v>
      </c>
      <c r="N1" s="25" t="s">
        <v>13</v>
      </c>
      <c r="P1" s="25" t="s">
        <v>425</v>
      </c>
      <c r="Q1" s="25" t="s">
        <v>426</v>
      </c>
    </row>
    <row r="2" spans="1:17" ht="16.5" x14ac:dyDescent="0.15">
      <c r="A2" s="21" t="s">
        <v>30</v>
      </c>
      <c r="B2" s="22" t="s">
        <v>102</v>
      </c>
      <c r="C2" s="23" t="s">
        <v>103</v>
      </c>
      <c r="D2" s="24" t="s">
        <v>32</v>
      </c>
      <c r="E2" s="24" t="s">
        <v>104</v>
      </c>
      <c r="F2" s="46">
        <v>0</v>
      </c>
      <c r="G2" s="46">
        <v>0</v>
      </c>
      <c r="H2" s="47">
        <v>0</v>
      </c>
      <c r="I2" s="50">
        <v>29993</v>
      </c>
      <c r="J2" s="1">
        <v>24</v>
      </c>
      <c r="K2" s="1"/>
      <c r="L2" s="1">
        <v>53533</v>
      </c>
      <c r="M2" s="1">
        <v>29993</v>
      </c>
      <c r="N2" s="1">
        <v>22920</v>
      </c>
      <c r="Q2" s="1">
        <v>-15000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F9044-9527-48CE-A7FF-5C8C33B6CAEB}">
  <sheetPr>
    <tabColor rgb="FF92D050"/>
  </sheetPr>
  <dimension ref="A1:K284"/>
  <sheetViews>
    <sheetView workbookViewId="0">
      <selection activeCell="H19" sqref="H19"/>
    </sheetView>
  </sheetViews>
  <sheetFormatPr defaultRowHeight="14.25" x14ac:dyDescent="0.15"/>
  <cols>
    <col min="1" max="2" width="9" style="52"/>
    <col min="3" max="3" width="16.375" style="52" bestFit="1" customWidth="1"/>
    <col min="4" max="4" width="12" style="53" customWidth="1"/>
    <col min="5" max="6" width="20.375" style="53" bestFit="1" customWidth="1"/>
    <col min="8" max="8" width="13.75" customWidth="1"/>
    <col min="9" max="9" width="11.625" bestFit="1" customWidth="1"/>
  </cols>
  <sheetData>
    <row r="1" spans="1:11" x14ac:dyDescent="0.15">
      <c r="E1" s="53">
        <v>124036.79999999981</v>
      </c>
      <c r="H1">
        <f>SUMIFS(D:D,C:C,"**门店T区*")</f>
        <v>83378.2</v>
      </c>
      <c r="I1">
        <f>D3-H1</f>
        <v>5293854.6900000013</v>
      </c>
      <c r="J1">
        <f>Sheet1!H2</f>
        <v>5293294.6900000013</v>
      </c>
      <c r="K1">
        <f>I1-J1</f>
        <v>560</v>
      </c>
    </row>
    <row r="2" spans="1:11" x14ac:dyDescent="0.15">
      <c r="E2" s="53">
        <v>4107104.09</v>
      </c>
    </row>
    <row r="3" spans="1:11" x14ac:dyDescent="0.15">
      <c r="A3" s="52" t="s">
        <v>443</v>
      </c>
      <c r="B3" s="52" t="s">
        <v>443</v>
      </c>
      <c r="C3" s="52" t="s">
        <v>444</v>
      </c>
      <c r="D3" s="53">
        <v>5377232.8900000015</v>
      </c>
      <c r="E3" s="53">
        <v>4231140.8899999997</v>
      </c>
      <c r="F3" s="53">
        <v>1097988</v>
      </c>
    </row>
    <row r="4" spans="1:11" ht="15" thickBot="1" x14ac:dyDescent="0.2">
      <c r="A4" s="52" t="s">
        <v>445</v>
      </c>
      <c r="B4" s="52" t="s">
        <v>445</v>
      </c>
      <c r="C4" s="52" t="s">
        <v>446</v>
      </c>
      <c r="D4" s="53" t="s">
        <v>691</v>
      </c>
      <c r="E4" s="53" t="s">
        <v>692</v>
      </c>
      <c r="F4" s="53" t="s">
        <v>692</v>
      </c>
    </row>
    <row r="5" spans="1:11" x14ac:dyDescent="0.15">
      <c r="A5" s="61" t="s">
        <v>2</v>
      </c>
      <c r="B5" s="62" t="s">
        <v>3</v>
      </c>
      <c r="C5" s="63" t="s">
        <v>6</v>
      </c>
      <c r="D5" s="70" t="s">
        <v>11</v>
      </c>
      <c r="E5" s="70" t="s">
        <v>12</v>
      </c>
      <c r="F5" s="70" t="s">
        <v>13</v>
      </c>
    </row>
    <row r="6" spans="1:11" x14ac:dyDescent="0.15">
      <c r="A6" s="79" t="s">
        <v>428</v>
      </c>
      <c r="B6" s="80">
        <v>468</v>
      </c>
      <c r="C6" s="82" t="s">
        <v>34</v>
      </c>
      <c r="D6" s="53">
        <v>18015</v>
      </c>
      <c r="E6" s="53">
        <v>16127</v>
      </c>
      <c r="F6" s="53">
        <v>1000</v>
      </c>
    </row>
    <row r="7" spans="1:11" x14ac:dyDescent="0.15">
      <c r="A7" s="79" t="s">
        <v>428</v>
      </c>
      <c r="B7" s="80">
        <v>468</v>
      </c>
      <c r="C7" s="82" t="s">
        <v>33</v>
      </c>
      <c r="D7" s="53">
        <v>40265</v>
      </c>
      <c r="E7" s="53">
        <v>40265</v>
      </c>
      <c r="F7" s="53">
        <v>0</v>
      </c>
    </row>
    <row r="8" spans="1:11" x14ac:dyDescent="0.15">
      <c r="A8" s="79" t="s">
        <v>428</v>
      </c>
      <c r="B8" s="80">
        <v>468</v>
      </c>
      <c r="C8" s="82" t="s">
        <v>35</v>
      </c>
      <c r="D8" s="53">
        <v>8308</v>
      </c>
      <c r="E8" s="53">
        <v>8308</v>
      </c>
      <c r="F8" s="53">
        <v>0</v>
      </c>
    </row>
    <row r="9" spans="1:11" x14ac:dyDescent="0.15">
      <c r="A9" s="79" t="s">
        <v>428</v>
      </c>
      <c r="B9" s="80">
        <v>468</v>
      </c>
      <c r="C9" s="82" t="s">
        <v>36</v>
      </c>
      <c r="D9" s="53">
        <v>0</v>
      </c>
      <c r="E9" s="53">
        <v>0</v>
      </c>
      <c r="F9" s="53">
        <v>0</v>
      </c>
    </row>
    <row r="10" spans="1:11" x14ac:dyDescent="0.15">
      <c r="A10" s="79" t="s">
        <v>428</v>
      </c>
      <c r="B10" s="80">
        <v>468</v>
      </c>
      <c r="C10" s="82" t="s">
        <v>38</v>
      </c>
      <c r="D10" s="53">
        <v>40735</v>
      </c>
      <c r="E10" s="53">
        <v>29735</v>
      </c>
      <c r="F10" s="53">
        <v>11000</v>
      </c>
    </row>
    <row r="11" spans="1:11" x14ac:dyDescent="0.15">
      <c r="A11" s="79" t="s">
        <v>428</v>
      </c>
      <c r="B11" s="80">
        <v>468</v>
      </c>
      <c r="C11" s="82" t="s">
        <v>39</v>
      </c>
      <c r="D11" s="53">
        <v>22972</v>
      </c>
      <c r="E11" s="53">
        <v>22473</v>
      </c>
      <c r="F11" s="53">
        <v>499</v>
      </c>
    </row>
    <row r="12" spans="1:11" x14ac:dyDescent="0.15">
      <c r="A12" s="79" t="s">
        <v>428</v>
      </c>
      <c r="B12" s="80">
        <v>468</v>
      </c>
      <c r="C12" s="82" t="s">
        <v>36</v>
      </c>
      <c r="D12" s="53">
        <v>0</v>
      </c>
      <c r="E12" s="53">
        <v>0</v>
      </c>
      <c r="F12" s="53">
        <v>0</v>
      </c>
    </row>
    <row r="13" spans="1:11" x14ac:dyDescent="0.15">
      <c r="A13" s="79" t="s">
        <v>428</v>
      </c>
      <c r="B13" s="80">
        <v>468</v>
      </c>
      <c r="C13" s="88" t="s">
        <v>693</v>
      </c>
      <c r="D13" s="53">
        <v>10000</v>
      </c>
      <c r="E13" s="53">
        <v>10000</v>
      </c>
      <c r="F13" s="53">
        <v>0</v>
      </c>
    </row>
    <row r="14" spans="1:11" x14ac:dyDescent="0.15">
      <c r="A14" s="79" t="s">
        <v>428</v>
      </c>
      <c r="B14" s="80" t="s">
        <v>41</v>
      </c>
      <c r="C14" s="90" t="s">
        <v>43</v>
      </c>
      <c r="D14" s="53">
        <v>50682.5</v>
      </c>
      <c r="E14" s="53">
        <v>44516.5</v>
      </c>
      <c r="F14" s="53">
        <v>5500</v>
      </c>
    </row>
    <row r="15" spans="1:11" x14ac:dyDescent="0.15">
      <c r="A15" s="79" t="s">
        <v>428</v>
      </c>
      <c r="B15" s="80" t="s">
        <v>41</v>
      </c>
      <c r="C15" s="82" t="s">
        <v>44</v>
      </c>
      <c r="D15" s="53">
        <v>11021</v>
      </c>
      <c r="E15" s="53">
        <v>11021</v>
      </c>
      <c r="F15" s="53">
        <v>0</v>
      </c>
    </row>
    <row r="16" spans="1:11" x14ac:dyDescent="0.15">
      <c r="A16" s="79" t="s">
        <v>428</v>
      </c>
      <c r="B16" s="80" t="s">
        <v>41</v>
      </c>
      <c r="C16" s="82" t="s">
        <v>45</v>
      </c>
      <c r="D16" s="53">
        <v>35893.699999999997</v>
      </c>
      <c r="E16" s="53">
        <v>34393.699999999997</v>
      </c>
      <c r="F16" s="53">
        <v>1500</v>
      </c>
    </row>
    <row r="17" spans="1:6" x14ac:dyDescent="0.15">
      <c r="A17" s="79" t="s">
        <v>428</v>
      </c>
      <c r="B17" s="80" t="s">
        <v>41</v>
      </c>
      <c r="C17" s="82" t="s">
        <v>36</v>
      </c>
      <c r="D17" s="53">
        <v>0</v>
      </c>
      <c r="E17" s="53">
        <v>0</v>
      </c>
      <c r="F17" s="53">
        <v>0</v>
      </c>
    </row>
    <row r="18" spans="1:6" x14ac:dyDescent="0.15">
      <c r="A18" s="79" t="s">
        <v>428</v>
      </c>
      <c r="B18" s="80" t="s">
        <v>41</v>
      </c>
      <c r="C18" s="82" t="s">
        <v>47</v>
      </c>
      <c r="D18" s="53">
        <v>69858.899999999994</v>
      </c>
      <c r="E18" s="53">
        <v>66358.899999999994</v>
      </c>
      <c r="F18" s="53">
        <v>3500</v>
      </c>
    </row>
    <row r="19" spans="1:6" x14ac:dyDescent="0.15">
      <c r="A19" s="79" t="s">
        <v>428</v>
      </c>
      <c r="B19" s="80" t="s">
        <v>41</v>
      </c>
      <c r="C19" s="82" t="s">
        <v>48</v>
      </c>
      <c r="D19" s="53">
        <v>12376.3</v>
      </c>
      <c r="E19" s="53">
        <v>8206.2999999999993</v>
      </c>
      <c r="F19" s="53">
        <v>4170</v>
      </c>
    </row>
    <row r="20" spans="1:6" x14ac:dyDescent="0.15">
      <c r="A20" s="91" t="s">
        <v>428</v>
      </c>
      <c r="B20" s="92" t="s">
        <v>41</v>
      </c>
      <c r="C20" s="94" t="s">
        <v>49</v>
      </c>
      <c r="D20" s="53">
        <v>22150.7</v>
      </c>
      <c r="E20" s="95">
        <v>21400.7</v>
      </c>
      <c r="F20" s="95">
        <v>750</v>
      </c>
    </row>
    <row r="21" spans="1:6" x14ac:dyDescent="0.15">
      <c r="A21" s="79" t="s">
        <v>428</v>
      </c>
      <c r="B21" s="80" t="s">
        <v>41</v>
      </c>
      <c r="C21" s="97" t="s">
        <v>36</v>
      </c>
      <c r="D21" s="53">
        <v>0</v>
      </c>
      <c r="E21" s="53">
        <v>0</v>
      </c>
      <c r="F21" s="53">
        <v>0</v>
      </c>
    </row>
    <row r="22" spans="1:6" x14ac:dyDescent="0.15">
      <c r="A22" s="79" t="s">
        <v>428</v>
      </c>
      <c r="B22" s="80" t="s">
        <v>41</v>
      </c>
      <c r="C22" s="88" t="s">
        <v>694</v>
      </c>
      <c r="D22" s="53">
        <v>-30.7</v>
      </c>
      <c r="E22" s="53">
        <v>-30.7</v>
      </c>
      <c r="F22" s="53">
        <v>0</v>
      </c>
    </row>
    <row r="23" spans="1:6" x14ac:dyDescent="0.15">
      <c r="A23" s="79" t="s">
        <v>428</v>
      </c>
      <c r="B23" s="80" t="s">
        <v>51</v>
      </c>
      <c r="C23" s="97" t="s">
        <v>53</v>
      </c>
      <c r="D23" s="53">
        <v>182287</v>
      </c>
      <c r="E23" s="53">
        <v>121987</v>
      </c>
      <c r="F23" s="53">
        <v>60300</v>
      </c>
    </row>
    <row r="24" spans="1:6" x14ac:dyDescent="0.15">
      <c r="A24" s="79" t="s">
        <v>428</v>
      </c>
      <c r="B24" s="80" t="s">
        <v>51</v>
      </c>
      <c r="C24" s="97" t="s">
        <v>54</v>
      </c>
      <c r="D24" s="53">
        <v>16522.3</v>
      </c>
      <c r="E24" s="53">
        <v>16522.3</v>
      </c>
      <c r="F24" s="53">
        <v>0</v>
      </c>
    </row>
    <row r="25" spans="1:6" x14ac:dyDescent="0.15">
      <c r="A25" s="79" t="s">
        <v>428</v>
      </c>
      <c r="B25" s="80" t="s">
        <v>51</v>
      </c>
      <c r="C25" s="90" t="s">
        <v>55</v>
      </c>
      <c r="D25" s="53">
        <v>33278</v>
      </c>
      <c r="E25" s="53">
        <v>32390</v>
      </c>
      <c r="F25" s="53">
        <v>0</v>
      </c>
    </row>
    <row r="26" spans="1:6" x14ac:dyDescent="0.15">
      <c r="A26" s="79" t="s">
        <v>428</v>
      </c>
      <c r="B26" s="80" t="s">
        <v>51</v>
      </c>
      <c r="C26" s="82" t="s">
        <v>36</v>
      </c>
      <c r="D26" s="53">
        <v>0</v>
      </c>
      <c r="E26" s="53">
        <v>0</v>
      </c>
      <c r="F26" s="53">
        <v>0</v>
      </c>
    </row>
    <row r="27" spans="1:6" x14ac:dyDescent="0.15">
      <c r="A27" s="79" t="s">
        <v>428</v>
      </c>
      <c r="B27" s="80" t="s">
        <v>51</v>
      </c>
      <c r="C27" s="82" t="s">
        <v>57</v>
      </c>
      <c r="D27" s="53">
        <v>116254.6</v>
      </c>
      <c r="E27" s="53">
        <v>61766.6</v>
      </c>
      <c r="F27" s="53">
        <v>53600</v>
      </c>
    </row>
    <row r="28" spans="1:6" x14ac:dyDescent="0.15">
      <c r="A28" s="79" t="s">
        <v>428</v>
      </c>
      <c r="B28" s="80" t="s">
        <v>51</v>
      </c>
      <c r="C28" s="82" t="s">
        <v>58</v>
      </c>
      <c r="D28" s="53">
        <v>37547.599999999999</v>
      </c>
      <c r="E28" s="53">
        <v>36659.599999999999</v>
      </c>
      <c r="F28" s="53">
        <v>0</v>
      </c>
    </row>
    <row r="29" spans="1:6" x14ac:dyDescent="0.15">
      <c r="A29" s="79" t="s">
        <v>428</v>
      </c>
      <c r="B29" s="80" t="s">
        <v>51</v>
      </c>
      <c r="C29" s="82" t="s">
        <v>59</v>
      </c>
      <c r="D29" s="53">
        <v>21600.6</v>
      </c>
      <c r="E29" s="53">
        <v>21600.6</v>
      </c>
      <c r="F29" s="53">
        <v>0</v>
      </c>
    </row>
    <row r="30" spans="1:6" x14ac:dyDescent="0.15">
      <c r="A30" s="79" t="s">
        <v>428</v>
      </c>
      <c r="B30" s="80" t="s">
        <v>51</v>
      </c>
      <c r="C30" s="82" t="s">
        <v>36</v>
      </c>
      <c r="D30" s="53">
        <v>0</v>
      </c>
      <c r="E30" s="53">
        <v>0</v>
      </c>
      <c r="F30" s="53">
        <v>0</v>
      </c>
    </row>
    <row r="31" spans="1:6" x14ac:dyDescent="0.15">
      <c r="A31" s="79" t="s">
        <v>428</v>
      </c>
      <c r="B31" s="80" t="s">
        <v>51</v>
      </c>
      <c r="C31" s="88" t="s">
        <v>695</v>
      </c>
      <c r="D31" s="53">
        <v>0</v>
      </c>
      <c r="E31" s="53">
        <v>0</v>
      </c>
      <c r="F31" s="53">
        <v>0</v>
      </c>
    </row>
    <row r="32" spans="1:6" x14ac:dyDescent="0.15">
      <c r="A32" s="79" t="s">
        <v>428</v>
      </c>
      <c r="B32" s="80" t="s">
        <v>60</v>
      </c>
      <c r="C32" s="82" t="s">
        <v>63</v>
      </c>
      <c r="D32" s="53">
        <v>97081.22</v>
      </c>
      <c r="E32" s="53">
        <v>31981.22</v>
      </c>
      <c r="F32" s="53">
        <v>65100</v>
      </c>
    </row>
    <row r="33" spans="1:6" x14ac:dyDescent="0.15">
      <c r="A33" s="79" t="s">
        <v>428</v>
      </c>
      <c r="B33" s="80" t="s">
        <v>60</v>
      </c>
      <c r="C33" s="82" t="s">
        <v>64</v>
      </c>
      <c r="D33" s="53">
        <v>20395</v>
      </c>
      <c r="E33" s="53">
        <v>19997</v>
      </c>
      <c r="F33" s="53">
        <v>398</v>
      </c>
    </row>
    <row r="34" spans="1:6" x14ac:dyDescent="0.15">
      <c r="A34" s="79" t="s">
        <v>428</v>
      </c>
      <c r="B34" s="80" t="s">
        <v>60</v>
      </c>
      <c r="C34" s="90" t="s">
        <v>36</v>
      </c>
      <c r="D34" s="53">
        <v>0</v>
      </c>
      <c r="E34" s="53">
        <v>0</v>
      </c>
      <c r="F34" s="53">
        <v>0</v>
      </c>
    </row>
    <row r="35" spans="1:6" x14ac:dyDescent="0.15">
      <c r="A35" s="79" t="s">
        <v>428</v>
      </c>
      <c r="B35" s="98" t="s">
        <v>60</v>
      </c>
      <c r="C35" s="82" t="s">
        <v>72</v>
      </c>
      <c r="D35" s="53">
        <v>67361.600000000006</v>
      </c>
      <c r="E35" s="53">
        <v>40081.599999999999</v>
      </c>
      <c r="F35" s="53">
        <v>26040</v>
      </c>
    </row>
    <row r="36" spans="1:6" x14ac:dyDescent="0.15">
      <c r="A36" s="79" t="s">
        <v>428</v>
      </c>
      <c r="B36" s="98" t="s">
        <v>60</v>
      </c>
      <c r="C36" s="82" t="s">
        <v>61</v>
      </c>
      <c r="D36" s="53">
        <v>43052.66</v>
      </c>
      <c r="E36" s="53">
        <v>16392.66</v>
      </c>
      <c r="F36" s="53">
        <v>26040</v>
      </c>
    </row>
    <row r="37" spans="1:6" x14ac:dyDescent="0.15">
      <c r="A37" s="79" t="s">
        <v>428</v>
      </c>
      <c r="B37" s="98" t="s">
        <v>60</v>
      </c>
      <c r="C37" s="82" t="s">
        <v>65</v>
      </c>
      <c r="D37" s="53">
        <v>14374.4</v>
      </c>
      <c r="E37" s="53">
        <v>13754.4</v>
      </c>
      <c r="F37" s="53">
        <v>0</v>
      </c>
    </row>
    <row r="38" spans="1:6" x14ac:dyDescent="0.15">
      <c r="A38" s="79" t="s">
        <v>428</v>
      </c>
      <c r="B38" s="98" t="s">
        <v>60</v>
      </c>
      <c r="C38" s="82" t="s">
        <v>36</v>
      </c>
      <c r="D38" s="53">
        <v>0</v>
      </c>
      <c r="E38" s="53">
        <v>0</v>
      </c>
      <c r="F38" s="53">
        <v>0</v>
      </c>
    </row>
    <row r="39" spans="1:6" x14ac:dyDescent="0.15">
      <c r="A39" s="79" t="s">
        <v>428</v>
      </c>
      <c r="B39" s="98" t="s">
        <v>60</v>
      </c>
      <c r="C39" s="88" t="s">
        <v>696</v>
      </c>
      <c r="D39" s="53">
        <v>17480</v>
      </c>
      <c r="E39" s="53">
        <v>4460</v>
      </c>
      <c r="F39" s="53">
        <v>13020</v>
      </c>
    </row>
    <row r="40" spans="1:6" x14ac:dyDescent="0.15">
      <c r="A40" s="79" t="s">
        <v>428</v>
      </c>
      <c r="B40" s="98" t="s">
        <v>66</v>
      </c>
      <c r="C40" s="90" t="s">
        <v>68</v>
      </c>
      <c r="D40" s="53">
        <v>33786</v>
      </c>
      <c r="E40" s="53">
        <v>33198</v>
      </c>
      <c r="F40" s="53">
        <v>0</v>
      </c>
    </row>
    <row r="41" spans="1:6" x14ac:dyDescent="0.15">
      <c r="A41" s="79" t="s">
        <v>428</v>
      </c>
      <c r="B41" s="80" t="s">
        <v>66</v>
      </c>
      <c r="C41" s="82" t="s">
        <v>74</v>
      </c>
      <c r="D41" s="53">
        <v>7483</v>
      </c>
      <c r="E41" s="53">
        <v>7483</v>
      </c>
      <c r="F41" s="53">
        <v>0</v>
      </c>
    </row>
    <row r="42" spans="1:6" x14ac:dyDescent="0.15">
      <c r="A42" s="79" t="s">
        <v>428</v>
      </c>
      <c r="B42" s="80" t="s">
        <v>66</v>
      </c>
      <c r="C42" s="82" t="s">
        <v>70</v>
      </c>
      <c r="D42" s="53">
        <v>3144</v>
      </c>
      <c r="E42" s="53">
        <v>3144</v>
      </c>
      <c r="F42" s="53">
        <v>0</v>
      </c>
    </row>
    <row r="43" spans="1:6" x14ac:dyDescent="0.15">
      <c r="A43" s="79" t="s">
        <v>428</v>
      </c>
      <c r="B43" s="80" t="s">
        <v>66</v>
      </c>
      <c r="C43" s="82" t="s">
        <v>36</v>
      </c>
      <c r="D43" s="53">
        <v>0</v>
      </c>
      <c r="E43" s="53">
        <v>0</v>
      </c>
      <c r="F43" s="53">
        <v>0</v>
      </c>
    </row>
    <row r="44" spans="1:6" x14ac:dyDescent="0.15">
      <c r="A44" s="79" t="s">
        <v>428</v>
      </c>
      <c r="B44" s="80" t="s">
        <v>66</v>
      </c>
      <c r="C44" s="82" t="s">
        <v>73</v>
      </c>
      <c r="D44" s="53">
        <v>26514.75</v>
      </c>
      <c r="E44" s="53">
        <v>26514.75</v>
      </c>
      <c r="F44" s="53">
        <v>0</v>
      </c>
    </row>
    <row r="45" spans="1:6" x14ac:dyDescent="0.15">
      <c r="A45" s="91" t="s">
        <v>428</v>
      </c>
      <c r="B45" s="92" t="s">
        <v>66</v>
      </c>
      <c r="C45" s="92" t="s">
        <v>62</v>
      </c>
      <c r="D45" s="53">
        <v>20020.5</v>
      </c>
      <c r="E45" s="95">
        <v>19132.5</v>
      </c>
      <c r="F45" s="95">
        <v>0</v>
      </c>
    </row>
    <row r="46" spans="1:6" x14ac:dyDescent="0.15">
      <c r="A46" s="79" t="s">
        <v>428</v>
      </c>
      <c r="B46" s="80" t="s">
        <v>66</v>
      </c>
      <c r="C46" s="82" t="s">
        <v>69</v>
      </c>
      <c r="D46" s="53">
        <v>15267.75</v>
      </c>
      <c r="E46" s="53">
        <v>15787.75</v>
      </c>
      <c r="F46" s="53">
        <v>-520</v>
      </c>
    </row>
    <row r="47" spans="1:6" x14ac:dyDescent="0.15">
      <c r="A47" s="79" t="s">
        <v>428</v>
      </c>
      <c r="B47" s="80" t="s">
        <v>66</v>
      </c>
      <c r="C47" s="82" t="s">
        <v>36</v>
      </c>
      <c r="D47" s="53">
        <v>0</v>
      </c>
      <c r="E47" s="53">
        <v>0</v>
      </c>
      <c r="F47" s="53">
        <v>0</v>
      </c>
    </row>
    <row r="48" spans="1:6" x14ac:dyDescent="0.15">
      <c r="A48" s="79" t="s">
        <v>428</v>
      </c>
      <c r="B48" s="80" t="s">
        <v>66</v>
      </c>
      <c r="C48" s="88" t="s">
        <v>697</v>
      </c>
      <c r="D48" s="53">
        <v>-5282</v>
      </c>
      <c r="E48" s="53">
        <v>-5282</v>
      </c>
      <c r="F48" s="53">
        <v>0</v>
      </c>
    </row>
    <row r="49" spans="1:6" x14ac:dyDescent="0.15">
      <c r="A49" s="91" t="s">
        <v>428</v>
      </c>
      <c r="B49" s="92" t="s">
        <v>75</v>
      </c>
      <c r="C49" s="92" t="s">
        <v>76</v>
      </c>
      <c r="D49" s="53">
        <v>41686</v>
      </c>
      <c r="E49" s="95">
        <v>18706</v>
      </c>
      <c r="F49" s="95">
        <v>22980</v>
      </c>
    </row>
    <row r="50" spans="1:6" x14ac:dyDescent="0.15">
      <c r="A50" s="79" t="s">
        <v>428</v>
      </c>
      <c r="B50" s="80" t="s">
        <v>75</v>
      </c>
      <c r="C50" s="90" t="s">
        <v>78</v>
      </c>
      <c r="D50" s="53">
        <v>2500</v>
      </c>
      <c r="E50" s="53">
        <v>2500</v>
      </c>
      <c r="F50" s="53">
        <v>0</v>
      </c>
    </row>
    <row r="51" spans="1:6" x14ac:dyDescent="0.15">
      <c r="A51" s="79" t="s">
        <v>428</v>
      </c>
      <c r="B51" s="100" t="s">
        <v>75</v>
      </c>
      <c r="C51" s="101" t="s">
        <v>77</v>
      </c>
      <c r="D51" s="53">
        <v>50770.44</v>
      </c>
      <c r="E51" s="53">
        <v>40530.44</v>
      </c>
      <c r="F51" s="53">
        <v>9000</v>
      </c>
    </row>
    <row r="52" spans="1:6" x14ac:dyDescent="0.15">
      <c r="A52" s="79" t="s">
        <v>428</v>
      </c>
      <c r="B52" s="100" t="s">
        <v>75</v>
      </c>
      <c r="C52" s="101" t="s">
        <v>79</v>
      </c>
      <c r="D52" s="53">
        <v>4940</v>
      </c>
      <c r="E52" s="53">
        <v>4630</v>
      </c>
      <c r="F52" s="53">
        <v>0</v>
      </c>
    </row>
    <row r="53" spans="1:6" x14ac:dyDescent="0.15">
      <c r="A53" s="79" t="s">
        <v>428</v>
      </c>
      <c r="B53" s="100" t="s">
        <v>75</v>
      </c>
      <c r="C53" s="101" t="s">
        <v>80</v>
      </c>
      <c r="D53" s="53">
        <v>22190.44</v>
      </c>
      <c r="E53" s="53">
        <v>20682.439999999999</v>
      </c>
      <c r="F53" s="53">
        <v>0</v>
      </c>
    </row>
    <row r="54" spans="1:6" x14ac:dyDescent="0.15">
      <c r="A54" s="91" t="s">
        <v>428</v>
      </c>
      <c r="B54" s="151" t="s">
        <v>75</v>
      </c>
      <c r="C54" s="151" t="s">
        <v>431</v>
      </c>
      <c r="D54" s="95">
        <v>560</v>
      </c>
      <c r="E54" s="95">
        <v>250</v>
      </c>
      <c r="F54" s="95">
        <v>0</v>
      </c>
    </row>
    <row r="55" spans="1:6" x14ac:dyDescent="0.15">
      <c r="A55" s="79" t="s">
        <v>428</v>
      </c>
      <c r="B55" s="100" t="s">
        <v>75</v>
      </c>
      <c r="C55" s="101" t="s">
        <v>432</v>
      </c>
      <c r="D55" s="53">
        <v>600</v>
      </c>
      <c r="E55" s="53">
        <v>600</v>
      </c>
      <c r="F55" s="53">
        <v>0</v>
      </c>
    </row>
    <row r="56" spans="1:6" x14ac:dyDescent="0.15">
      <c r="A56" s="79" t="s">
        <v>428</v>
      </c>
      <c r="B56" s="100" t="s">
        <v>75</v>
      </c>
      <c r="C56" s="88" t="s">
        <v>698</v>
      </c>
      <c r="D56" s="53">
        <v>10088</v>
      </c>
      <c r="E56" s="53">
        <v>10088</v>
      </c>
      <c r="F56" s="53">
        <v>0</v>
      </c>
    </row>
    <row r="57" spans="1:6" x14ac:dyDescent="0.15">
      <c r="A57" s="79" t="s">
        <v>428</v>
      </c>
      <c r="B57" s="102" t="s">
        <v>81</v>
      </c>
      <c r="C57" s="104" t="s">
        <v>83</v>
      </c>
      <c r="D57" s="53">
        <v>48088.9</v>
      </c>
      <c r="E57" s="53">
        <v>45888.9</v>
      </c>
      <c r="F57" s="53">
        <v>1000</v>
      </c>
    </row>
    <row r="58" spans="1:6" x14ac:dyDescent="0.15">
      <c r="A58" s="79" t="s">
        <v>428</v>
      </c>
      <c r="B58" s="102" t="s">
        <v>81</v>
      </c>
      <c r="C58" s="101" t="s">
        <v>84</v>
      </c>
      <c r="D58" s="53">
        <v>16834</v>
      </c>
      <c r="E58" s="53">
        <v>15746</v>
      </c>
      <c r="F58" s="53">
        <v>0</v>
      </c>
    </row>
    <row r="59" spans="1:6" x14ac:dyDescent="0.15">
      <c r="A59" s="79" t="s">
        <v>428</v>
      </c>
      <c r="B59" s="102" t="s">
        <v>81</v>
      </c>
      <c r="C59" s="82" t="s">
        <v>85</v>
      </c>
      <c r="D59" s="53">
        <v>4502</v>
      </c>
      <c r="E59" s="53">
        <v>4502</v>
      </c>
      <c r="F59" s="53">
        <v>0</v>
      </c>
    </row>
    <row r="60" spans="1:6" x14ac:dyDescent="0.15">
      <c r="A60" s="79" t="s">
        <v>428</v>
      </c>
      <c r="B60" s="102" t="s">
        <v>81</v>
      </c>
      <c r="C60" s="82" t="s">
        <v>36</v>
      </c>
      <c r="D60" s="53">
        <v>0</v>
      </c>
      <c r="E60" s="53">
        <v>0</v>
      </c>
      <c r="F60" s="53">
        <v>0</v>
      </c>
    </row>
    <row r="61" spans="1:6" x14ac:dyDescent="0.15">
      <c r="A61" s="79" t="s">
        <v>428</v>
      </c>
      <c r="B61" s="102" t="s">
        <v>81</v>
      </c>
      <c r="C61" s="101" t="s">
        <v>87</v>
      </c>
      <c r="D61" s="53">
        <v>45081</v>
      </c>
      <c r="E61" s="53">
        <v>27701</v>
      </c>
      <c r="F61" s="53">
        <v>17180</v>
      </c>
    </row>
    <row r="62" spans="1:6" x14ac:dyDescent="0.15">
      <c r="A62" s="79" t="s">
        <v>428</v>
      </c>
      <c r="B62" s="102" t="s">
        <v>81</v>
      </c>
      <c r="C62" s="101" t="s">
        <v>88</v>
      </c>
      <c r="D62" s="53">
        <v>34917.1</v>
      </c>
      <c r="E62" s="53">
        <v>33141.1</v>
      </c>
      <c r="F62" s="53">
        <v>0</v>
      </c>
    </row>
    <row r="63" spans="1:6" x14ac:dyDescent="0.15">
      <c r="A63" s="79" t="s">
        <v>428</v>
      </c>
      <c r="B63" s="102" t="s">
        <v>81</v>
      </c>
      <c r="C63" s="101" t="s">
        <v>89</v>
      </c>
      <c r="D63" s="53">
        <v>11389</v>
      </c>
      <c r="E63" s="53">
        <v>10644</v>
      </c>
      <c r="F63" s="53">
        <v>0</v>
      </c>
    </row>
    <row r="64" spans="1:6" x14ac:dyDescent="0.15">
      <c r="A64" s="79" t="s">
        <v>428</v>
      </c>
      <c r="B64" s="102" t="s">
        <v>81</v>
      </c>
      <c r="C64" s="82" t="s">
        <v>36</v>
      </c>
      <c r="D64" s="53">
        <v>0</v>
      </c>
      <c r="E64" s="53">
        <v>0</v>
      </c>
      <c r="F64" s="53">
        <v>0</v>
      </c>
    </row>
    <row r="65" spans="1:6" x14ac:dyDescent="0.15">
      <c r="A65" s="79" t="s">
        <v>428</v>
      </c>
      <c r="B65" s="102" t="s">
        <v>81</v>
      </c>
      <c r="C65" s="88" t="s">
        <v>699</v>
      </c>
      <c r="D65" s="53">
        <v>0</v>
      </c>
      <c r="E65" s="53">
        <v>0</v>
      </c>
      <c r="F65" s="53">
        <v>0</v>
      </c>
    </row>
    <row r="66" spans="1:6" x14ac:dyDescent="0.15">
      <c r="A66" s="79" t="s">
        <v>428</v>
      </c>
      <c r="B66" s="80" t="s">
        <v>90</v>
      </c>
      <c r="C66" s="82" t="s">
        <v>91</v>
      </c>
      <c r="D66" s="53">
        <v>20697.650000000001</v>
      </c>
      <c r="E66" s="53">
        <v>4785.25</v>
      </c>
      <c r="F66" s="53">
        <v>15912.4</v>
      </c>
    </row>
    <row r="67" spans="1:6" x14ac:dyDescent="0.15">
      <c r="A67" s="79" t="s">
        <v>428</v>
      </c>
      <c r="B67" s="80" t="s">
        <v>90</v>
      </c>
      <c r="C67" s="82" t="s">
        <v>92</v>
      </c>
      <c r="D67" s="53">
        <v>34659.15</v>
      </c>
      <c r="E67" s="53">
        <v>11154.25</v>
      </c>
      <c r="F67" s="53">
        <v>22504.9</v>
      </c>
    </row>
    <row r="68" spans="1:6" x14ac:dyDescent="0.15">
      <c r="A68" s="79" t="s">
        <v>428</v>
      </c>
      <c r="B68" s="80" t="s">
        <v>90</v>
      </c>
      <c r="C68" s="82" t="s">
        <v>433</v>
      </c>
      <c r="D68" s="53">
        <v>9372.5</v>
      </c>
      <c r="E68" s="53">
        <v>7590</v>
      </c>
      <c r="F68" s="53">
        <v>1782.5</v>
      </c>
    </row>
    <row r="69" spans="1:6" x14ac:dyDescent="0.15">
      <c r="A69" s="79" t="s">
        <v>428</v>
      </c>
      <c r="B69" s="80" t="s">
        <v>90</v>
      </c>
      <c r="C69" s="82" t="s">
        <v>36</v>
      </c>
      <c r="D69" s="53">
        <v>0</v>
      </c>
      <c r="E69" s="53">
        <v>0</v>
      </c>
      <c r="F69" s="53">
        <v>0</v>
      </c>
    </row>
    <row r="70" spans="1:6" x14ac:dyDescent="0.15">
      <c r="A70" s="79" t="s">
        <v>428</v>
      </c>
      <c r="B70" s="80" t="s">
        <v>90</v>
      </c>
      <c r="C70" s="82" t="s">
        <v>94</v>
      </c>
      <c r="D70" s="53">
        <v>33524</v>
      </c>
      <c r="E70" s="53">
        <v>6188</v>
      </c>
      <c r="F70" s="53">
        <v>27336</v>
      </c>
    </row>
    <row r="71" spans="1:6" x14ac:dyDescent="0.15">
      <c r="A71" s="79" t="s">
        <v>428</v>
      </c>
      <c r="B71" s="80" t="s">
        <v>90</v>
      </c>
      <c r="C71" s="82" t="s">
        <v>95</v>
      </c>
      <c r="D71" s="53">
        <v>22707.200000000001</v>
      </c>
      <c r="E71" s="53">
        <v>5727</v>
      </c>
      <c r="F71" s="53">
        <v>15472.2</v>
      </c>
    </row>
    <row r="72" spans="1:6" x14ac:dyDescent="0.15">
      <c r="A72" s="79" t="s">
        <v>428</v>
      </c>
      <c r="B72" s="80" t="s">
        <v>90</v>
      </c>
      <c r="C72" s="82" t="s">
        <v>36</v>
      </c>
      <c r="D72" s="53">
        <v>0</v>
      </c>
      <c r="E72" s="53">
        <v>0</v>
      </c>
      <c r="F72" s="53">
        <v>0</v>
      </c>
    </row>
    <row r="73" spans="1:6" x14ac:dyDescent="0.15">
      <c r="A73" s="79" t="s">
        <v>428</v>
      </c>
      <c r="B73" s="80" t="s">
        <v>90</v>
      </c>
      <c r="C73" s="88" t="s">
        <v>700</v>
      </c>
      <c r="D73" s="53">
        <v>-10.9</v>
      </c>
      <c r="E73" s="53">
        <v>-10.9</v>
      </c>
      <c r="F73" s="53">
        <v>0</v>
      </c>
    </row>
    <row r="74" spans="1:6" x14ac:dyDescent="0.15">
      <c r="A74" s="79" t="s">
        <v>428</v>
      </c>
      <c r="B74" s="98" t="s">
        <v>97</v>
      </c>
      <c r="C74" s="82" t="s">
        <v>98</v>
      </c>
      <c r="D74" s="53">
        <v>55870</v>
      </c>
      <c r="E74" s="53">
        <v>36070</v>
      </c>
      <c r="F74" s="53">
        <v>19800</v>
      </c>
    </row>
    <row r="75" spans="1:6" x14ac:dyDescent="0.15">
      <c r="A75" s="79" t="s">
        <v>428</v>
      </c>
      <c r="B75" s="98" t="s">
        <v>97</v>
      </c>
      <c r="C75" s="82" t="s">
        <v>101</v>
      </c>
      <c r="D75" s="53">
        <v>42964.33</v>
      </c>
      <c r="E75" s="53">
        <v>42964.33</v>
      </c>
      <c r="F75" s="53">
        <v>0</v>
      </c>
    </row>
    <row r="76" spans="1:6" x14ac:dyDescent="0.15">
      <c r="A76" s="79" t="s">
        <v>428</v>
      </c>
      <c r="B76" s="98" t="s">
        <v>97</v>
      </c>
      <c r="C76" s="82" t="s">
        <v>36</v>
      </c>
      <c r="D76" s="53">
        <v>0</v>
      </c>
      <c r="E76" s="53">
        <v>0</v>
      </c>
      <c r="F76" s="53">
        <v>0</v>
      </c>
    </row>
    <row r="77" spans="1:6" x14ac:dyDescent="0.15">
      <c r="A77" s="79" t="s">
        <v>428</v>
      </c>
      <c r="B77" s="98" t="s">
        <v>97</v>
      </c>
      <c r="C77" s="82" t="s">
        <v>99</v>
      </c>
      <c r="D77" s="53">
        <v>43252.5</v>
      </c>
      <c r="E77" s="53">
        <v>42364.5</v>
      </c>
      <c r="F77" s="53">
        <v>0</v>
      </c>
    </row>
    <row r="78" spans="1:6" x14ac:dyDescent="0.15">
      <c r="A78" s="79" t="s">
        <v>428</v>
      </c>
      <c r="B78" s="98" t="s">
        <v>97</v>
      </c>
      <c r="C78" s="82" t="s">
        <v>100</v>
      </c>
      <c r="D78" s="53">
        <v>6130.5</v>
      </c>
      <c r="E78" s="53">
        <v>6130.5</v>
      </c>
      <c r="F78" s="53">
        <v>0</v>
      </c>
    </row>
    <row r="79" spans="1:6" x14ac:dyDescent="0.15">
      <c r="A79" s="91" t="s">
        <v>428</v>
      </c>
      <c r="B79" s="105" t="s">
        <v>97</v>
      </c>
      <c r="C79" s="92" t="s">
        <v>362</v>
      </c>
      <c r="D79" s="53">
        <v>1814</v>
      </c>
      <c r="E79" s="95">
        <v>1814</v>
      </c>
      <c r="F79" s="95">
        <v>0</v>
      </c>
    </row>
    <row r="80" spans="1:6" x14ac:dyDescent="0.15">
      <c r="A80" s="79" t="s">
        <v>428</v>
      </c>
      <c r="B80" s="98" t="s">
        <v>97</v>
      </c>
      <c r="C80" s="90" t="s">
        <v>36</v>
      </c>
      <c r="D80" s="53">
        <v>0</v>
      </c>
      <c r="E80" s="53">
        <v>0</v>
      </c>
      <c r="F80" s="53">
        <v>0</v>
      </c>
    </row>
    <row r="81" spans="1:6" x14ac:dyDescent="0.15">
      <c r="A81" s="79" t="s">
        <v>428</v>
      </c>
      <c r="B81" s="80" t="s">
        <v>97</v>
      </c>
      <c r="C81" s="88" t="s">
        <v>701</v>
      </c>
      <c r="D81" s="53">
        <v>0</v>
      </c>
      <c r="E81" s="53">
        <v>0</v>
      </c>
      <c r="F81" s="53">
        <v>0</v>
      </c>
    </row>
    <row r="82" spans="1:6" x14ac:dyDescent="0.15">
      <c r="A82" s="79" t="s">
        <v>428</v>
      </c>
      <c r="B82" s="80" t="s">
        <v>102</v>
      </c>
      <c r="C82" s="82" t="s">
        <v>105</v>
      </c>
      <c r="D82" s="53">
        <v>33492</v>
      </c>
      <c r="E82" s="53">
        <v>32492</v>
      </c>
      <c r="F82" s="53">
        <v>1000</v>
      </c>
    </row>
    <row r="83" spans="1:6" x14ac:dyDescent="0.15">
      <c r="A83" s="79" t="s">
        <v>428</v>
      </c>
      <c r="B83" s="80" t="s">
        <v>102</v>
      </c>
      <c r="C83" s="82" t="s">
        <v>109</v>
      </c>
      <c r="D83" s="53">
        <v>17850.400000000001</v>
      </c>
      <c r="E83" s="53">
        <v>26250.400000000001</v>
      </c>
      <c r="F83" s="53">
        <v>-8400</v>
      </c>
    </row>
    <row r="84" spans="1:6" x14ac:dyDescent="0.15">
      <c r="A84" s="79" t="s">
        <v>428</v>
      </c>
      <c r="B84" s="80" t="s">
        <v>102</v>
      </c>
      <c r="C84" s="82" t="s">
        <v>111</v>
      </c>
      <c r="D84" s="53">
        <v>5070.2</v>
      </c>
      <c r="E84" s="53">
        <v>5070.2</v>
      </c>
      <c r="F84" s="53">
        <v>0</v>
      </c>
    </row>
    <row r="85" spans="1:6" x14ac:dyDescent="0.15">
      <c r="A85" s="79" t="s">
        <v>428</v>
      </c>
      <c r="B85" s="80" t="s">
        <v>102</v>
      </c>
      <c r="C85" s="82" t="s">
        <v>36</v>
      </c>
      <c r="D85" s="53">
        <v>0</v>
      </c>
      <c r="E85" s="53">
        <v>0</v>
      </c>
      <c r="F85" s="53">
        <v>0</v>
      </c>
    </row>
    <row r="86" spans="1:6" x14ac:dyDescent="0.15">
      <c r="A86" s="79" t="s">
        <v>428</v>
      </c>
      <c r="B86" s="80" t="s">
        <v>102</v>
      </c>
      <c r="C86" s="82" t="s">
        <v>108</v>
      </c>
      <c r="D86" s="53">
        <v>73048</v>
      </c>
      <c r="E86" s="53">
        <v>74548</v>
      </c>
      <c r="F86" s="53">
        <v>-1500</v>
      </c>
    </row>
    <row r="87" spans="1:6" x14ac:dyDescent="0.15">
      <c r="A87" s="79" t="s">
        <v>428</v>
      </c>
      <c r="B87" s="80" t="s">
        <v>102</v>
      </c>
      <c r="C87" s="82" t="s">
        <v>110</v>
      </c>
      <c r="D87" s="53">
        <v>18034.400000000001</v>
      </c>
      <c r="E87" s="53">
        <v>21535.4</v>
      </c>
      <c r="F87" s="53">
        <v>-3501</v>
      </c>
    </row>
    <row r="88" spans="1:6" x14ac:dyDescent="0.15">
      <c r="A88" s="79" t="s">
        <v>428</v>
      </c>
      <c r="B88" s="80" t="s">
        <v>102</v>
      </c>
      <c r="C88" s="90" t="s">
        <v>106</v>
      </c>
      <c r="D88" s="53">
        <v>11138</v>
      </c>
      <c r="E88" s="53">
        <v>12638</v>
      </c>
      <c r="F88" s="53">
        <v>-1500</v>
      </c>
    </row>
    <row r="89" spans="1:6" x14ac:dyDescent="0.15">
      <c r="A89" s="79" t="s">
        <v>428</v>
      </c>
      <c r="B89" s="80" t="s">
        <v>102</v>
      </c>
      <c r="C89" s="82" t="s">
        <v>36</v>
      </c>
      <c r="D89" s="53">
        <v>0</v>
      </c>
      <c r="E89" s="53">
        <v>0</v>
      </c>
      <c r="F89" s="53">
        <v>0</v>
      </c>
    </row>
    <row r="90" spans="1:6" x14ac:dyDescent="0.15">
      <c r="A90" s="79" t="s">
        <v>428</v>
      </c>
      <c r="B90" s="80" t="s">
        <v>102</v>
      </c>
      <c r="C90" s="88" t="s">
        <v>702</v>
      </c>
      <c r="D90" s="53">
        <v>0</v>
      </c>
      <c r="E90" s="53">
        <v>0</v>
      </c>
      <c r="F90" s="53">
        <v>0</v>
      </c>
    </row>
    <row r="91" spans="1:6" x14ac:dyDescent="0.15">
      <c r="A91" s="79" t="s">
        <v>428</v>
      </c>
      <c r="B91" s="80" t="s">
        <v>112</v>
      </c>
      <c r="C91" s="82" t="s">
        <v>114</v>
      </c>
      <c r="D91" s="53">
        <v>56309.2</v>
      </c>
      <c r="E91" s="53">
        <v>56309.2</v>
      </c>
      <c r="F91" s="53">
        <v>0</v>
      </c>
    </row>
    <row r="92" spans="1:6" x14ac:dyDescent="0.15">
      <c r="A92" s="79" t="s">
        <v>428</v>
      </c>
      <c r="B92" s="80" t="s">
        <v>112</v>
      </c>
      <c r="C92" s="82" t="s">
        <v>115</v>
      </c>
      <c r="D92" s="53">
        <v>15401.8</v>
      </c>
      <c r="E92" s="53">
        <v>15401.8</v>
      </c>
      <c r="F92" s="53">
        <v>0</v>
      </c>
    </row>
    <row r="93" spans="1:6" x14ac:dyDescent="0.15">
      <c r="A93" s="79" t="s">
        <v>428</v>
      </c>
      <c r="B93" s="80" t="s">
        <v>112</v>
      </c>
      <c r="C93" s="82" t="s">
        <v>36</v>
      </c>
      <c r="D93" s="53">
        <v>0</v>
      </c>
      <c r="E93" s="53">
        <v>0</v>
      </c>
      <c r="F93" s="53">
        <v>0</v>
      </c>
    </row>
    <row r="94" spans="1:6" x14ac:dyDescent="0.15">
      <c r="A94" s="79" t="s">
        <v>428</v>
      </c>
      <c r="B94" s="80" t="s">
        <v>112</v>
      </c>
      <c r="C94" s="82" t="s">
        <v>117</v>
      </c>
      <c r="D94" s="53">
        <v>31830.2</v>
      </c>
      <c r="E94" s="53">
        <v>31830.2</v>
      </c>
      <c r="F94" s="53">
        <v>0</v>
      </c>
    </row>
    <row r="95" spans="1:6" x14ac:dyDescent="0.15">
      <c r="A95" s="79" t="s">
        <v>428</v>
      </c>
      <c r="B95" s="80" t="s">
        <v>112</v>
      </c>
      <c r="C95" s="82" t="s">
        <v>118</v>
      </c>
      <c r="D95" s="53">
        <v>65622.8</v>
      </c>
      <c r="E95" s="53">
        <v>64622.8</v>
      </c>
      <c r="F95" s="53">
        <v>0</v>
      </c>
    </row>
    <row r="96" spans="1:6" x14ac:dyDescent="0.15">
      <c r="A96" s="79" t="s">
        <v>428</v>
      </c>
      <c r="B96" s="80" t="s">
        <v>112</v>
      </c>
      <c r="C96" s="90" t="s">
        <v>119</v>
      </c>
      <c r="D96" s="53">
        <v>10860</v>
      </c>
      <c r="E96" s="53">
        <v>10860</v>
      </c>
      <c r="F96" s="53">
        <v>0</v>
      </c>
    </row>
    <row r="97" spans="1:6" x14ac:dyDescent="0.15">
      <c r="A97" s="79" t="s">
        <v>428</v>
      </c>
      <c r="B97" s="80" t="s">
        <v>112</v>
      </c>
      <c r="C97" s="104" t="s">
        <v>36</v>
      </c>
      <c r="D97" s="53">
        <v>0</v>
      </c>
      <c r="E97" s="53">
        <v>0</v>
      </c>
      <c r="F97" s="53">
        <v>0</v>
      </c>
    </row>
    <row r="98" spans="1:6" x14ac:dyDescent="0.15">
      <c r="A98" s="79" t="s">
        <v>428</v>
      </c>
      <c r="B98" s="80" t="s">
        <v>112</v>
      </c>
      <c r="C98" s="88" t="s">
        <v>703</v>
      </c>
      <c r="D98" s="53">
        <v>0</v>
      </c>
      <c r="E98" s="53">
        <v>0</v>
      </c>
      <c r="F98" s="53">
        <v>0</v>
      </c>
    </row>
    <row r="99" spans="1:6" x14ac:dyDescent="0.15">
      <c r="A99" s="79" t="s">
        <v>428</v>
      </c>
      <c r="B99" s="80" t="s">
        <v>120</v>
      </c>
      <c r="C99" s="104" t="s">
        <v>122</v>
      </c>
      <c r="D99" s="53">
        <v>30846.699999999997</v>
      </c>
      <c r="E99" s="53">
        <v>34046.699999999997</v>
      </c>
      <c r="F99" s="53">
        <v>-3200</v>
      </c>
    </row>
    <row r="100" spans="1:6" x14ac:dyDescent="0.15">
      <c r="A100" s="79" t="s">
        <v>428</v>
      </c>
      <c r="B100" s="80" t="s">
        <v>120</v>
      </c>
      <c r="C100" s="82" t="s">
        <v>123</v>
      </c>
      <c r="D100" s="53">
        <v>26402</v>
      </c>
      <c r="E100" s="53">
        <v>26402</v>
      </c>
      <c r="F100" s="53">
        <v>0</v>
      </c>
    </row>
    <row r="101" spans="1:6" x14ac:dyDescent="0.15">
      <c r="A101" s="79" t="s">
        <v>428</v>
      </c>
      <c r="B101" s="80" t="s">
        <v>120</v>
      </c>
      <c r="C101" s="82" t="s">
        <v>124</v>
      </c>
      <c r="D101" s="53">
        <v>4918</v>
      </c>
      <c r="E101" s="53">
        <v>4918</v>
      </c>
      <c r="F101" s="53">
        <v>0</v>
      </c>
    </row>
    <row r="102" spans="1:6" x14ac:dyDescent="0.15">
      <c r="A102" s="79" t="s">
        <v>428</v>
      </c>
      <c r="B102" s="80" t="s">
        <v>120</v>
      </c>
      <c r="C102" s="82" t="s">
        <v>36</v>
      </c>
      <c r="D102" s="53">
        <v>0</v>
      </c>
      <c r="E102" s="53">
        <v>0</v>
      </c>
      <c r="F102" s="53">
        <v>0</v>
      </c>
    </row>
    <row r="103" spans="1:6" x14ac:dyDescent="0.15">
      <c r="A103" s="79" t="s">
        <v>428</v>
      </c>
      <c r="B103" s="80" t="s">
        <v>120</v>
      </c>
      <c r="C103" s="82" t="s">
        <v>126</v>
      </c>
      <c r="D103" s="53">
        <v>41947.8</v>
      </c>
      <c r="E103" s="53">
        <v>41947.8</v>
      </c>
      <c r="F103" s="53">
        <v>0</v>
      </c>
    </row>
    <row r="104" spans="1:6" x14ac:dyDescent="0.15">
      <c r="A104" s="79" t="s">
        <v>428</v>
      </c>
      <c r="B104" s="80" t="s">
        <v>120</v>
      </c>
      <c r="C104" s="82" t="s">
        <v>127</v>
      </c>
      <c r="D104" s="53">
        <v>43731</v>
      </c>
      <c r="E104" s="53">
        <v>43731</v>
      </c>
      <c r="F104" s="53">
        <v>0</v>
      </c>
    </row>
    <row r="105" spans="1:6" x14ac:dyDescent="0.15">
      <c r="A105" s="79" t="s">
        <v>428</v>
      </c>
      <c r="B105" s="80" t="s">
        <v>120</v>
      </c>
      <c r="C105" s="90" t="s">
        <v>128</v>
      </c>
      <c r="D105" s="53">
        <v>4575.5</v>
      </c>
      <c r="E105" s="53">
        <v>4575.5</v>
      </c>
      <c r="F105" s="53">
        <v>0</v>
      </c>
    </row>
    <row r="106" spans="1:6" x14ac:dyDescent="0.15">
      <c r="A106" s="79" t="s">
        <v>428</v>
      </c>
      <c r="B106" s="80" t="s">
        <v>120</v>
      </c>
      <c r="C106" s="82" t="s">
        <v>36</v>
      </c>
      <c r="D106" s="53">
        <v>0</v>
      </c>
      <c r="E106" s="53">
        <v>0</v>
      </c>
      <c r="F106" s="53">
        <v>0</v>
      </c>
    </row>
    <row r="107" spans="1:6" x14ac:dyDescent="0.15">
      <c r="A107" s="79" t="s">
        <v>428</v>
      </c>
      <c r="B107" s="80" t="s">
        <v>120</v>
      </c>
      <c r="C107" s="88" t="s">
        <v>704</v>
      </c>
      <c r="D107" s="53">
        <v>0</v>
      </c>
      <c r="E107" s="53">
        <v>0</v>
      </c>
      <c r="F107" s="53">
        <v>0</v>
      </c>
    </row>
    <row r="108" spans="1:6" x14ac:dyDescent="0.15">
      <c r="A108" s="79" t="s">
        <v>428</v>
      </c>
      <c r="B108" s="80" t="s">
        <v>129</v>
      </c>
      <c r="C108" s="106" t="s">
        <v>131</v>
      </c>
      <c r="D108" s="53">
        <v>50807.6</v>
      </c>
      <c r="E108" s="53">
        <v>41007.599999999999</v>
      </c>
      <c r="F108" s="53">
        <v>9800</v>
      </c>
    </row>
    <row r="109" spans="1:6" x14ac:dyDescent="0.15">
      <c r="A109" s="79" t="s">
        <v>428</v>
      </c>
      <c r="B109" s="80" t="s">
        <v>129</v>
      </c>
      <c r="C109" s="82" t="s">
        <v>132</v>
      </c>
      <c r="D109" s="53">
        <v>2281.5</v>
      </c>
      <c r="E109" s="53">
        <v>2281.5</v>
      </c>
      <c r="F109" s="53">
        <v>0</v>
      </c>
    </row>
    <row r="110" spans="1:6" x14ac:dyDescent="0.15">
      <c r="A110" s="79" t="s">
        <v>428</v>
      </c>
      <c r="B110" s="80" t="s">
        <v>129</v>
      </c>
      <c r="C110" s="82" t="s">
        <v>133</v>
      </c>
      <c r="D110" s="53">
        <v>39025.1</v>
      </c>
      <c r="E110" s="53">
        <v>39025.1</v>
      </c>
      <c r="F110" s="53">
        <v>0</v>
      </c>
    </row>
    <row r="111" spans="1:6" x14ac:dyDescent="0.15">
      <c r="A111" s="79" t="s">
        <v>428</v>
      </c>
      <c r="B111" s="80" t="s">
        <v>129</v>
      </c>
      <c r="C111" s="82" t="s">
        <v>36</v>
      </c>
      <c r="D111" s="53">
        <v>0</v>
      </c>
      <c r="E111" s="53">
        <v>0</v>
      </c>
      <c r="F111" s="53">
        <v>0</v>
      </c>
    </row>
    <row r="112" spans="1:6" x14ac:dyDescent="0.15">
      <c r="A112" s="79" t="s">
        <v>428</v>
      </c>
      <c r="B112" s="80" t="s">
        <v>129</v>
      </c>
      <c r="C112" s="82" t="s">
        <v>134</v>
      </c>
      <c r="D112" s="53">
        <v>19676.599999999999</v>
      </c>
      <c r="E112" s="53">
        <v>19676.599999999999</v>
      </c>
      <c r="F112" s="53">
        <v>0</v>
      </c>
    </row>
    <row r="113" spans="1:6" x14ac:dyDescent="0.15">
      <c r="A113" s="79" t="s">
        <v>428</v>
      </c>
      <c r="B113" s="80" t="s">
        <v>129</v>
      </c>
      <c r="C113" s="82" t="s">
        <v>135</v>
      </c>
      <c r="D113" s="53">
        <v>40653.199999999997</v>
      </c>
      <c r="E113" s="53">
        <v>40653.199999999997</v>
      </c>
      <c r="F113" s="53">
        <v>0</v>
      </c>
    </row>
    <row r="114" spans="1:6" x14ac:dyDescent="0.15">
      <c r="A114" s="79" t="s">
        <v>428</v>
      </c>
      <c r="B114" s="80" t="s">
        <v>129</v>
      </c>
      <c r="C114" s="90" t="s">
        <v>36</v>
      </c>
      <c r="D114" s="53">
        <v>0</v>
      </c>
      <c r="E114" s="53">
        <v>0</v>
      </c>
      <c r="F114" s="53">
        <v>0</v>
      </c>
    </row>
    <row r="115" spans="1:6" x14ac:dyDescent="0.15">
      <c r="A115" s="79" t="s">
        <v>428</v>
      </c>
      <c r="B115" s="80" t="s">
        <v>129</v>
      </c>
      <c r="C115" s="88" t="s">
        <v>705</v>
      </c>
      <c r="D115" s="53">
        <v>-1750</v>
      </c>
      <c r="E115" s="53">
        <v>-1750</v>
      </c>
      <c r="F115" s="53">
        <v>0</v>
      </c>
    </row>
    <row r="116" spans="1:6" x14ac:dyDescent="0.15">
      <c r="A116" s="79" t="s">
        <v>428</v>
      </c>
      <c r="B116" s="80" t="s">
        <v>136</v>
      </c>
      <c r="C116" s="82" t="s">
        <v>138</v>
      </c>
      <c r="D116" s="53">
        <v>70139.600000000006</v>
      </c>
      <c r="E116" s="53">
        <v>43069.599999999999</v>
      </c>
      <c r="F116" s="53">
        <v>27070</v>
      </c>
    </row>
    <row r="117" spans="1:6" x14ac:dyDescent="0.15">
      <c r="A117" s="79" t="s">
        <v>428</v>
      </c>
      <c r="B117" s="80" t="s">
        <v>136</v>
      </c>
      <c r="C117" s="82" t="s">
        <v>139</v>
      </c>
      <c r="D117" s="53">
        <v>36194.800000000003</v>
      </c>
      <c r="E117" s="53">
        <v>24470.799999999999</v>
      </c>
      <c r="F117" s="53">
        <v>11280</v>
      </c>
    </row>
    <row r="118" spans="1:6" x14ac:dyDescent="0.15">
      <c r="A118" s="79" t="s">
        <v>428</v>
      </c>
      <c r="B118" s="80" t="s">
        <v>136</v>
      </c>
      <c r="C118" s="107" t="s">
        <v>36</v>
      </c>
      <c r="D118" s="53">
        <v>0</v>
      </c>
      <c r="E118" s="53">
        <v>0</v>
      </c>
      <c r="F118" s="53">
        <v>0</v>
      </c>
    </row>
    <row r="119" spans="1:6" x14ac:dyDescent="0.15">
      <c r="A119" s="79" t="s">
        <v>428</v>
      </c>
      <c r="B119" s="80" t="s">
        <v>136</v>
      </c>
      <c r="C119" s="107" t="s">
        <v>141</v>
      </c>
      <c r="D119" s="53">
        <v>52700.6</v>
      </c>
      <c r="E119" s="53">
        <v>26300.6</v>
      </c>
      <c r="F119" s="53">
        <v>26400</v>
      </c>
    </row>
    <row r="120" spans="1:6" x14ac:dyDescent="0.15">
      <c r="A120" s="79" t="s">
        <v>428</v>
      </c>
      <c r="B120" s="80" t="s">
        <v>136</v>
      </c>
      <c r="C120" s="107" t="s">
        <v>142</v>
      </c>
      <c r="D120" s="53">
        <v>0</v>
      </c>
      <c r="E120" s="53">
        <v>0</v>
      </c>
      <c r="F120" s="53">
        <v>0</v>
      </c>
    </row>
    <row r="121" spans="1:6" x14ac:dyDescent="0.15">
      <c r="A121" s="79" t="s">
        <v>428</v>
      </c>
      <c r="B121" s="80" t="s">
        <v>136</v>
      </c>
      <c r="C121" s="82" t="s">
        <v>143</v>
      </c>
      <c r="D121" s="53">
        <v>9281</v>
      </c>
      <c r="E121" s="53">
        <v>8381</v>
      </c>
      <c r="F121" s="53">
        <v>900</v>
      </c>
    </row>
    <row r="122" spans="1:6" x14ac:dyDescent="0.15">
      <c r="A122" s="79" t="s">
        <v>428</v>
      </c>
      <c r="B122" s="80" t="s">
        <v>136</v>
      </c>
      <c r="C122" s="107" t="s">
        <v>36</v>
      </c>
      <c r="D122" s="53">
        <v>0</v>
      </c>
      <c r="E122" s="53">
        <v>0</v>
      </c>
      <c r="F122" s="53">
        <v>0</v>
      </c>
    </row>
    <row r="123" spans="1:6" x14ac:dyDescent="0.15">
      <c r="A123" s="79" t="s">
        <v>428</v>
      </c>
      <c r="B123" s="80" t="s">
        <v>136</v>
      </c>
      <c r="C123" s="90" t="s">
        <v>144</v>
      </c>
      <c r="D123" s="53">
        <v>1316</v>
      </c>
      <c r="E123" s="53">
        <v>872</v>
      </c>
      <c r="F123" s="53">
        <v>0</v>
      </c>
    </row>
    <row r="124" spans="1:6" x14ac:dyDescent="0.15">
      <c r="A124" s="79" t="s">
        <v>428</v>
      </c>
      <c r="B124" s="80" t="s">
        <v>136</v>
      </c>
      <c r="C124" s="88" t="s">
        <v>706</v>
      </c>
      <c r="D124" s="53">
        <v>0</v>
      </c>
      <c r="E124" s="53">
        <v>0</v>
      </c>
      <c r="F124" s="53">
        <v>0</v>
      </c>
    </row>
    <row r="125" spans="1:6" x14ac:dyDescent="0.15">
      <c r="A125" s="79" t="s">
        <v>428</v>
      </c>
      <c r="B125" s="80" t="s">
        <v>145</v>
      </c>
      <c r="C125" s="82" t="s">
        <v>147</v>
      </c>
      <c r="D125" s="53">
        <v>45903.8</v>
      </c>
      <c r="E125" s="53">
        <v>31275.8</v>
      </c>
      <c r="F125" s="53">
        <v>12852</v>
      </c>
    </row>
    <row r="126" spans="1:6" x14ac:dyDescent="0.15">
      <c r="A126" s="79" t="s">
        <v>428</v>
      </c>
      <c r="B126" s="80" t="s">
        <v>145</v>
      </c>
      <c r="C126" s="82" t="s">
        <v>148</v>
      </c>
      <c r="D126" s="53">
        <v>16219.6</v>
      </c>
      <c r="E126" s="53">
        <v>16219.6</v>
      </c>
      <c r="F126" s="53">
        <v>0</v>
      </c>
    </row>
    <row r="127" spans="1:6" x14ac:dyDescent="0.15">
      <c r="A127" s="79" t="s">
        <v>428</v>
      </c>
      <c r="B127" s="80" t="s">
        <v>145</v>
      </c>
      <c r="C127" s="82" t="s">
        <v>36</v>
      </c>
      <c r="D127" s="53">
        <v>0</v>
      </c>
      <c r="E127" s="53">
        <v>0</v>
      </c>
      <c r="F127" s="53">
        <v>0</v>
      </c>
    </row>
    <row r="128" spans="1:6" x14ac:dyDescent="0.15">
      <c r="A128" s="79" t="s">
        <v>428</v>
      </c>
      <c r="B128" s="80" t="s">
        <v>145</v>
      </c>
      <c r="C128" s="82" t="s">
        <v>150</v>
      </c>
      <c r="D128" s="53">
        <v>60066.400000000001</v>
      </c>
      <c r="E128" s="53">
        <v>55290.400000000001</v>
      </c>
      <c r="F128" s="53">
        <v>4776</v>
      </c>
    </row>
    <row r="129" spans="1:6" x14ac:dyDescent="0.15">
      <c r="A129" s="79" t="s">
        <v>428</v>
      </c>
      <c r="B129" s="80" t="s">
        <v>145</v>
      </c>
      <c r="C129" s="82" t="s">
        <v>151</v>
      </c>
      <c r="D129" s="53">
        <v>25588.6</v>
      </c>
      <c r="E129" s="53">
        <v>24856.6</v>
      </c>
      <c r="F129" s="53">
        <v>732</v>
      </c>
    </row>
    <row r="130" spans="1:6" x14ac:dyDescent="0.15">
      <c r="A130" s="79" t="s">
        <v>428</v>
      </c>
      <c r="B130" s="80" t="s">
        <v>145</v>
      </c>
      <c r="C130" s="82" t="s">
        <v>152</v>
      </c>
      <c r="D130" s="53">
        <v>2643.6</v>
      </c>
      <c r="E130" s="53">
        <v>2643.6</v>
      </c>
      <c r="F130" s="53">
        <v>0</v>
      </c>
    </row>
    <row r="131" spans="1:6" x14ac:dyDescent="0.15">
      <c r="A131" s="79" t="s">
        <v>428</v>
      </c>
      <c r="B131" s="80" t="s">
        <v>145</v>
      </c>
      <c r="C131" s="90" t="s">
        <v>36</v>
      </c>
      <c r="D131" s="53">
        <v>0</v>
      </c>
      <c r="E131" s="53">
        <v>0</v>
      </c>
      <c r="F131" s="53">
        <v>0</v>
      </c>
    </row>
    <row r="132" spans="1:6" x14ac:dyDescent="0.15">
      <c r="A132" s="79" t="s">
        <v>428</v>
      </c>
      <c r="B132" s="80" t="s">
        <v>145</v>
      </c>
      <c r="C132" s="88" t="s">
        <v>707</v>
      </c>
      <c r="D132" s="53">
        <v>0</v>
      </c>
      <c r="E132" s="53">
        <v>0</v>
      </c>
      <c r="F132" s="53">
        <v>0</v>
      </c>
    </row>
    <row r="133" spans="1:6" x14ac:dyDescent="0.15">
      <c r="A133" s="79" t="s">
        <v>428</v>
      </c>
      <c r="B133" s="80" t="s">
        <v>153</v>
      </c>
      <c r="C133" s="82" t="s">
        <v>154</v>
      </c>
      <c r="D133" s="53">
        <v>21112.799999999999</v>
      </c>
      <c r="E133" s="53">
        <v>21112.799999999999</v>
      </c>
      <c r="F133" s="53">
        <v>0</v>
      </c>
    </row>
    <row r="134" spans="1:6" x14ac:dyDescent="0.15">
      <c r="A134" s="79" t="s">
        <v>428</v>
      </c>
      <c r="B134" s="80" t="s">
        <v>153</v>
      </c>
      <c r="C134" s="82" t="s">
        <v>155</v>
      </c>
      <c r="D134" s="53">
        <v>3264</v>
      </c>
      <c r="E134" s="53">
        <v>3264</v>
      </c>
      <c r="F134" s="53">
        <v>0</v>
      </c>
    </row>
    <row r="135" spans="1:6" x14ac:dyDescent="0.15">
      <c r="A135" s="79" t="s">
        <v>428</v>
      </c>
      <c r="B135" s="80" t="s">
        <v>153</v>
      </c>
      <c r="C135" s="82" t="s">
        <v>156</v>
      </c>
      <c r="D135" s="53">
        <v>21786</v>
      </c>
      <c r="E135" s="53">
        <v>21166</v>
      </c>
      <c r="F135" s="53">
        <v>0</v>
      </c>
    </row>
    <row r="136" spans="1:6" x14ac:dyDescent="0.15">
      <c r="A136" s="79" t="s">
        <v>428</v>
      </c>
      <c r="B136" s="80" t="s">
        <v>153</v>
      </c>
      <c r="C136" s="82" t="s">
        <v>157</v>
      </c>
      <c r="D136" s="53">
        <v>4443.2</v>
      </c>
      <c r="E136" s="53">
        <v>4443.2</v>
      </c>
      <c r="F136" s="53">
        <v>0</v>
      </c>
    </row>
    <row r="137" spans="1:6" x14ac:dyDescent="0.15">
      <c r="A137" s="79" t="s">
        <v>428</v>
      </c>
      <c r="B137" s="80" t="s">
        <v>153</v>
      </c>
      <c r="C137" s="82" t="s">
        <v>158</v>
      </c>
      <c r="D137" s="53">
        <v>68697</v>
      </c>
      <c r="E137" s="53">
        <v>14997</v>
      </c>
      <c r="F137" s="53">
        <v>53700</v>
      </c>
    </row>
    <row r="138" spans="1:6" x14ac:dyDescent="0.15">
      <c r="A138" s="79" t="s">
        <v>428</v>
      </c>
      <c r="B138" s="80" t="s">
        <v>153</v>
      </c>
      <c r="C138" s="82" t="s">
        <v>159</v>
      </c>
      <c r="D138" s="53">
        <v>10079</v>
      </c>
      <c r="E138" s="53">
        <v>7079</v>
      </c>
      <c r="F138" s="53">
        <v>3000</v>
      </c>
    </row>
    <row r="139" spans="1:6" x14ac:dyDescent="0.15">
      <c r="A139" s="79" t="s">
        <v>428</v>
      </c>
      <c r="B139" s="80" t="s">
        <v>153</v>
      </c>
      <c r="C139" s="82" t="s">
        <v>160</v>
      </c>
      <c r="D139" s="53">
        <v>10295</v>
      </c>
      <c r="E139" s="53">
        <v>7427</v>
      </c>
      <c r="F139" s="53">
        <v>1980</v>
      </c>
    </row>
    <row r="140" spans="1:6" x14ac:dyDescent="0.15">
      <c r="A140" s="79" t="s">
        <v>428</v>
      </c>
      <c r="B140" s="80" t="s">
        <v>153</v>
      </c>
      <c r="C140" s="90" t="s">
        <v>161</v>
      </c>
      <c r="D140" s="53">
        <v>33613.599999999999</v>
      </c>
      <c r="E140" s="53">
        <v>12793.6</v>
      </c>
      <c r="F140" s="53">
        <v>20820</v>
      </c>
    </row>
    <row r="141" spans="1:6" x14ac:dyDescent="0.15">
      <c r="A141" s="79" t="s">
        <v>428</v>
      </c>
      <c r="B141" s="80" t="s">
        <v>153</v>
      </c>
      <c r="C141" s="88" t="s">
        <v>708</v>
      </c>
      <c r="D141" s="53">
        <v>0</v>
      </c>
      <c r="E141" s="53">
        <v>0</v>
      </c>
      <c r="F141" s="53">
        <v>0</v>
      </c>
    </row>
    <row r="142" spans="1:6" x14ac:dyDescent="0.15">
      <c r="A142" s="79" t="s">
        <v>428</v>
      </c>
      <c r="B142" s="80" t="s">
        <v>162</v>
      </c>
      <c r="C142" s="106" t="s">
        <v>164</v>
      </c>
      <c r="D142" s="53">
        <v>45278</v>
      </c>
      <c r="E142" s="53">
        <v>45278</v>
      </c>
      <c r="F142" s="53">
        <v>0</v>
      </c>
    </row>
    <row r="143" spans="1:6" x14ac:dyDescent="0.15">
      <c r="A143" s="79" t="s">
        <v>428</v>
      </c>
      <c r="B143" s="80" t="s">
        <v>162</v>
      </c>
      <c r="C143" s="82" t="s">
        <v>165</v>
      </c>
      <c r="D143" s="53">
        <v>9799</v>
      </c>
      <c r="E143" s="53">
        <v>9799</v>
      </c>
      <c r="F143" s="53">
        <v>0</v>
      </c>
    </row>
    <row r="144" spans="1:6" x14ac:dyDescent="0.15">
      <c r="A144" s="79" t="s">
        <v>428</v>
      </c>
      <c r="B144" s="80" t="s">
        <v>162</v>
      </c>
      <c r="C144" s="82" t="s">
        <v>36</v>
      </c>
      <c r="D144" s="53">
        <v>0</v>
      </c>
      <c r="E144" s="53">
        <v>0</v>
      </c>
      <c r="F144" s="53">
        <v>0</v>
      </c>
    </row>
    <row r="145" spans="1:6" x14ac:dyDescent="0.15">
      <c r="A145" s="79" t="s">
        <v>428</v>
      </c>
      <c r="B145" s="80" t="s">
        <v>162</v>
      </c>
      <c r="C145" s="82" t="s">
        <v>167</v>
      </c>
      <c r="D145" s="53">
        <v>46560</v>
      </c>
      <c r="E145" s="53">
        <v>45560</v>
      </c>
      <c r="F145" s="53">
        <v>1000</v>
      </c>
    </row>
    <row r="146" spans="1:6" x14ac:dyDescent="0.15">
      <c r="A146" s="79" t="s">
        <v>428</v>
      </c>
      <c r="B146" s="80" t="s">
        <v>162</v>
      </c>
      <c r="C146" s="90" t="s">
        <v>168</v>
      </c>
      <c r="D146" s="53">
        <v>33953</v>
      </c>
      <c r="E146" s="53">
        <v>24153</v>
      </c>
      <c r="F146" s="53">
        <v>9800</v>
      </c>
    </row>
    <row r="147" spans="1:6" x14ac:dyDescent="0.15">
      <c r="A147" s="79" t="s">
        <v>428</v>
      </c>
      <c r="B147" s="80" t="s">
        <v>162</v>
      </c>
      <c r="C147" s="82" t="s">
        <v>36</v>
      </c>
      <c r="D147" s="53">
        <v>0</v>
      </c>
      <c r="E147" s="53">
        <v>0</v>
      </c>
      <c r="F147" s="53">
        <v>0</v>
      </c>
    </row>
    <row r="148" spans="1:6" x14ac:dyDescent="0.15">
      <c r="A148" s="79" t="s">
        <v>428</v>
      </c>
      <c r="B148" s="80" t="s">
        <v>162</v>
      </c>
      <c r="C148" s="88" t="s">
        <v>709</v>
      </c>
      <c r="D148" s="53">
        <v>0</v>
      </c>
      <c r="E148" s="53">
        <v>0</v>
      </c>
      <c r="F148" s="53">
        <v>0</v>
      </c>
    </row>
    <row r="149" spans="1:6" x14ac:dyDescent="0.15">
      <c r="A149" s="79" t="s">
        <v>428</v>
      </c>
      <c r="B149" s="80" t="s">
        <v>169</v>
      </c>
      <c r="C149" s="90" t="s">
        <v>174</v>
      </c>
      <c r="D149" s="53">
        <v>68146</v>
      </c>
      <c r="E149" s="53">
        <v>52166</v>
      </c>
      <c r="F149" s="53">
        <v>15980</v>
      </c>
    </row>
    <row r="150" spans="1:6" x14ac:dyDescent="0.15">
      <c r="A150" s="79" t="s">
        <v>428</v>
      </c>
      <c r="B150" s="80" t="s">
        <v>169</v>
      </c>
      <c r="C150" s="82" t="s">
        <v>172</v>
      </c>
      <c r="D150" s="53">
        <v>32222</v>
      </c>
      <c r="E150" s="53">
        <v>25262</v>
      </c>
      <c r="F150" s="53">
        <v>6960</v>
      </c>
    </row>
    <row r="151" spans="1:6" x14ac:dyDescent="0.15">
      <c r="A151" s="79" t="s">
        <v>428</v>
      </c>
      <c r="B151" s="80" t="s">
        <v>169</v>
      </c>
      <c r="C151" s="82" t="s">
        <v>36</v>
      </c>
      <c r="D151" s="53">
        <v>0</v>
      </c>
      <c r="E151" s="53">
        <v>0</v>
      </c>
      <c r="F151" s="53">
        <v>0</v>
      </c>
    </row>
    <row r="152" spans="1:6" x14ac:dyDescent="0.15">
      <c r="A152" s="79" t="s">
        <v>428</v>
      </c>
      <c r="B152" s="80" t="s">
        <v>169</v>
      </c>
      <c r="C152" s="82" t="s">
        <v>176</v>
      </c>
      <c r="D152" s="53">
        <v>34282.400000000001</v>
      </c>
      <c r="E152" s="53">
        <v>34282.400000000001</v>
      </c>
      <c r="F152" s="53">
        <v>0</v>
      </c>
    </row>
    <row r="153" spans="1:6" x14ac:dyDescent="0.15">
      <c r="A153" s="79" t="s">
        <v>428</v>
      </c>
      <c r="B153" s="80" t="s">
        <v>169</v>
      </c>
      <c r="C153" s="90" t="s">
        <v>171</v>
      </c>
      <c r="D153" s="53">
        <v>57236.6</v>
      </c>
      <c r="E153" s="53">
        <v>56616.6</v>
      </c>
      <c r="F153" s="53">
        <v>0</v>
      </c>
    </row>
    <row r="154" spans="1:6" x14ac:dyDescent="0.15">
      <c r="A154" s="79" t="s">
        <v>428</v>
      </c>
      <c r="B154" s="80" t="s">
        <v>169</v>
      </c>
      <c r="C154" s="82" t="s">
        <v>175</v>
      </c>
      <c r="D154" s="53">
        <v>20796</v>
      </c>
      <c r="E154" s="53">
        <v>19076</v>
      </c>
      <c r="F154" s="53">
        <v>1720</v>
      </c>
    </row>
    <row r="155" spans="1:6" x14ac:dyDescent="0.15">
      <c r="A155" s="79" t="s">
        <v>428</v>
      </c>
      <c r="B155" s="80" t="s">
        <v>169</v>
      </c>
      <c r="C155" s="90" t="s">
        <v>36</v>
      </c>
      <c r="D155" s="53">
        <v>0</v>
      </c>
      <c r="E155" s="53">
        <v>0</v>
      </c>
      <c r="F155" s="53">
        <v>0</v>
      </c>
    </row>
    <row r="156" spans="1:6" x14ac:dyDescent="0.15">
      <c r="A156" s="79" t="s">
        <v>428</v>
      </c>
      <c r="B156" s="80" t="s">
        <v>169</v>
      </c>
      <c r="C156" s="82" t="s">
        <v>436</v>
      </c>
      <c r="D156" s="53">
        <v>0</v>
      </c>
      <c r="E156" s="53">
        <v>0</v>
      </c>
      <c r="F156" s="53">
        <v>0</v>
      </c>
    </row>
    <row r="157" spans="1:6" x14ac:dyDescent="0.15">
      <c r="A157" s="79" t="s">
        <v>428</v>
      </c>
      <c r="B157" s="80" t="s">
        <v>169</v>
      </c>
      <c r="C157" s="88" t="s">
        <v>710</v>
      </c>
      <c r="D157" s="53">
        <v>7540</v>
      </c>
      <c r="E157" s="53">
        <v>-1400</v>
      </c>
      <c r="F157" s="53">
        <v>8940</v>
      </c>
    </row>
    <row r="158" spans="1:6" x14ac:dyDescent="0.15">
      <c r="A158" s="79" t="s">
        <v>428</v>
      </c>
      <c r="B158" s="80" t="s">
        <v>177</v>
      </c>
      <c r="C158" s="82" t="s">
        <v>178</v>
      </c>
      <c r="D158" s="53">
        <v>20241.599999999999</v>
      </c>
      <c r="E158" s="53">
        <v>19241.599999999999</v>
      </c>
      <c r="F158" s="53">
        <v>1000</v>
      </c>
    </row>
    <row r="159" spans="1:6" x14ac:dyDescent="0.15">
      <c r="A159" s="79" t="s">
        <v>428</v>
      </c>
      <c r="B159" s="80" t="s">
        <v>177</v>
      </c>
      <c r="C159" s="82" t="s">
        <v>179</v>
      </c>
      <c r="D159" s="53">
        <v>31486.3</v>
      </c>
      <c r="E159" s="53">
        <v>31486.3</v>
      </c>
      <c r="F159" s="53">
        <v>0</v>
      </c>
    </row>
    <row r="160" spans="1:6" x14ac:dyDescent="0.15">
      <c r="A160" s="79" t="s">
        <v>428</v>
      </c>
      <c r="B160" s="80" t="s">
        <v>177</v>
      </c>
      <c r="C160" s="82" t="s">
        <v>36</v>
      </c>
      <c r="D160" s="53">
        <v>0</v>
      </c>
      <c r="E160" s="53">
        <v>0</v>
      </c>
      <c r="F160" s="53">
        <v>0</v>
      </c>
    </row>
    <row r="161" spans="1:6" x14ac:dyDescent="0.15">
      <c r="A161" s="79" t="s">
        <v>428</v>
      </c>
      <c r="B161" s="80" t="s">
        <v>177</v>
      </c>
      <c r="C161" s="90" t="s">
        <v>181</v>
      </c>
      <c r="D161" s="53">
        <v>26174.5</v>
      </c>
      <c r="E161" s="53">
        <v>21074.5</v>
      </c>
      <c r="F161" s="53">
        <v>5100</v>
      </c>
    </row>
    <row r="162" spans="1:6" x14ac:dyDescent="0.15">
      <c r="A162" s="79" t="s">
        <v>428</v>
      </c>
      <c r="B162" s="80" t="s">
        <v>177</v>
      </c>
      <c r="C162" s="90" t="s">
        <v>183</v>
      </c>
      <c r="D162" s="53">
        <v>24772.1</v>
      </c>
      <c r="E162" s="53">
        <v>24072.1</v>
      </c>
      <c r="F162" s="53">
        <v>700</v>
      </c>
    </row>
    <row r="163" spans="1:6" x14ac:dyDescent="0.15">
      <c r="A163" s="79" t="s">
        <v>428</v>
      </c>
      <c r="B163" s="80" t="s">
        <v>177</v>
      </c>
      <c r="C163" s="82" t="s">
        <v>182</v>
      </c>
      <c r="D163" s="53">
        <v>1393</v>
      </c>
      <c r="E163" s="53">
        <v>1393</v>
      </c>
      <c r="F163" s="53">
        <v>0</v>
      </c>
    </row>
    <row r="164" spans="1:6" x14ac:dyDescent="0.15">
      <c r="A164" s="79" t="s">
        <v>428</v>
      </c>
      <c r="B164" s="80" t="s">
        <v>177</v>
      </c>
      <c r="C164" s="82" t="s">
        <v>36</v>
      </c>
      <c r="D164" s="53">
        <v>0</v>
      </c>
      <c r="E164" s="53">
        <v>0</v>
      </c>
      <c r="F164" s="53">
        <v>0</v>
      </c>
    </row>
    <row r="165" spans="1:6" x14ac:dyDescent="0.15">
      <c r="A165" s="79" t="s">
        <v>428</v>
      </c>
      <c r="B165" s="80" t="s">
        <v>177</v>
      </c>
      <c r="C165" s="82" t="s">
        <v>437</v>
      </c>
      <c r="D165" s="53">
        <v>0</v>
      </c>
      <c r="E165" s="53">
        <v>0</v>
      </c>
      <c r="F165" s="53">
        <v>0</v>
      </c>
    </row>
    <row r="166" spans="1:6" x14ac:dyDescent="0.15">
      <c r="A166" s="79" t="s">
        <v>428</v>
      </c>
      <c r="B166" s="80" t="s">
        <v>177</v>
      </c>
      <c r="C166" s="88" t="s">
        <v>711</v>
      </c>
      <c r="D166" s="53">
        <v>7199.5</v>
      </c>
      <c r="E166" s="53">
        <v>3799.5</v>
      </c>
      <c r="F166" s="53">
        <v>3400</v>
      </c>
    </row>
    <row r="167" spans="1:6" x14ac:dyDescent="0.15">
      <c r="A167" s="79" t="s">
        <v>428</v>
      </c>
      <c r="B167" s="80" t="s">
        <v>184</v>
      </c>
      <c r="C167" s="82" t="s">
        <v>186</v>
      </c>
      <c r="D167" s="53">
        <v>25000.1</v>
      </c>
      <c r="E167" s="53">
        <v>37500.1</v>
      </c>
      <c r="F167" s="53">
        <v>-12500</v>
      </c>
    </row>
    <row r="168" spans="1:6" x14ac:dyDescent="0.15">
      <c r="A168" s="79" t="s">
        <v>428</v>
      </c>
      <c r="B168" s="80" t="s">
        <v>184</v>
      </c>
      <c r="C168" s="82" t="s">
        <v>187</v>
      </c>
      <c r="D168" s="53">
        <v>33079.9</v>
      </c>
      <c r="E168" s="53">
        <v>17513.900000000001</v>
      </c>
      <c r="F168" s="53">
        <v>14900</v>
      </c>
    </row>
    <row r="169" spans="1:6" x14ac:dyDescent="0.15">
      <c r="A169" s="79" t="s">
        <v>428</v>
      </c>
      <c r="B169" s="80" t="s">
        <v>184</v>
      </c>
      <c r="C169" s="82" t="s">
        <v>36</v>
      </c>
      <c r="D169" s="53">
        <v>0</v>
      </c>
      <c r="E169" s="53">
        <v>0</v>
      </c>
      <c r="F169" s="53">
        <v>0</v>
      </c>
    </row>
    <row r="170" spans="1:6" x14ac:dyDescent="0.15">
      <c r="A170" s="79" t="s">
        <v>428</v>
      </c>
      <c r="B170" s="80" t="s">
        <v>184</v>
      </c>
      <c r="C170" s="82" t="s">
        <v>189</v>
      </c>
      <c r="D170" s="53">
        <v>63805.2</v>
      </c>
      <c r="E170" s="53">
        <v>39297.199999999997</v>
      </c>
      <c r="F170" s="53">
        <v>23620</v>
      </c>
    </row>
    <row r="171" spans="1:6" x14ac:dyDescent="0.15">
      <c r="A171" s="79" t="s">
        <v>428</v>
      </c>
      <c r="B171" s="80" t="s">
        <v>184</v>
      </c>
      <c r="C171" s="90" t="s">
        <v>190</v>
      </c>
      <c r="D171" s="53">
        <v>6753.4000000000015</v>
      </c>
      <c r="E171" s="53">
        <v>16533.400000000001</v>
      </c>
      <c r="F171" s="53">
        <v>-9780</v>
      </c>
    </row>
    <row r="172" spans="1:6" x14ac:dyDescent="0.15">
      <c r="A172" s="79" t="s">
        <v>428</v>
      </c>
      <c r="B172" s="80" t="s">
        <v>184</v>
      </c>
      <c r="C172" s="82" t="s">
        <v>191</v>
      </c>
      <c r="D172" s="53">
        <v>9885.4</v>
      </c>
      <c r="E172" s="53">
        <v>6926.4</v>
      </c>
      <c r="F172" s="53">
        <v>2959</v>
      </c>
    </row>
    <row r="173" spans="1:6" x14ac:dyDescent="0.15">
      <c r="A173" s="79" t="s">
        <v>428</v>
      </c>
      <c r="B173" s="80" t="s">
        <v>184</v>
      </c>
      <c r="C173" s="82" t="s">
        <v>36</v>
      </c>
      <c r="D173" s="53">
        <v>0</v>
      </c>
      <c r="E173" s="53">
        <v>0</v>
      </c>
      <c r="F173" s="53">
        <v>0</v>
      </c>
    </row>
    <row r="174" spans="1:6" x14ac:dyDescent="0.15">
      <c r="A174" s="79" t="s">
        <v>428</v>
      </c>
      <c r="B174" s="80" t="s">
        <v>184</v>
      </c>
      <c r="C174" s="82" t="s">
        <v>192</v>
      </c>
      <c r="D174" s="53">
        <v>498</v>
      </c>
      <c r="E174" s="53">
        <v>498</v>
      </c>
      <c r="F174" s="53">
        <v>0</v>
      </c>
    </row>
    <row r="175" spans="1:6" x14ac:dyDescent="0.15">
      <c r="A175" s="79" t="s">
        <v>428</v>
      </c>
      <c r="B175" s="80" t="s">
        <v>184</v>
      </c>
      <c r="C175" s="88" t="s">
        <v>712</v>
      </c>
      <c r="D175" s="53">
        <v>0</v>
      </c>
      <c r="E175" s="53">
        <v>0</v>
      </c>
      <c r="F175" s="53">
        <v>0</v>
      </c>
    </row>
    <row r="176" spans="1:6" x14ac:dyDescent="0.15">
      <c r="A176" s="79" t="s">
        <v>428</v>
      </c>
      <c r="B176" s="82" t="s">
        <v>193</v>
      </c>
      <c r="C176" s="82" t="s">
        <v>194</v>
      </c>
      <c r="D176" s="53">
        <v>54654.2</v>
      </c>
      <c r="E176" s="53">
        <v>54654.2</v>
      </c>
      <c r="F176" s="53">
        <v>0</v>
      </c>
    </row>
    <row r="177" spans="1:6" x14ac:dyDescent="0.15">
      <c r="A177" s="79" t="s">
        <v>428</v>
      </c>
      <c r="B177" s="82" t="s">
        <v>193</v>
      </c>
      <c r="C177" s="82" t="s">
        <v>360</v>
      </c>
      <c r="D177" s="53">
        <v>1433.4</v>
      </c>
      <c r="E177" s="53">
        <v>1433.4</v>
      </c>
      <c r="F177" s="53">
        <v>0</v>
      </c>
    </row>
    <row r="178" spans="1:6" x14ac:dyDescent="0.15">
      <c r="A178" s="79" t="s">
        <v>428</v>
      </c>
      <c r="B178" s="82" t="s">
        <v>193</v>
      </c>
      <c r="C178" s="82" t="s">
        <v>438</v>
      </c>
      <c r="D178" s="53">
        <v>0</v>
      </c>
      <c r="E178" s="53">
        <v>0</v>
      </c>
      <c r="F178" s="53">
        <v>0</v>
      </c>
    </row>
    <row r="179" spans="1:6" x14ac:dyDescent="0.15">
      <c r="A179" s="79" t="s">
        <v>428</v>
      </c>
      <c r="B179" s="80" t="s">
        <v>193</v>
      </c>
      <c r="C179" s="82" t="s">
        <v>36</v>
      </c>
      <c r="D179" s="53">
        <v>0</v>
      </c>
      <c r="E179" s="53">
        <v>0</v>
      </c>
      <c r="F179" s="53">
        <v>0</v>
      </c>
    </row>
    <row r="180" spans="1:6" x14ac:dyDescent="0.15">
      <c r="A180" s="79" t="s">
        <v>428</v>
      </c>
      <c r="B180" s="80" t="s">
        <v>193</v>
      </c>
      <c r="C180" s="90" t="s">
        <v>195</v>
      </c>
      <c r="D180" s="53">
        <v>40390.800000000003</v>
      </c>
      <c r="E180" s="53">
        <v>34626.800000000003</v>
      </c>
      <c r="F180" s="53">
        <v>3400</v>
      </c>
    </row>
    <row r="181" spans="1:6" x14ac:dyDescent="0.15">
      <c r="A181" s="79" t="s">
        <v>428</v>
      </c>
      <c r="B181" s="80" t="s">
        <v>193</v>
      </c>
      <c r="C181" s="82" t="s">
        <v>196</v>
      </c>
      <c r="D181" s="53">
        <v>40748.1</v>
      </c>
      <c r="E181" s="53">
        <v>40748.1</v>
      </c>
      <c r="F181" s="53">
        <v>0</v>
      </c>
    </row>
    <row r="182" spans="1:6" x14ac:dyDescent="0.15">
      <c r="A182" s="79" t="s">
        <v>428</v>
      </c>
      <c r="B182" s="80" t="s">
        <v>193</v>
      </c>
      <c r="C182" s="82" t="s">
        <v>197</v>
      </c>
      <c r="D182" s="53">
        <v>15685.5</v>
      </c>
      <c r="E182" s="53">
        <v>12285.5</v>
      </c>
      <c r="F182" s="53">
        <v>3400</v>
      </c>
    </row>
    <row r="183" spans="1:6" x14ac:dyDescent="0.15">
      <c r="A183" s="79" t="s">
        <v>428</v>
      </c>
      <c r="B183" s="80" t="s">
        <v>193</v>
      </c>
      <c r="C183" s="82" t="s">
        <v>36</v>
      </c>
      <c r="D183" s="53">
        <v>0</v>
      </c>
      <c r="E183" s="53">
        <v>0</v>
      </c>
      <c r="F183" s="53">
        <v>0</v>
      </c>
    </row>
    <row r="184" spans="1:6" x14ac:dyDescent="0.15">
      <c r="A184" s="79" t="s">
        <v>428</v>
      </c>
      <c r="B184" s="80" t="s">
        <v>193</v>
      </c>
      <c r="C184" s="88" t="s">
        <v>713</v>
      </c>
      <c r="D184" s="53">
        <v>1038.5999999999999</v>
      </c>
      <c r="E184" s="53">
        <v>1038.5999999999999</v>
      </c>
      <c r="F184" s="53">
        <v>0</v>
      </c>
    </row>
    <row r="185" spans="1:6" x14ac:dyDescent="0.15">
      <c r="A185" s="79" t="s">
        <v>428</v>
      </c>
      <c r="B185" s="80" t="s">
        <v>198</v>
      </c>
      <c r="C185" s="82" t="s">
        <v>200</v>
      </c>
      <c r="D185" s="53">
        <v>106558.9</v>
      </c>
      <c r="E185" s="53">
        <v>96576.9</v>
      </c>
      <c r="F185" s="53">
        <v>9982</v>
      </c>
    </row>
    <row r="186" spans="1:6" x14ac:dyDescent="0.15">
      <c r="A186" s="79" t="s">
        <v>428</v>
      </c>
      <c r="B186" s="80" t="s">
        <v>198</v>
      </c>
      <c r="C186" s="82" t="s">
        <v>201</v>
      </c>
      <c r="D186" s="53">
        <v>112622.5</v>
      </c>
      <c r="E186" s="53">
        <v>105738.5</v>
      </c>
      <c r="F186" s="53">
        <v>6884</v>
      </c>
    </row>
    <row r="187" spans="1:6" x14ac:dyDescent="0.15">
      <c r="A187" s="79" t="s">
        <v>428</v>
      </c>
      <c r="B187" s="80" t="s">
        <v>198</v>
      </c>
      <c r="C187" s="82" t="s">
        <v>202</v>
      </c>
      <c r="D187" s="53">
        <v>37087</v>
      </c>
      <c r="E187" s="53">
        <v>12376</v>
      </c>
      <c r="F187" s="53">
        <v>24091</v>
      </c>
    </row>
    <row r="188" spans="1:6" x14ac:dyDescent="0.15">
      <c r="A188" s="79" t="s">
        <v>428</v>
      </c>
      <c r="B188" s="80" t="s">
        <v>198</v>
      </c>
      <c r="C188" s="82" t="s">
        <v>36</v>
      </c>
      <c r="D188" s="53">
        <v>0</v>
      </c>
      <c r="E188" s="53">
        <v>0</v>
      </c>
      <c r="F188" s="53">
        <v>0</v>
      </c>
    </row>
    <row r="189" spans="1:6" x14ac:dyDescent="0.15">
      <c r="A189" s="79" t="s">
        <v>428</v>
      </c>
      <c r="B189" s="80" t="s">
        <v>198</v>
      </c>
      <c r="C189" s="82" t="s">
        <v>204</v>
      </c>
      <c r="D189" s="53">
        <v>107961.05</v>
      </c>
      <c r="E189" s="53">
        <v>107961.05</v>
      </c>
      <c r="F189" s="53">
        <v>0</v>
      </c>
    </row>
    <row r="190" spans="1:6" x14ac:dyDescent="0.15">
      <c r="A190" s="79" t="s">
        <v>428</v>
      </c>
      <c r="B190" s="80" t="s">
        <v>198</v>
      </c>
      <c r="C190" s="82" t="s">
        <v>205</v>
      </c>
      <c r="D190" s="53">
        <v>69005.850000000006</v>
      </c>
      <c r="E190" s="53">
        <v>40027.85</v>
      </c>
      <c r="F190" s="53">
        <v>28978</v>
      </c>
    </row>
    <row r="191" spans="1:6" x14ac:dyDescent="0.15">
      <c r="A191" s="79" t="s">
        <v>428</v>
      </c>
      <c r="B191" s="80" t="s">
        <v>198</v>
      </c>
      <c r="C191" s="82" t="s">
        <v>36</v>
      </c>
      <c r="D191" s="53">
        <v>0</v>
      </c>
      <c r="E191" s="53">
        <v>0</v>
      </c>
      <c r="F191" s="53">
        <v>0</v>
      </c>
    </row>
    <row r="192" spans="1:6" x14ac:dyDescent="0.15">
      <c r="A192" s="79" t="s">
        <v>428</v>
      </c>
      <c r="B192" s="80" t="s">
        <v>198</v>
      </c>
      <c r="C192" s="90" t="s">
        <v>206</v>
      </c>
      <c r="D192" s="53">
        <v>45839.8</v>
      </c>
      <c r="E192" s="53">
        <v>37511.800000000003</v>
      </c>
      <c r="F192" s="53">
        <v>6884</v>
      </c>
    </row>
    <row r="193" spans="1:6" x14ac:dyDescent="0.15">
      <c r="A193" s="79" t="s">
        <v>428</v>
      </c>
      <c r="B193" s="80" t="s">
        <v>198</v>
      </c>
      <c r="C193" s="82" t="s">
        <v>207</v>
      </c>
      <c r="D193" s="53">
        <v>32030.5</v>
      </c>
      <c r="E193" s="53">
        <v>22890.5</v>
      </c>
      <c r="F193" s="53">
        <v>9140</v>
      </c>
    </row>
    <row r="194" spans="1:6" x14ac:dyDescent="0.15">
      <c r="A194" s="79" t="s">
        <v>428</v>
      </c>
      <c r="B194" s="80" t="s">
        <v>198</v>
      </c>
      <c r="C194" s="82" t="s">
        <v>208</v>
      </c>
      <c r="D194" s="53">
        <v>9650.4</v>
      </c>
      <c r="E194" s="53">
        <v>9650.4</v>
      </c>
      <c r="F194" s="53">
        <v>0</v>
      </c>
    </row>
    <row r="195" spans="1:6" x14ac:dyDescent="0.15">
      <c r="A195" s="79" t="s">
        <v>428</v>
      </c>
      <c r="B195" s="80" t="s">
        <v>198</v>
      </c>
      <c r="C195" s="82" t="s">
        <v>36</v>
      </c>
      <c r="D195" s="53">
        <v>0</v>
      </c>
      <c r="E195" s="53">
        <v>0</v>
      </c>
      <c r="F195" s="53">
        <v>0</v>
      </c>
    </row>
    <row r="196" spans="1:6" x14ac:dyDescent="0.15">
      <c r="A196" s="79" t="s">
        <v>428</v>
      </c>
      <c r="B196" s="80" t="s">
        <v>198</v>
      </c>
      <c r="C196" s="88" t="s">
        <v>714</v>
      </c>
      <c r="D196" s="53">
        <v>2000</v>
      </c>
      <c r="E196" s="53">
        <v>2000</v>
      </c>
      <c r="F196" s="53">
        <v>0</v>
      </c>
    </row>
    <row r="197" spans="1:6" x14ac:dyDescent="0.15">
      <c r="A197" s="79" t="s">
        <v>428</v>
      </c>
      <c r="B197" s="80" t="s">
        <v>209</v>
      </c>
      <c r="C197" s="82" t="s">
        <v>211</v>
      </c>
      <c r="D197" s="53">
        <v>113442</v>
      </c>
      <c r="E197" s="53">
        <v>22234</v>
      </c>
      <c r="F197" s="53">
        <v>89700</v>
      </c>
    </row>
    <row r="198" spans="1:6" x14ac:dyDescent="0.15">
      <c r="A198" s="79" t="s">
        <v>428</v>
      </c>
      <c r="B198" s="80" t="s">
        <v>209</v>
      </c>
      <c r="C198" s="82" t="s">
        <v>212</v>
      </c>
      <c r="D198" s="53">
        <v>49998.5</v>
      </c>
      <c r="E198" s="53">
        <v>22458.5</v>
      </c>
      <c r="F198" s="53">
        <v>27540</v>
      </c>
    </row>
    <row r="199" spans="1:6" x14ac:dyDescent="0.15">
      <c r="A199" s="79" t="s">
        <v>428</v>
      </c>
      <c r="B199" s="80" t="s">
        <v>209</v>
      </c>
      <c r="C199" s="82" t="s">
        <v>216</v>
      </c>
      <c r="D199" s="53">
        <v>9168</v>
      </c>
      <c r="E199" s="53">
        <v>398</v>
      </c>
      <c r="F199" s="53">
        <v>8770</v>
      </c>
    </row>
    <row r="200" spans="1:6" x14ac:dyDescent="0.15">
      <c r="A200" s="79" t="s">
        <v>428</v>
      </c>
      <c r="B200" s="80" t="s">
        <v>209</v>
      </c>
      <c r="C200" s="90" t="s">
        <v>36</v>
      </c>
      <c r="D200" s="53">
        <v>0</v>
      </c>
      <c r="E200" s="53">
        <v>0</v>
      </c>
      <c r="F200" s="53">
        <v>0</v>
      </c>
    </row>
    <row r="201" spans="1:6" x14ac:dyDescent="0.15">
      <c r="A201" s="79" t="s">
        <v>428</v>
      </c>
      <c r="B201" s="80" t="s">
        <v>209</v>
      </c>
      <c r="C201" s="82" t="s">
        <v>214</v>
      </c>
      <c r="D201" s="53">
        <v>96356</v>
      </c>
      <c r="E201" s="53">
        <v>27310</v>
      </c>
      <c r="F201" s="53">
        <v>66750</v>
      </c>
    </row>
    <row r="202" spans="1:6" x14ac:dyDescent="0.15">
      <c r="A202" s="79" t="s">
        <v>428</v>
      </c>
      <c r="B202" s="80" t="s">
        <v>209</v>
      </c>
      <c r="C202" s="82" t="s">
        <v>215</v>
      </c>
      <c r="D202" s="53">
        <v>43063.5</v>
      </c>
      <c r="E202" s="53">
        <v>16423.5</v>
      </c>
      <c r="F202" s="53">
        <v>26640</v>
      </c>
    </row>
    <row r="203" spans="1:6" x14ac:dyDescent="0.15">
      <c r="A203" s="79" t="s">
        <v>428</v>
      </c>
      <c r="B203" s="80" t="s">
        <v>209</v>
      </c>
      <c r="C203" s="82" t="s">
        <v>36</v>
      </c>
      <c r="D203" s="53">
        <v>0</v>
      </c>
      <c r="E203" s="53">
        <v>0</v>
      </c>
      <c r="F203" s="53">
        <v>0</v>
      </c>
    </row>
    <row r="204" spans="1:6" x14ac:dyDescent="0.15">
      <c r="A204" s="79" t="s">
        <v>428</v>
      </c>
      <c r="B204" s="80" t="s">
        <v>209</v>
      </c>
      <c r="C204" s="88" t="s">
        <v>715</v>
      </c>
      <c r="D204" s="53">
        <v>-920</v>
      </c>
      <c r="E204" s="53">
        <v>-920</v>
      </c>
      <c r="F204" s="53">
        <v>0</v>
      </c>
    </row>
    <row r="205" spans="1:6" x14ac:dyDescent="0.15">
      <c r="A205" s="79" t="s">
        <v>428</v>
      </c>
      <c r="B205" s="80" t="s">
        <v>217</v>
      </c>
      <c r="C205" s="82" t="s">
        <v>219</v>
      </c>
      <c r="D205" s="53">
        <v>17665.8</v>
      </c>
      <c r="E205" s="53">
        <v>14865.8</v>
      </c>
      <c r="F205" s="53">
        <v>2800</v>
      </c>
    </row>
    <row r="206" spans="1:6" x14ac:dyDescent="0.15">
      <c r="A206" s="79" t="s">
        <v>428</v>
      </c>
      <c r="B206" s="80" t="s">
        <v>217</v>
      </c>
      <c r="C206" s="82" t="s">
        <v>220</v>
      </c>
      <c r="D206" s="53">
        <v>14795.7</v>
      </c>
      <c r="E206" s="53">
        <v>6435.7</v>
      </c>
      <c r="F206" s="53">
        <v>7360</v>
      </c>
    </row>
    <row r="207" spans="1:6" x14ac:dyDescent="0.15">
      <c r="A207" s="79" t="s">
        <v>428</v>
      </c>
      <c r="B207" s="80" t="s">
        <v>217</v>
      </c>
      <c r="C207" s="82" t="s">
        <v>221</v>
      </c>
      <c r="D207" s="53">
        <v>25092.6</v>
      </c>
      <c r="E207" s="53">
        <v>10792.6</v>
      </c>
      <c r="F207" s="53">
        <v>14300</v>
      </c>
    </row>
    <row r="208" spans="1:6" x14ac:dyDescent="0.15">
      <c r="A208" s="79" t="s">
        <v>428</v>
      </c>
      <c r="B208" s="80" t="s">
        <v>217</v>
      </c>
      <c r="C208" s="90" t="s">
        <v>36</v>
      </c>
      <c r="D208" s="53">
        <v>0</v>
      </c>
      <c r="E208" s="53">
        <v>0</v>
      </c>
      <c r="F208" s="53">
        <v>0</v>
      </c>
    </row>
    <row r="209" spans="1:6" x14ac:dyDescent="0.15">
      <c r="A209" s="79" t="s">
        <v>428</v>
      </c>
      <c r="B209" s="80" t="s">
        <v>217</v>
      </c>
      <c r="C209" s="82" t="s">
        <v>223</v>
      </c>
      <c r="D209" s="53">
        <v>51450</v>
      </c>
      <c r="E209" s="53">
        <v>41778</v>
      </c>
      <c r="F209" s="53">
        <v>9672</v>
      </c>
    </row>
    <row r="210" spans="1:6" x14ac:dyDescent="0.15">
      <c r="A210" s="79" t="s">
        <v>428</v>
      </c>
      <c r="B210" s="80" t="s">
        <v>217</v>
      </c>
      <c r="C210" s="82" t="s">
        <v>224</v>
      </c>
      <c r="D210" s="53">
        <v>17231.2</v>
      </c>
      <c r="E210" s="53">
        <v>16043.2</v>
      </c>
      <c r="F210" s="53">
        <v>1188</v>
      </c>
    </row>
    <row r="211" spans="1:6" x14ac:dyDescent="0.15">
      <c r="A211" s="79" t="s">
        <v>428</v>
      </c>
      <c r="B211" s="80" t="s">
        <v>217</v>
      </c>
      <c r="C211" s="82" t="s">
        <v>36</v>
      </c>
      <c r="D211" s="53">
        <v>0</v>
      </c>
      <c r="E211" s="53">
        <v>0</v>
      </c>
      <c r="F211" s="53">
        <v>0</v>
      </c>
    </row>
    <row r="212" spans="1:6" x14ac:dyDescent="0.15">
      <c r="A212" s="79" t="s">
        <v>428</v>
      </c>
      <c r="B212" s="80" t="s">
        <v>217</v>
      </c>
      <c r="C212" s="88" t="s">
        <v>716</v>
      </c>
      <c r="D212" s="53">
        <v>17521.7</v>
      </c>
      <c r="E212" s="53">
        <v>7961.7</v>
      </c>
      <c r="F212" s="53">
        <v>9560</v>
      </c>
    </row>
    <row r="213" spans="1:6" x14ac:dyDescent="0.15">
      <c r="A213" s="79" t="s">
        <v>428</v>
      </c>
      <c r="B213" s="80" t="s">
        <v>225</v>
      </c>
      <c r="C213" s="82" t="s">
        <v>227</v>
      </c>
      <c r="D213" s="53">
        <v>54822</v>
      </c>
      <c r="E213" s="53">
        <v>23867</v>
      </c>
      <c r="F213" s="53">
        <v>29179</v>
      </c>
    </row>
    <row r="214" spans="1:6" x14ac:dyDescent="0.15">
      <c r="A214" s="79" t="s">
        <v>428</v>
      </c>
      <c r="B214" s="80" t="s">
        <v>225</v>
      </c>
      <c r="C214" s="82" t="s">
        <v>228</v>
      </c>
      <c r="D214" s="53">
        <v>14630</v>
      </c>
      <c r="E214" s="53">
        <v>7030</v>
      </c>
      <c r="F214" s="53">
        <v>6980</v>
      </c>
    </row>
    <row r="215" spans="1:6" x14ac:dyDescent="0.15">
      <c r="A215" s="91" t="s">
        <v>428</v>
      </c>
      <c r="B215" s="92" t="s">
        <v>225</v>
      </c>
      <c r="C215" s="92" t="s">
        <v>229</v>
      </c>
      <c r="D215" s="53">
        <v>25991</v>
      </c>
      <c r="E215" s="95">
        <v>22992</v>
      </c>
      <c r="F215" s="95">
        <v>2999</v>
      </c>
    </row>
    <row r="216" spans="1:6" x14ac:dyDescent="0.15">
      <c r="A216" s="79" t="s">
        <v>428</v>
      </c>
      <c r="B216" s="80" t="s">
        <v>225</v>
      </c>
      <c r="C216" s="90" t="s">
        <v>36</v>
      </c>
      <c r="D216" s="53">
        <v>0</v>
      </c>
      <c r="E216" s="53">
        <v>0</v>
      </c>
      <c r="F216" s="53">
        <v>0</v>
      </c>
    </row>
    <row r="217" spans="1:6" x14ac:dyDescent="0.15">
      <c r="A217" s="79" t="s">
        <v>428</v>
      </c>
      <c r="B217" s="80" t="s">
        <v>225</v>
      </c>
      <c r="C217" s="104" t="s">
        <v>231</v>
      </c>
      <c r="D217" s="53">
        <v>61101</v>
      </c>
      <c r="E217" s="53">
        <v>57228</v>
      </c>
      <c r="F217" s="53">
        <v>2786</v>
      </c>
    </row>
    <row r="218" spans="1:6" x14ac:dyDescent="0.15">
      <c r="A218" s="79" t="s">
        <v>428</v>
      </c>
      <c r="B218" s="80" t="s">
        <v>225</v>
      </c>
      <c r="C218" s="82" t="s">
        <v>232</v>
      </c>
      <c r="D218" s="53">
        <v>48696</v>
      </c>
      <c r="E218" s="53">
        <v>30216</v>
      </c>
      <c r="F218" s="53">
        <v>17592</v>
      </c>
    </row>
    <row r="219" spans="1:6" x14ac:dyDescent="0.15">
      <c r="A219" s="79" t="s">
        <v>428</v>
      </c>
      <c r="B219" s="80" t="s">
        <v>225</v>
      </c>
      <c r="C219" s="82" t="s">
        <v>36</v>
      </c>
      <c r="D219" s="53">
        <v>0</v>
      </c>
      <c r="E219" s="53">
        <v>0</v>
      </c>
      <c r="F219" s="53">
        <v>0</v>
      </c>
    </row>
    <row r="220" spans="1:6" x14ac:dyDescent="0.15">
      <c r="A220" s="79" t="s">
        <v>428</v>
      </c>
      <c r="B220" s="80" t="s">
        <v>225</v>
      </c>
      <c r="C220" s="88" t="s">
        <v>717</v>
      </c>
      <c r="D220" s="53">
        <v>-199</v>
      </c>
      <c r="E220" s="53">
        <v>0</v>
      </c>
      <c r="F220" s="53">
        <v>-199</v>
      </c>
    </row>
    <row r="221" spans="1:6" x14ac:dyDescent="0.15">
      <c r="A221" s="79" t="s">
        <v>428</v>
      </c>
      <c r="B221" s="80" t="s">
        <v>233</v>
      </c>
      <c r="C221" s="82" t="s">
        <v>234</v>
      </c>
      <c r="D221" s="53">
        <v>44080</v>
      </c>
      <c r="E221" s="53">
        <v>42992</v>
      </c>
      <c r="F221" s="53">
        <v>200</v>
      </c>
    </row>
    <row r="222" spans="1:6" x14ac:dyDescent="0.15">
      <c r="A222" s="79" t="s">
        <v>428</v>
      </c>
      <c r="B222" s="80" t="s">
        <v>233</v>
      </c>
      <c r="C222" s="82" t="s">
        <v>439</v>
      </c>
      <c r="D222" s="53">
        <v>5838</v>
      </c>
      <c r="E222" s="53">
        <v>5838</v>
      </c>
      <c r="F222" s="53">
        <v>0</v>
      </c>
    </row>
    <row r="223" spans="1:6" x14ac:dyDescent="0.15">
      <c r="A223" s="79" t="s">
        <v>428</v>
      </c>
      <c r="B223" s="80" t="s">
        <v>233</v>
      </c>
      <c r="C223" s="82" t="s">
        <v>237</v>
      </c>
      <c r="D223" s="53">
        <v>10214</v>
      </c>
      <c r="E223" s="53">
        <v>10214</v>
      </c>
      <c r="F223" s="53">
        <v>0</v>
      </c>
    </row>
    <row r="224" spans="1:6" x14ac:dyDescent="0.15">
      <c r="A224" s="79" t="s">
        <v>428</v>
      </c>
      <c r="B224" s="80" t="s">
        <v>233</v>
      </c>
      <c r="C224" s="90" t="s">
        <v>36</v>
      </c>
      <c r="D224" s="53">
        <v>0</v>
      </c>
      <c r="E224" s="53">
        <v>0</v>
      </c>
      <c r="F224" s="53">
        <v>0</v>
      </c>
    </row>
    <row r="225" spans="1:6" x14ac:dyDescent="0.15">
      <c r="A225" s="79" t="s">
        <v>428</v>
      </c>
      <c r="B225" s="80" t="s">
        <v>233</v>
      </c>
      <c r="C225" s="82" t="s">
        <v>236</v>
      </c>
      <c r="D225" s="53">
        <v>30057</v>
      </c>
      <c r="E225" s="53">
        <v>29169</v>
      </c>
      <c r="F225" s="53">
        <v>0</v>
      </c>
    </row>
    <row r="226" spans="1:6" x14ac:dyDescent="0.15">
      <c r="A226" s="79" t="s">
        <v>428</v>
      </c>
      <c r="B226" s="80" t="s">
        <v>233</v>
      </c>
      <c r="C226" s="82" t="s">
        <v>235</v>
      </c>
      <c r="D226" s="53">
        <v>198</v>
      </c>
      <c r="E226" s="53">
        <v>198</v>
      </c>
      <c r="F226" s="53">
        <v>0</v>
      </c>
    </row>
    <row r="227" spans="1:6" x14ac:dyDescent="0.15">
      <c r="A227" s="79" t="s">
        <v>428</v>
      </c>
      <c r="B227" s="80" t="s">
        <v>233</v>
      </c>
      <c r="C227" s="82" t="s">
        <v>440</v>
      </c>
      <c r="D227" s="53">
        <v>1096</v>
      </c>
      <c r="E227" s="53">
        <v>1096</v>
      </c>
      <c r="F227" s="53">
        <v>0</v>
      </c>
    </row>
    <row r="228" spans="1:6" x14ac:dyDescent="0.15">
      <c r="A228" s="79" t="s">
        <v>428</v>
      </c>
      <c r="B228" s="80" t="s">
        <v>233</v>
      </c>
      <c r="C228" s="88" t="s">
        <v>718</v>
      </c>
      <c r="D228" s="53">
        <v>888</v>
      </c>
      <c r="E228" s="53">
        <v>888</v>
      </c>
      <c r="F228" s="53">
        <v>0</v>
      </c>
    </row>
    <row r="229" spans="1:6" x14ac:dyDescent="0.15">
      <c r="A229" s="79" t="s">
        <v>428</v>
      </c>
      <c r="B229" s="80" t="s">
        <v>238</v>
      </c>
      <c r="C229" s="82" t="s">
        <v>241</v>
      </c>
      <c r="D229" s="53">
        <v>47556.4</v>
      </c>
      <c r="E229" s="53">
        <v>47556.4</v>
      </c>
      <c r="F229" s="53">
        <v>0</v>
      </c>
    </row>
    <row r="230" spans="1:6" x14ac:dyDescent="0.15">
      <c r="A230" s="79" t="s">
        <v>428</v>
      </c>
      <c r="B230" s="80" t="s">
        <v>238</v>
      </c>
      <c r="C230" s="82" t="s">
        <v>240</v>
      </c>
      <c r="D230" s="53">
        <v>14306.400000000001</v>
      </c>
      <c r="E230" s="53">
        <v>20045.400000000001</v>
      </c>
      <c r="F230" s="53">
        <v>-5739</v>
      </c>
    </row>
    <row r="231" spans="1:6" x14ac:dyDescent="0.15">
      <c r="A231" s="79" t="s">
        <v>428</v>
      </c>
      <c r="B231" s="80" t="s">
        <v>238</v>
      </c>
      <c r="C231" s="82" t="s">
        <v>36</v>
      </c>
      <c r="D231" s="53">
        <v>0</v>
      </c>
      <c r="E231" s="53">
        <v>0</v>
      </c>
      <c r="F231" s="53">
        <v>0</v>
      </c>
    </row>
    <row r="232" spans="1:6" x14ac:dyDescent="0.15">
      <c r="A232" s="79" t="s">
        <v>428</v>
      </c>
      <c r="B232" s="80" t="s">
        <v>238</v>
      </c>
      <c r="C232" s="82" t="s">
        <v>242</v>
      </c>
      <c r="D232" s="53">
        <v>61643</v>
      </c>
      <c r="E232" s="53">
        <v>68765</v>
      </c>
      <c r="F232" s="53">
        <v>-8010</v>
      </c>
    </row>
    <row r="233" spans="1:6" x14ac:dyDescent="0.15">
      <c r="A233" s="79" t="s">
        <v>428</v>
      </c>
      <c r="B233" s="80" t="s">
        <v>238</v>
      </c>
      <c r="C233" s="90" t="s">
        <v>243</v>
      </c>
      <c r="D233" s="53">
        <v>6959.2</v>
      </c>
      <c r="E233" s="53">
        <v>6959.2</v>
      </c>
      <c r="F233" s="53">
        <v>0</v>
      </c>
    </row>
    <row r="234" spans="1:6" x14ac:dyDescent="0.15">
      <c r="A234" s="79" t="s">
        <v>428</v>
      </c>
      <c r="B234" s="80" t="s">
        <v>238</v>
      </c>
      <c r="C234" s="82" t="s">
        <v>244</v>
      </c>
      <c r="D234" s="53">
        <v>3614</v>
      </c>
      <c r="E234" s="53">
        <v>3614</v>
      </c>
      <c r="F234" s="53">
        <v>0</v>
      </c>
    </row>
    <row r="235" spans="1:6" x14ac:dyDescent="0.15">
      <c r="A235" s="79" t="s">
        <v>428</v>
      </c>
      <c r="B235" s="80" t="s">
        <v>238</v>
      </c>
      <c r="C235" s="82" t="s">
        <v>36</v>
      </c>
      <c r="D235" s="53">
        <v>0</v>
      </c>
      <c r="E235" s="53">
        <v>0</v>
      </c>
      <c r="F235" s="53">
        <v>0</v>
      </c>
    </row>
    <row r="236" spans="1:6" x14ac:dyDescent="0.15">
      <c r="A236" s="79" t="s">
        <v>428</v>
      </c>
      <c r="B236" s="80" t="s">
        <v>238</v>
      </c>
      <c r="C236" s="88" t="s">
        <v>719</v>
      </c>
      <c r="D236" s="53">
        <v>17050</v>
      </c>
      <c r="E236" s="53">
        <v>17670</v>
      </c>
      <c r="F236" s="53">
        <v>-620</v>
      </c>
    </row>
    <row r="237" spans="1:6" x14ac:dyDescent="0.15">
      <c r="A237" s="79" t="s">
        <v>428</v>
      </c>
      <c r="B237" s="80" t="s">
        <v>245</v>
      </c>
      <c r="C237" s="82" t="s">
        <v>246</v>
      </c>
      <c r="D237" s="53">
        <v>80534.86</v>
      </c>
      <c r="E237" s="53">
        <v>72929.259999999995</v>
      </c>
      <c r="F237" s="53">
        <v>7017.6</v>
      </c>
    </row>
    <row r="238" spans="1:6" x14ac:dyDescent="0.15">
      <c r="A238" s="79" t="s">
        <v>428</v>
      </c>
      <c r="B238" s="80" t="s">
        <v>245</v>
      </c>
      <c r="C238" s="82" t="s">
        <v>247</v>
      </c>
      <c r="D238" s="53">
        <v>61761.340000000004</v>
      </c>
      <c r="E238" s="53">
        <v>33070.94</v>
      </c>
      <c r="F238" s="53">
        <v>28070.400000000001</v>
      </c>
    </row>
    <row r="239" spans="1:6" x14ac:dyDescent="0.15">
      <c r="A239" s="79" t="s">
        <v>428</v>
      </c>
      <c r="B239" s="80" t="s">
        <v>245</v>
      </c>
      <c r="C239" s="82" t="s">
        <v>248</v>
      </c>
      <c r="D239" s="53">
        <v>2466</v>
      </c>
      <c r="E239" s="53">
        <v>2466</v>
      </c>
      <c r="F239" s="53">
        <v>0</v>
      </c>
    </row>
    <row r="240" spans="1:6" x14ac:dyDescent="0.15">
      <c r="A240" s="79" t="s">
        <v>428</v>
      </c>
      <c r="B240" s="80" t="s">
        <v>245</v>
      </c>
      <c r="C240" s="82" t="s">
        <v>36</v>
      </c>
      <c r="D240" s="53">
        <v>0</v>
      </c>
      <c r="E240" s="53">
        <v>0</v>
      </c>
      <c r="F240" s="53">
        <v>0</v>
      </c>
    </row>
    <row r="241" spans="1:6" x14ac:dyDescent="0.15">
      <c r="A241" s="79" t="s">
        <v>428</v>
      </c>
      <c r="B241" s="80" t="s">
        <v>245</v>
      </c>
      <c r="C241" s="90" t="s">
        <v>249</v>
      </c>
      <c r="D241" s="53">
        <v>37656.9</v>
      </c>
      <c r="E241" s="53">
        <v>37212.9</v>
      </c>
      <c r="F241" s="53">
        <v>0</v>
      </c>
    </row>
    <row r="242" spans="1:6" x14ac:dyDescent="0.15">
      <c r="A242" s="79" t="s">
        <v>428</v>
      </c>
      <c r="B242" s="98" t="s">
        <v>245</v>
      </c>
      <c r="C242" s="82" t="s">
        <v>250</v>
      </c>
      <c r="D242" s="53">
        <v>13894.4</v>
      </c>
      <c r="E242" s="53">
        <v>13274.4</v>
      </c>
      <c r="F242" s="53">
        <v>0</v>
      </c>
    </row>
    <row r="243" spans="1:6" x14ac:dyDescent="0.15">
      <c r="A243" s="79" t="s">
        <v>428</v>
      </c>
      <c r="B243" s="98" t="s">
        <v>245</v>
      </c>
      <c r="C243" s="82" t="s">
        <v>441</v>
      </c>
      <c r="D243" s="53">
        <v>3736.2</v>
      </c>
      <c r="E243" s="53">
        <v>3292.2</v>
      </c>
      <c r="F243" s="53">
        <v>0</v>
      </c>
    </row>
    <row r="244" spans="1:6" x14ac:dyDescent="0.15">
      <c r="A244" s="79" t="s">
        <v>428</v>
      </c>
      <c r="B244" s="98" t="s">
        <v>245</v>
      </c>
      <c r="C244" s="82" t="s">
        <v>36</v>
      </c>
      <c r="D244" s="53">
        <v>0</v>
      </c>
      <c r="E244" s="53">
        <v>0</v>
      </c>
      <c r="F244" s="53">
        <v>0</v>
      </c>
    </row>
    <row r="245" spans="1:6" x14ac:dyDescent="0.15">
      <c r="A245" s="79" t="s">
        <v>428</v>
      </c>
      <c r="B245" s="98" t="s">
        <v>245</v>
      </c>
      <c r="C245" s="88" t="s">
        <v>720</v>
      </c>
      <c r="D245" s="53">
        <v>0</v>
      </c>
      <c r="E245" s="53">
        <v>0</v>
      </c>
      <c r="F245" s="53">
        <v>0</v>
      </c>
    </row>
    <row r="246" spans="1:6" x14ac:dyDescent="0.15">
      <c r="A246" s="79" t="s">
        <v>428</v>
      </c>
      <c r="B246" s="98" t="s">
        <v>251</v>
      </c>
      <c r="C246" s="82" t="s">
        <v>252</v>
      </c>
      <c r="D246" s="53">
        <v>82953.3</v>
      </c>
      <c r="E246" s="53">
        <v>84943.3</v>
      </c>
      <c r="F246" s="53">
        <v>-1990</v>
      </c>
    </row>
    <row r="247" spans="1:6" x14ac:dyDescent="0.15">
      <c r="A247" s="79" t="s">
        <v>428</v>
      </c>
      <c r="B247" s="98" t="s">
        <v>251</v>
      </c>
      <c r="C247" s="82" t="s">
        <v>253</v>
      </c>
      <c r="D247" s="53">
        <v>15460.4</v>
      </c>
      <c r="E247" s="53">
        <v>14872.4</v>
      </c>
      <c r="F247" s="53">
        <v>0</v>
      </c>
    </row>
    <row r="248" spans="1:6" x14ac:dyDescent="0.15">
      <c r="A248" s="79" t="s">
        <v>428</v>
      </c>
      <c r="B248" s="98" t="s">
        <v>251</v>
      </c>
      <c r="C248" s="82" t="s">
        <v>254</v>
      </c>
      <c r="D248" s="53">
        <v>8133.3</v>
      </c>
      <c r="E248" s="53">
        <v>8133.3</v>
      </c>
      <c r="F248" s="53">
        <v>0</v>
      </c>
    </row>
    <row r="249" spans="1:6" x14ac:dyDescent="0.15">
      <c r="A249" s="79" t="s">
        <v>428</v>
      </c>
      <c r="B249" s="98" t="s">
        <v>251</v>
      </c>
      <c r="C249" s="82" t="s">
        <v>36</v>
      </c>
      <c r="D249" s="53">
        <v>0</v>
      </c>
      <c r="E249" s="53">
        <v>0</v>
      </c>
      <c r="F249" s="53">
        <v>0</v>
      </c>
    </row>
    <row r="250" spans="1:6" x14ac:dyDescent="0.15">
      <c r="A250" s="79" t="s">
        <v>428</v>
      </c>
      <c r="B250" s="98" t="s">
        <v>251</v>
      </c>
      <c r="C250" s="90" t="s">
        <v>256</v>
      </c>
      <c r="D250" s="53">
        <v>57575.1</v>
      </c>
      <c r="E250" s="53">
        <v>51303.1</v>
      </c>
      <c r="F250" s="53">
        <v>6272</v>
      </c>
    </row>
    <row r="251" spans="1:6" x14ac:dyDescent="0.15">
      <c r="A251" s="79" t="s">
        <v>428</v>
      </c>
      <c r="B251" s="104" t="s">
        <v>251</v>
      </c>
      <c r="C251" s="104" t="s">
        <v>257</v>
      </c>
      <c r="D251" s="53">
        <v>6688</v>
      </c>
      <c r="E251" s="53">
        <v>8678</v>
      </c>
      <c r="F251" s="53">
        <v>-1990</v>
      </c>
    </row>
    <row r="252" spans="1:6" x14ac:dyDescent="0.15">
      <c r="A252" s="79" t="s">
        <v>428</v>
      </c>
      <c r="B252" s="104" t="s">
        <v>251</v>
      </c>
      <c r="C252" s="104" t="s">
        <v>258</v>
      </c>
      <c r="D252" s="53">
        <v>8732.7000000000007</v>
      </c>
      <c r="E252" s="53">
        <v>5924.7</v>
      </c>
      <c r="F252" s="53">
        <v>1568</v>
      </c>
    </row>
    <row r="253" spans="1:6" x14ac:dyDescent="0.15">
      <c r="A253" s="79" t="s">
        <v>428</v>
      </c>
      <c r="B253" s="104" t="s">
        <v>251</v>
      </c>
      <c r="C253" s="104" t="s">
        <v>36</v>
      </c>
      <c r="D253" s="53">
        <v>0</v>
      </c>
      <c r="E253" s="53">
        <v>0</v>
      </c>
      <c r="F253" s="53">
        <v>0</v>
      </c>
    </row>
    <row r="254" spans="1:6" x14ac:dyDescent="0.15">
      <c r="A254" s="79" t="s">
        <v>428</v>
      </c>
      <c r="B254" s="104" t="s">
        <v>251</v>
      </c>
      <c r="C254" s="88" t="s">
        <v>721</v>
      </c>
      <c r="D254" s="53">
        <v>765</v>
      </c>
      <c r="E254" s="53">
        <v>-1195</v>
      </c>
      <c r="F254" s="53">
        <v>1960</v>
      </c>
    </row>
    <row r="255" spans="1:6" x14ac:dyDescent="0.15">
      <c r="A255" s="79" t="s">
        <v>428</v>
      </c>
      <c r="B255" s="104" t="s">
        <v>153</v>
      </c>
      <c r="C255" s="104" t="s">
        <v>259</v>
      </c>
      <c r="D255" s="53">
        <v>0</v>
      </c>
      <c r="E255" s="53">
        <v>0</v>
      </c>
      <c r="F255" s="53">
        <v>0</v>
      </c>
    </row>
    <row r="256" spans="1:6" x14ac:dyDescent="0.15">
      <c r="A256" s="79" t="s">
        <v>428</v>
      </c>
      <c r="B256" s="104">
        <v>468</v>
      </c>
      <c r="C256" s="104" t="s">
        <v>260</v>
      </c>
      <c r="D256" s="53">
        <v>0</v>
      </c>
      <c r="E256" s="53">
        <v>0</v>
      </c>
      <c r="F256" s="53">
        <v>0</v>
      </c>
    </row>
    <row r="257" spans="1:6" x14ac:dyDescent="0.15">
      <c r="A257" s="79" t="s">
        <v>428</v>
      </c>
      <c r="B257" s="104" t="s">
        <v>41</v>
      </c>
      <c r="C257" s="104" t="s">
        <v>261</v>
      </c>
      <c r="D257" s="53">
        <v>0</v>
      </c>
      <c r="E257" s="53">
        <v>0</v>
      </c>
      <c r="F257" s="53">
        <v>0</v>
      </c>
    </row>
    <row r="258" spans="1:6" x14ac:dyDescent="0.15">
      <c r="A258" s="79" t="s">
        <v>428</v>
      </c>
      <c r="B258" s="104" t="s">
        <v>51</v>
      </c>
      <c r="C258" s="104" t="s">
        <v>262</v>
      </c>
      <c r="D258" s="53">
        <v>0</v>
      </c>
      <c r="E258" s="53">
        <v>0</v>
      </c>
      <c r="F258" s="53">
        <v>0</v>
      </c>
    </row>
    <row r="259" spans="1:6" x14ac:dyDescent="0.15">
      <c r="A259" s="79" t="s">
        <v>428</v>
      </c>
      <c r="B259" s="104" t="s">
        <v>60</v>
      </c>
      <c r="C259" s="104" t="s">
        <v>263</v>
      </c>
      <c r="D259" s="53">
        <v>0</v>
      </c>
      <c r="E259" s="53">
        <v>0</v>
      </c>
      <c r="F259" s="53">
        <v>0</v>
      </c>
    </row>
    <row r="260" spans="1:6" x14ac:dyDescent="0.15">
      <c r="A260" s="79" t="s">
        <v>428</v>
      </c>
      <c r="B260" s="104" t="s">
        <v>66</v>
      </c>
      <c r="C260" s="104" t="s">
        <v>264</v>
      </c>
      <c r="D260" s="53">
        <v>0</v>
      </c>
      <c r="E260" s="53">
        <v>0</v>
      </c>
      <c r="F260" s="53">
        <v>0</v>
      </c>
    </row>
    <row r="261" spans="1:6" x14ac:dyDescent="0.15">
      <c r="A261" s="79" t="s">
        <v>428</v>
      </c>
      <c r="B261" s="104" t="s">
        <v>75</v>
      </c>
      <c r="C261" s="104" t="s">
        <v>265</v>
      </c>
      <c r="D261" s="53">
        <v>0</v>
      </c>
      <c r="E261" s="53">
        <v>0</v>
      </c>
      <c r="F261" s="53">
        <v>0</v>
      </c>
    </row>
    <row r="262" spans="1:6" x14ac:dyDescent="0.15">
      <c r="A262" s="79" t="s">
        <v>428</v>
      </c>
      <c r="B262" s="104" t="s">
        <v>81</v>
      </c>
      <c r="C262" s="104" t="s">
        <v>266</v>
      </c>
      <c r="D262" s="53">
        <v>0</v>
      </c>
      <c r="E262" s="53">
        <v>0</v>
      </c>
      <c r="F262" s="53">
        <v>0</v>
      </c>
    </row>
    <row r="263" spans="1:6" x14ac:dyDescent="0.15">
      <c r="A263" s="79" t="s">
        <v>428</v>
      </c>
      <c r="B263" s="104" t="s">
        <v>90</v>
      </c>
      <c r="C263" s="104" t="s">
        <v>267</v>
      </c>
      <c r="D263" s="53">
        <v>0</v>
      </c>
      <c r="E263" s="53">
        <v>0</v>
      </c>
      <c r="F263" s="53">
        <v>0</v>
      </c>
    </row>
    <row r="264" spans="1:6" x14ac:dyDescent="0.15">
      <c r="A264" s="79" t="s">
        <v>428</v>
      </c>
      <c r="B264" s="104" t="s">
        <v>97</v>
      </c>
      <c r="C264" s="104" t="s">
        <v>268</v>
      </c>
      <c r="D264" s="53">
        <v>0</v>
      </c>
      <c r="E264" s="53">
        <v>0</v>
      </c>
      <c r="F264" s="53">
        <v>0</v>
      </c>
    </row>
    <row r="265" spans="1:6" x14ac:dyDescent="0.15">
      <c r="A265" s="79" t="s">
        <v>428</v>
      </c>
      <c r="B265" s="104" t="s">
        <v>102</v>
      </c>
      <c r="C265" s="104" t="s">
        <v>269</v>
      </c>
      <c r="D265" s="53">
        <v>0</v>
      </c>
      <c r="E265" s="53">
        <v>0</v>
      </c>
      <c r="F265" s="53">
        <v>0</v>
      </c>
    </row>
    <row r="266" spans="1:6" x14ac:dyDescent="0.15">
      <c r="A266" s="79" t="s">
        <v>428</v>
      </c>
      <c r="B266" s="104" t="s">
        <v>112</v>
      </c>
      <c r="C266" s="104" t="s">
        <v>270</v>
      </c>
      <c r="D266" s="53">
        <v>0</v>
      </c>
      <c r="E266" s="53">
        <v>0</v>
      </c>
      <c r="F266" s="53">
        <v>0</v>
      </c>
    </row>
    <row r="267" spans="1:6" x14ac:dyDescent="0.15">
      <c r="A267" s="79" t="s">
        <v>428</v>
      </c>
      <c r="B267" s="104" t="s">
        <v>120</v>
      </c>
      <c r="C267" s="104" t="s">
        <v>271</v>
      </c>
      <c r="D267" s="53">
        <v>0</v>
      </c>
      <c r="E267" s="53">
        <v>0</v>
      </c>
      <c r="F267" s="53">
        <v>0</v>
      </c>
    </row>
    <row r="268" spans="1:6" x14ac:dyDescent="0.15">
      <c r="A268" s="79" t="s">
        <v>428</v>
      </c>
      <c r="B268" s="104" t="s">
        <v>129</v>
      </c>
      <c r="C268" s="104" t="s">
        <v>272</v>
      </c>
      <c r="D268" s="53">
        <v>0</v>
      </c>
      <c r="E268" s="53">
        <v>0</v>
      </c>
      <c r="F268" s="53">
        <v>0</v>
      </c>
    </row>
    <row r="269" spans="1:6" x14ac:dyDescent="0.15">
      <c r="A269" s="79" t="s">
        <v>428</v>
      </c>
      <c r="B269" s="104" t="s">
        <v>136</v>
      </c>
      <c r="C269" s="104" t="s">
        <v>273</v>
      </c>
      <c r="D269" s="53">
        <v>0</v>
      </c>
      <c r="E269" s="53">
        <v>0</v>
      </c>
      <c r="F269" s="53">
        <v>0</v>
      </c>
    </row>
    <row r="270" spans="1:6" x14ac:dyDescent="0.15">
      <c r="A270" s="79" t="s">
        <v>428</v>
      </c>
      <c r="B270" s="104" t="s">
        <v>145</v>
      </c>
      <c r="C270" s="104" t="s">
        <v>274</v>
      </c>
      <c r="D270" s="53">
        <v>0</v>
      </c>
      <c r="E270" s="53">
        <v>0</v>
      </c>
      <c r="F270" s="53">
        <v>0</v>
      </c>
    </row>
    <row r="271" spans="1:6" x14ac:dyDescent="0.15">
      <c r="A271" s="79" t="s">
        <v>428</v>
      </c>
      <c r="B271" s="104" t="s">
        <v>162</v>
      </c>
      <c r="C271" s="104" t="s">
        <v>275</v>
      </c>
      <c r="D271" s="53">
        <v>0</v>
      </c>
      <c r="E271" s="53">
        <v>0</v>
      </c>
      <c r="F271" s="53">
        <v>0</v>
      </c>
    </row>
    <row r="272" spans="1:6" x14ac:dyDescent="0.15">
      <c r="A272" s="79" t="s">
        <v>428</v>
      </c>
      <c r="B272" s="104" t="s">
        <v>169</v>
      </c>
      <c r="C272" s="104" t="s">
        <v>276</v>
      </c>
      <c r="D272" s="53">
        <v>0</v>
      </c>
      <c r="E272" s="53">
        <v>0</v>
      </c>
      <c r="F272" s="53">
        <v>0</v>
      </c>
    </row>
    <row r="273" spans="1:6" x14ac:dyDescent="0.15">
      <c r="A273" s="79" t="s">
        <v>428</v>
      </c>
      <c r="B273" s="104" t="s">
        <v>177</v>
      </c>
      <c r="C273" s="104" t="s">
        <v>277</v>
      </c>
      <c r="D273" s="53">
        <v>0</v>
      </c>
      <c r="E273" s="53">
        <v>0</v>
      </c>
      <c r="F273" s="53">
        <v>0</v>
      </c>
    </row>
    <row r="274" spans="1:6" x14ac:dyDescent="0.15">
      <c r="A274" s="79" t="s">
        <v>428</v>
      </c>
      <c r="B274" s="104" t="s">
        <v>184</v>
      </c>
      <c r="C274" s="104" t="s">
        <v>278</v>
      </c>
      <c r="D274" s="53">
        <v>0</v>
      </c>
      <c r="E274" s="53">
        <v>0</v>
      </c>
      <c r="F274" s="53">
        <v>0</v>
      </c>
    </row>
    <row r="275" spans="1:6" x14ac:dyDescent="0.15">
      <c r="A275" s="79" t="s">
        <v>428</v>
      </c>
      <c r="B275" s="104" t="s">
        <v>193</v>
      </c>
      <c r="C275" s="104" t="s">
        <v>279</v>
      </c>
      <c r="D275" s="53">
        <v>0</v>
      </c>
      <c r="E275" s="53">
        <v>0</v>
      </c>
      <c r="F275" s="53">
        <v>0</v>
      </c>
    </row>
    <row r="276" spans="1:6" x14ac:dyDescent="0.15">
      <c r="A276" s="79" t="s">
        <v>428</v>
      </c>
      <c r="B276" s="104" t="s">
        <v>198</v>
      </c>
      <c r="C276" s="104" t="s">
        <v>280</v>
      </c>
      <c r="D276" s="53">
        <v>0</v>
      </c>
      <c r="E276" s="53">
        <v>0</v>
      </c>
      <c r="F276" s="53">
        <v>0</v>
      </c>
    </row>
    <row r="277" spans="1:6" x14ac:dyDescent="0.15">
      <c r="A277" s="79" t="s">
        <v>428</v>
      </c>
      <c r="B277" s="104" t="s">
        <v>209</v>
      </c>
      <c r="C277" s="104" t="s">
        <v>281</v>
      </c>
      <c r="D277" s="53">
        <v>0</v>
      </c>
      <c r="E277" s="53">
        <v>0</v>
      </c>
      <c r="F277" s="53">
        <v>0</v>
      </c>
    </row>
    <row r="278" spans="1:6" x14ac:dyDescent="0.15">
      <c r="A278" s="79" t="s">
        <v>428</v>
      </c>
      <c r="B278" s="104" t="s">
        <v>217</v>
      </c>
      <c r="C278" s="104" t="s">
        <v>282</v>
      </c>
      <c r="D278" s="53">
        <v>0</v>
      </c>
      <c r="E278" s="53">
        <v>0</v>
      </c>
      <c r="F278" s="53">
        <v>0</v>
      </c>
    </row>
    <row r="279" spans="1:6" x14ac:dyDescent="0.15">
      <c r="A279" s="79" t="s">
        <v>428</v>
      </c>
      <c r="B279" s="104" t="s">
        <v>225</v>
      </c>
      <c r="C279" s="104" t="s">
        <v>283</v>
      </c>
      <c r="D279" s="53">
        <v>0</v>
      </c>
      <c r="E279" s="53">
        <v>0</v>
      </c>
      <c r="F279" s="53">
        <v>0</v>
      </c>
    </row>
    <row r="280" spans="1:6" x14ac:dyDescent="0.15">
      <c r="A280" s="79" t="s">
        <v>428</v>
      </c>
      <c r="B280" s="52" t="s">
        <v>233</v>
      </c>
      <c r="C280" s="52" t="s">
        <v>284</v>
      </c>
      <c r="D280" s="53">
        <v>0</v>
      </c>
      <c r="E280" s="53">
        <v>0</v>
      </c>
      <c r="F280" s="53">
        <v>0</v>
      </c>
    </row>
    <row r="281" spans="1:6" x14ac:dyDescent="0.15">
      <c r="A281" s="79" t="s">
        <v>428</v>
      </c>
      <c r="B281" s="52" t="s">
        <v>238</v>
      </c>
      <c r="C281" s="52" t="s">
        <v>285</v>
      </c>
      <c r="D281" s="53">
        <v>0</v>
      </c>
      <c r="E281" s="53">
        <v>0</v>
      </c>
      <c r="F281" s="53">
        <v>0</v>
      </c>
    </row>
    <row r="282" spans="1:6" x14ac:dyDescent="0.15">
      <c r="A282" s="79" t="s">
        <v>428</v>
      </c>
      <c r="B282" s="52" t="s">
        <v>245</v>
      </c>
      <c r="C282" s="52" t="s">
        <v>286</v>
      </c>
      <c r="D282" s="53">
        <v>0</v>
      </c>
      <c r="E282" s="53">
        <v>0</v>
      </c>
      <c r="F282" s="53">
        <v>0</v>
      </c>
    </row>
    <row r="283" spans="1:6" x14ac:dyDescent="0.15">
      <c r="A283" s="79" t="s">
        <v>428</v>
      </c>
      <c r="B283" s="52" t="s">
        <v>251</v>
      </c>
      <c r="C283" s="52" t="s">
        <v>287</v>
      </c>
      <c r="D283" s="53">
        <v>0</v>
      </c>
      <c r="E283" s="53">
        <v>0</v>
      </c>
      <c r="F283" s="53">
        <v>0</v>
      </c>
    </row>
    <row r="284" spans="1:6" x14ac:dyDescent="0.15">
      <c r="A284" s="52" t="s">
        <v>428</v>
      </c>
      <c r="B284" s="52" t="s">
        <v>90</v>
      </c>
      <c r="C284" s="52" t="s">
        <v>96</v>
      </c>
      <c r="D284" s="53">
        <v>0</v>
      </c>
      <c r="E284" s="53">
        <v>0</v>
      </c>
      <c r="F284" s="53">
        <v>0</v>
      </c>
    </row>
  </sheetData>
  <autoFilter ref="A5:T284" xr:uid="{23BF9044-9527-48CE-A7FF-5C8C33B6CAEB}"/>
  <phoneticPr fontId="9" type="noConversion"/>
  <conditionalFormatting sqref="C1:C283 C285:C1048576">
    <cfRule type="duplicateValues" dxfId="11" priority="1"/>
  </conditionalFormatting>
  <conditionalFormatting sqref="C28">
    <cfRule type="duplicateValues" dxfId="1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B926C-4954-4EC8-A804-5EAEE4EDA6ED}">
  <dimension ref="A1:T180"/>
  <sheetViews>
    <sheetView workbookViewId="0">
      <selection activeCell="J21" sqref="J21"/>
    </sheetView>
  </sheetViews>
  <sheetFormatPr defaultRowHeight="14.25" x14ac:dyDescent="0.15"/>
  <cols>
    <col min="1" max="1" width="14.625" style="52" bestFit="1" customWidth="1"/>
    <col min="2" max="4" width="9" style="52"/>
    <col min="5" max="5" width="15.125" style="52" bestFit="1" customWidth="1"/>
    <col min="6" max="6" width="13.625" style="52" bestFit="1" customWidth="1"/>
    <col min="7" max="7" width="11.5" style="53" bestFit="1" customWidth="1"/>
    <col min="8" max="8" width="10" style="141" bestFit="1" customWidth="1"/>
    <col min="9" max="10" width="11.5" style="141" bestFit="1" customWidth="1"/>
    <col min="11" max="11" width="10.75" style="53" customWidth="1"/>
    <col min="12" max="12" width="10.375" style="53" customWidth="1"/>
    <col min="13" max="13" width="10.5" style="153" customWidth="1"/>
    <col min="14" max="14" width="10.5" style="53" customWidth="1"/>
    <col min="15" max="16384" width="9" style="53"/>
  </cols>
  <sheetData>
    <row r="1" spans="1:20" x14ac:dyDescent="0.15">
      <c r="K1" s="141">
        <f>K2-K3</f>
        <v>-310</v>
      </c>
    </row>
    <row r="2" spans="1:20" x14ac:dyDescent="0.15">
      <c r="A2" s="52" t="s">
        <v>669</v>
      </c>
      <c r="H2" s="141">
        <f>SUM(H5:H180)</f>
        <v>5293294.6900000013</v>
      </c>
      <c r="I2" s="141">
        <f>SUM(I5:I180)</f>
        <v>4183573.6900000004</v>
      </c>
      <c r="J2" s="141">
        <f t="shared" ref="J2" si="0">SUM(J5:J180)</f>
        <v>1061927</v>
      </c>
      <c r="K2" s="141">
        <f>SUM(K5:K180)</f>
        <v>47794</v>
      </c>
      <c r="L2" s="141">
        <f>SUM(L5:L180)</f>
        <v>3255796.919999999</v>
      </c>
      <c r="M2" s="153">
        <f t="shared" ref="M2" si="1">SUM(M5:M180)</f>
        <v>208740</v>
      </c>
      <c r="N2" s="141">
        <f>SUM(N5:N180)</f>
        <v>13037.5</v>
      </c>
    </row>
    <row r="3" spans="1:20" x14ac:dyDescent="0.15">
      <c r="K3" s="53">
        <v>48104</v>
      </c>
    </row>
    <row r="4" spans="1:20" x14ac:dyDescent="0.15">
      <c r="A4" s="146" t="s">
        <v>665</v>
      </c>
      <c r="B4" s="146" t="s">
        <v>666</v>
      </c>
      <c r="C4" s="146" t="s">
        <v>667</v>
      </c>
      <c r="D4" s="146" t="s">
        <v>668</v>
      </c>
      <c r="E4" s="147" t="s">
        <v>671</v>
      </c>
      <c r="F4" s="147" t="s">
        <v>670</v>
      </c>
      <c r="G4" s="146" t="s">
        <v>672</v>
      </c>
      <c r="H4" s="150" t="s">
        <v>673</v>
      </c>
      <c r="I4" s="150" t="s">
        <v>674</v>
      </c>
      <c r="J4" s="150" t="s">
        <v>675</v>
      </c>
      <c r="K4" s="146" t="s">
        <v>676</v>
      </c>
      <c r="L4" s="146" t="s">
        <v>677</v>
      </c>
      <c r="M4" s="154" t="s">
        <v>678</v>
      </c>
      <c r="N4" s="146" t="s">
        <v>679</v>
      </c>
      <c r="O4" s="146"/>
      <c r="P4" s="146"/>
      <c r="Q4" s="146"/>
      <c r="R4" s="146"/>
      <c r="S4" s="146"/>
      <c r="T4" s="146"/>
    </row>
    <row r="5" spans="1:20" x14ac:dyDescent="0.15">
      <c r="A5" s="52" t="str" cm="1">
        <f t="array" ref="A5:D180">_xlfn._xlws.FILTER('④考勤-B-a-26考勤汇总表'!A:D,'④考勤-B-a-26考勤汇总表'!B:B="健康师")</f>
        <v>华润</v>
      </c>
      <c r="B5" s="52" t="str">
        <v>健康师</v>
      </c>
      <c r="C5" s="52" t="str">
        <v>A</v>
      </c>
      <c r="D5" s="52" t="str">
        <v>王瑞琳</v>
      </c>
      <c r="E5" s="52" t="str">
        <f>_xlfn.XLOOKUP(D5,期初设置!E:E,期初设置!F:F,0)</f>
        <v>华润+战狼队</v>
      </c>
      <c r="F5" s="52" t="str">
        <f>_xlfn.XLOOKUP(D5,期初设置!E:E,期初设置!D:D,0)</f>
        <v>顾问</v>
      </c>
      <c r="G5" s="53">
        <f>_xlfn.XLOOKUP(D5,'④考勤-B-a-26考勤汇总表'!D:D,'④考勤-B-a-26考勤汇总表'!AP:AP,0)</f>
        <v>31</v>
      </c>
      <c r="H5" s="141">
        <f>_xlfn.XLOOKUP($D$5,'个人业绩-B-a-②呈现-业绩明细表'!$C:$C,'个人业绩-B-a-②呈现-业绩明细表'!D:D,0)</f>
        <v>50682.5</v>
      </c>
      <c r="I5" s="141">
        <f>_xlfn.XLOOKUP(D5,'个人业绩-B-a-②呈现-业绩明细表'!$C:$C,'个人业绩-B-a-②呈现-业绩明细表'!$E:$E,0)</f>
        <v>44516.5</v>
      </c>
      <c r="J5" s="141">
        <f>_xlfn.XLOOKUP(D5,'个人业绩-B-a-②呈现-业绩明细表'!$C:$C,'个人业绩-B-a-②呈现-业绩明细表'!$F:$F,0)</f>
        <v>5500</v>
      </c>
      <c r="K5" s="53">
        <f>SUMIFS('⑦扣除明细-B-a-12-奖励统计表③'!G:G,'⑦扣除明细-B-a-12-奖励统计表③'!D:D,D5)</f>
        <v>666</v>
      </c>
      <c r="L5" s="53">
        <f>_xlfn.XLOOKUP($D$5,'⑤项目数-B-a-③消耗明细表'!$C:$C,'⑤项目数-B-a-③消耗明细表'!E:E,0)</f>
        <v>48340.47</v>
      </c>
      <c r="M5" s="153">
        <f>_xlfn.XLOOKUP(D5,'⑤项目数-B-a-③消耗明细表'!$C:$C,'⑤项目数-B-a-③消耗明细表'!F:F,0)</f>
        <v>1712</v>
      </c>
      <c r="N5" s="53">
        <f>_xlfn.XLOOKUP(D5,'⑤项目数-B-a-③消耗明细表'!$C:$C,'⑤项目数-B-a-③消耗明细表'!G:G,0)</f>
        <v>170</v>
      </c>
    </row>
    <row r="6" spans="1:20" x14ac:dyDescent="0.15">
      <c r="A6" s="52" t="str">
        <v>华润</v>
      </c>
      <c r="B6" s="52" t="str">
        <v>健康师</v>
      </c>
      <c r="C6" s="52" t="str">
        <v>A</v>
      </c>
      <c r="D6" s="52" t="str">
        <v>黄小燕</v>
      </c>
      <c r="E6" s="52" t="str">
        <f>_xlfn.XLOOKUP(D6,期初设置!E:E,期初设置!F:F,0)</f>
        <v>华润+飞跃队</v>
      </c>
      <c r="F6" s="52" t="str">
        <f>_xlfn.XLOOKUP(D6,期初设置!E:E,期初设置!D:D,0)</f>
        <v>顾问</v>
      </c>
      <c r="G6" s="53">
        <f>_xlfn.XLOOKUP(D6,'④考勤-B-a-26考勤汇总表'!D:D,'④考勤-B-a-26考勤汇总表'!AP:AP,0)</f>
        <v>31</v>
      </c>
      <c r="H6" s="141">
        <f>_xlfn.XLOOKUP(D6,'个人业绩-B-a-②呈现-业绩明细表'!$C:$C,'个人业绩-B-a-②呈现-业绩明细表'!D:D,0)</f>
        <v>69858.899999999994</v>
      </c>
      <c r="I6" s="141">
        <f>_xlfn.XLOOKUP(D6,'个人业绩-B-a-②呈现-业绩明细表'!$C:$C,'个人业绩-B-a-②呈现-业绩明细表'!$E:$E,0)</f>
        <v>66358.899999999994</v>
      </c>
      <c r="J6" s="141">
        <f>_xlfn.XLOOKUP(D6,'个人业绩-B-a-②呈现-业绩明细表'!$C:$C,'个人业绩-B-a-②呈现-业绩明细表'!$F:$F,0)</f>
        <v>3500</v>
      </c>
      <c r="K6" s="53">
        <f>SUMIFS('⑦扣除明细-B-a-12-奖励统计表③'!G:G,'⑦扣除明细-B-a-12-奖励统计表③'!D:D,D6)</f>
        <v>0</v>
      </c>
      <c r="L6" s="53">
        <f>_xlfn.XLOOKUP(D6,'⑤项目数-B-a-③消耗明细表'!C:C,'⑤项目数-B-a-③消耗明细表'!E:E,0)</f>
        <v>56864.800000000003</v>
      </c>
      <c r="M6" s="153">
        <f>_xlfn.XLOOKUP(D6,'⑤项目数-B-a-③消耗明细表'!$C:$C,'⑤项目数-B-a-③消耗明细表'!F:F,0)</f>
        <v>1782.5</v>
      </c>
      <c r="N6" s="53">
        <f>_xlfn.XLOOKUP(D6,'⑤项目数-B-a-③消耗明细表'!$C:$C,'⑤项目数-B-a-③消耗明细表'!G:G,0)</f>
        <v>220</v>
      </c>
    </row>
    <row r="7" spans="1:20" x14ac:dyDescent="0.15">
      <c r="A7" s="52" t="str">
        <v>华润</v>
      </c>
      <c r="B7" s="52" t="str">
        <v>健康师</v>
      </c>
      <c r="C7" s="52" t="str">
        <v>A</v>
      </c>
      <c r="D7" s="52" t="str">
        <v>赵玉晓</v>
      </c>
      <c r="E7" s="52" t="str">
        <f>_xlfn.XLOOKUP(D7,期初设置!E:E,期初设置!F:F,0)</f>
        <v>华润+战狼队</v>
      </c>
      <c r="F7" s="52" t="str">
        <f>_xlfn.XLOOKUP(D7,期初设置!E:E,期初设置!D:D,0)</f>
        <v>健康师</v>
      </c>
      <c r="G7" s="53">
        <f>_xlfn.XLOOKUP(D7,'④考勤-B-a-26考勤汇总表'!D:D,'④考勤-B-a-26考勤汇总表'!AP:AP,0)</f>
        <v>31</v>
      </c>
      <c r="H7" s="141">
        <f>_xlfn.XLOOKUP(D7,'个人业绩-B-a-②呈现-业绩明细表'!$C:$C,'个人业绩-B-a-②呈现-业绩明细表'!D:D,0)</f>
        <v>35893.699999999997</v>
      </c>
      <c r="I7" s="141">
        <f>_xlfn.XLOOKUP(D7,'个人业绩-B-a-②呈现-业绩明细表'!$C:$C,'个人业绩-B-a-②呈现-业绩明细表'!$E:$E,0)</f>
        <v>34393.699999999997</v>
      </c>
      <c r="J7" s="141">
        <f>_xlfn.XLOOKUP(D7,'个人业绩-B-a-②呈现-业绩明细表'!$C:$C,'个人业绩-B-a-②呈现-业绩明细表'!$F:$F,0)</f>
        <v>1500</v>
      </c>
      <c r="K7" s="53">
        <f>SUMIFS('⑦扣除明细-B-a-12-奖励统计表③'!G:G,'⑦扣除明细-B-a-12-奖励统计表③'!D:D,D7)</f>
        <v>0</v>
      </c>
      <c r="L7" s="53">
        <f>_xlfn.XLOOKUP(D7,'⑤项目数-B-a-③消耗明细表'!C:C,'⑤项目数-B-a-③消耗明细表'!E:E,0)</f>
        <v>14652.31</v>
      </c>
      <c r="M7" s="153">
        <f>_xlfn.XLOOKUP(D7,'⑤项目数-B-a-③消耗明细表'!$C:$C,'⑤项目数-B-a-③消耗明细表'!F:F,0)</f>
        <v>1006</v>
      </c>
      <c r="N7" s="53">
        <f>_xlfn.XLOOKUP(D7,'⑤项目数-B-a-③消耗明细表'!$C:$C,'⑤项目数-B-a-③消耗明细表'!G:G,0)</f>
        <v>20</v>
      </c>
    </row>
    <row r="8" spans="1:20" x14ac:dyDescent="0.15">
      <c r="A8" s="52" t="str">
        <v>华润</v>
      </c>
      <c r="B8" s="52" t="str">
        <v>健康师</v>
      </c>
      <c r="C8" s="52" t="str">
        <v>A</v>
      </c>
      <c r="D8" s="52" t="str">
        <v>雷朝霞</v>
      </c>
      <c r="E8" s="52" t="str">
        <f>_xlfn.XLOOKUP(D8,期初设置!E:E,期初设置!F:F,0)</f>
        <v>华润+战狼队</v>
      </c>
      <c r="F8" s="52" t="str">
        <f>_xlfn.XLOOKUP(D8,期初设置!E:E,期初设置!D:D,0)</f>
        <v>健康师</v>
      </c>
      <c r="G8" s="53">
        <f>_xlfn.XLOOKUP(D8,'④考勤-B-a-26考勤汇总表'!D:D,'④考勤-B-a-26考勤汇总表'!AP:AP,0)</f>
        <v>31</v>
      </c>
      <c r="H8" s="141">
        <f>_xlfn.XLOOKUP(D8,'个人业绩-B-a-②呈现-业绩明细表'!$C:$C,'个人业绩-B-a-②呈现-业绩明细表'!D:D,0)</f>
        <v>11021</v>
      </c>
      <c r="I8" s="141">
        <f>_xlfn.XLOOKUP(D8,'个人业绩-B-a-②呈现-业绩明细表'!$C:$C,'个人业绩-B-a-②呈现-业绩明细表'!$E:$E,0)</f>
        <v>11021</v>
      </c>
      <c r="J8" s="141">
        <f>_xlfn.XLOOKUP(D8,'个人业绩-B-a-②呈现-业绩明细表'!$C:$C,'个人业绩-B-a-②呈现-业绩明细表'!$F:$F,0)</f>
        <v>0</v>
      </c>
      <c r="K8" s="53">
        <f>SUMIFS('⑦扣除明细-B-a-12-奖励统计表③'!G:G,'⑦扣除明细-B-a-12-奖励统计表③'!D:D,D8)</f>
        <v>0</v>
      </c>
      <c r="L8" s="53">
        <f>_xlfn.XLOOKUP(D8,'⑤项目数-B-a-③消耗明细表'!C:C,'⑤项目数-B-a-③消耗明细表'!E:E,0)</f>
        <v>10407.49</v>
      </c>
      <c r="M8" s="153">
        <f>_xlfn.XLOOKUP(D8,'⑤项目数-B-a-③消耗明细表'!$C:$C,'⑤项目数-B-a-③消耗明细表'!F:F,0)</f>
        <v>1094</v>
      </c>
      <c r="N8" s="53">
        <f>_xlfn.XLOOKUP(D8,'⑤项目数-B-a-③消耗明细表'!$C:$C,'⑤项目数-B-a-③消耗明细表'!G:G,0)</f>
        <v>40</v>
      </c>
    </row>
    <row r="9" spans="1:20" x14ac:dyDescent="0.15">
      <c r="A9" s="52" t="str">
        <v>华润</v>
      </c>
      <c r="B9" s="52" t="str">
        <v>健康师</v>
      </c>
      <c r="C9" s="52" t="str">
        <v>A</v>
      </c>
      <c r="D9" s="52" t="str">
        <v>陈雪莲</v>
      </c>
      <c r="E9" s="52" t="str">
        <f>_xlfn.XLOOKUP(D9,期初设置!E:E,期初设置!F:F,0)</f>
        <v>华润+飞跃队</v>
      </c>
      <c r="F9" s="52" t="str">
        <f>_xlfn.XLOOKUP(D9,期初设置!E:E,期初设置!D:D,0)</f>
        <v>健康师</v>
      </c>
      <c r="G9" s="53">
        <f>_xlfn.XLOOKUP(D9,'④考勤-B-a-26考勤汇总表'!D:D,'④考勤-B-a-26考勤汇总表'!AP:AP,0)</f>
        <v>31</v>
      </c>
      <c r="H9" s="141">
        <f>_xlfn.XLOOKUP(D9,'个人业绩-B-a-②呈现-业绩明细表'!$C:$C,'个人业绩-B-a-②呈现-业绩明细表'!D:D,0)</f>
        <v>22150.7</v>
      </c>
      <c r="I9" s="141">
        <f>_xlfn.XLOOKUP(D9,'个人业绩-B-a-②呈现-业绩明细表'!$C:$C,'个人业绩-B-a-②呈现-业绩明细表'!$E:$E,0)</f>
        <v>21400.7</v>
      </c>
      <c r="J9" s="141">
        <f>_xlfn.XLOOKUP(D9,'个人业绩-B-a-②呈现-业绩明细表'!$C:$C,'个人业绩-B-a-②呈现-业绩明细表'!$F:$F,0)</f>
        <v>750</v>
      </c>
      <c r="K9" s="53">
        <f>SUMIFS('⑦扣除明细-B-a-12-奖励统计表③'!G:G,'⑦扣除明细-B-a-12-奖励统计表③'!D:D,D9)</f>
        <v>0</v>
      </c>
      <c r="L9" s="53">
        <f>_xlfn.XLOOKUP(D9,'⑤项目数-B-a-③消耗明细表'!C:C,'⑤项目数-B-a-③消耗明细表'!E:E,0)</f>
        <v>20974.32</v>
      </c>
      <c r="M9" s="153">
        <f>_xlfn.XLOOKUP(D9,'⑤项目数-B-a-③消耗明细表'!$C:$C,'⑤项目数-B-a-③消耗明细表'!F:F,0)</f>
        <v>1223.5</v>
      </c>
      <c r="N9" s="53">
        <f>_xlfn.XLOOKUP(D9,'⑤项目数-B-a-③消耗明细表'!$C:$C,'⑤项目数-B-a-③消耗明细表'!G:G,0)</f>
        <v>15</v>
      </c>
    </row>
    <row r="10" spans="1:20" x14ac:dyDescent="0.15">
      <c r="A10" s="52" t="str">
        <v>紫荆</v>
      </c>
      <c r="B10" s="52" t="str">
        <v>健康师</v>
      </c>
      <c r="C10" s="52" t="str">
        <v>A</v>
      </c>
      <c r="D10" s="52" t="str">
        <v>刘巧艳</v>
      </c>
      <c r="E10" s="52" t="str">
        <f>_xlfn.XLOOKUP(D10,期初设置!E:E,期初设置!F:F,0)</f>
        <v>紫荆+团结队</v>
      </c>
      <c r="F10" s="52" t="str">
        <f>_xlfn.XLOOKUP(D10,期初设置!E:E,期初设置!D:D,0)</f>
        <v>顾问</v>
      </c>
      <c r="G10" s="53">
        <f>_xlfn.XLOOKUP(D10,'④考勤-B-a-26考勤汇总表'!D:D,'④考勤-B-a-26考勤汇总表'!AP:AP,0)</f>
        <v>31</v>
      </c>
      <c r="H10" s="141">
        <f>_xlfn.XLOOKUP(D10,'个人业绩-B-a-②呈现-业绩明细表'!$C:$C,'个人业绩-B-a-②呈现-业绩明细表'!D:D,0)</f>
        <v>107961.05</v>
      </c>
      <c r="I10" s="141">
        <f>_xlfn.XLOOKUP(D10,'个人业绩-B-a-②呈现-业绩明细表'!$C:$C,'个人业绩-B-a-②呈现-业绩明细表'!$E:$E,0)</f>
        <v>107961.05</v>
      </c>
      <c r="J10" s="141">
        <f>_xlfn.XLOOKUP(D10,'个人业绩-B-a-②呈现-业绩明细表'!$C:$C,'个人业绩-B-a-②呈现-业绩明细表'!$F:$F,0)</f>
        <v>0</v>
      </c>
      <c r="K10" s="53">
        <f>SUMIFS('⑦扣除明细-B-a-12-奖励统计表③'!G:G,'⑦扣除明细-B-a-12-奖励统计表③'!D:D,D10)</f>
        <v>0</v>
      </c>
      <c r="L10" s="53">
        <f>_xlfn.XLOOKUP(D10,'⑤项目数-B-a-③消耗明细表'!C:C,'⑤项目数-B-a-③消耗明细表'!E:E,0)</f>
        <v>69681.67</v>
      </c>
      <c r="M10" s="153">
        <f>_xlfn.XLOOKUP(D10,'⑤项目数-B-a-③消耗明细表'!$C:$C,'⑤项目数-B-a-③消耗明细表'!F:F,0)</f>
        <v>1160</v>
      </c>
      <c r="N10" s="53">
        <f>_xlfn.XLOOKUP(D10,'⑤项目数-B-a-③消耗明细表'!$C:$C,'⑤项目数-B-a-③消耗明细表'!G:G,0)</f>
        <v>130</v>
      </c>
    </row>
    <row r="11" spans="1:20" x14ac:dyDescent="0.15">
      <c r="A11" s="52" t="str">
        <v>紫荆</v>
      </c>
      <c r="B11" s="52" t="str">
        <v>健康师</v>
      </c>
      <c r="C11" s="52" t="str">
        <v>A</v>
      </c>
      <c r="D11" s="52" t="str">
        <v>康红梅</v>
      </c>
      <c r="E11" s="52" t="str">
        <f>_xlfn.XLOOKUP(D11,期初设置!E:E,期初设置!F:F,0)</f>
        <v>紫荆+雄鹰队</v>
      </c>
      <c r="F11" s="52" t="str">
        <f>_xlfn.XLOOKUP(D11,期初设置!E:E,期初设置!D:D,0)</f>
        <v>顾问</v>
      </c>
      <c r="G11" s="53">
        <f>_xlfn.XLOOKUP(D11,'④考勤-B-a-26考勤汇总表'!D:D,'④考勤-B-a-26考勤汇总表'!AP:AP,0)</f>
        <v>31</v>
      </c>
      <c r="H11" s="141">
        <f>_xlfn.XLOOKUP(D11,'个人业绩-B-a-②呈现-业绩明细表'!$C:$C,'个人业绩-B-a-②呈现-业绩明细表'!D:D,0)</f>
        <v>106558.9</v>
      </c>
      <c r="I11" s="141">
        <f>_xlfn.XLOOKUP(D11,'个人业绩-B-a-②呈现-业绩明细表'!$C:$C,'个人业绩-B-a-②呈现-业绩明细表'!$E:$E,0)</f>
        <v>96576.9</v>
      </c>
      <c r="J11" s="141">
        <f>_xlfn.XLOOKUP(D11,'个人业绩-B-a-②呈现-业绩明细表'!$C:$C,'个人业绩-B-a-②呈现-业绩明细表'!$F:$F,0)</f>
        <v>9982</v>
      </c>
      <c r="K11" s="53">
        <f>SUMIFS('⑦扣除明细-B-a-12-奖励统计表③'!G:G,'⑦扣除明细-B-a-12-奖励统计表③'!D:D,D11)</f>
        <v>0</v>
      </c>
      <c r="L11" s="53">
        <f>_xlfn.XLOOKUP(D11,'⑤项目数-B-a-③消耗明细表'!C:C,'⑤项目数-B-a-③消耗明细表'!E:E,0)</f>
        <v>53433.05</v>
      </c>
      <c r="M11" s="153">
        <f>_xlfn.XLOOKUP(D11,'⑤项目数-B-a-③消耗明细表'!$C:$C,'⑤项目数-B-a-③消耗明细表'!F:F,0)</f>
        <v>1692</v>
      </c>
      <c r="N11" s="53">
        <f>_xlfn.XLOOKUP(D11,'⑤项目数-B-a-③消耗明细表'!$C:$C,'⑤项目数-B-a-③消耗明细表'!G:G,0)</f>
        <v>235</v>
      </c>
    </row>
    <row r="12" spans="1:20" x14ac:dyDescent="0.15">
      <c r="A12" s="52" t="str">
        <v>紫荆</v>
      </c>
      <c r="B12" s="52" t="str">
        <v>健康师</v>
      </c>
      <c r="C12" s="52" t="str">
        <v>A</v>
      </c>
      <c r="D12" s="52" t="str">
        <v>唐银春</v>
      </c>
      <c r="E12" s="52" t="str">
        <f>_xlfn.XLOOKUP(D12,期初设置!E:E,期初设置!F:F,0)</f>
        <v>紫荆+雄鹰队</v>
      </c>
      <c r="F12" s="52" t="str">
        <f>_xlfn.XLOOKUP(D12,期初设置!E:E,期初设置!D:D,0)</f>
        <v>健康师</v>
      </c>
      <c r="G12" s="53">
        <f>_xlfn.XLOOKUP(D12,'④考勤-B-a-26考勤汇总表'!D:D,'④考勤-B-a-26考勤汇总表'!AP:AP,0)</f>
        <v>31</v>
      </c>
      <c r="H12" s="141">
        <f>_xlfn.XLOOKUP(D12,'个人业绩-B-a-②呈现-业绩明细表'!$C:$C,'个人业绩-B-a-②呈现-业绩明细表'!D:D,0)</f>
        <v>112622.5</v>
      </c>
      <c r="I12" s="141">
        <f>_xlfn.XLOOKUP(D12,'个人业绩-B-a-②呈现-业绩明细表'!$C:$C,'个人业绩-B-a-②呈现-业绩明细表'!$E:$E,0)</f>
        <v>105738.5</v>
      </c>
      <c r="J12" s="141">
        <f>_xlfn.XLOOKUP(D12,'个人业绩-B-a-②呈现-业绩明细表'!$C:$C,'个人业绩-B-a-②呈现-业绩明细表'!$F:$F,0)</f>
        <v>6884</v>
      </c>
      <c r="K12" s="53">
        <f>SUMIFS('⑦扣除明细-B-a-12-奖励统计表③'!G:G,'⑦扣除明细-B-a-12-奖励统计表③'!D:D,D12)</f>
        <v>0</v>
      </c>
      <c r="L12" s="53">
        <f>_xlfn.XLOOKUP(D12,'⑤项目数-B-a-③消耗明细表'!C:C,'⑤项目数-B-a-③消耗明细表'!E:E,0)</f>
        <v>33731.67</v>
      </c>
      <c r="M12" s="153">
        <f>_xlfn.XLOOKUP(D12,'⑤项目数-B-a-③消耗明细表'!$C:$C,'⑤项目数-B-a-③消耗明细表'!F:F,0)</f>
        <v>1541</v>
      </c>
      <c r="N12" s="53">
        <f>_xlfn.XLOOKUP(D12,'⑤项目数-B-a-③消耗明细表'!$C:$C,'⑤项目数-B-a-③消耗明细表'!G:G,0)</f>
        <v>95</v>
      </c>
    </row>
    <row r="13" spans="1:20" x14ac:dyDescent="0.15">
      <c r="A13" s="52" t="str">
        <v>紫荆</v>
      </c>
      <c r="B13" s="52" t="str">
        <v>健康师</v>
      </c>
      <c r="C13" s="52" t="str">
        <v>A</v>
      </c>
      <c r="D13" s="52" t="str">
        <v>刘晓丽</v>
      </c>
      <c r="E13" s="52" t="str">
        <f>_xlfn.XLOOKUP(D13,期初设置!E:E,期初设置!F:F,0)</f>
        <v>紫荆+团结队</v>
      </c>
      <c r="F13" s="52" t="str">
        <f>_xlfn.XLOOKUP(D13,期初设置!E:E,期初设置!D:D,0)</f>
        <v>健康师</v>
      </c>
      <c r="G13" s="53">
        <f>_xlfn.XLOOKUP(D13,'④考勤-B-a-26考勤汇总表'!D:D,'④考勤-B-a-26考勤汇总表'!AP:AP,0)</f>
        <v>31</v>
      </c>
      <c r="H13" s="141">
        <f>_xlfn.XLOOKUP(D13,'个人业绩-B-a-②呈现-业绩明细表'!$C:$C,'个人业绩-B-a-②呈现-业绩明细表'!D:D,0)</f>
        <v>69005.850000000006</v>
      </c>
      <c r="I13" s="141">
        <f>_xlfn.XLOOKUP(D13,'个人业绩-B-a-②呈现-业绩明细表'!$C:$C,'个人业绩-B-a-②呈现-业绩明细表'!$E:$E,0)</f>
        <v>40027.85</v>
      </c>
      <c r="J13" s="141">
        <f>_xlfn.XLOOKUP(D13,'个人业绩-B-a-②呈现-业绩明细表'!$C:$C,'个人业绩-B-a-②呈现-业绩明细表'!$F:$F,0)</f>
        <v>28978</v>
      </c>
      <c r="K13" s="53">
        <f>SUMIFS('⑦扣除明细-B-a-12-奖励统计表③'!G:G,'⑦扣除明细-B-a-12-奖励统计表③'!D:D,D13)</f>
        <v>0</v>
      </c>
      <c r="L13" s="53">
        <f>_xlfn.XLOOKUP(D13,'⑤项目数-B-a-③消耗明细表'!C:C,'⑤项目数-B-a-③消耗明细表'!E:E,0)</f>
        <v>24707.94</v>
      </c>
      <c r="M13" s="153">
        <f>_xlfn.XLOOKUP(D13,'⑤项目数-B-a-③消耗明细表'!$C:$C,'⑤项目数-B-a-③消耗明细表'!F:F,0)</f>
        <v>1173.5</v>
      </c>
      <c r="N13" s="53">
        <f>_xlfn.XLOOKUP(D13,'⑤项目数-B-a-③消耗明细表'!$C:$C,'⑤项目数-B-a-③消耗明细表'!G:G,0)</f>
        <v>70</v>
      </c>
    </row>
    <row r="14" spans="1:20" x14ac:dyDescent="0.15">
      <c r="A14" s="52" t="str">
        <v>紫荆</v>
      </c>
      <c r="B14" s="52" t="str">
        <v>健康师</v>
      </c>
      <c r="C14" s="52" t="str">
        <v>A</v>
      </c>
      <c r="D14" s="52" t="str">
        <v>熊艳</v>
      </c>
      <c r="E14" s="52" t="str">
        <f>_xlfn.XLOOKUP(D14,期初设置!E:E,期初设置!F:F,0)</f>
        <v>紫荆+冲刺队</v>
      </c>
      <c r="F14" s="52" t="str">
        <f>_xlfn.XLOOKUP(D14,期初设置!E:E,期初设置!D:D,0)</f>
        <v>顾问</v>
      </c>
      <c r="G14" s="53">
        <f>_xlfn.XLOOKUP(D14,'④考勤-B-a-26考勤汇总表'!D:D,'④考勤-B-a-26考勤汇总表'!AP:AP,0)</f>
        <v>31</v>
      </c>
      <c r="H14" s="141">
        <f>_xlfn.XLOOKUP(D14,'个人业绩-B-a-②呈现-业绩明细表'!$C:$C,'个人业绩-B-a-②呈现-业绩明细表'!D:D,0)</f>
        <v>45839.8</v>
      </c>
      <c r="I14" s="141">
        <f>_xlfn.XLOOKUP(D14,'个人业绩-B-a-②呈现-业绩明细表'!$C:$C,'个人业绩-B-a-②呈现-业绩明细表'!$E:$E,0)</f>
        <v>37511.800000000003</v>
      </c>
      <c r="J14" s="141">
        <f>_xlfn.XLOOKUP(D14,'个人业绩-B-a-②呈现-业绩明细表'!$C:$C,'个人业绩-B-a-②呈现-业绩明细表'!$F:$F,0)</f>
        <v>6884</v>
      </c>
      <c r="K14" s="53">
        <f>SUMIFS('⑦扣除明细-B-a-12-奖励统计表③'!G:G,'⑦扣除明细-B-a-12-奖励统计表③'!D:D,D14)</f>
        <v>1444</v>
      </c>
      <c r="L14" s="53">
        <f>_xlfn.XLOOKUP(D14,'⑤项目数-B-a-③消耗明细表'!C:C,'⑤项目数-B-a-③消耗明细表'!E:E,0)</f>
        <v>29465.21</v>
      </c>
      <c r="M14" s="153">
        <f>_xlfn.XLOOKUP(D14,'⑤项目数-B-a-③消耗明细表'!$C:$C,'⑤项目数-B-a-③消耗明细表'!F:F,0)</f>
        <v>1585</v>
      </c>
      <c r="N14" s="53">
        <f>_xlfn.XLOOKUP(D14,'⑤项目数-B-a-③消耗明细表'!$C:$C,'⑤项目数-B-a-③消耗明细表'!G:G,0)</f>
        <v>150</v>
      </c>
    </row>
    <row r="15" spans="1:20" x14ac:dyDescent="0.15">
      <c r="A15" s="52" t="str">
        <v>紫荆</v>
      </c>
      <c r="B15" s="52" t="str">
        <v>健康师</v>
      </c>
      <c r="C15" s="52" t="str">
        <v>A</v>
      </c>
      <c r="D15" s="52" t="str">
        <v>任静</v>
      </c>
      <c r="E15" s="52" t="str">
        <f>_xlfn.XLOOKUP(D15,期初设置!E:E,期初设置!F:F,0)</f>
        <v>紫荆+冲刺队</v>
      </c>
      <c r="F15" s="52" t="str">
        <f>_xlfn.XLOOKUP(D15,期初设置!E:E,期初设置!D:D,0)</f>
        <v>健康师</v>
      </c>
      <c r="G15" s="53">
        <f>_xlfn.XLOOKUP(D15,'④考勤-B-a-26考勤汇总表'!D:D,'④考勤-B-a-26考勤汇总表'!AP:AP,0)</f>
        <v>31</v>
      </c>
      <c r="H15" s="141">
        <f>_xlfn.XLOOKUP(D15,'个人业绩-B-a-②呈现-业绩明细表'!$C:$C,'个人业绩-B-a-②呈现-业绩明细表'!D:D,0)</f>
        <v>32030.5</v>
      </c>
      <c r="I15" s="141">
        <f>_xlfn.XLOOKUP(D15,'个人业绩-B-a-②呈现-业绩明细表'!$C:$C,'个人业绩-B-a-②呈现-业绩明细表'!$E:$E,0)</f>
        <v>22890.5</v>
      </c>
      <c r="J15" s="141">
        <f>_xlfn.XLOOKUP(D15,'个人业绩-B-a-②呈现-业绩明细表'!$C:$C,'个人业绩-B-a-②呈现-业绩明细表'!$F:$F,0)</f>
        <v>9140</v>
      </c>
      <c r="K15" s="53">
        <f>SUMIFS('⑦扣除明细-B-a-12-奖励统计表③'!G:G,'⑦扣除明细-B-a-12-奖励统计表③'!D:D,D15)</f>
        <v>0</v>
      </c>
      <c r="L15" s="53">
        <f>_xlfn.XLOOKUP(D15,'⑤项目数-B-a-③消耗明细表'!C:C,'⑤项目数-B-a-③消耗明细表'!E:E,0)</f>
        <v>31398.68</v>
      </c>
      <c r="M15" s="153">
        <f>_xlfn.XLOOKUP(D15,'⑤项目数-B-a-③消耗明细表'!$C:$C,'⑤项目数-B-a-③消耗明细表'!F:F,0)</f>
        <v>1087.5</v>
      </c>
      <c r="N15" s="53">
        <f>_xlfn.XLOOKUP(D15,'⑤项目数-B-a-③消耗明细表'!$C:$C,'⑤项目数-B-a-③消耗明细表'!G:G,0)</f>
        <v>0</v>
      </c>
    </row>
    <row r="16" spans="1:20" x14ac:dyDescent="0.15">
      <c r="A16" s="52" t="str">
        <v>紫荆</v>
      </c>
      <c r="B16" s="52" t="str">
        <v>健康师</v>
      </c>
      <c r="C16" s="52" t="str">
        <v>A</v>
      </c>
      <c r="D16" s="52" t="str">
        <v>陈红霞</v>
      </c>
      <c r="E16" s="52" t="str">
        <f>_xlfn.XLOOKUP(D16,期初设置!E:E,期初设置!F:F,0)</f>
        <v>紫荆+雄鹰队</v>
      </c>
      <c r="F16" s="52" t="str">
        <f>_xlfn.XLOOKUP(D16,期初设置!E:E,期初设置!D:D,0)</f>
        <v>健康师</v>
      </c>
      <c r="G16" s="53">
        <f>_xlfn.XLOOKUP(D16,'④考勤-B-a-26考勤汇总表'!D:D,'④考勤-B-a-26考勤汇总表'!AP:AP,0)</f>
        <v>31</v>
      </c>
      <c r="H16" s="141">
        <f>_xlfn.XLOOKUP(D16,'个人业绩-B-a-②呈现-业绩明细表'!$C:$C,'个人业绩-B-a-②呈现-业绩明细表'!D:D,0)</f>
        <v>37087</v>
      </c>
      <c r="I16" s="141">
        <f>_xlfn.XLOOKUP(D16,'个人业绩-B-a-②呈现-业绩明细表'!$C:$C,'个人业绩-B-a-②呈现-业绩明细表'!$E:$E,0)</f>
        <v>12376</v>
      </c>
      <c r="J16" s="141">
        <f>_xlfn.XLOOKUP(D16,'个人业绩-B-a-②呈现-业绩明细表'!$C:$C,'个人业绩-B-a-②呈现-业绩明细表'!$F:$F,0)</f>
        <v>24091</v>
      </c>
      <c r="K16" s="53">
        <f>SUMIFS('⑦扣除明细-B-a-12-奖励统计表③'!G:G,'⑦扣除明细-B-a-12-奖励统计表③'!D:D,D16)</f>
        <v>620</v>
      </c>
      <c r="L16" s="53">
        <f>_xlfn.XLOOKUP(D16,'⑤项目数-B-a-③消耗明细表'!C:C,'⑤项目数-B-a-③消耗明细表'!E:E,0)</f>
        <v>7885.26</v>
      </c>
      <c r="M16" s="153">
        <f>_xlfn.XLOOKUP(D16,'⑤项目数-B-a-③消耗明细表'!$C:$C,'⑤项目数-B-a-③消耗明细表'!F:F,0)</f>
        <v>1208</v>
      </c>
      <c r="N16" s="53">
        <f>_xlfn.XLOOKUP(D16,'⑤项目数-B-a-③消耗明细表'!$C:$C,'⑤项目数-B-a-③消耗明细表'!G:G,0)</f>
        <v>37.5</v>
      </c>
    </row>
    <row r="17" spans="1:14" x14ac:dyDescent="0.15">
      <c r="A17" s="52" t="str">
        <v>紫荆</v>
      </c>
      <c r="B17" s="52" t="str">
        <v>健康师</v>
      </c>
      <c r="C17" s="52" t="str">
        <v>A</v>
      </c>
      <c r="D17" s="52" t="str">
        <v>廖增珍</v>
      </c>
      <c r="E17" s="52" t="str">
        <f>_xlfn.XLOOKUP(D17,期初设置!E:E,期初设置!F:F,0)</f>
        <v>紫荆+冲刺队</v>
      </c>
      <c r="F17" s="52" t="str">
        <f>_xlfn.XLOOKUP(D17,期初设置!E:E,期初设置!D:D,0)</f>
        <v>健康师</v>
      </c>
      <c r="G17" s="53">
        <f>_xlfn.XLOOKUP(D17,'④考勤-B-a-26考勤汇总表'!D:D,'④考勤-B-a-26考勤汇总表'!AP:AP,0)</f>
        <v>26</v>
      </c>
      <c r="H17" s="141">
        <f>_xlfn.XLOOKUP(D17,'个人业绩-B-a-②呈现-业绩明细表'!$C:$C,'个人业绩-B-a-②呈现-业绩明细表'!D:D,0)</f>
        <v>9650.4</v>
      </c>
      <c r="I17" s="141">
        <f>_xlfn.XLOOKUP(D17,'个人业绩-B-a-②呈现-业绩明细表'!$C:$C,'个人业绩-B-a-②呈现-业绩明细表'!$E:$E,0)</f>
        <v>9650.4</v>
      </c>
      <c r="J17" s="141">
        <f>_xlfn.XLOOKUP(D17,'个人业绩-B-a-②呈现-业绩明细表'!$C:$C,'个人业绩-B-a-②呈现-业绩明细表'!$F:$F,0)</f>
        <v>0</v>
      </c>
      <c r="K17" s="53">
        <f>SUMIFS('⑦扣除明细-B-a-12-奖励统计表③'!G:G,'⑦扣除明细-B-a-12-奖励统计表③'!D:D,D17)</f>
        <v>0</v>
      </c>
      <c r="L17" s="53">
        <f>_xlfn.XLOOKUP(D17,'⑤项目数-B-a-③消耗明细表'!C:C,'⑤项目数-B-a-③消耗明细表'!E:E,0)</f>
        <v>15849.5</v>
      </c>
      <c r="M17" s="153">
        <f>_xlfn.XLOOKUP(D17,'⑤项目数-B-a-③消耗明细表'!$C:$C,'⑤项目数-B-a-③消耗明细表'!F:F,0)</f>
        <v>1037</v>
      </c>
      <c r="N17" s="53">
        <f>_xlfn.XLOOKUP(D17,'⑤项目数-B-a-③消耗明细表'!$C:$C,'⑤项目数-B-a-③消耗明细表'!G:G,0)</f>
        <v>37.5</v>
      </c>
    </row>
    <row r="18" spans="1:14" x14ac:dyDescent="0.15">
      <c r="A18" s="52" t="str">
        <v>龙湖</v>
      </c>
      <c r="B18" s="52" t="str">
        <v>健康师</v>
      </c>
      <c r="C18" s="52" t="str">
        <v>A</v>
      </c>
      <c r="D18" s="52" t="str">
        <v>张候敏</v>
      </c>
      <c r="E18" s="52" t="str">
        <f>_xlfn.XLOOKUP(D18,期初设置!E:E,期初设置!F:F,0)</f>
        <v>龙湖+必胜队</v>
      </c>
      <c r="F18" s="52" t="str">
        <f>_xlfn.XLOOKUP(D18,期初设置!E:E,期初设置!D:D,0)</f>
        <v>顾问</v>
      </c>
      <c r="G18" s="53">
        <f>_xlfn.XLOOKUP(D18,'④考勤-B-a-26考勤汇总表'!D:D,'④考勤-B-a-26考勤汇总表'!AP:AP,0)</f>
        <v>31</v>
      </c>
      <c r="H18" s="141">
        <f>_xlfn.XLOOKUP(D18,'个人业绩-B-a-②呈现-业绩明细表'!$C:$C,'个人业绩-B-a-②呈现-业绩明细表'!D:D,0)</f>
        <v>68146</v>
      </c>
      <c r="I18" s="141">
        <f>_xlfn.XLOOKUP(D18,'个人业绩-B-a-②呈现-业绩明细表'!$C:$C,'个人业绩-B-a-②呈现-业绩明细表'!$E:$E,0)</f>
        <v>52166</v>
      </c>
      <c r="J18" s="141">
        <f>_xlfn.XLOOKUP(D18,'个人业绩-B-a-②呈现-业绩明细表'!$C:$C,'个人业绩-B-a-②呈现-业绩明细表'!$F:$F,0)</f>
        <v>15980</v>
      </c>
      <c r="K18" s="53">
        <f>SUMIFS('⑦扣除明细-B-a-12-奖励统计表③'!G:G,'⑦扣除明细-B-a-12-奖励统计表③'!D:D,D18)</f>
        <v>0</v>
      </c>
      <c r="L18" s="53">
        <f>_xlfn.XLOOKUP(D18,'⑤项目数-B-a-③消耗明细表'!C:C,'⑤项目数-B-a-③消耗明细表'!E:E,0)</f>
        <v>58362.94</v>
      </c>
      <c r="M18" s="153">
        <f>_xlfn.XLOOKUP(D18,'⑤项目数-B-a-③消耗明细表'!$C:$C,'⑤项目数-B-a-③消耗明细表'!F:F,0)</f>
        <v>1687</v>
      </c>
      <c r="N18" s="53">
        <f>_xlfn.XLOOKUP(D18,'⑤项目数-B-a-③消耗明细表'!$C:$C,'⑤项目数-B-a-③消耗明细表'!G:G,0)</f>
        <v>290</v>
      </c>
    </row>
    <row r="19" spans="1:14" x14ac:dyDescent="0.15">
      <c r="A19" s="52" t="str">
        <v>龙湖</v>
      </c>
      <c r="B19" s="52" t="str">
        <v>健康师</v>
      </c>
      <c r="C19" s="52" t="str">
        <v>A</v>
      </c>
      <c r="D19" s="52" t="str">
        <v>邓雪梅</v>
      </c>
      <c r="E19" s="52" t="str">
        <f>_xlfn.XLOOKUP(D19,期初设置!E:E,期初设置!F:F,0)</f>
        <v>龙湖+突破队</v>
      </c>
      <c r="F19" s="52" t="str">
        <f>_xlfn.XLOOKUP(D19,期初设置!E:E,期初设置!D:D,0)</f>
        <v>健康师</v>
      </c>
      <c r="G19" s="53">
        <f>_xlfn.XLOOKUP(D19,'④考勤-B-a-26考勤汇总表'!D:D,'④考勤-B-a-26考勤汇总表'!AP:AP,0)</f>
        <v>31</v>
      </c>
      <c r="H19" s="141">
        <f>_xlfn.XLOOKUP(D19,'个人业绩-B-a-②呈现-业绩明细表'!$C:$C,'个人业绩-B-a-②呈现-业绩明细表'!D:D,0)</f>
        <v>57236.6</v>
      </c>
      <c r="I19" s="141">
        <f>_xlfn.XLOOKUP(D19,'个人业绩-B-a-②呈现-业绩明细表'!$C:$C,'个人业绩-B-a-②呈现-业绩明细表'!$E:$E,0)</f>
        <v>56616.6</v>
      </c>
      <c r="J19" s="141">
        <f>_xlfn.XLOOKUP(D19,'个人业绩-B-a-②呈现-业绩明细表'!$C:$C,'个人业绩-B-a-②呈现-业绩明细表'!$F:$F,0)</f>
        <v>0</v>
      </c>
      <c r="K19" s="53">
        <f>SUMIFS('⑦扣除明细-B-a-12-奖励统计表③'!G:G,'⑦扣除明细-B-a-12-奖励统计表③'!D:D,D19)</f>
        <v>620</v>
      </c>
      <c r="L19" s="53">
        <f>_xlfn.XLOOKUP(D19,'⑤项目数-B-a-③消耗明细表'!C:C,'⑤项目数-B-a-③消耗明细表'!E:E,0)</f>
        <v>28082.959999999999</v>
      </c>
      <c r="M19" s="153">
        <f>_xlfn.XLOOKUP(D19,'⑤项目数-B-a-③消耗明细表'!$C:$C,'⑤项目数-B-a-③消耗明细表'!F:F,0)</f>
        <v>1843</v>
      </c>
      <c r="N19" s="53">
        <f>_xlfn.XLOOKUP(D19,'⑤项目数-B-a-③消耗明细表'!$C:$C,'⑤项目数-B-a-③消耗明细表'!G:G,0)</f>
        <v>185</v>
      </c>
    </row>
    <row r="20" spans="1:14" x14ac:dyDescent="0.15">
      <c r="A20" s="52" t="str">
        <v>龙湖</v>
      </c>
      <c r="B20" s="52" t="str">
        <v>健康师</v>
      </c>
      <c r="C20" s="52" t="str">
        <v>A</v>
      </c>
      <c r="D20" s="52" t="str">
        <v>高雪</v>
      </c>
      <c r="E20" s="52" t="str">
        <f>_xlfn.XLOOKUP(D20,期初设置!E:E,期初设置!F:F,0)</f>
        <v>龙湖+突破队</v>
      </c>
      <c r="F20" s="52" t="str">
        <f>_xlfn.XLOOKUP(D20,期初设置!E:E,期初设置!D:D,0)</f>
        <v>健康师</v>
      </c>
      <c r="G20" s="53">
        <f>_xlfn.XLOOKUP(D20,'④考勤-B-a-26考勤汇总表'!D:D,'④考勤-B-a-26考勤汇总表'!AP:AP,0)</f>
        <v>31</v>
      </c>
      <c r="H20" s="141">
        <f>_xlfn.XLOOKUP(D20,'个人业绩-B-a-②呈现-业绩明细表'!$C:$C,'个人业绩-B-a-②呈现-业绩明细表'!D:D,0)</f>
        <v>20796</v>
      </c>
      <c r="I20" s="141">
        <f>_xlfn.XLOOKUP(D20,'个人业绩-B-a-②呈现-业绩明细表'!$C:$C,'个人业绩-B-a-②呈现-业绩明细表'!$E:$E,0)</f>
        <v>19076</v>
      </c>
      <c r="J20" s="141">
        <f>_xlfn.XLOOKUP(D20,'个人业绩-B-a-②呈现-业绩明细表'!$C:$C,'个人业绩-B-a-②呈现-业绩明细表'!$F:$F,0)</f>
        <v>1720</v>
      </c>
      <c r="K20" s="53">
        <f>SUMIFS('⑦扣除明细-B-a-12-奖励统计表③'!G:G,'⑦扣除明细-B-a-12-奖励统计表③'!D:D,D20)</f>
        <v>0</v>
      </c>
      <c r="L20" s="53">
        <f>_xlfn.XLOOKUP(D20,'⑤项目数-B-a-③消耗明细表'!C:C,'⑤项目数-B-a-③消耗明细表'!E:E,0)</f>
        <v>18564.669999999998</v>
      </c>
      <c r="M20" s="153">
        <f>_xlfn.XLOOKUP(D20,'⑤项目数-B-a-③消耗明细表'!$C:$C,'⑤项目数-B-a-③消耗明细表'!F:F,0)</f>
        <v>1268</v>
      </c>
      <c r="N20" s="53">
        <f>_xlfn.XLOOKUP(D20,'⑤项目数-B-a-③消耗明细表'!$C:$C,'⑤项目数-B-a-③消耗明细表'!G:G,0)</f>
        <v>45</v>
      </c>
    </row>
    <row r="21" spans="1:14" x14ac:dyDescent="0.15">
      <c r="A21" s="52" t="str">
        <v>龙湖</v>
      </c>
      <c r="B21" s="52" t="str">
        <v>健康师</v>
      </c>
      <c r="C21" s="52" t="str">
        <v>A</v>
      </c>
      <c r="D21" s="52" t="str">
        <v>何婷</v>
      </c>
      <c r="E21" s="52" t="str">
        <f>_xlfn.XLOOKUP(D21,期初设置!E:E,期初设置!F:F,0)</f>
        <v>龙湖+必胜队</v>
      </c>
      <c r="F21" s="52" t="str">
        <f>_xlfn.XLOOKUP(D21,期初设置!E:E,期初设置!D:D,0)</f>
        <v>健康师</v>
      </c>
      <c r="G21" s="53">
        <f>_xlfn.XLOOKUP(D21,'④考勤-B-a-26考勤汇总表'!D:D,'④考勤-B-a-26考勤汇总表'!AP:AP,0)</f>
        <v>31</v>
      </c>
      <c r="H21" s="141">
        <f>_xlfn.XLOOKUP(D21,'个人业绩-B-a-②呈现-业绩明细表'!$C:$C,'个人业绩-B-a-②呈现-业绩明细表'!D:D,0)</f>
        <v>32222</v>
      </c>
      <c r="I21" s="141">
        <f>_xlfn.XLOOKUP(D21,'个人业绩-B-a-②呈现-业绩明细表'!$C:$C,'个人业绩-B-a-②呈现-业绩明细表'!$E:$E,0)</f>
        <v>25262</v>
      </c>
      <c r="J21" s="141">
        <f>_xlfn.XLOOKUP(D21,'个人业绩-B-a-②呈现-业绩明细表'!$C:$C,'个人业绩-B-a-②呈现-业绩明细表'!$F:$F,0)</f>
        <v>6960</v>
      </c>
      <c r="K21" s="53">
        <f>SUMIFS('⑦扣除明细-B-a-12-奖励统计表③'!G:G,'⑦扣除明细-B-a-12-奖励统计表③'!D:D,D21)</f>
        <v>0</v>
      </c>
      <c r="L21" s="53">
        <f>_xlfn.XLOOKUP(D21,'⑤项目数-B-a-③消耗明细表'!C:C,'⑤项目数-B-a-③消耗明细表'!E:E,0)</f>
        <v>24568.3</v>
      </c>
      <c r="M21" s="153">
        <f>_xlfn.XLOOKUP(D21,'⑤项目数-B-a-③消耗明细表'!$C:$C,'⑤项目数-B-a-③消耗明细表'!F:F,0)</f>
        <v>1674</v>
      </c>
      <c r="N21" s="53">
        <f>_xlfn.XLOOKUP(D21,'⑤项目数-B-a-③消耗明细表'!$C:$C,'⑤项目数-B-a-③消耗明细表'!G:G,0)</f>
        <v>90</v>
      </c>
    </row>
    <row r="22" spans="1:14" x14ac:dyDescent="0.15">
      <c r="A22" s="52" t="str">
        <v>龙湖</v>
      </c>
      <c r="B22" s="52" t="str">
        <v>健康师</v>
      </c>
      <c r="C22" s="52" t="str">
        <v>A</v>
      </c>
      <c r="D22" s="52" t="str">
        <v>刘慧</v>
      </c>
      <c r="E22" s="52" t="str">
        <f>_xlfn.XLOOKUP(D22,期初设置!E:E,期初设置!F:F,0)</f>
        <v>龙湖+突破队</v>
      </c>
      <c r="F22" s="52" t="str">
        <f>_xlfn.XLOOKUP(D22,期初设置!E:E,期初设置!D:D,0)</f>
        <v>顾问</v>
      </c>
      <c r="G22" s="53">
        <f>_xlfn.XLOOKUP(D22,'④考勤-B-a-26考勤汇总表'!D:D,'④考勤-B-a-26考勤汇总表'!AP:AP,0)</f>
        <v>31</v>
      </c>
      <c r="H22" s="141">
        <f>_xlfn.XLOOKUP(D22,'个人业绩-B-a-②呈现-业绩明细表'!$C:$C,'个人业绩-B-a-②呈现-业绩明细表'!D:D,0)</f>
        <v>34282.400000000001</v>
      </c>
      <c r="I22" s="141">
        <f>_xlfn.XLOOKUP(D22,'个人业绩-B-a-②呈现-业绩明细表'!$C:$C,'个人业绩-B-a-②呈现-业绩明细表'!$E:$E,0)</f>
        <v>34282.400000000001</v>
      </c>
      <c r="J22" s="141">
        <f>_xlfn.XLOOKUP(D22,'个人业绩-B-a-②呈现-业绩明细表'!$C:$C,'个人业绩-B-a-②呈现-业绩明细表'!$F:$F,0)</f>
        <v>0</v>
      </c>
      <c r="K22" s="53">
        <f>SUMIFS('⑦扣除明细-B-a-12-奖励统计表③'!G:G,'⑦扣除明细-B-a-12-奖励统计表③'!D:D,D22)</f>
        <v>0</v>
      </c>
      <c r="L22" s="53">
        <f>_xlfn.XLOOKUP(D22,'⑤项目数-B-a-③消耗明细表'!C:C,'⑤项目数-B-a-③消耗明细表'!E:E,0)</f>
        <v>46164.46</v>
      </c>
      <c r="M22" s="153">
        <f>_xlfn.XLOOKUP(D22,'⑤项目数-B-a-③消耗明细表'!$C:$C,'⑤项目数-B-a-③消耗明细表'!F:F,0)</f>
        <v>1296</v>
      </c>
      <c r="N22" s="53">
        <f>_xlfn.XLOOKUP(D22,'⑤项目数-B-a-③消耗明细表'!$C:$C,'⑤项目数-B-a-③消耗明细表'!G:G,0)</f>
        <v>70</v>
      </c>
    </row>
    <row r="23" spans="1:14" x14ac:dyDescent="0.15">
      <c r="A23" s="52" t="str">
        <v>沙河</v>
      </c>
      <c r="B23" s="52" t="str">
        <v>健康师</v>
      </c>
      <c r="C23" s="52" t="str">
        <v>A</v>
      </c>
      <c r="D23" s="52" t="str">
        <v>张芮</v>
      </c>
      <c r="E23" s="52" t="str">
        <f>_xlfn.XLOOKUP(D23,期初设置!E:E,期初设置!F:F,0)</f>
        <v>沙河+奇迹队</v>
      </c>
      <c r="F23" s="52" t="str">
        <f>_xlfn.XLOOKUP(D23,期初设置!E:E,期初设置!D:D,0)</f>
        <v>顾问</v>
      </c>
      <c r="G23" s="53">
        <f>_xlfn.XLOOKUP(D23,'④考勤-B-a-26考勤汇总表'!D:D,'④考勤-B-a-26考勤汇总表'!AP:AP,0)</f>
        <v>31</v>
      </c>
      <c r="H23" s="141">
        <f>_xlfn.XLOOKUP(D23,'个人业绩-B-a-②呈现-业绩明细表'!$C:$C,'个人业绩-B-a-②呈现-业绩明细表'!D:D,0)</f>
        <v>50807.6</v>
      </c>
      <c r="I23" s="141">
        <f>_xlfn.XLOOKUP(D23,'个人业绩-B-a-②呈现-业绩明细表'!$C:$C,'个人业绩-B-a-②呈现-业绩明细表'!$E:$E,0)</f>
        <v>41007.599999999999</v>
      </c>
      <c r="J23" s="141">
        <f>_xlfn.XLOOKUP(D23,'个人业绩-B-a-②呈现-业绩明细表'!$C:$C,'个人业绩-B-a-②呈现-业绩明细表'!$F:$F,0)</f>
        <v>9800</v>
      </c>
      <c r="K23" s="53">
        <f>SUMIFS('⑦扣除明细-B-a-12-奖励统计表③'!G:G,'⑦扣除明细-B-a-12-奖励统计表③'!D:D,D23)</f>
        <v>0</v>
      </c>
      <c r="L23" s="53">
        <f>_xlfn.XLOOKUP(D23,'⑤项目数-B-a-③消耗明细表'!C:C,'⑤项目数-B-a-③消耗明细表'!E:E,0)</f>
        <v>36070.199999999997</v>
      </c>
      <c r="M23" s="153">
        <f>_xlfn.XLOOKUP(D23,'⑤项目数-B-a-③消耗明细表'!$C:$C,'⑤项目数-B-a-③消耗明细表'!F:F,0)</f>
        <v>1632</v>
      </c>
      <c r="N23" s="53">
        <f>_xlfn.XLOOKUP(D23,'⑤项目数-B-a-③消耗明细表'!$C:$C,'⑤项目数-B-a-③消耗明细表'!G:G,0)</f>
        <v>147.5</v>
      </c>
    </row>
    <row r="24" spans="1:14" x14ac:dyDescent="0.15">
      <c r="A24" s="52" t="str">
        <v>沙河</v>
      </c>
      <c r="B24" s="52" t="str">
        <v>健康师</v>
      </c>
      <c r="C24" s="52" t="str">
        <v>A</v>
      </c>
      <c r="D24" s="52" t="str">
        <v>张元琼</v>
      </c>
      <c r="E24" s="52" t="str">
        <f>_xlfn.XLOOKUP(D24,期初设置!E:E,期初设置!F:F,0)</f>
        <v>沙河+战胜队</v>
      </c>
      <c r="F24" s="52" t="str">
        <f>_xlfn.XLOOKUP(D24,期初设置!E:E,期初设置!D:D,0)</f>
        <v>健康师</v>
      </c>
      <c r="G24" s="53">
        <f>_xlfn.XLOOKUP(D24,'④考勤-B-a-26考勤汇总表'!D:D,'④考勤-B-a-26考勤汇总表'!AP:AP,0)</f>
        <v>31</v>
      </c>
      <c r="H24" s="141">
        <f>_xlfn.XLOOKUP(D24,'个人业绩-B-a-②呈现-业绩明细表'!$C:$C,'个人业绩-B-a-②呈现-业绩明细表'!D:D,0)</f>
        <v>40653.199999999997</v>
      </c>
      <c r="I24" s="141">
        <f>_xlfn.XLOOKUP(D24,'个人业绩-B-a-②呈现-业绩明细表'!$C:$C,'个人业绩-B-a-②呈现-业绩明细表'!$E:$E,0)</f>
        <v>40653.199999999997</v>
      </c>
      <c r="J24" s="141">
        <f>_xlfn.XLOOKUP(D24,'个人业绩-B-a-②呈现-业绩明细表'!$C:$C,'个人业绩-B-a-②呈现-业绩明细表'!$F:$F,0)</f>
        <v>0</v>
      </c>
      <c r="K24" s="53">
        <f>SUMIFS('⑦扣除明细-B-a-12-奖励统计表③'!G:G,'⑦扣除明细-B-a-12-奖励统计表③'!D:D,D24)</f>
        <v>0</v>
      </c>
      <c r="L24" s="53">
        <f>_xlfn.XLOOKUP(D24,'⑤项目数-B-a-③消耗明细表'!C:C,'⑤项目数-B-a-③消耗明细表'!E:E,0)</f>
        <v>33374.620000000003</v>
      </c>
      <c r="M24" s="153">
        <f>_xlfn.XLOOKUP(D24,'⑤项目数-B-a-③消耗明细表'!$C:$C,'⑤项目数-B-a-③消耗明细表'!F:F,0)</f>
        <v>2127</v>
      </c>
      <c r="N24" s="53">
        <f>_xlfn.XLOOKUP(D24,'⑤项目数-B-a-③消耗明细表'!$C:$C,'⑤项目数-B-a-③消耗明细表'!G:G,0)</f>
        <v>290</v>
      </c>
    </row>
    <row r="25" spans="1:14" x14ac:dyDescent="0.15">
      <c r="A25" s="52" t="str">
        <v>沙河</v>
      </c>
      <c r="B25" s="52" t="str">
        <v>健康师</v>
      </c>
      <c r="C25" s="52" t="str">
        <v>A</v>
      </c>
      <c r="D25" s="52" t="str">
        <v>王依蕊</v>
      </c>
      <c r="E25" s="52" t="str">
        <f>_xlfn.XLOOKUP(D25,期初设置!E:E,期初设置!F:F,0)</f>
        <v>沙河+战胜队</v>
      </c>
      <c r="F25" s="52" t="str">
        <f>_xlfn.XLOOKUP(D25,期初设置!E:E,期初设置!D:D,0)</f>
        <v>顾问</v>
      </c>
      <c r="G25" s="53">
        <f>_xlfn.XLOOKUP(D25,'④考勤-B-a-26考勤汇总表'!D:D,'④考勤-B-a-26考勤汇总表'!AP:AP,0)</f>
        <v>25</v>
      </c>
      <c r="H25" s="141">
        <f>_xlfn.XLOOKUP(D25,'个人业绩-B-a-②呈现-业绩明细表'!$C:$C,'个人业绩-B-a-②呈现-业绩明细表'!D:D,0)</f>
        <v>19676.599999999999</v>
      </c>
      <c r="I25" s="141">
        <f>_xlfn.XLOOKUP(D25,'个人业绩-B-a-②呈现-业绩明细表'!$C:$C,'个人业绩-B-a-②呈现-业绩明细表'!$E:$E,0)</f>
        <v>19676.599999999999</v>
      </c>
      <c r="J25" s="141">
        <f>_xlfn.XLOOKUP(D25,'个人业绩-B-a-②呈现-业绩明细表'!$C:$C,'个人业绩-B-a-②呈现-业绩明细表'!$F:$F,0)</f>
        <v>0</v>
      </c>
      <c r="K25" s="53">
        <f>SUMIFS('⑦扣除明细-B-a-12-奖励统计表③'!G:G,'⑦扣除明细-B-a-12-奖励统计表③'!D:D,D25)</f>
        <v>0</v>
      </c>
      <c r="L25" s="53">
        <f>_xlfn.XLOOKUP(D25,'⑤项目数-B-a-③消耗明细表'!C:C,'⑤项目数-B-a-③消耗明细表'!E:E,0)</f>
        <v>15459.98</v>
      </c>
      <c r="M25" s="153">
        <f>_xlfn.XLOOKUP(D25,'⑤项目数-B-a-③消耗明细表'!$C:$C,'⑤项目数-B-a-③消耗明细表'!F:F,0)</f>
        <v>1545</v>
      </c>
      <c r="N25" s="53">
        <f>_xlfn.XLOOKUP(D25,'⑤项目数-B-a-③消耗明细表'!$C:$C,'⑤项目数-B-a-③消耗明细表'!G:G,0)</f>
        <v>107.5</v>
      </c>
    </row>
    <row r="26" spans="1:14" x14ac:dyDescent="0.15">
      <c r="A26" s="52" t="str">
        <v>沙河</v>
      </c>
      <c r="B26" s="52" t="str">
        <v>健康师</v>
      </c>
      <c r="C26" s="52" t="str">
        <v>A</v>
      </c>
      <c r="D26" s="52" t="str">
        <v>唐容</v>
      </c>
      <c r="E26" s="52" t="str">
        <f>_xlfn.XLOOKUP(D26,期初设置!E:E,期初设置!F:F,0)</f>
        <v>沙河+奇迹队</v>
      </c>
      <c r="F26" s="52" t="str">
        <f>_xlfn.XLOOKUP(D26,期初设置!E:E,期初设置!D:D,0)</f>
        <v>健康师</v>
      </c>
      <c r="G26" s="53">
        <f>_xlfn.XLOOKUP(D26,'④考勤-B-a-26考勤汇总表'!D:D,'④考勤-B-a-26考勤汇总表'!AP:AP,0)</f>
        <v>31</v>
      </c>
      <c r="H26" s="141">
        <f>_xlfn.XLOOKUP(D26,'个人业绩-B-a-②呈现-业绩明细表'!$C:$C,'个人业绩-B-a-②呈现-业绩明细表'!D:D,0)</f>
        <v>39025.1</v>
      </c>
      <c r="I26" s="141">
        <f>_xlfn.XLOOKUP(D26,'个人业绩-B-a-②呈现-业绩明细表'!$C:$C,'个人业绩-B-a-②呈现-业绩明细表'!$E:$E,0)</f>
        <v>39025.1</v>
      </c>
      <c r="J26" s="141">
        <f>_xlfn.XLOOKUP(D26,'个人业绩-B-a-②呈现-业绩明细表'!$C:$C,'个人业绩-B-a-②呈现-业绩明细表'!$F:$F,0)</f>
        <v>0</v>
      </c>
      <c r="K26" s="53">
        <f>SUMIFS('⑦扣除明细-B-a-12-奖励统计表③'!G:G,'⑦扣除明细-B-a-12-奖励统计表③'!D:D,D26)</f>
        <v>0</v>
      </c>
      <c r="L26" s="53">
        <f>_xlfn.XLOOKUP(D26,'⑤项目数-B-a-③消耗明细表'!C:C,'⑤项目数-B-a-③消耗明细表'!E:E,0)</f>
        <v>31869.96</v>
      </c>
      <c r="M26" s="153">
        <f>_xlfn.XLOOKUP(D26,'⑤项目数-B-a-③消耗明细表'!$C:$C,'⑤项目数-B-a-③消耗明细表'!F:F,0)</f>
        <v>1977</v>
      </c>
      <c r="N26" s="53">
        <f>_xlfn.XLOOKUP(D26,'⑤项目数-B-a-③消耗明细表'!$C:$C,'⑤项目数-B-a-③消耗明细表'!G:G,0)</f>
        <v>205</v>
      </c>
    </row>
    <row r="27" spans="1:14" x14ac:dyDescent="0.15">
      <c r="A27" s="52" t="str">
        <v>沙河</v>
      </c>
      <c r="B27" s="52" t="str">
        <v>健康师</v>
      </c>
      <c r="C27" s="52" t="str">
        <v>A</v>
      </c>
      <c r="D27" s="52" t="str">
        <v>叶文娟</v>
      </c>
      <c r="E27" s="52" t="str">
        <f>_xlfn.XLOOKUP(D27,期初设置!E:E,期初设置!F:F,0)</f>
        <v>沙河+奇迹队</v>
      </c>
      <c r="F27" s="52" t="str">
        <f>_xlfn.XLOOKUP(D27,期初设置!E:E,期初设置!D:D,0)</f>
        <v>健康师</v>
      </c>
      <c r="G27" s="53">
        <f>_xlfn.XLOOKUP(D27,'④考勤-B-a-26考勤汇总表'!D:D,'④考勤-B-a-26考勤汇总表'!AP:AP,0)</f>
        <v>31</v>
      </c>
      <c r="H27" s="141">
        <f>_xlfn.XLOOKUP(D27,'个人业绩-B-a-②呈现-业绩明细表'!$C:$C,'个人业绩-B-a-②呈现-业绩明细表'!D:D,0)</f>
        <v>2281.5</v>
      </c>
      <c r="I27" s="141">
        <f>_xlfn.XLOOKUP(D27,'个人业绩-B-a-②呈现-业绩明细表'!$C:$C,'个人业绩-B-a-②呈现-业绩明细表'!$E:$E,0)</f>
        <v>2281.5</v>
      </c>
      <c r="J27" s="141">
        <f>_xlfn.XLOOKUP(D27,'个人业绩-B-a-②呈现-业绩明细表'!$C:$C,'个人业绩-B-a-②呈现-业绩明细表'!$F:$F,0)</f>
        <v>0</v>
      </c>
      <c r="K27" s="53">
        <f>SUMIFS('⑦扣除明细-B-a-12-奖励统计表③'!G:G,'⑦扣除明细-B-a-12-奖励统计表③'!D:D,D27)</f>
        <v>0</v>
      </c>
      <c r="L27" s="53">
        <f>_xlfn.XLOOKUP(D27,'⑤项目数-B-a-③消耗明细表'!C:C,'⑤项目数-B-a-③消耗明细表'!E:E,0)</f>
        <v>15290.08</v>
      </c>
      <c r="M27" s="153">
        <f>_xlfn.XLOOKUP(D27,'⑤项目数-B-a-③消耗明细表'!$C:$C,'⑤项目数-B-a-③消耗明细表'!F:F,0)</f>
        <v>1466</v>
      </c>
      <c r="N27" s="53">
        <f>_xlfn.XLOOKUP(D27,'⑤项目数-B-a-③消耗明细表'!$C:$C,'⑤项目数-B-a-③消耗明细表'!G:G,0)</f>
        <v>0</v>
      </c>
    </row>
    <row r="28" spans="1:14" x14ac:dyDescent="0.15">
      <c r="A28" s="52" t="str">
        <v>静居寺</v>
      </c>
      <c r="B28" s="52" t="str">
        <v>健康师</v>
      </c>
      <c r="C28" s="52" t="str">
        <v>A</v>
      </c>
      <c r="D28" s="52" t="str">
        <v>张丽</v>
      </c>
      <c r="E28" s="52" t="str">
        <f>_xlfn.XLOOKUP(D28,期初设置!E:E,期初设置!F:F,0)</f>
        <v>静居寺+战神队</v>
      </c>
      <c r="F28" s="52" t="str">
        <f>_xlfn.XLOOKUP(D28,期初设置!E:E,期初设置!D:D,0)</f>
        <v>顾问</v>
      </c>
      <c r="G28" s="53">
        <f>_xlfn.XLOOKUP(D28,'④考勤-B-a-26考勤汇总表'!D:D,'④考勤-B-a-26考勤汇总表'!AP:AP,0)</f>
        <v>31</v>
      </c>
      <c r="H28" s="141">
        <f>_xlfn.XLOOKUP(D28,'个人业绩-B-a-②呈现-业绩明细表'!$C:$C,'个人业绩-B-a-②呈现-业绩明细表'!D:D,0)</f>
        <v>182287</v>
      </c>
      <c r="I28" s="141">
        <f>_xlfn.XLOOKUP(D28,'个人业绩-B-a-②呈现-业绩明细表'!$C:$C,'个人业绩-B-a-②呈现-业绩明细表'!$E:$E,0)</f>
        <v>121987</v>
      </c>
      <c r="J28" s="141">
        <f>_xlfn.XLOOKUP(D28,'个人业绩-B-a-②呈现-业绩明细表'!$C:$C,'个人业绩-B-a-②呈现-业绩明细表'!$F:$F,0)</f>
        <v>60300</v>
      </c>
      <c r="K28" s="53">
        <f>SUMIFS('⑦扣除明细-B-a-12-奖励统计表③'!G:G,'⑦扣除明细-B-a-12-奖励统计表③'!D:D,D28)</f>
        <v>0</v>
      </c>
      <c r="L28" s="53">
        <f>_xlfn.XLOOKUP(D28,'⑤项目数-B-a-③消耗明细表'!C:C,'⑤项目数-B-a-③消耗明细表'!E:E,0)</f>
        <v>86403.54</v>
      </c>
      <c r="M28" s="153">
        <f>_xlfn.XLOOKUP(D28,'⑤项目数-B-a-③消耗明细表'!$C:$C,'⑤项目数-B-a-③消耗明细表'!F:F,0)</f>
        <v>1728</v>
      </c>
      <c r="N28" s="53">
        <f>_xlfn.XLOOKUP(D28,'⑤项目数-B-a-③消耗明细表'!$C:$C,'⑤项目数-B-a-③消耗明细表'!G:G,0)</f>
        <v>220</v>
      </c>
    </row>
    <row r="29" spans="1:14" x14ac:dyDescent="0.15">
      <c r="A29" s="52" t="str">
        <v>静居寺</v>
      </c>
      <c r="B29" s="52" t="str">
        <v>健康师</v>
      </c>
      <c r="C29" s="52" t="str">
        <v>A</v>
      </c>
      <c r="D29" s="52" t="str">
        <v>杨金花</v>
      </c>
      <c r="E29" s="52" t="str">
        <f>_xlfn.XLOOKUP(D29,期初设置!E:E,期初设置!F:F,0)</f>
        <v>静居寺+亮剑队</v>
      </c>
      <c r="F29" s="52" t="str">
        <f>_xlfn.XLOOKUP(D29,期初设置!E:E,期初设置!D:D,0)</f>
        <v>健康师</v>
      </c>
      <c r="G29" s="53">
        <f>_xlfn.XLOOKUP(D29,'④考勤-B-a-26考勤汇总表'!D:D,'④考勤-B-a-26考勤汇总表'!AP:AP,0)</f>
        <v>31</v>
      </c>
      <c r="H29" s="141">
        <f>_xlfn.XLOOKUP(D29,'个人业绩-B-a-②呈现-业绩明细表'!$C:$C,'个人业绩-B-a-②呈现-业绩明细表'!D:D,0)</f>
        <v>37547.599999999999</v>
      </c>
      <c r="I29" s="141">
        <f>_xlfn.XLOOKUP(D29,'个人业绩-B-a-②呈现-业绩明细表'!$C:$C,'个人业绩-B-a-②呈现-业绩明细表'!$E:$E,0)</f>
        <v>36659.599999999999</v>
      </c>
      <c r="J29" s="141">
        <f>_xlfn.XLOOKUP(D29,'个人业绩-B-a-②呈现-业绩明细表'!$C:$C,'个人业绩-B-a-②呈现-业绩明细表'!$F:$F,0)</f>
        <v>0</v>
      </c>
      <c r="K29" s="53">
        <f>SUMIFS('⑦扣除明细-B-a-12-奖励统计表③'!G:G,'⑦扣除明细-B-a-12-奖励统计表③'!D:D,D29)</f>
        <v>888</v>
      </c>
      <c r="L29" s="53">
        <f>_xlfn.XLOOKUP(D29,'⑤项目数-B-a-③消耗明细表'!C:C,'⑤项目数-B-a-③消耗明细表'!E:E,0)</f>
        <v>55759.65</v>
      </c>
      <c r="M29" s="153">
        <f>_xlfn.XLOOKUP(D29,'⑤项目数-B-a-③消耗明细表'!$C:$C,'⑤项目数-B-a-③消耗明细表'!F:F,0)</f>
        <v>1755</v>
      </c>
      <c r="N29" s="53">
        <f>_xlfn.XLOOKUP(D29,'⑤项目数-B-a-③消耗明细表'!$C:$C,'⑤项目数-B-a-③消耗明细表'!G:G,0)</f>
        <v>50</v>
      </c>
    </row>
    <row r="30" spans="1:14" x14ac:dyDescent="0.15">
      <c r="A30" s="52" t="str">
        <v>静居寺</v>
      </c>
      <c r="B30" s="52" t="str">
        <v>健康师</v>
      </c>
      <c r="C30" s="52" t="str">
        <v>A</v>
      </c>
      <c r="D30" s="52" t="str">
        <v>董顺秀</v>
      </c>
      <c r="E30" s="52" t="str">
        <f>_xlfn.XLOOKUP(D30,期初设置!E:E,期初设置!F:F,0)</f>
        <v>静居寺+亮剑队</v>
      </c>
      <c r="F30" s="52" t="str">
        <f>_xlfn.XLOOKUP(D30,期初设置!E:E,期初设置!D:D,0)</f>
        <v>顾问</v>
      </c>
      <c r="G30" s="53">
        <f>_xlfn.XLOOKUP(D30,'④考勤-B-a-26考勤汇总表'!D:D,'④考勤-B-a-26考勤汇总表'!AP:AP,0)</f>
        <v>31</v>
      </c>
      <c r="H30" s="141">
        <f>_xlfn.XLOOKUP(D30,'个人业绩-B-a-②呈现-业绩明细表'!$C:$C,'个人业绩-B-a-②呈现-业绩明细表'!D:D,0)</f>
        <v>116254.6</v>
      </c>
      <c r="I30" s="141">
        <f>_xlfn.XLOOKUP(D30,'个人业绩-B-a-②呈现-业绩明细表'!$C:$C,'个人业绩-B-a-②呈现-业绩明细表'!$E:$E,0)</f>
        <v>61766.6</v>
      </c>
      <c r="J30" s="141">
        <f>_xlfn.XLOOKUP(D30,'个人业绩-B-a-②呈现-业绩明细表'!$C:$C,'个人业绩-B-a-②呈现-业绩明细表'!$F:$F,0)</f>
        <v>53600</v>
      </c>
      <c r="K30" s="53">
        <f>SUMIFS('⑦扣除明细-B-a-12-奖励统计表③'!G:G,'⑦扣除明细-B-a-12-奖励统计表③'!D:D,D30)</f>
        <v>888</v>
      </c>
      <c r="L30" s="53">
        <f>_xlfn.XLOOKUP(D30,'⑤项目数-B-a-③消耗明细表'!C:C,'⑤项目数-B-a-③消耗明细表'!E:E,0)</f>
        <v>86891.64</v>
      </c>
      <c r="M30" s="153">
        <f>_xlfn.XLOOKUP(D30,'⑤项目数-B-a-③消耗明细表'!$C:$C,'⑤项目数-B-a-③消耗明细表'!F:F,0)</f>
        <v>1593</v>
      </c>
      <c r="N30" s="53">
        <f>_xlfn.XLOOKUP(D30,'⑤项目数-B-a-③消耗明细表'!$C:$C,'⑤项目数-B-a-③消耗明细表'!G:G,0)</f>
        <v>175</v>
      </c>
    </row>
    <row r="31" spans="1:14" x14ac:dyDescent="0.15">
      <c r="A31" s="52" t="str">
        <v>静居寺</v>
      </c>
      <c r="B31" s="52" t="str">
        <v>健康师</v>
      </c>
      <c r="C31" s="52" t="str">
        <v>A</v>
      </c>
      <c r="D31" s="52" t="str">
        <v>陈建蓉</v>
      </c>
      <c r="E31" s="52" t="str">
        <f>_xlfn.XLOOKUP(D31,期初设置!E:E,期初设置!F:F,0)</f>
        <v>静居寺+战神队</v>
      </c>
      <c r="F31" s="52" t="str">
        <f>_xlfn.XLOOKUP(D31,期初设置!E:E,期初设置!D:D,0)</f>
        <v>健康师</v>
      </c>
      <c r="G31" s="53">
        <f>_xlfn.XLOOKUP(D31,'④考勤-B-a-26考勤汇总表'!D:D,'④考勤-B-a-26考勤汇总表'!AP:AP,0)</f>
        <v>31</v>
      </c>
      <c r="H31" s="141">
        <f>_xlfn.XLOOKUP(D31,'个人业绩-B-a-②呈现-业绩明细表'!$C:$C,'个人业绩-B-a-②呈现-业绩明细表'!D:D,0)</f>
        <v>33278</v>
      </c>
      <c r="I31" s="141">
        <f>_xlfn.XLOOKUP(D31,'个人业绩-B-a-②呈现-业绩明细表'!$C:$C,'个人业绩-B-a-②呈现-业绩明细表'!$E:$E,0)</f>
        <v>32390</v>
      </c>
      <c r="J31" s="141">
        <f>_xlfn.XLOOKUP(D31,'个人业绩-B-a-②呈现-业绩明细表'!$C:$C,'个人业绩-B-a-②呈现-业绩明细表'!$F:$F,0)</f>
        <v>0</v>
      </c>
      <c r="K31" s="53">
        <f>SUMIFS('⑦扣除明细-B-a-12-奖励统计表③'!G:G,'⑦扣除明细-B-a-12-奖励统计表③'!D:D,D31)</f>
        <v>888</v>
      </c>
      <c r="L31" s="53">
        <f>_xlfn.XLOOKUP(D31,'⑤项目数-B-a-③消耗明细表'!C:C,'⑤项目数-B-a-③消耗明细表'!E:E,0)</f>
        <v>28777.7</v>
      </c>
      <c r="M31" s="153">
        <f>_xlfn.XLOOKUP(D31,'⑤项目数-B-a-③消耗明细表'!$C:$C,'⑤项目数-B-a-③消耗明细表'!F:F,0)</f>
        <v>1622</v>
      </c>
      <c r="N31" s="53">
        <f>_xlfn.XLOOKUP(D31,'⑤项目数-B-a-③消耗明细表'!$C:$C,'⑤项目数-B-a-③消耗明细表'!G:G,0)</f>
        <v>70</v>
      </c>
    </row>
    <row r="32" spans="1:14" x14ac:dyDescent="0.15">
      <c r="A32" s="52" t="str">
        <v>静居寺</v>
      </c>
      <c r="B32" s="52" t="str">
        <v>健康师</v>
      </c>
      <c r="C32" s="52" t="str">
        <v>A</v>
      </c>
      <c r="D32" s="52" t="str">
        <v>王娇</v>
      </c>
      <c r="E32" s="52" t="str">
        <f>_xlfn.XLOOKUP(D32,期初设置!E:E,期初设置!F:F,0)</f>
        <v>静居寺+战神队</v>
      </c>
      <c r="F32" s="52" t="str">
        <f>_xlfn.XLOOKUP(D32,期初设置!E:E,期初设置!D:D,0)</f>
        <v>健康师</v>
      </c>
      <c r="G32" s="53">
        <f>_xlfn.XLOOKUP(D32,'④考勤-B-a-26考勤汇总表'!D:D,'④考勤-B-a-26考勤汇总表'!AP:AP,0)</f>
        <v>31</v>
      </c>
      <c r="H32" s="141">
        <f>_xlfn.XLOOKUP(D32,'个人业绩-B-a-②呈现-业绩明细表'!$C:$C,'个人业绩-B-a-②呈现-业绩明细表'!D:D,0)</f>
        <v>16522.3</v>
      </c>
      <c r="I32" s="141">
        <f>_xlfn.XLOOKUP(D32,'个人业绩-B-a-②呈现-业绩明细表'!$C:$C,'个人业绩-B-a-②呈现-业绩明细表'!$E:$E,0)</f>
        <v>16522.3</v>
      </c>
      <c r="J32" s="141">
        <f>_xlfn.XLOOKUP(D32,'个人业绩-B-a-②呈现-业绩明细表'!$C:$C,'个人业绩-B-a-②呈现-业绩明细表'!$F:$F,0)</f>
        <v>0</v>
      </c>
      <c r="K32" s="53">
        <f>SUMIFS('⑦扣除明细-B-a-12-奖励统计表③'!G:G,'⑦扣除明细-B-a-12-奖励统计表③'!D:D,D32)</f>
        <v>0</v>
      </c>
      <c r="L32" s="53">
        <f>_xlfn.XLOOKUP(D32,'⑤项目数-B-a-③消耗明细表'!C:C,'⑤项目数-B-a-③消耗明细表'!E:E,0)</f>
        <v>32374.69</v>
      </c>
      <c r="M32" s="153">
        <f>_xlfn.XLOOKUP(D32,'⑤项目数-B-a-③消耗明细表'!$C:$C,'⑤项目数-B-a-③消耗明细表'!F:F,0)</f>
        <v>1254</v>
      </c>
      <c r="N32" s="53">
        <f>_xlfn.XLOOKUP(D32,'⑤项目数-B-a-③消耗明细表'!$C:$C,'⑤项目数-B-a-③消耗明细表'!G:G,0)</f>
        <v>0</v>
      </c>
    </row>
    <row r="33" spans="1:14" x14ac:dyDescent="0.15">
      <c r="A33" s="52" t="str">
        <v>静居寺</v>
      </c>
      <c r="B33" s="52" t="str">
        <v>健康师</v>
      </c>
      <c r="C33" s="52" t="str">
        <v>A</v>
      </c>
      <c r="D33" s="52" t="str">
        <v>黎茂婷</v>
      </c>
      <c r="E33" s="52" t="str">
        <f>_xlfn.XLOOKUP(D33,期初设置!E:E,期初设置!F:F,0)</f>
        <v>静居寺+亮剑队</v>
      </c>
      <c r="F33" s="52" t="str">
        <f>_xlfn.XLOOKUP(D33,期初设置!E:E,期初设置!D:D,0)</f>
        <v>健康师</v>
      </c>
      <c r="G33" s="53">
        <f>_xlfn.XLOOKUP(D33,'④考勤-B-a-26考勤汇总表'!D:D,'④考勤-B-a-26考勤汇总表'!AP:AP,0)</f>
        <v>31</v>
      </c>
      <c r="H33" s="141">
        <f>_xlfn.XLOOKUP(D33,'个人业绩-B-a-②呈现-业绩明细表'!$C:$C,'个人业绩-B-a-②呈现-业绩明细表'!D:D,0)</f>
        <v>21600.6</v>
      </c>
      <c r="I33" s="141">
        <f>_xlfn.XLOOKUP(D33,'个人业绩-B-a-②呈现-业绩明细表'!$C:$C,'个人业绩-B-a-②呈现-业绩明细表'!$E:$E,0)</f>
        <v>21600.6</v>
      </c>
      <c r="J33" s="141">
        <f>_xlfn.XLOOKUP(D33,'个人业绩-B-a-②呈现-业绩明细表'!$C:$C,'个人业绩-B-a-②呈现-业绩明细表'!$F:$F,0)</f>
        <v>0</v>
      </c>
      <c r="K33" s="53">
        <f>SUMIFS('⑦扣除明细-B-a-12-奖励统计表③'!G:G,'⑦扣除明细-B-a-12-奖励统计表③'!D:D,D33)</f>
        <v>0</v>
      </c>
      <c r="L33" s="53">
        <f>_xlfn.XLOOKUP(D33,'⑤项目数-B-a-③消耗明细表'!C:C,'⑤项目数-B-a-③消耗明细表'!E:E,0)</f>
        <v>46794.41</v>
      </c>
      <c r="M33" s="153">
        <f>_xlfn.XLOOKUP(D33,'⑤项目数-B-a-③消耗明细表'!$C:$C,'⑤项目数-B-a-③消耗明细表'!F:F,0)</f>
        <v>1846</v>
      </c>
      <c r="N33" s="53">
        <f>_xlfn.XLOOKUP(D33,'⑤项目数-B-a-③消耗明细表'!$C:$C,'⑤项目数-B-a-③消耗明细表'!G:G,0)</f>
        <v>55</v>
      </c>
    </row>
    <row r="34" spans="1:14" x14ac:dyDescent="0.15">
      <c r="A34" s="52">
        <v>468</v>
      </c>
      <c r="B34" s="52" t="str">
        <v>健康师</v>
      </c>
      <c r="C34" s="52" t="str">
        <v>A</v>
      </c>
      <c r="D34" s="52" t="str">
        <v>陈小琴</v>
      </c>
      <c r="E34" s="52" t="str">
        <f>_xlfn.XLOOKUP(D34,期初设置!E:E,期初设置!F:F,0)</f>
        <v>468+冲锋队</v>
      </c>
      <c r="F34" s="52" t="str">
        <f>_xlfn.XLOOKUP(D34,期初设置!E:E,期初设置!D:D,0)</f>
        <v>顾问</v>
      </c>
      <c r="G34" s="53">
        <f>_xlfn.XLOOKUP(D34,'④考勤-B-a-26考勤汇总表'!D:D,'④考勤-B-a-26考勤汇总表'!AP:AP,0)</f>
        <v>31</v>
      </c>
      <c r="H34" s="141">
        <f>_xlfn.XLOOKUP(D34,'个人业绩-B-a-②呈现-业绩明细表'!$C:$C,'个人业绩-B-a-②呈现-业绩明细表'!D:D,0)</f>
        <v>40735</v>
      </c>
      <c r="I34" s="141">
        <f>_xlfn.XLOOKUP(D34,'个人业绩-B-a-②呈现-业绩明细表'!$C:$C,'个人业绩-B-a-②呈现-业绩明细表'!$E:$E,0)</f>
        <v>29735</v>
      </c>
      <c r="J34" s="141">
        <f>_xlfn.XLOOKUP(D34,'个人业绩-B-a-②呈现-业绩明细表'!$C:$C,'个人业绩-B-a-②呈现-业绩明细表'!$F:$F,0)</f>
        <v>11000</v>
      </c>
      <c r="K34" s="53">
        <f>SUMIFS('⑦扣除明细-B-a-12-奖励统计表③'!G:G,'⑦扣除明细-B-a-12-奖励统计表③'!D:D,D34)</f>
        <v>0</v>
      </c>
      <c r="L34" s="53">
        <f>_xlfn.XLOOKUP(D34,'⑤项目数-B-a-③消耗明细表'!C:C,'⑤项目数-B-a-③消耗明细表'!E:E,0)</f>
        <v>65626.87</v>
      </c>
      <c r="M34" s="153">
        <f>_xlfn.XLOOKUP(D34,'⑤项目数-B-a-③消耗明细表'!$C:$C,'⑤项目数-B-a-③消耗明细表'!F:F,0)</f>
        <v>1931</v>
      </c>
      <c r="N34" s="53">
        <f>_xlfn.XLOOKUP(D34,'⑤项目数-B-a-③消耗明细表'!$C:$C,'⑤项目数-B-a-③消耗明细表'!G:G,0)</f>
        <v>235</v>
      </c>
    </row>
    <row r="35" spans="1:14" x14ac:dyDescent="0.15">
      <c r="A35" s="52">
        <v>468</v>
      </c>
      <c r="B35" s="52" t="str">
        <v>健康师</v>
      </c>
      <c r="C35" s="52" t="str">
        <v>A</v>
      </c>
      <c r="D35" s="52" t="str">
        <v>刘恬恬</v>
      </c>
      <c r="E35" s="52" t="str">
        <f>_xlfn.XLOOKUP(D35,期初设置!E:E,期初设置!F:F,0)</f>
        <v>468+精英队</v>
      </c>
      <c r="F35" s="52" t="str">
        <f>_xlfn.XLOOKUP(D35,期初设置!E:E,期初设置!D:D,0)</f>
        <v>顾问</v>
      </c>
      <c r="G35" s="53">
        <f>_xlfn.XLOOKUP(D35,'④考勤-B-a-26考勤汇总表'!D:D,'④考勤-B-a-26考勤汇总表'!AP:AP,0)</f>
        <v>31</v>
      </c>
      <c r="H35" s="141">
        <f>_xlfn.XLOOKUP(D35,'个人业绩-B-a-②呈现-业绩明细表'!$C:$C,'个人业绩-B-a-②呈现-业绩明细表'!D:D,0)</f>
        <v>18015</v>
      </c>
      <c r="I35" s="141">
        <f>_xlfn.XLOOKUP(D35,'个人业绩-B-a-②呈现-业绩明细表'!$C:$C,'个人业绩-B-a-②呈现-业绩明细表'!$E:$E,0)</f>
        <v>16127</v>
      </c>
      <c r="J35" s="141">
        <f>_xlfn.XLOOKUP(D35,'个人业绩-B-a-②呈现-业绩明细表'!$C:$C,'个人业绩-B-a-②呈现-业绩明细表'!$F:$F,0)</f>
        <v>1000</v>
      </c>
      <c r="K35" s="53">
        <f>SUMIFS('⑦扣除明细-B-a-12-奖励统计表③'!G:G,'⑦扣除明细-B-a-12-奖励统计表③'!D:D,D35)</f>
        <v>888</v>
      </c>
      <c r="L35" s="53">
        <f>_xlfn.XLOOKUP(D35,'⑤项目数-B-a-③消耗明细表'!C:C,'⑤项目数-B-a-③消耗明细表'!E:E,0)</f>
        <v>25060.39</v>
      </c>
      <c r="M35" s="153">
        <f>_xlfn.XLOOKUP(D35,'⑤项目数-B-a-③消耗明细表'!$C:$C,'⑤项目数-B-a-③消耗明细表'!F:F,0)</f>
        <v>1585</v>
      </c>
      <c r="N35" s="53">
        <f>_xlfn.XLOOKUP(D35,'⑤项目数-B-a-③消耗明细表'!$C:$C,'⑤项目数-B-a-③消耗明细表'!G:G,0)</f>
        <v>75</v>
      </c>
    </row>
    <row r="36" spans="1:14" x14ac:dyDescent="0.15">
      <c r="A36" s="52">
        <v>468</v>
      </c>
      <c r="B36" s="52" t="str">
        <v>健康师</v>
      </c>
      <c r="C36" s="52" t="str">
        <v>A</v>
      </c>
      <c r="D36" s="52" t="str">
        <v>苟小春</v>
      </c>
      <c r="E36" s="52" t="str">
        <f>_xlfn.XLOOKUP(D36,期初设置!E:E,期初设置!F:F,0)</f>
        <v>468+冲锋队</v>
      </c>
      <c r="F36" s="52" t="str">
        <f>_xlfn.XLOOKUP(D36,期初设置!E:E,期初设置!D:D,0)</f>
        <v>健康师</v>
      </c>
      <c r="G36" s="53">
        <f>_xlfn.XLOOKUP(D36,'④考勤-B-a-26考勤汇总表'!D:D,'④考勤-B-a-26考勤汇总表'!AP:AP,0)</f>
        <v>31</v>
      </c>
      <c r="H36" s="141">
        <f>_xlfn.XLOOKUP(D36,'个人业绩-B-a-②呈现-业绩明细表'!$C:$C,'个人业绩-B-a-②呈现-业绩明细表'!D:D,0)</f>
        <v>22972</v>
      </c>
      <c r="I36" s="141">
        <f>_xlfn.XLOOKUP(D36,'个人业绩-B-a-②呈现-业绩明细表'!$C:$C,'个人业绩-B-a-②呈现-业绩明细表'!$E:$E,0)</f>
        <v>22473</v>
      </c>
      <c r="J36" s="141">
        <f>_xlfn.XLOOKUP(D36,'个人业绩-B-a-②呈现-业绩明细表'!$C:$C,'个人业绩-B-a-②呈现-业绩明细表'!$F:$F,0)</f>
        <v>499</v>
      </c>
      <c r="K36" s="53">
        <f>SUMIFS('⑦扣除明细-B-a-12-奖励统计表③'!G:G,'⑦扣除明细-B-a-12-奖励统计表③'!D:D,D36)</f>
        <v>0</v>
      </c>
      <c r="L36" s="53">
        <f>_xlfn.XLOOKUP(D36,'⑤项目数-B-a-③消耗明细表'!C:C,'⑤项目数-B-a-③消耗明细表'!E:E,0)</f>
        <v>24362.94</v>
      </c>
      <c r="M36" s="153">
        <f>_xlfn.XLOOKUP(D36,'⑤项目数-B-a-③消耗明细表'!$C:$C,'⑤项目数-B-a-③消耗明细表'!F:F,0)</f>
        <v>1642</v>
      </c>
      <c r="N36" s="53">
        <f>_xlfn.XLOOKUP(D36,'⑤项目数-B-a-③消耗明细表'!$C:$C,'⑤项目数-B-a-③消耗明细表'!G:G,0)</f>
        <v>85</v>
      </c>
    </row>
    <row r="37" spans="1:14" x14ac:dyDescent="0.15">
      <c r="A37" s="52">
        <v>468</v>
      </c>
      <c r="B37" s="52" t="str">
        <v>健康师</v>
      </c>
      <c r="C37" s="52" t="str">
        <v>A</v>
      </c>
      <c r="D37" s="52" t="str">
        <v>李燕</v>
      </c>
      <c r="E37" s="52" t="str">
        <f>_xlfn.XLOOKUP(D37,期初设置!E:E,期初设置!F:F,0)</f>
        <v>468+精英队</v>
      </c>
      <c r="F37" s="52" t="str">
        <f>_xlfn.XLOOKUP(D37,期初设置!E:E,期初设置!D:D,0)</f>
        <v>健康师</v>
      </c>
      <c r="G37" s="53">
        <f>_xlfn.XLOOKUP(D37,'④考勤-B-a-26考勤汇总表'!D:D,'④考勤-B-a-26考勤汇总表'!AP:AP,0)</f>
        <v>31</v>
      </c>
      <c r="H37" s="141">
        <f>_xlfn.XLOOKUP(D37,'个人业绩-B-a-②呈现-业绩明细表'!$C:$C,'个人业绩-B-a-②呈现-业绩明细表'!D:D,0)</f>
        <v>40265</v>
      </c>
      <c r="I37" s="141">
        <f>_xlfn.XLOOKUP(D37,'个人业绩-B-a-②呈现-业绩明细表'!$C:$C,'个人业绩-B-a-②呈现-业绩明细表'!$E:$E,0)</f>
        <v>40265</v>
      </c>
      <c r="J37" s="141">
        <f>_xlfn.XLOOKUP(D37,'个人业绩-B-a-②呈现-业绩明细表'!$C:$C,'个人业绩-B-a-②呈现-业绩明细表'!$F:$F,0)</f>
        <v>0</v>
      </c>
      <c r="K37" s="53">
        <f>SUMIFS('⑦扣除明细-B-a-12-奖励统计表③'!G:G,'⑦扣除明细-B-a-12-奖励统计表③'!D:D,D37)</f>
        <v>0</v>
      </c>
      <c r="L37" s="53">
        <f>_xlfn.XLOOKUP(D37,'⑤项目数-B-a-③消耗明细表'!C:C,'⑤项目数-B-a-③消耗明细表'!E:E,0)</f>
        <v>48303.1</v>
      </c>
      <c r="M37" s="153">
        <f>_xlfn.XLOOKUP(D37,'⑤项目数-B-a-③消耗明细表'!$C:$C,'⑤项目数-B-a-③消耗明细表'!F:F,0)</f>
        <v>1533</v>
      </c>
      <c r="N37" s="53">
        <f>_xlfn.XLOOKUP(D37,'⑤项目数-B-a-③消耗明细表'!$C:$C,'⑤项目数-B-a-③消耗明细表'!G:G,0)</f>
        <v>150</v>
      </c>
    </row>
    <row r="38" spans="1:14" x14ac:dyDescent="0.15">
      <c r="A38" s="52">
        <v>468</v>
      </c>
      <c r="B38" s="52" t="str">
        <v>健康师</v>
      </c>
      <c r="C38" s="52" t="str">
        <v>A</v>
      </c>
      <c r="D38" s="52" t="str">
        <v>陈萍</v>
      </c>
      <c r="E38" s="52" t="str">
        <f>_xlfn.XLOOKUP(D38,期初设置!E:E,期初设置!F:F,0)</f>
        <v>468+精英队</v>
      </c>
      <c r="F38" s="52" t="str">
        <f>_xlfn.XLOOKUP(D38,期初设置!E:E,期初设置!D:D,0)</f>
        <v>健康师</v>
      </c>
      <c r="G38" s="53">
        <f>_xlfn.XLOOKUP(D38,'④考勤-B-a-26考勤汇总表'!D:D,'④考勤-B-a-26考勤汇总表'!AP:AP,0)</f>
        <v>31</v>
      </c>
      <c r="H38" s="141">
        <f>_xlfn.XLOOKUP(D38,'个人业绩-B-a-②呈现-业绩明细表'!$C:$C,'个人业绩-B-a-②呈现-业绩明细表'!D:D,0)</f>
        <v>8308</v>
      </c>
      <c r="I38" s="141">
        <f>_xlfn.XLOOKUP(D38,'个人业绩-B-a-②呈现-业绩明细表'!$C:$C,'个人业绩-B-a-②呈现-业绩明细表'!$E:$E,0)</f>
        <v>8308</v>
      </c>
      <c r="J38" s="141">
        <f>_xlfn.XLOOKUP(D38,'个人业绩-B-a-②呈现-业绩明细表'!$C:$C,'个人业绩-B-a-②呈现-业绩明细表'!$F:$F,0)</f>
        <v>0</v>
      </c>
      <c r="K38" s="53">
        <f>SUMIFS('⑦扣除明细-B-a-12-奖励统计表③'!G:G,'⑦扣除明细-B-a-12-奖励统计表③'!D:D,D38)</f>
        <v>0</v>
      </c>
      <c r="L38" s="53">
        <f>_xlfn.XLOOKUP(D38,'⑤项目数-B-a-③消耗明细表'!C:C,'⑤项目数-B-a-③消耗明细表'!E:E,0)</f>
        <v>14604.05</v>
      </c>
      <c r="M38" s="153">
        <f>_xlfn.XLOOKUP(D38,'⑤项目数-B-a-③消耗明细表'!$C:$C,'⑤项目数-B-a-③消耗明细表'!F:F,0)</f>
        <v>1571</v>
      </c>
      <c r="N38" s="53">
        <f>_xlfn.XLOOKUP(D38,'⑤项目数-B-a-③消耗明细表'!$C:$C,'⑤项目数-B-a-③消耗明细表'!G:G,0)</f>
        <v>80</v>
      </c>
    </row>
    <row r="39" spans="1:14" x14ac:dyDescent="0.15">
      <c r="A39" s="52" t="str">
        <v>光华</v>
      </c>
      <c r="B39" s="52" t="str">
        <v>健康师</v>
      </c>
      <c r="C39" s="52" t="str">
        <v>A</v>
      </c>
      <c r="D39" s="52" t="str">
        <v>康钦</v>
      </c>
      <c r="E39" s="52" t="str">
        <f>_xlfn.XLOOKUP(D39,期初设置!E:E,期初设置!F:F,0)</f>
        <v>光华+天翊队</v>
      </c>
      <c r="F39" s="52" t="str">
        <f>_xlfn.XLOOKUP(D39,期初设置!E:E,期初设置!D:D,0)</f>
        <v>顾问</v>
      </c>
      <c r="G39" s="53">
        <f>_xlfn.XLOOKUP(D39,'④考勤-B-a-26考勤汇总表'!D:D,'④考勤-B-a-26考勤汇总表'!AP:AP,0)</f>
        <v>31</v>
      </c>
      <c r="H39" s="141">
        <f>_xlfn.XLOOKUP(D39,'个人业绩-B-a-②呈现-业绩明细表'!$C:$C,'个人业绩-B-a-②呈现-业绩明细表'!D:D,0)</f>
        <v>45278</v>
      </c>
      <c r="I39" s="141">
        <f>_xlfn.XLOOKUP(D39,'个人业绩-B-a-②呈现-业绩明细表'!$C:$C,'个人业绩-B-a-②呈现-业绩明细表'!$E:$E,0)</f>
        <v>45278</v>
      </c>
      <c r="J39" s="141">
        <f>_xlfn.XLOOKUP(D39,'个人业绩-B-a-②呈现-业绩明细表'!$C:$C,'个人业绩-B-a-②呈现-业绩明细表'!$F:$F,0)</f>
        <v>0</v>
      </c>
      <c r="K39" s="53">
        <f>SUMIFS('⑦扣除明细-B-a-12-奖励统计表③'!G:G,'⑦扣除明细-B-a-12-奖励统计表③'!D:D,D39)</f>
        <v>0</v>
      </c>
      <c r="L39" s="53">
        <f>_xlfn.XLOOKUP(D39,'⑤项目数-B-a-③消耗明细表'!C:C,'⑤项目数-B-a-③消耗明细表'!E:E,0)</f>
        <v>40480.21</v>
      </c>
      <c r="M39" s="153">
        <f>_xlfn.XLOOKUP(D39,'⑤项目数-B-a-③消耗明细表'!$C:$C,'⑤项目数-B-a-③消耗明细表'!F:F,0)</f>
        <v>1739</v>
      </c>
      <c r="N39" s="53">
        <f>_xlfn.XLOOKUP(D39,'⑤项目数-B-a-③消耗明细表'!$C:$C,'⑤项目数-B-a-③消耗明细表'!G:G,0)</f>
        <v>250</v>
      </c>
    </row>
    <row r="40" spans="1:14" x14ac:dyDescent="0.15">
      <c r="A40" s="52" t="str">
        <v>光华</v>
      </c>
      <c r="B40" s="52" t="str">
        <v>健康师</v>
      </c>
      <c r="C40" s="52" t="str">
        <v>A</v>
      </c>
      <c r="D40" s="52" t="str">
        <v>聂娟</v>
      </c>
      <c r="E40" s="52" t="str">
        <f>_xlfn.XLOOKUP(D40,期初设置!E:E,期初设置!F:F,0)</f>
        <v>光华+猛力队</v>
      </c>
      <c r="F40" s="52" t="str">
        <f>_xlfn.XLOOKUP(D40,期初设置!E:E,期初设置!D:D,0)</f>
        <v>顾问</v>
      </c>
      <c r="G40" s="53">
        <f>_xlfn.XLOOKUP(D40,'④考勤-B-a-26考勤汇总表'!D:D,'④考勤-B-a-26考勤汇总表'!AP:AP,0)</f>
        <v>31</v>
      </c>
      <c r="H40" s="141">
        <f>_xlfn.XLOOKUP(D40,'个人业绩-B-a-②呈现-业绩明细表'!$C:$C,'个人业绩-B-a-②呈现-业绩明细表'!D:D,0)</f>
        <v>46560</v>
      </c>
      <c r="I40" s="141">
        <f>_xlfn.XLOOKUP(D40,'个人业绩-B-a-②呈现-业绩明细表'!$C:$C,'个人业绩-B-a-②呈现-业绩明细表'!$E:$E,0)</f>
        <v>45560</v>
      </c>
      <c r="J40" s="141">
        <f>_xlfn.XLOOKUP(D40,'个人业绩-B-a-②呈现-业绩明细表'!$C:$C,'个人业绩-B-a-②呈现-业绩明细表'!$F:$F,0)</f>
        <v>1000</v>
      </c>
      <c r="K40" s="53">
        <f>SUMIFS('⑦扣除明细-B-a-12-奖励统计表③'!G:G,'⑦扣除明细-B-a-12-奖励统计表③'!D:D,D40)</f>
        <v>0</v>
      </c>
      <c r="L40" s="53">
        <f>_xlfn.XLOOKUP(D40,'⑤项目数-B-a-③消耗明细表'!C:C,'⑤项目数-B-a-③消耗明细表'!E:E,0)</f>
        <v>48257.49</v>
      </c>
      <c r="M40" s="153">
        <f>_xlfn.XLOOKUP(D40,'⑤项目数-B-a-③消耗明细表'!$C:$C,'⑤项目数-B-a-③消耗明细表'!F:F,0)</f>
        <v>1937</v>
      </c>
      <c r="N40" s="53">
        <f>_xlfn.XLOOKUP(D40,'⑤项目数-B-a-③消耗明细表'!$C:$C,'⑤项目数-B-a-③消耗明细表'!G:G,0)</f>
        <v>220</v>
      </c>
    </row>
    <row r="41" spans="1:14" x14ac:dyDescent="0.15">
      <c r="A41" s="52" t="str">
        <v>光华</v>
      </c>
      <c r="B41" s="52" t="str">
        <v>健康师</v>
      </c>
      <c r="C41" s="52" t="str">
        <v>A</v>
      </c>
      <c r="D41" s="52" t="str">
        <v>马菁</v>
      </c>
      <c r="E41" s="52" t="str">
        <f>_xlfn.XLOOKUP(D41,期初设置!E:E,期初设置!F:F,0)</f>
        <v>光华+猛力队</v>
      </c>
      <c r="F41" s="52" t="str">
        <f>_xlfn.XLOOKUP(D41,期初设置!E:E,期初设置!D:D,0)</f>
        <v>健康师</v>
      </c>
      <c r="G41" s="53">
        <f>_xlfn.XLOOKUP(D41,'④考勤-B-a-26考勤汇总表'!D:D,'④考勤-B-a-26考勤汇总表'!AP:AP,0)</f>
        <v>31</v>
      </c>
      <c r="H41" s="141">
        <f>_xlfn.XLOOKUP(D41,'个人业绩-B-a-②呈现-业绩明细表'!$C:$C,'个人业绩-B-a-②呈现-业绩明细表'!D:D,0)</f>
        <v>33953</v>
      </c>
      <c r="I41" s="141">
        <f>_xlfn.XLOOKUP(D41,'个人业绩-B-a-②呈现-业绩明细表'!$C:$C,'个人业绩-B-a-②呈现-业绩明细表'!$E:$E,0)</f>
        <v>24153</v>
      </c>
      <c r="J41" s="141">
        <f>_xlfn.XLOOKUP(D41,'个人业绩-B-a-②呈现-业绩明细表'!$C:$C,'个人业绩-B-a-②呈现-业绩明细表'!$F:$F,0)</f>
        <v>9800</v>
      </c>
      <c r="K41" s="53">
        <f>SUMIFS('⑦扣除明细-B-a-12-奖励统计表③'!G:G,'⑦扣除明细-B-a-12-奖励统计表③'!D:D,D41)</f>
        <v>0</v>
      </c>
      <c r="L41" s="53">
        <f>_xlfn.XLOOKUP(D41,'⑤项目数-B-a-③消耗明细表'!C:C,'⑤项目数-B-a-③消耗明细表'!E:E,0)</f>
        <v>18967.5</v>
      </c>
      <c r="M41" s="153">
        <f>_xlfn.XLOOKUP(D41,'⑤项目数-B-a-③消耗明细表'!$C:$C,'⑤项目数-B-a-③消耗明细表'!F:F,0)</f>
        <v>1520</v>
      </c>
      <c r="N41" s="53">
        <f>_xlfn.XLOOKUP(D41,'⑤项目数-B-a-③消耗明细表'!$C:$C,'⑤项目数-B-a-③消耗明细表'!G:G,0)</f>
        <v>80</v>
      </c>
    </row>
    <row r="42" spans="1:14" x14ac:dyDescent="0.15">
      <c r="A42" s="52" t="str">
        <v>光华</v>
      </c>
      <c r="B42" s="52" t="str">
        <v>健康师</v>
      </c>
      <c r="C42" s="52" t="str">
        <v>A</v>
      </c>
      <c r="D42" s="52" t="str">
        <v>达哇卓玛</v>
      </c>
      <c r="E42" s="52" t="str">
        <f>_xlfn.XLOOKUP(D42,期初设置!E:E,期初设置!F:F,0)</f>
        <v>光华+天翊队</v>
      </c>
      <c r="F42" s="52" t="str">
        <f>_xlfn.XLOOKUP(D42,期初设置!E:E,期初设置!D:D,0)</f>
        <v>健康师</v>
      </c>
      <c r="G42" s="53">
        <f>_xlfn.XLOOKUP(D42,'④考勤-B-a-26考勤汇总表'!D:D,'④考勤-B-a-26考勤汇总表'!AP:AP,0)</f>
        <v>29</v>
      </c>
      <c r="H42" s="141">
        <f>_xlfn.XLOOKUP(D42,'个人业绩-B-a-②呈现-业绩明细表'!$C:$C,'个人业绩-B-a-②呈现-业绩明细表'!D:D,0)</f>
        <v>9799</v>
      </c>
      <c r="I42" s="141">
        <f>_xlfn.XLOOKUP(D42,'个人业绩-B-a-②呈现-业绩明细表'!$C:$C,'个人业绩-B-a-②呈现-业绩明细表'!$E:$E,0)</f>
        <v>9799</v>
      </c>
      <c r="J42" s="141">
        <f>_xlfn.XLOOKUP(D42,'个人业绩-B-a-②呈现-业绩明细表'!$C:$C,'个人业绩-B-a-②呈现-业绩明细表'!$F:$F,0)</f>
        <v>0</v>
      </c>
      <c r="K42" s="53">
        <f>SUMIFS('⑦扣除明细-B-a-12-奖励统计表③'!G:G,'⑦扣除明细-B-a-12-奖励统计表③'!D:D,D42)</f>
        <v>0</v>
      </c>
      <c r="L42" s="53">
        <f>_xlfn.XLOOKUP(D42,'⑤项目数-B-a-③消耗明细表'!C:C,'⑤项目数-B-a-③消耗明细表'!E:E,0)</f>
        <v>12768.22</v>
      </c>
      <c r="M42" s="153">
        <f>_xlfn.XLOOKUP(D42,'⑤项目数-B-a-③消耗明细表'!$C:$C,'⑤项目数-B-a-③消耗明细表'!F:F,0)</f>
        <v>1312</v>
      </c>
      <c r="N42" s="53">
        <f>_xlfn.XLOOKUP(D42,'⑤项目数-B-a-③消耗明细表'!$C:$C,'⑤项目数-B-a-③消耗明细表'!G:G,0)</f>
        <v>35</v>
      </c>
    </row>
    <row r="43" spans="1:14" x14ac:dyDescent="0.15">
      <c r="A43" s="52" t="str">
        <v>融创</v>
      </c>
      <c r="B43" s="52" t="str">
        <v>健康师</v>
      </c>
      <c r="C43" s="52" t="str">
        <v>A</v>
      </c>
      <c r="D43" s="52" t="str">
        <v>梁缘缘</v>
      </c>
      <c r="E43" s="52" t="str">
        <f>_xlfn.XLOOKUP(D43,期初设置!E:E,期初设置!F:F,0)</f>
        <v>融创+太阳队</v>
      </c>
      <c r="F43" s="52" t="str">
        <f>_xlfn.XLOOKUP(D43,期初设置!E:E,期初设置!D:D,0)</f>
        <v>顾问</v>
      </c>
      <c r="G43" s="53">
        <f>_xlfn.XLOOKUP(D43,'④考勤-B-a-26考勤汇总表'!D:D,'④考勤-B-a-26考勤汇总表'!AP:AP,0)</f>
        <v>31</v>
      </c>
      <c r="H43" s="141">
        <f>_xlfn.XLOOKUP(D43,'个人业绩-B-a-②呈现-业绩明细表'!$C:$C,'个人业绩-B-a-②呈现-业绩明细表'!D:D,0)</f>
        <v>41947.8</v>
      </c>
      <c r="I43" s="141">
        <f>_xlfn.XLOOKUP(D43,'个人业绩-B-a-②呈现-业绩明细表'!$C:$C,'个人业绩-B-a-②呈现-业绩明细表'!$E:$E,0)</f>
        <v>41947.8</v>
      </c>
      <c r="J43" s="141">
        <f>_xlfn.XLOOKUP(D43,'个人业绩-B-a-②呈现-业绩明细表'!$C:$C,'个人业绩-B-a-②呈现-业绩明细表'!$F:$F,0)</f>
        <v>0</v>
      </c>
      <c r="K43" s="53">
        <f>SUMIFS('⑦扣除明细-B-a-12-奖励统计表③'!G:G,'⑦扣除明细-B-a-12-奖励统计表③'!D:D,D43)</f>
        <v>0</v>
      </c>
      <c r="L43" s="53">
        <f>_xlfn.XLOOKUP(D43,'⑤项目数-B-a-③消耗明细表'!C:C,'⑤项目数-B-a-③消耗明细表'!E:E,0)</f>
        <v>18391.38</v>
      </c>
      <c r="M43" s="153">
        <f>_xlfn.XLOOKUP(D43,'⑤项目数-B-a-③消耗明细表'!$C:$C,'⑤项目数-B-a-③消耗明细表'!F:F,0)</f>
        <v>979</v>
      </c>
      <c r="N43" s="53">
        <f>_xlfn.XLOOKUP(D43,'⑤项目数-B-a-③消耗明细表'!$C:$C,'⑤项目数-B-a-③消耗明细表'!G:G,0)</f>
        <v>55</v>
      </c>
    </row>
    <row r="44" spans="1:14" x14ac:dyDescent="0.15">
      <c r="A44" s="52" t="str">
        <v>融创</v>
      </c>
      <c r="B44" s="52" t="str">
        <v>健康师</v>
      </c>
      <c r="C44" s="52" t="str">
        <v>A</v>
      </c>
      <c r="D44" s="52" t="str">
        <v>李思忆</v>
      </c>
      <c r="E44" s="52" t="str">
        <f>_xlfn.XLOOKUP(D44,期初设置!E:E,期初设置!F:F,0)</f>
        <v>融创+胜羽队</v>
      </c>
      <c r="F44" s="52" t="str">
        <f>_xlfn.XLOOKUP(D44,期初设置!E:E,期初设置!D:D,0)</f>
        <v>顾问</v>
      </c>
      <c r="G44" s="53">
        <f>_xlfn.XLOOKUP(D44,'④考勤-B-a-26考勤汇总表'!D:D,'④考勤-B-a-26考勤汇总表'!AP:AP,0)</f>
        <v>31</v>
      </c>
      <c r="H44" s="141">
        <f>_xlfn.XLOOKUP(D44,'个人业绩-B-a-②呈现-业绩明细表'!$C:$C,'个人业绩-B-a-②呈现-业绩明细表'!D:D,0)</f>
        <v>30846.699999999997</v>
      </c>
      <c r="I44" s="141">
        <f>_xlfn.XLOOKUP(D44,'个人业绩-B-a-②呈现-业绩明细表'!$C:$C,'个人业绩-B-a-②呈现-业绩明细表'!$E:$E,0)</f>
        <v>34046.699999999997</v>
      </c>
      <c r="J44" s="141">
        <f>_xlfn.XLOOKUP(D44,'个人业绩-B-a-②呈现-业绩明细表'!$C:$C,'个人业绩-B-a-②呈现-业绩明细表'!$F:$F,0)</f>
        <v>-3200</v>
      </c>
      <c r="K44" s="53">
        <f>SUMIFS('⑦扣除明细-B-a-12-奖励统计表③'!G:G,'⑦扣除明细-B-a-12-奖励统计表③'!D:D,D44)</f>
        <v>0</v>
      </c>
      <c r="L44" s="53">
        <f>_xlfn.XLOOKUP(D44,'⑤项目数-B-a-③消耗明细表'!C:C,'⑤项目数-B-a-③消耗明细表'!E:E,0)</f>
        <v>22991.78</v>
      </c>
      <c r="M44" s="153">
        <f>_xlfn.XLOOKUP(D44,'⑤项目数-B-a-③消耗明细表'!$C:$C,'⑤项目数-B-a-③消耗明细表'!F:F,0)</f>
        <v>1248</v>
      </c>
      <c r="N44" s="53">
        <f>_xlfn.XLOOKUP(D44,'⑤项目数-B-a-③消耗明细表'!$C:$C,'⑤项目数-B-a-③消耗明细表'!G:G,0)</f>
        <v>170</v>
      </c>
    </row>
    <row r="45" spans="1:14" x14ac:dyDescent="0.15">
      <c r="A45" s="52" t="str">
        <v>融创</v>
      </c>
      <c r="B45" s="52" t="str">
        <v>健康师</v>
      </c>
      <c r="C45" s="52" t="str">
        <v>A</v>
      </c>
      <c r="D45" s="52" t="str">
        <v>赵情情</v>
      </c>
      <c r="E45" s="52" t="str">
        <f>_xlfn.XLOOKUP(D45,期初设置!E:E,期初设置!F:F,0)</f>
        <v>融创+胜羽队</v>
      </c>
      <c r="F45" s="52" t="str">
        <f>_xlfn.XLOOKUP(D45,期初设置!E:E,期初设置!D:D,0)</f>
        <v>健康师</v>
      </c>
      <c r="G45" s="53">
        <f>_xlfn.XLOOKUP(D45,'④考勤-B-a-26考勤汇总表'!D:D,'④考勤-B-a-26考勤汇总表'!AP:AP,0)</f>
        <v>31</v>
      </c>
      <c r="H45" s="141">
        <f>_xlfn.XLOOKUP(D45,'个人业绩-B-a-②呈现-业绩明细表'!$C:$C,'个人业绩-B-a-②呈现-业绩明细表'!D:D,0)</f>
        <v>26402</v>
      </c>
      <c r="I45" s="141">
        <f>_xlfn.XLOOKUP(D45,'个人业绩-B-a-②呈现-业绩明细表'!$C:$C,'个人业绩-B-a-②呈现-业绩明细表'!$E:$E,0)</f>
        <v>26402</v>
      </c>
      <c r="J45" s="141">
        <f>_xlfn.XLOOKUP(D45,'个人业绩-B-a-②呈现-业绩明细表'!$C:$C,'个人业绩-B-a-②呈现-业绩明细表'!$F:$F,0)</f>
        <v>0</v>
      </c>
      <c r="K45" s="53">
        <f>SUMIFS('⑦扣除明细-B-a-12-奖励统计表③'!G:G,'⑦扣除明细-B-a-12-奖励统计表③'!D:D,D45)</f>
        <v>0</v>
      </c>
      <c r="L45" s="53">
        <f>_xlfn.XLOOKUP(D45,'⑤项目数-B-a-③消耗明细表'!C:C,'⑤项目数-B-a-③消耗明细表'!E:E,0)</f>
        <v>18249.46</v>
      </c>
      <c r="M45" s="153">
        <f>_xlfn.XLOOKUP(D45,'⑤项目数-B-a-③消耗明细表'!$C:$C,'⑤项目数-B-a-③消耗明细表'!F:F,0)</f>
        <v>1014</v>
      </c>
      <c r="N45" s="53">
        <f>_xlfn.XLOOKUP(D45,'⑤项目数-B-a-③消耗明细表'!$C:$C,'⑤项目数-B-a-③消耗明细表'!G:G,0)</f>
        <v>40</v>
      </c>
    </row>
    <row r="46" spans="1:14" x14ac:dyDescent="0.15">
      <c r="A46" s="52" t="str">
        <v>融创</v>
      </c>
      <c r="B46" s="52" t="str">
        <v>健康师</v>
      </c>
      <c r="C46" s="52" t="str">
        <v>A</v>
      </c>
      <c r="D46" s="52" t="str">
        <v>曹悦</v>
      </c>
      <c r="E46" s="52" t="str">
        <f>_xlfn.XLOOKUP(D46,期初设置!E:E,期初设置!F:F,0)</f>
        <v>融创+太阳队</v>
      </c>
      <c r="F46" s="52" t="str">
        <f>_xlfn.XLOOKUP(D46,期初设置!E:E,期初设置!D:D,0)</f>
        <v>健康师</v>
      </c>
      <c r="G46" s="53">
        <f>_xlfn.XLOOKUP(D46,'④考勤-B-a-26考勤汇总表'!D:D,'④考勤-B-a-26考勤汇总表'!AP:AP,0)</f>
        <v>31</v>
      </c>
      <c r="H46" s="141">
        <f>_xlfn.XLOOKUP(D46,'个人业绩-B-a-②呈现-业绩明细表'!$C:$C,'个人业绩-B-a-②呈现-业绩明细表'!D:D,0)</f>
        <v>43731</v>
      </c>
      <c r="I46" s="141">
        <f>_xlfn.XLOOKUP(D46,'个人业绩-B-a-②呈现-业绩明细表'!$C:$C,'个人业绩-B-a-②呈现-业绩明细表'!$E:$E,0)</f>
        <v>43731</v>
      </c>
      <c r="J46" s="141">
        <f>_xlfn.XLOOKUP(D46,'个人业绩-B-a-②呈现-业绩明细表'!$C:$C,'个人业绩-B-a-②呈现-业绩明细表'!$F:$F,0)</f>
        <v>0</v>
      </c>
      <c r="K46" s="53">
        <f>SUMIFS('⑦扣除明细-B-a-12-奖励统计表③'!G:G,'⑦扣除明细-B-a-12-奖励统计表③'!D:D,D46)</f>
        <v>0</v>
      </c>
      <c r="L46" s="53">
        <f>_xlfn.XLOOKUP(D46,'⑤项目数-B-a-③消耗明细表'!C:C,'⑤项目数-B-a-③消耗明细表'!E:E,0)</f>
        <v>34300.11</v>
      </c>
      <c r="M46" s="153">
        <f>_xlfn.XLOOKUP(D46,'⑤项目数-B-a-③消耗明细表'!$C:$C,'⑤项目数-B-a-③消耗明细表'!F:F,0)</f>
        <v>1028</v>
      </c>
      <c r="N46" s="53">
        <f>_xlfn.XLOOKUP(D46,'⑤项目数-B-a-③消耗明细表'!$C:$C,'⑤项目数-B-a-③消耗明细表'!G:G,0)</f>
        <v>65</v>
      </c>
    </row>
    <row r="47" spans="1:14" x14ac:dyDescent="0.15">
      <c r="A47" s="52" t="str">
        <v>融创</v>
      </c>
      <c r="B47" s="52" t="str">
        <v>健康师</v>
      </c>
      <c r="C47" s="52" t="str">
        <v>A</v>
      </c>
      <c r="D47" s="52" t="str">
        <v>吴飞雁</v>
      </c>
      <c r="E47" s="52" t="str">
        <f>_xlfn.XLOOKUP(D47,期初设置!E:E,期初设置!F:F,0)</f>
        <v>融创+胜羽队</v>
      </c>
      <c r="F47" s="52" t="str">
        <f>_xlfn.XLOOKUP(D47,期初设置!E:E,期初设置!D:D,0)</f>
        <v>健康师</v>
      </c>
      <c r="G47" s="53">
        <f>_xlfn.XLOOKUP(D47,'④考勤-B-a-26考勤汇总表'!D:D,'④考勤-B-a-26考勤汇总表'!AP:AP,0)</f>
        <v>31</v>
      </c>
      <c r="H47" s="141">
        <f>_xlfn.XLOOKUP(D47,'个人业绩-B-a-②呈现-业绩明细表'!$C:$C,'个人业绩-B-a-②呈现-业绩明细表'!D:D,0)</f>
        <v>4918</v>
      </c>
      <c r="I47" s="141">
        <f>_xlfn.XLOOKUP(D47,'个人业绩-B-a-②呈现-业绩明细表'!$C:$C,'个人业绩-B-a-②呈现-业绩明细表'!$E:$E,0)</f>
        <v>4918</v>
      </c>
      <c r="J47" s="141">
        <f>_xlfn.XLOOKUP(D47,'个人业绩-B-a-②呈现-业绩明细表'!$C:$C,'个人业绩-B-a-②呈现-业绩明细表'!$F:$F,0)</f>
        <v>0</v>
      </c>
      <c r="K47" s="53">
        <f>SUMIFS('⑦扣除明细-B-a-12-奖励统计表③'!G:G,'⑦扣除明细-B-a-12-奖励统计表③'!D:D,D47)</f>
        <v>0</v>
      </c>
      <c r="L47" s="53">
        <f>_xlfn.XLOOKUP(D47,'⑤项目数-B-a-③消耗明细表'!C:C,'⑤项目数-B-a-③消耗明细表'!E:E,0)</f>
        <v>11679.15</v>
      </c>
      <c r="M47" s="153">
        <f>_xlfn.XLOOKUP(D47,'⑤项目数-B-a-③消耗明细表'!$C:$C,'⑤项目数-B-a-③消耗明细表'!F:F,0)</f>
        <v>896</v>
      </c>
      <c r="N47" s="53">
        <f>_xlfn.XLOOKUP(D47,'⑤项目数-B-a-③消耗明细表'!$C:$C,'⑤项目数-B-a-③消耗明细表'!G:G,0)</f>
        <v>0</v>
      </c>
    </row>
    <row r="48" spans="1:14" x14ac:dyDescent="0.15">
      <c r="A48" s="52" t="str">
        <v>融创</v>
      </c>
      <c r="B48" s="52" t="str">
        <v>健康师</v>
      </c>
      <c r="C48" s="52" t="str">
        <v>A</v>
      </c>
      <c r="D48" s="52" t="str">
        <v>尹桂香</v>
      </c>
      <c r="E48" s="52" t="str">
        <f>_xlfn.XLOOKUP(D48,期初设置!E:E,期初设置!F:F,0)</f>
        <v>融创+太阳队</v>
      </c>
      <c r="F48" s="52" t="str">
        <f>_xlfn.XLOOKUP(D48,期初设置!E:E,期初设置!D:D,0)</f>
        <v>健康师</v>
      </c>
      <c r="G48" s="53">
        <f>_xlfn.XLOOKUP(D48,'④考勤-B-a-26考勤汇总表'!D:D,'④考勤-B-a-26考勤汇总表'!AP:AP,0)</f>
        <v>31</v>
      </c>
      <c r="H48" s="141">
        <f>_xlfn.XLOOKUP(D48,'个人业绩-B-a-②呈现-业绩明细表'!$C:$C,'个人业绩-B-a-②呈现-业绩明细表'!D:D,0)</f>
        <v>4575.5</v>
      </c>
      <c r="I48" s="141">
        <f>_xlfn.XLOOKUP(D48,'个人业绩-B-a-②呈现-业绩明细表'!$C:$C,'个人业绩-B-a-②呈现-业绩明细表'!$E:$E,0)</f>
        <v>4575.5</v>
      </c>
      <c r="J48" s="141">
        <f>_xlfn.XLOOKUP(D48,'个人业绩-B-a-②呈现-业绩明细表'!$C:$C,'个人业绩-B-a-②呈现-业绩明细表'!$F:$F,0)</f>
        <v>0</v>
      </c>
      <c r="K48" s="53">
        <f>SUMIFS('⑦扣除明细-B-a-12-奖励统计表③'!G:G,'⑦扣除明细-B-a-12-奖励统计表③'!D:D,D48)</f>
        <v>0</v>
      </c>
      <c r="L48" s="53">
        <f>_xlfn.XLOOKUP(D48,'⑤项目数-B-a-③消耗明细表'!C:C,'⑤项目数-B-a-③消耗明细表'!E:E,0)</f>
        <v>11535.34</v>
      </c>
      <c r="M48" s="153">
        <f>_xlfn.XLOOKUP(D48,'⑤项目数-B-a-③消耗明细表'!$C:$C,'⑤项目数-B-a-③消耗明细表'!F:F,0)</f>
        <v>1032</v>
      </c>
      <c r="N48" s="53">
        <f>_xlfn.XLOOKUP(D48,'⑤项目数-B-a-③消耗明细表'!$C:$C,'⑤项目数-B-a-③消耗明细表'!G:G,0)</f>
        <v>0</v>
      </c>
    </row>
    <row r="49" spans="1:14" x14ac:dyDescent="0.15">
      <c r="A49" s="52" t="str">
        <v>川师</v>
      </c>
      <c r="B49" s="52" t="str">
        <v>健康师</v>
      </c>
      <c r="C49" s="52" t="str">
        <v>A</v>
      </c>
      <c r="D49" s="52" t="str">
        <v>李巧娇</v>
      </c>
      <c r="E49" s="52" t="str">
        <f>_xlfn.XLOOKUP(D49,期初设置!E:E,期初设置!F:F,0)</f>
        <v>川师+虎啸龙吟队</v>
      </c>
      <c r="F49" s="52" t="str">
        <f>_xlfn.XLOOKUP(D49,期初设置!E:E,期初设置!D:D,0)</f>
        <v>顾问</v>
      </c>
      <c r="G49" s="53">
        <f>_xlfn.XLOOKUP(D49,'④考勤-B-a-26考勤汇总表'!D:D,'④考勤-B-a-26考勤汇总表'!AP:AP,0)</f>
        <v>31</v>
      </c>
      <c r="H49" s="141">
        <f>_xlfn.XLOOKUP(D49,'个人业绩-B-a-②呈现-业绩明细表'!$C:$C,'个人业绩-B-a-②呈现-业绩明细表'!D:D,0)</f>
        <v>54822</v>
      </c>
      <c r="I49" s="141">
        <f>_xlfn.XLOOKUP(D49,'个人业绩-B-a-②呈现-业绩明细表'!$C:$C,'个人业绩-B-a-②呈现-业绩明细表'!$E:$E,0)</f>
        <v>23867</v>
      </c>
      <c r="J49" s="141">
        <f>_xlfn.XLOOKUP(D49,'个人业绩-B-a-②呈现-业绩明细表'!$C:$C,'个人业绩-B-a-②呈现-业绩明细表'!$F:$F,0)</f>
        <v>29179</v>
      </c>
      <c r="K49" s="53">
        <f>SUMIFS('⑦扣除明细-B-a-12-奖励统计表③'!G:G,'⑦扣除明细-B-a-12-奖励统计表③'!D:D,D49)</f>
        <v>1776</v>
      </c>
      <c r="L49" s="53">
        <f>_xlfn.XLOOKUP(D49,'⑤项目数-B-a-③消耗明细表'!C:C,'⑤项目数-B-a-③消耗明细表'!E:E,0)</f>
        <v>43190.45</v>
      </c>
      <c r="M49" s="153">
        <f>_xlfn.XLOOKUP(D49,'⑤项目数-B-a-③消耗明细表'!$C:$C,'⑤项目数-B-a-③消耗明细表'!F:F,0)</f>
        <v>1112</v>
      </c>
      <c r="N49" s="53">
        <f>_xlfn.XLOOKUP(D49,'⑤项目数-B-a-③消耗明细表'!$C:$C,'⑤项目数-B-a-③消耗明细表'!G:G,0)</f>
        <v>0</v>
      </c>
    </row>
    <row r="50" spans="1:14" x14ac:dyDescent="0.15">
      <c r="A50" s="52" t="str">
        <v>川师</v>
      </c>
      <c r="B50" s="52" t="str">
        <v>健康师</v>
      </c>
      <c r="C50" s="52" t="str">
        <v>A</v>
      </c>
      <c r="D50" s="52" t="str">
        <v>罗雪</v>
      </c>
      <c r="E50" s="52" t="str">
        <f>_xlfn.XLOOKUP(D50,期初设置!E:E,期初设置!F:F,0)</f>
        <v>川师+卧虎藏龙队</v>
      </c>
      <c r="F50" s="52" t="str">
        <f>_xlfn.XLOOKUP(D50,期初设置!E:E,期初设置!D:D,0)</f>
        <v>顾问</v>
      </c>
      <c r="G50" s="53">
        <f>_xlfn.XLOOKUP(D50,'④考勤-B-a-26考勤汇总表'!D:D,'④考勤-B-a-26考勤汇总表'!AP:AP,0)</f>
        <v>31</v>
      </c>
      <c r="H50" s="141">
        <f>_xlfn.XLOOKUP(D50,'个人业绩-B-a-②呈现-业绩明细表'!$C:$C,'个人业绩-B-a-②呈现-业绩明细表'!D:D,0)</f>
        <v>61101</v>
      </c>
      <c r="I50" s="141">
        <f>_xlfn.XLOOKUP(D50,'个人业绩-B-a-②呈现-业绩明细表'!$C:$C,'个人业绩-B-a-②呈现-业绩明细表'!$E:$E,0)</f>
        <v>57228</v>
      </c>
      <c r="J50" s="141">
        <f>_xlfn.XLOOKUP(D50,'个人业绩-B-a-②呈现-业绩明细表'!$C:$C,'个人业绩-B-a-②呈现-业绩明细表'!$F:$F,0)</f>
        <v>2786</v>
      </c>
      <c r="K50" s="53">
        <f>SUMIFS('⑦扣除明细-B-a-12-奖励统计表③'!G:G,'⑦扣除明细-B-a-12-奖励统计表③'!D:D,D50)</f>
        <v>1087</v>
      </c>
      <c r="L50" s="53">
        <f>_xlfn.XLOOKUP(D50,'⑤项目数-B-a-③消耗明细表'!C:C,'⑤项目数-B-a-③消耗明细表'!E:E,0)</f>
        <v>25702.1</v>
      </c>
      <c r="M50" s="153">
        <f>_xlfn.XLOOKUP(D50,'⑤项目数-B-a-③消耗明细表'!$C:$C,'⑤项目数-B-a-③消耗明细表'!F:F,0)</f>
        <v>1840</v>
      </c>
      <c r="N50" s="53">
        <f>_xlfn.XLOOKUP(D50,'⑤项目数-B-a-③消耗明细表'!$C:$C,'⑤项目数-B-a-③消耗明细表'!G:G,0)</f>
        <v>155</v>
      </c>
    </row>
    <row r="51" spans="1:14" x14ac:dyDescent="0.15">
      <c r="A51" s="52" t="str">
        <v>川师</v>
      </c>
      <c r="B51" s="52" t="str">
        <v>健康师</v>
      </c>
      <c r="C51" s="52" t="str">
        <v>A</v>
      </c>
      <c r="D51" s="52" t="str">
        <v>唐宇欣</v>
      </c>
      <c r="E51" s="52" t="str">
        <f>_xlfn.XLOOKUP(D51,期初设置!E:E,期初设置!F:F,0)</f>
        <v>川师+卧虎藏龙队</v>
      </c>
      <c r="F51" s="52" t="str">
        <f>_xlfn.XLOOKUP(D51,期初设置!E:E,期初设置!D:D,0)</f>
        <v>健康师</v>
      </c>
      <c r="G51" s="53">
        <f>_xlfn.XLOOKUP(D51,'④考勤-B-a-26考勤汇总表'!D:D,'④考勤-B-a-26考勤汇总表'!AP:AP,0)</f>
        <v>31</v>
      </c>
      <c r="H51" s="141">
        <f>_xlfn.XLOOKUP(D51,'个人业绩-B-a-②呈现-业绩明细表'!$C:$C,'个人业绩-B-a-②呈现-业绩明细表'!D:D,0)</f>
        <v>48696</v>
      </c>
      <c r="I51" s="141">
        <f>_xlfn.XLOOKUP(D51,'个人业绩-B-a-②呈现-业绩明细表'!$C:$C,'个人业绩-B-a-②呈现-业绩明细表'!$E:$E,0)</f>
        <v>30216</v>
      </c>
      <c r="J51" s="141">
        <f>_xlfn.XLOOKUP(D51,'个人业绩-B-a-②呈现-业绩明细表'!$C:$C,'个人业绩-B-a-②呈现-业绩明细表'!$F:$F,0)</f>
        <v>17592</v>
      </c>
      <c r="K51" s="53">
        <f>SUMIFS('⑦扣除明细-B-a-12-奖励统计表③'!G:G,'⑦扣除明细-B-a-12-奖励统计表③'!D:D,D51)</f>
        <v>888</v>
      </c>
      <c r="L51" s="53">
        <f>_xlfn.XLOOKUP(D51,'⑤项目数-B-a-③消耗明细表'!C:C,'⑤项目数-B-a-③消耗明细表'!E:E,0)</f>
        <v>31950.77</v>
      </c>
      <c r="M51" s="153">
        <f>_xlfn.XLOOKUP(D51,'⑤项目数-B-a-③消耗明细表'!$C:$C,'⑤项目数-B-a-③消耗明细表'!F:F,0)</f>
        <v>1181</v>
      </c>
      <c r="N51" s="53">
        <f>_xlfn.XLOOKUP(D51,'⑤项目数-B-a-③消耗明细表'!$C:$C,'⑤项目数-B-a-③消耗明细表'!G:G,0)</f>
        <v>50</v>
      </c>
    </row>
    <row r="52" spans="1:14" x14ac:dyDescent="0.15">
      <c r="A52" s="52" t="str">
        <v>川师</v>
      </c>
      <c r="B52" s="52" t="str">
        <v>健康师</v>
      </c>
      <c r="C52" s="52" t="str">
        <v>A</v>
      </c>
      <c r="D52" s="52" t="str">
        <v>李萌</v>
      </c>
      <c r="E52" s="52" t="str">
        <f>_xlfn.XLOOKUP(D52,期初设置!E:E,期初设置!F:F,0)</f>
        <v>川师+虎啸龙吟队</v>
      </c>
      <c r="F52" s="52" t="str">
        <f>_xlfn.XLOOKUP(D52,期初设置!E:E,期初设置!D:D,0)</f>
        <v>健康师</v>
      </c>
      <c r="G52" s="53">
        <f>_xlfn.XLOOKUP(D52,'④考勤-B-a-26考勤汇总表'!D:D,'④考勤-B-a-26考勤汇总表'!AP:AP,0)</f>
        <v>31</v>
      </c>
      <c r="H52" s="141">
        <f>_xlfn.XLOOKUP(D52,'个人业绩-B-a-②呈现-业绩明细表'!$C:$C,'个人业绩-B-a-②呈现-业绩明细表'!D:D,0)</f>
        <v>14630</v>
      </c>
      <c r="I52" s="141">
        <f>_xlfn.XLOOKUP(D52,'个人业绩-B-a-②呈现-业绩明细表'!$C:$C,'个人业绩-B-a-②呈现-业绩明细表'!$E:$E,0)</f>
        <v>7030</v>
      </c>
      <c r="J52" s="141">
        <f>_xlfn.XLOOKUP(D52,'个人业绩-B-a-②呈现-业绩明细表'!$C:$C,'个人业绩-B-a-②呈现-业绩明细表'!$F:$F,0)</f>
        <v>6980</v>
      </c>
      <c r="K52" s="53">
        <f>SUMIFS('⑦扣除明细-B-a-12-奖励统计表③'!G:G,'⑦扣除明细-B-a-12-奖励统计表③'!D:D,D52)</f>
        <v>620</v>
      </c>
      <c r="L52" s="53">
        <f>_xlfn.XLOOKUP(D52,'⑤项目数-B-a-③消耗明细表'!C:C,'⑤项目数-B-a-③消耗明细表'!E:E,0)</f>
        <v>14369.11</v>
      </c>
      <c r="M52" s="153">
        <f>_xlfn.XLOOKUP(D52,'⑤项目数-B-a-③消耗明细表'!$C:$C,'⑤项目数-B-a-③消耗明细表'!F:F,0)</f>
        <v>1073</v>
      </c>
      <c r="N52" s="53">
        <f>_xlfn.XLOOKUP(D52,'⑤项目数-B-a-③消耗明细表'!$C:$C,'⑤项目数-B-a-③消耗明细表'!G:G,0)</f>
        <v>0</v>
      </c>
    </row>
    <row r="53" spans="1:14" x14ac:dyDescent="0.15">
      <c r="A53" s="52" t="str">
        <v>华润</v>
      </c>
      <c r="B53" s="52" t="str">
        <v>健康师</v>
      </c>
      <c r="C53" s="52" t="str">
        <v>A</v>
      </c>
      <c r="D53" s="52" t="str">
        <v>王如意</v>
      </c>
      <c r="E53" s="52" t="str">
        <f>_xlfn.XLOOKUP(D53,期初设置!E:E,期初设置!F:F,0)</f>
        <v>华润+飞跃队</v>
      </c>
      <c r="F53" s="52" t="str">
        <f>_xlfn.XLOOKUP(D53,期初设置!E:E,期初设置!D:D,0)</f>
        <v>健康师</v>
      </c>
      <c r="G53" s="53">
        <f>_xlfn.XLOOKUP(D53,'④考勤-B-a-26考勤汇总表'!D:D,'④考勤-B-a-26考勤汇总表'!AP:AP,0)</f>
        <v>31</v>
      </c>
      <c r="H53" s="141">
        <f>_xlfn.XLOOKUP(D53,'个人业绩-B-a-②呈现-业绩明细表'!$C:$C,'个人业绩-B-a-②呈现-业绩明细表'!D:D,0)</f>
        <v>12376.3</v>
      </c>
      <c r="I53" s="141">
        <f>_xlfn.XLOOKUP(D53,'个人业绩-B-a-②呈现-业绩明细表'!$C:$C,'个人业绩-B-a-②呈现-业绩明细表'!$E:$E,0)</f>
        <v>8206.2999999999993</v>
      </c>
      <c r="J53" s="141">
        <f>_xlfn.XLOOKUP(D53,'个人业绩-B-a-②呈现-业绩明细表'!$C:$C,'个人业绩-B-a-②呈现-业绩明细表'!$F:$F,0)</f>
        <v>4170</v>
      </c>
      <c r="K53" s="53">
        <f>SUMIFS('⑦扣除明细-B-a-12-奖励统计表③'!G:G,'⑦扣除明细-B-a-12-奖励统计表③'!D:D,D53)</f>
        <v>0</v>
      </c>
      <c r="L53" s="53">
        <f>_xlfn.XLOOKUP(D53,'⑤项目数-B-a-③消耗明细表'!C:C,'⑤项目数-B-a-③消耗明细表'!E:E,0)</f>
        <v>15179.01</v>
      </c>
      <c r="M53" s="153">
        <f>_xlfn.XLOOKUP(D53,'⑤项目数-B-a-③消耗明细表'!$C:$C,'⑤项目数-B-a-③消耗明细表'!F:F,0)</f>
        <v>1007</v>
      </c>
      <c r="N53" s="53">
        <f>_xlfn.XLOOKUP(D53,'⑤项目数-B-a-③消耗明细表'!$C:$C,'⑤项目数-B-a-③消耗明细表'!G:G,0)</f>
        <v>0</v>
      </c>
    </row>
    <row r="54" spans="1:14" x14ac:dyDescent="0.15">
      <c r="A54" s="52" t="str">
        <v>川师</v>
      </c>
      <c r="B54" s="52" t="str">
        <v>健康师</v>
      </c>
      <c r="C54" s="52" t="str">
        <v>A</v>
      </c>
      <c r="D54" s="52" t="str">
        <v>柳全菊</v>
      </c>
      <c r="E54" s="52" t="str">
        <f>_xlfn.XLOOKUP(D54,期初设置!E:E,期初设置!F:F,0)</f>
        <v>川师+虎啸龙吟队</v>
      </c>
      <c r="F54" s="52" t="str">
        <f>_xlfn.XLOOKUP(D54,期初设置!E:E,期初设置!D:D,0)</f>
        <v>健康师</v>
      </c>
      <c r="G54" s="53">
        <f>_xlfn.XLOOKUP(D54,'④考勤-B-a-26考勤汇总表'!D:D,'④考勤-B-a-26考勤汇总表'!AP:AP,0)</f>
        <v>31</v>
      </c>
      <c r="H54" s="141">
        <f>_xlfn.XLOOKUP(D54,'个人业绩-B-a-②呈现-业绩明细表'!$C:$C,'个人业绩-B-a-②呈现-业绩明细表'!D:D,0)</f>
        <v>25991</v>
      </c>
      <c r="I54" s="141">
        <f>_xlfn.XLOOKUP(D54,'个人业绩-B-a-②呈现-业绩明细表'!$C:$C,'个人业绩-B-a-②呈现-业绩明细表'!$E:$E,0)</f>
        <v>22992</v>
      </c>
      <c r="J54" s="141">
        <f>_xlfn.XLOOKUP(D54,'个人业绩-B-a-②呈现-业绩明细表'!$C:$C,'个人业绩-B-a-②呈现-业绩明细表'!$F:$F,0)</f>
        <v>2999</v>
      </c>
      <c r="K54" s="53">
        <f>SUMIFS('⑦扣除明细-B-a-12-奖励统计表③'!G:G,'⑦扣除明细-B-a-12-奖励统计表③'!D:D,D54)</f>
        <v>0</v>
      </c>
      <c r="L54" s="53">
        <f>_xlfn.XLOOKUP(D54,'⑤项目数-B-a-③消耗明细表'!C:C,'⑤项目数-B-a-③消耗明细表'!E:E,0)</f>
        <v>12371.53</v>
      </c>
      <c r="M54" s="153">
        <f>_xlfn.XLOOKUP(D54,'⑤项目数-B-a-③消耗明细表'!$C:$C,'⑤项目数-B-a-③消耗明细表'!F:F,0)</f>
        <v>1064</v>
      </c>
      <c r="N54" s="53">
        <f>_xlfn.XLOOKUP(D54,'⑤项目数-B-a-③消耗明细表'!$C:$C,'⑤项目数-B-a-③消耗明细表'!G:G,0)</f>
        <v>0</v>
      </c>
    </row>
    <row r="55" spans="1:14" x14ac:dyDescent="0.15">
      <c r="A55" s="52" t="str">
        <v>鹭岛</v>
      </c>
      <c r="B55" s="52" t="str">
        <v>健康师</v>
      </c>
      <c r="C55" s="52" t="str">
        <v>A</v>
      </c>
      <c r="D55" s="52" t="str">
        <v>顾红艳</v>
      </c>
      <c r="E55" s="52" t="str">
        <f>_xlfn.XLOOKUP(D55,期初设置!E:E,期初设置!F:F,0)</f>
        <v>鹭岛+出单队</v>
      </c>
      <c r="F55" s="52" t="str">
        <f>_xlfn.XLOOKUP(D55,期初设置!E:E,期初设置!D:D,0)</f>
        <v>顾问</v>
      </c>
      <c r="G55" s="53">
        <f>_xlfn.XLOOKUP(D55,'④考勤-B-a-26考勤汇总表'!D:D,'④考勤-B-a-26考勤汇总表'!AP:AP,0)</f>
        <v>31</v>
      </c>
      <c r="H55" s="141">
        <f>_xlfn.XLOOKUP(D55,'个人业绩-B-a-②呈现-业绩明细表'!$C:$C,'个人业绩-B-a-②呈现-业绩明细表'!D:D,0)</f>
        <v>26174.5</v>
      </c>
      <c r="I55" s="141">
        <f>_xlfn.XLOOKUP(D55,'个人业绩-B-a-②呈现-业绩明细表'!$C:$C,'个人业绩-B-a-②呈现-业绩明细表'!$E:$E,0)</f>
        <v>21074.5</v>
      </c>
      <c r="J55" s="141">
        <f>_xlfn.XLOOKUP(D55,'个人业绩-B-a-②呈现-业绩明细表'!$C:$C,'个人业绩-B-a-②呈现-业绩明细表'!$F:$F,0)</f>
        <v>5100</v>
      </c>
      <c r="K55" s="53">
        <f>SUMIFS('⑦扣除明细-B-a-12-奖励统计表③'!G:G,'⑦扣除明细-B-a-12-奖励统计表③'!D:D,D55)</f>
        <v>0</v>
      </c>
      <c r="L55" s="53">
        <f>_xlfn.XLOOKUP(D55,'⑤项目数-B-a-③消耗明细表'!C:C,'⑤项目数-B-a-③消耗明细表'!E:E,0)</f>
        <v>20239.59</v>
      </c>
      <c r="M55" s="153">
        <f>_xlfn.XLOOKUP(D55,'⑤项目数-B-a-③消耗明细表'!$C:$C,'⑤项目数-B-a-③消耗明细表'!F:F,0)</f>
        <v>1394</v>
      </c>
      <c r="N55" s="53">
        <f>_xlfn.XLOOKUP(D55,'⑤项目数-B-a-③消耗明细表'!$C:$C,'⑤项目数-B-a-③消耗明细表'!G:G,0)</f>
        <v>135</v>
      </c>
    </row>
    <row r="56" spans="1:14" x14ac:dyDescent="0.15">
      <c r="A56" s="52" t="str">
        <v>鹭岛</v>
      </c>
      <c r="B56" s="52" t="str">
        <v>健康师</v>
      </c>
      <c r="C56" s="52" t="str">
        <v>A</v>
      </c>
      <c r="D56" s="52" t="str">
        <v>郭小丽</v>
      </c>
      <c r="E56" s="52" t="str">
        <f>_xlfn.XLOOKUP(D56,期初设置!E:E,期初设置!F:F,0)</f>
        <v>鹭岛+无敌队</v>
      </c>
      <c r="F56" s="52" t="str">
        <f>_xlfn.XLOOKUP(D56,期初设置!E:E,期初设置!D:D,0)</f>
        <v>顾问</v>
      </c>
      <c r="G56" s="53">
        <f>_xlfn.XLOOKUP(D56,'④考勤-B-a-26考勤汇总表'!D:D,'④考勤-B-a-26考勤汇总表'!AP:AP,0)</f>
        <v>31</v>
      </c>
      <c r="H56" s="141">
        <f>_xlfn.XLOOKUP(D56,'个人业绩-B-a-②呈现-业绩明细表'!$C:$C,'个人业绩-B-a-②呈现-业绩明细表'!D:D,0)</f>
        <v>20241.599999999999</v>
      </c>
      <c r="I56" s="141">
        <f>_xlfn.XLOOKUP(D56,'个人业绩-B-a-②呈现-业绩明细表'!$C:$C,'个人业绩-B-a-②呈现-业绩明细表'!$E:$E,0)</f>
        <v>19241.599999999999</v>
      </c>
      <c r="J56" s="141">
        <f>_xlfn.XLOOKUP(D56,'个人业绩-B-a-②呈现-业绩明细表'!$C:$C,'个人业绩-B-a-②呈现-业绩明细表'!$F:$F,0)</f>
        <v>1000</v>
      </c>
      <c r="K56" s="53">
        <f>SUMIFS('⑦扣除明细-B-a-12-奖励统计表③'!G:G,'⑦扣除明细-B-a-12-奖励统计表③'!D:D,D56)</f>
        <v>0</v>
      </c>
      <c r="L56" s="53">
        <f>_xlfn.XLOOKUP(D56,'⑤项目数-B-a-③消耗明细表'!C:C,'⑤项目数-B-a-③消耗明细表'!E:E,0)</f>
        <v>16834.400000000001</v>
      </c>
      <c r="M56" s="153">
        <f>_xlfn.XLOOKUP(D56,'⑤项目数-B-a-③消耗明细表'!$C:$C,'⑤项目数-B-a-③消耗明细表'!F:F,0)</f>
        <v>1746</v>
      </c>
      <c r="N56" s="53">
        <f>_xlfn.XLOOKUP(D56,'⑤项目数-B-a-③消耗明细表'!$C:$C,'⑤项目数-B-a-③消耗明细表'!G:G,0)</f>
        <v>130</v>
      </c>
    </row>
    <row r="57" spans="1:14" x14ac:dyDescent="0.15">
      <c r="A57" s="52" t="str">
        <v>鹭岛</v>
      </c>
      <c r="B57" s="52" t="str">
        <v>健康师</v>
      </c>
      <c r="C57" s="52" t="str">
        <v>A</v>
      </c>
      <c r="D57" s="52" t="str">
        <v>梁婷</v>
      </c>
      <c r="E57" s="52" t="str">
        <f>_xlfn.XLOOKUP(D57,期初设置!E:E,期初设置!F:F,0)</f>
        <v>鹭岛+出单队</v>
      </c>
      <c r="F57" s="52" t="str">
        <f>_xlfn.XLOOKUP(D57,期初设置!E:E,期初设置!D:D,0)</f>
        <v>健康师</v>
      </c>
      <c r="G57" s="53">
        <f>_xlfn.XLOOKUP(D57,'④考勤-B-a-26考勤汇总表'!D:D,'④考勤-B-a-26考勤汇总表'!AP:AP,0)</f>
        <v>31</v>
      </c>
      <c r="H57" s="141">
        <f>_xlfn.XLOOKUP(D57,'个人业绩-B-a-②呈现-业绩明细表'!$C:$C,'个人业绩-B-a-②呈现-业绩明细表'!D:D,0)</f>
        <v>24772.1</v>
      </c>
      <c r="I57" s="141">
        <f>_xlfn.XLOOKUP(D57,'个人业绩-B-a-②呈现-业绩明细表'!$C:$C,'个人业绩-B-a-②呈现-业绩明细表'!$E:$E,0)</f>
        <v>24072.1</v>
      </c>
      <c r="J57" s="141">
        <f>_xlfn.XLOOKUP(D57,'个人业绩-B-a-②呈现-业绩明细表'!$C:$C,'个人业绩-B-a-②呈现-业绩明细表'!$F:$F,0)</f>
        <v>700</v>
      </c>
      <c r="K57" s="53">
        <f>SUMIFS('⑦扣除明细-B-a-12-奖励统计表③'!G:G,'⑦扣除明细-B-a-12-奖励统计表③'!D:D,D57)</f>
        <v>0</v>
      </c>
      <c r="L57" s="53">
        <f>_xlfn.XLOOKUP(D57,'⑤项目数-B-a-③消耗明细表'!C:C,'⑤项目数-B-a-③消耗明细表'!E:E,0)</f>
        <v>21935.93</v>
      </c>
      <c r="M57" s="153">
        <f>_xlfn.XLOOKUP(D57,'⑤项目数-B-a-③消耗明细表'!$C:$C,'⑤项目数-B-a-③消耗明细表'!F:F,0)</f>
        <v>1301</v>
      </c>
      <c r="N57" s="53">
        <f>_xlfn.XLOOKUP(D57,'⑤项目数-B-a-③消耗明细表'!$C:$C,'⑤项目数-B-a-③消耗明细表'!G:G,0)</f>
        <v>70</v>
      </c>
    </row>
    <row r="58" spans="1:14" x14ac:dyDescent="0.15">
      <c r="A58" s="52" t="str">
        <v>鹭岛</v>
      </c>
      <c r="B58" s="52" t="str">
        <v>健康师</v>
      </c>
      <c r="C58" s="52" t="str">
        <v>A</v>
      </c>
      <c r="D58" s="52" t="str">
        <v>雷娜婷</v>
      </c>
      <c r="E58" s="52" t="str">
        <f>_xlfn.XLOOKUP(D58,期初设置!E:E,期初设置!F:F,0)</f>
        <v>鹭岛+无敌队</v>
      </c>
      <c r="F58" s="52" t="str">
        <f>_xlfn.XLOOKUP(D58,期初设置!E:E,期初设置!D:D,0)</f>
        <v>健康师</v>
      </c>
      <c r="G58" s="53">
        <f>_xlfn.XLOOKUP(D58,'④考勤-B-a-26考勤汇总表'!D:D,'④考勤-B-a-26考勤汇总表'!AP:AP,0)</f>
        <v>31</v>
      </c>
      <c r="H58" s="141">
        <f>_xlfn.XLOOKUP(D58,'个人业绩-B-a-②呈现-业绩明细表'!$C:$C,'个人业绩-B-a-②呈现-业绩明细表'!D:D,0)</f>
        <v>31486.3</v>
      </c>
      <c r="I58" s="141">
        <f>_xlfn.XLOOKUP(D58,'个人业绩-B-a-②呈现-业绩明细表'!$C:$C,'个人业绩-B-a-②呈现-业绩明细表'!$E:$E,0)</f>
        <v>31486.3</v>
      </c>
      <c r="J58" s="141">
        <f>_xlfn.XLOOKUP(D58,'个人业绩-B-a-②呈现-业绩明细表'!$C:$C,'个人业绩-B-a-②呈现-业绩明细表'!$F:$F,0)</f>
        <v>0</v>
      </c>
      <c r="K58" s="53">
        <f>SUMIFS('⑦扣除明细-B-a-12-奖励统计表③'!G:G,'⑦扣除明细-B-a-12-奖励统计表③'!D:D,D58)</f>
        <v>0</v>
      </c>
      <c r="L58" s="53">
        <f>_xlfn.XLOOKUP(D58,'⑤项目数-B-a-③消耗明细表'!C:C,'⑤项目数-B-a-③消耗明细表'!E:E,0)</f>
        <v>17565.3</v>
      </c>
      <c r="M58" s="153">
        <f>_xlfn.XLOOKUP(D58,'⑤项目数-B-a-③消耗明细表'!$C:$C,'⑤项目数-B-a-③消耗明细表'!F:F,0)</f>
        <v>1800</v>
      </c>
      <c r="N58" s="53">
        <f>_xlfn.XLOOKUP(D58,'⑤项目数-B-a-③消耗明细表'!$C:$C,'⑤项目数-B-a-③消耗明细表'!G:G,0)</f>
        <v>105</v>
      </c>
    </row>
    <row r="59" spans="1:14" x14ac:dyDescent="0.15">
      <c r="A59" s="52" t="str">
        <v>鹭岛</v>
      </c>
      <c r="B59" s="52" t="str">
        <v>健康师</v>
      </c>
      <c r="C59" s="52" t="str">
        <v>A</v>
      </c>
      <c r="D59" s="52" t="str">
        <v>叶美霞</v>
      </c>
      <c r="E59" s="52" t="str">
        <f>_xlfn.XLOOKUP(D59,期初设置!E:E,期初设置!F:F,0)</f>
        <v>鹭岛+出单队</v>
      </c>
      <c r="F59" s="52" t="str">
        <f>_xlfn.XLOOKUP(D59,期初设置!E:E,期初设置!D:D,0)</f>
        <v>健康师</v>
      </c>
      <c r="G59" s="53">
        <f>_xlfn.XLOOKUP(D59,'④考勤-B-a-26考勤汇总表'!D:D,'④考勤-B-a-26考勤汇总表'!AP:AP,0)</f>
        <v>15</v>
      </c>
      <c r="H59" s="141">
        <f>_xlfn.XLOOKUP(D59,'个人业绩-B-a-②呈现-业绩明细表'!$C:$C,'个人业绩-B-a-②呈现-业绩明细表'!D:D,0)</f>
        <v>1393</v>
      </c>
      <c r="I59" s="141">
        <f>_xlfn.XLOOKUP(D59,'个人业绩-B-a-②呈现-业绩明细表'!$C:$C,'个人业绩-B-a-②呈现-业绩明细表'!$E:$E,0)</f>
        <v>1393</v>
      </c>
      <c r="J59" s="141">
        <f>_xlfn.XLOOKUP(D59,'个人业绩-B-a-②呈现-业绩明细表'!$C:$C,'个人业绩-B-a-②呈现-业绩明细表'!$F:$F,0)</f>
        <v>0</v>
      </c>
      <c r="K59" s="53">
        <f>SUMIFS('⑦扣除明细-B-a-12-奖励统计表③'!G:G,'⑦扣除明细-B-a-12-奖励统计表③'!D:D,D59)</f>
        <v>0</v>
      </c>
      <c r="L59" s="53">
        <f>_xlfn.XLOOKUP(D59,'⑤项目数-B-a-③消耗明细表'!C:C,'⑤项目数-B-a-③消耗明细表'!E:E,0)</f>
        <v>3564.77</v>
      </c>
      <c r="M59" s="153">
        <f>_xlfn.XLOOKUP(D59,'⑤项目数-B-a-③消耗明细表'!$C:$C,'⑤项目数-B-a-③消耗明细表'!F:F,0)</f>
        <v>605</v>
      </c>
      <c r="N59" s="53">
        <f>_xlfn.XLOOKUP(D59,'⑤项目数-B-a-③消耗明细表'!$C:$C,'⑤项目数-B-a-③消耗明细表'!G:G,0)</f>
        <v>0</v>
      </c>
    </row>
    <row r="60" spans="1:14" x14ac:dyDescent="0.15">
      <c r="A60" s="52" t="str">
        <v>荣华北路</v>
      </c>
      <c r="B60" s="52" t="str">
        <v>健康师</v>
      </c>
      <c r="C60" s="52" t="str">
        <v>A</v>
      </c>
      <c r="D60" s="52" t="str">
        <v>王萍</v>
      </c>
      <c r="E60" s="52" t="str">
        <f>_xlfn.XLOOKUP(D60,期初设置!E:E,期初设置!F:F,0)</f>
        <v>荣华北路+飞跃队</v>
      </c>
      <c r="F60" s="52" t="str">
        <f>_xlfn.XLOOKUP(D60,期初设置!E:E,期初设置!D:D,0)</f>
        <v>顾问</v>
      </c>
      <c r="G60" s="53">
        <f>_xlfn.XLOOKUP(D60,'④考勤-B-a-26考勤汇总表'!D:D,'④考勤-B-a-26考勤汇总表'!AP:AP,0)</f>
        <v>31</v>
      </c>
      <c r="H60" s="141">
        <f>_xlfn.XLOOKUP(D60,'个人业绩-B-a-②呈现-业绩明细表'!$C:$C,'个人业绩-B-a-②呈现-业绩明细表'!D:D,0)</f>
        <v>54654.2</v>
      </c>
      <c r="I60" s="141">
        <f>_xlfn.XLOOKUP(D60,'个人业绩-B-a-②呈现-业绩明细表'!$C:$C,'个人业绩-B-a-②呈现-业绩明细表'!$E:$E,0)</f>
        <v>54654.2</v>
      </c>
      <c r="J60" s="141">
        <f>_xlfn.XLOOKUP(D60,'个人业绩-B-a-②呈现-业绩明细表'!$C:$C,'个人业绩-B-a-②呈现-业绩明细表'!$F:$F,0)</f>
        <v>0</v>
      </c>
      <c r="K60" s="53">
        <f>SUMIFS('⑦扣除明细-B-a-12-奖励统计表③'!G:G,'⑦扣除明细-B-a-12-奖励统计表③'!D:D,D60)</f>
        <v>0</v>
      </c>
      <c r="L60" s="53">
        <f>_xlfn.XLOOKUP(D60,'⑤项目数-B-a-③消耗明细表'!C:C,'⑤项目数-B-a-③消耗明细表'!E:E,0)</f>
        <v>42959.34</v>
      </c>
      <c r="M60" s="153">
        <f>_xlfn.XLOOKUP(D60,'⑤项目数-B-a-③消耗明细表'!$C:$C,'⑤项目数-B-a-③消耗明细表'!F:F,0)</f>
        <v>1851</v>
      </c>
      <c r="N60" s="53">
        <f>_xlfn.XLOOKUP(D60,'⑤项目数-B-a-③消耗明细表'!$C:$C,'⑤项目数-B-a-③消耗明细表'!G:G,0)</f>
        <v>235</v>
      </c>
    </row>
    <row r="61" spans="1:14" x14ac:dyDescent="0.15">
      <c r="A61" s="52" t="str">
        <v>荣华北路</v>
      </c>
      <c r="B61" s="52" t="str">
        <v>健康师</v>
      </c>
      <c r="C61" s="52" t="str">
        <v>A</v>
      </c>
      <c r="D61" s="52" t="str">
        <v>胡红琳</v>
      </c>
      <c r="E61" s="52" t="str">
        <f>_xlfn.XLOOKUP(D61,期初设置!E:E,期初设置!F:F,0)</f>
        <v>荣华北路+无敌队</v>
      </c>
      <c r="F61" s="52" t="str">
        <f>_xlfn.XLOOKUP(D61,期初设置!E:E,期初设置!D:D,0)</f>
        <v>健康师</v>
      </c>
      <c r="G61" s="53">
        <f>_xlfn.XLOOKUP(D61,'④考勤-B-a-26考勤汇总表'!D:D,'④考勤-B-a-26考勤汇总表'!AP:AP,0)</f>
        <v>31</v>
      </c>
      <c r="H61" s="141">
        <f>_xlfn.XLOOKUP(D61,'个人业绩-B-a-②呈现-业绩明细表'!$C:$C,'个人业绩-B-a-②呈现-业绩明细表'!D:D,0)</f>
        <v>40748.1</v>
      </c>
      <c r="I61" s="141">
        <f>_xlfn.XLOOKUP(D61,'个人业绩-B-a-②呈现-业绩明细表'!$C:$C,'个人业绩-B-a-②呈现-业绩明细表'!$E:$E,0)</f>
        <v>40748.1</v>
      </c>
      <c r="J61" s="141">
        <f>_xlfn.XLOOKUP(D61,'个人业绩-B-a-②呈现-业绩明细表'!$C:$C,'个人业绩-B-a-②呈现-业绩明细表'!$F:$F,0)</f>
        <v>0</v>
      </c>
      <c r="K61" s="53">
        <f>SUMIFS('⑦扣除明细-B-a-12-奖励统计表③'!G:G,'⑦扣除明细-B-a-12-奖励统计表③'!D:D,D61)</f>
        <v>0</v>
      </c>
      <c r="L61" s="53">
        <f>_xlfn.XLOOKUP(D61,'⑤项目数-B-a-③消耗明细表'!C:C,'⑤项目数-B-a-③消耗明细表'!E:E,0)</f>
        <v>37325.57</v>
      </c>
      <c r="M61" s="153">
        <f>_xlfn.XLOOKUP(D61,'⑤项目数-B-a-③消耗明细表'!$C:$C,'⑤项目数-B-a-③消耗明细表'!F:F,0)</f>
        <v>1256</v>
      </c>
      <c r="N61" s="53">
        <f>_xlfn.XLOOKUP(D61,'⑤项目数-B-a-③消耗明细表'!$C:$C,'⑤项目数-B-a-③消耗明细表'!G:G,0)</f>
        <v>45</v>
      </c>
    </row>
    <row r="62" spans="1:14" x14ac:dyDescent="0.15">
      <c r="A62" s="52" t="str">
        <v>荣华北路</v>
      </c>
      <c r="B62" s="52" t="str">
        <v>健康师</v>
      </c>
      <c r="C62" s="52" t="str">
        <v>A</v>
      </c>
      <c r="D62" s="52" t="str">
        <v>谢娟</v>
      </c>
      <c r="E62" s="52" t="str">
        <f>_xlfn.XLOOKUP(D62,期初设置!E:E,期初设置!F:F,0)</f>
        <v>荣华北路+无敌队</v>
      </c>
      <c r="F62" s="52" t="str">
        <f>_xlfn.XLOOKUP(D62,期初设置!E:E,期初设置!D:D,0)</f>
        <v>顾问</v>
      </c>
      <c r="G62" s="53">
        <f>_xlfn.XLOOKUP(D62,'④考勤-B-a-26考勤汇总表'!D:D,'④考勤-B-a-26考勤汇总表'!AP:AP,0)</f>
        <v>31</v>
      </c>
      <c r="H62" s="141">
        <f>_xlfn.XLOOKUP(D62,'个人业绩-B-a-②呈现-业绩明细表'!$C:$C,'个人业绩-B-a-②呈现-业绩明细表'!D:D,0)</f>
        <v>40390.800000000003</v>
      </c>
      <c r="I62" s="141">
        <f>_xlfn.XLOOKUP(D62,'个人业绩-B-a-②呈现-业绩明细表'!$C:$C,'个人业绩-B-a-②呈现-业绩明细表'!$E:$E,0)</f>
        <v>34626.800000000003</v>
      </c>
      <c r="J62" s="141">
        <f>_xlfn.XLOOKUP(D62,'个人业绩-B-a-②呈现-业绩明细表'!$C:$C,'个人业绩-B-a-②呈现-业绩明细表'!$F:$F,0)</f>
        <v>3400</v>
      </c>
      <c r="K62" s="53">
        <f>SUMIFS('⑦扣除明细-B-a-12-奖励统计表③'!G:G,'⑦扣除明细-B-a-12-奖励统计表③'!D:D,D62)</f>
        <v>2364</v>
      </c>
      <c r="L62" s="53">
        <f>_xlfn.XLOOKUP(D62,'⑤项目数-B-a-③消耗明细表'!C:C,'⑤项目数-B-a-③消耗明细表'!E:E,0)</f>
        <v>25746.36</v>
      </c>
      <c r="M62" s="153">
        <f>_xlfn.XLOOKUP(D62,'⑤项目数-B-a-③消耗明细表'!$C:$C,'⑤项目数-B-a-③消耗明细表'!F:F,0)</f>
        <v>2035</v>
      </c>
      <c r="N62" s="53">
        <f>_xlfn.XLOOKUP(D62,'⑤项目数-B-a-③消耗明细表'!$C:$C,'⑤项目数-B-a-③消耗明细表'!G:G,0)</f>
        <v>250</v>
      </c>
    </row>
    <row r="63" spans="1:14" x14ac:dyDescent="0.15">
      <c r="A63" s="52" t="str">
        <v>荣华北路</v>
      </c>
      <c r="B63" s="52" t="str">
        <v>健康师</v>
      </c>
      <c r="C63" s="52" t="str">
        <v>A</v>
      </c>
      <c r="D63" s="52" t="str">
        <v>陈美合</v>
      </c>
      <c r="E63" s="52" t="str">
        <f>_xlfn.XLOOKUP(D63,期初设置!E:E,期初设置!F:F,0)</f>
        <v>荣华北路+无敌队</v>
      </c>
      <c r="F63" s="52" t="str">
        <f>_xlfn.XLOOKUP(D63,期初设置!E:E,期初设置!D:D,0)</f>
        <v>健康师</v>
      </c>
      <c r="G63" s="53">
        <f>_xlfn.XLOOKUP(D63,'④考勤-B-a-26考勤汇总表'!D:D,'④考勤-B-a-26考勤汇总表'!AP:AP,0)</f>
        <v>31</v>
      </c>
      <c r="H63" s="141">
        <f>_xlfn.XLOOKUP(D63,'个人业绩-B-a-②呈现-业绩明细表'!$C:$C,'个人业绩-B-a-②呈现-业绩明细表'!D:D,0)</f>
        <v>15685.5</v>
      </c>
      <c r="I63" s="141">
        <f>_xlfn.XLOOKUP(D63,'个人业绩-B-a-②呈现-业绩明细表'!$C:$C,'个人业绩-B-a-②呈现-业绩明细表'!$E:$E,0)</f>
        <v>12285.5</v>
      </c>
      <c r="J63" s="141">
        <f>_xlfn.XLOOKUP(D63,'个人业绩-B-a-②呈现-业绩明细表'!$C:$C,'个人业绩-B-a-②呈现-业绩明细表'!$F:$F,0)</f>
        <v>3400</v>
      </c>
      <c r="K63" s="53">
        <f>SUMIFS('⑦扣除明细-B-a-12-奖励统计表③'!G:G,'⑦扣除明细-B-a-12-奖励统计表③'!D:D,D63)</f>
        <v>0</v>
      </c>
      <c r="L63" s="53">
        <f>_xlfn.XLOOKUP(D63,'⑤项目数-B-a-③消耗明细表'!C:C,'⑤项目数-B-a-③消耗明细表'!E:E,0)</f>
        <v>14841.44</v>
      </c>
      <c r="M63" s="153">
        <f>_xlfn.XLOOKUP(D63,'⑤项目数-B-a-③消耗明细表'!$C:$C,'⑤项目数-B-a-③消耗明细表'!F:F,0)</f>
        <v>1112</v>
      </c>
      <c r="N63" s="53">
        <f>_xlfn.XLOOKUP(D63,'⑤项目数-B-a-③消耗明细表'!$C:$C,'⑤项目数-B-a-③消耗明细表'!G:G,0)</f>
        <v>0</v>
      </c>
    </row>
    <row r="64" spans="1:14" x14ac:dyDescent="0.15">
      <c r="A64" s="52" t="str">
        <v>荣华北路</v>
      </c>
      <c r="B64" s="52" t="str">
        <v>健康师</v>
      </c>
      <c r="C64" s="52" t="str">
        <v>A</v>
      </c>
      <c r="D64" s="52" t="str">
        <v>郝莉娜</v>
      </c>
      <c r="E64" s="52" t="str">
        <f>_xlfn.XLOOKUP(D64,期初设置!E:E,期初设置!F:F,0)</f>
        <v>荣华北路+飞跃队</v>
      </c>
      <c r="F64" s="52" t="str">
        <f>_xlfn.XLOOKUP(D64,期初设置!E:E,期初设置!D:D,0)</f>
        <v>健康师</v>
      </c>
      <c r="G64" s="53">
        <f>_xlfn.XLOOKUP(D64,'④考勤-B-a-26考勤汇总表'!D:D,'④考勤-B-a-26考勤汇总表'!AP:AP,0)</f>
        <v>31</v>
      </c>
      <c r="H64" s="141">
        <f>_xlfn.XLOOKUP(D64,'个人业绩-B-a-②呈现-业绩明细表'!$C:$C,'个人业绩-B-a-②呈现-业绩明细表'!D:D,0)</f>
        <v>1433.4</v>
      </c>
      <c r="I64" s="141">
        <f>_xlfn.XLOOKUP(D64,'个人业绩-B-a-②呈现-业绩明细表'!$C:$C,'个人业绩-B-a-②呈现-业绩明细表'!$E:$E,0)</f>
        <v>1433.4</v>
      </c>
      <c r="J64" s="141">
        <f>_xlfn.XLOOKUP(D64,'个人业绩-B-a-②呈现-业绩明细表'!$C:$C,'个人业绩-B-a-②呈现-业绩明细表'!$F:$F,0)</f>
        <v>0</v>
      </c>
      <c r="K64" s="53">
        <f>SUMIFS('⑦扣除明细-B-a-12-奖励统计表③'!G:G,'⑦扣除明细-B-a-12-奖励统计表③'!D:D,D64)</f>
        <v>0</v>
      </c>
      <c r="L64" s="53">
        <f>_xlfn.XLOOKUP(D64,'⑤项目数-B-a-③消耗明细表'!C:C,'⑤项目数-B-a-③消耗明细表'!E:E,0)</f>
        <v>4249.66</v>
      </c>
      <c r="M64" s="153">
        <f>_xlfn.XLOOKUP(D64,'⑤项目数-B-a-③消耗明细表'!$C:$C,'⑤项目数-B-a-③消耗明细表'!F:F,0)</f>
        <v>865</v>
      </c>
      <c r="N64" s="53">
        <f>_xlfn.XLOOKUP(D64,'⑤项目数-B-a-③消耗明细表'!$C:$C,'⑤项目数-B-a-③消耗明细表'!G:G,0)</f>
        <v>0</v>
      </c>
    </row>
    <row r="65" spans="1:14" x14ac:dyDescent="0.15">
      <c r="A65" s="52" t="str">
        <v>荣华南路</v>
      </c>
      <c r="B65" s="52" t="str">
        <v>健康师</v>
      </c>
      <c r="C65" s="52" t="str">
        <v>A</v>
      </c>
      <c r="D65" s="52" t="str">
        <v>马宏梅</v>
      </c>
      <c r="E65" s="52" t="str">
        <f>_xlfn.XLOOKUP(D65,期初设置!E:E,期初设置!F:F,0)</f>
        <v>荣华南路+赢销队</v>
      </c>
      <c r="F65" s="52" t="str">
        <f>_xlfn.XLOOKUP(D65,期初设置!E:E,期初设置!D:D,0)</f>
        <v>顾问</v>
      </c>
      <c r="G65" s="53">
        <f>_xlfn.XLOOKUP(D65,'④考勤-B-a-26考勤汇总表'!D:D,'④考勤-B-a-26考勤汇总表'!AP:AP,0)</f>
        <v>31</v>
      </c>
      <c r="H65" s="141">
        <f>_xlfn.XLOOKUP(D65,'个人业绩-B-a-②呈现-业绩明细表'!$C:$C,'个人业绩-B-a-②呈现-业绩明细表'!D:D,0)</f>
        <v>31830.2</v>
      </c>
      <c r="I65" s="141">
        <f>_xlfn.XLOOKUP(D65,'个人业绩-B-a-②呈现-业绩明细表'!$C:$C,'个人业绩-B-a-②呈现-业绩明细表'!$E:$E,0)</f>
        <v>31830.2</v>
      </c>
      <c r="J65" s="141">
        <f>_xlfn.XLOOKUP(D65,'个人业绩-B-a-②呈现-业绩明细表'!$C:$C,'个人业绩-B-a-②呈现-业绩明细表'!$F:$F,0)</f>
        <v>0</v>
      </c>
      <c r="K65" s="53">
        <f>SUMIFS('⑦扣除明细-B-a-12-奖励统计表③'!G:G,'⑦扣除明细-B-a-12-奖励统计表③'!D:D,D65)</f>
        <v>0</v>
      </c>
      <c r="L65" s="53">
        <f>_xlfn.XLOOKUP(D65,'⑤项目数-B-a-③消耗明细表'!C:C,'⑤项目数-B-a-③消耗明细表'!E:E,0)</f>
        <v>27866.76</v>
      </c>
      <c r="M65" s="153">
        <f>_xlfn.XLOOKUP(D65,'⑤项目数-B-a-③消耗明细表'!$C:$C,'⑤项目数-B-a-③消耗明细表'!F:F,0)</f>
        <v>979</v>
      </c>
      <c r="N65" s="53">
        <f>_xlfn.XLOOKUP(D65,'⑤项目数-B-a-③消耗明细表'!$C:$C,'⑤项目数-B-a-③消耗明细表'!G:G,0)</f>
        <v>85</v>
      </c>
    </row>
    <row r="66" spans="1:14" x14ac:dyDescent="0.15">
      <c r="A66" s="52" t="str">
        <v>荣华南路</v>
      </c>
      <c r="B66" s="52" t="str">
        <v>健康师</v>
      </c>
      <c r="C66" s="52" t="str">
        <v>A</v>
      </c>
      <c r="D66" s="52" t="str">
        <v>陈洁</v>
      </c>
      <c r="E66" s="52" t="str">
        <f>_xlfn.XLOOKUP(D66,期初设置!E:E,期初设置!F:F,0)</f>
        <v>荣华南路+赢销队</v>
      </c>
      <c r="F66" s="52" t="str">
        <f>_xlfn.XLOOKUP(D66,期初设置!E:E,期初设置!D:D,0)</f>
        <v>健康师</v>
      </c>
      <c r="G66" s="53">
        <f>_xlfn.XLOOKUP(D66,'④考勤-B-a-26考勤汇总表'!D:D,'④考勤-B-a-26考勤汇总表'!AP:AP,0)</f>
        <v>31</v>
      </c>
      <c r="H66" s="141">
        <f>_xlfn.XLOOKUP(D66,'个人业绩-B-a-②呈现-业绩明细表'!$C:$C,'个人业绩-B-a-②呈现-业绩明细表'!D:D,0)</f>
        <v>65622.8</v>
      </c>
      <c r="I66" s="141">
        <f>_xlfn.XLOOKUP(D66,'个人业绩-B-a-②呈现-业绩明细表'!$C:$C,'个人业绩-B-a-②呈现-业绩明细表'!$E:$E,0)</f>
        <v>64622.8</v>
      </c>
      <c r="J66" s="141">
        <f>_xlfn.XLOOKUP(D66,'个人业绩-B-a-②呈现-业绩明细表'!$C:$C,'个人业绩-B-a-②呈现-业绩明细表'!$F:$F,0)</f>
        <v>0</v>
      </c>
      <c r="K66" s="53">
        <f>SUMIFS('⑦扣除明细-B-a-12-奖励统计表③'!G:G,'⑦扣除明细-B-a-12-奖励统计表③'!D:D,D66)</f>
        <v>1000</v>
      </c>
      <c r="L66" s="53">
        <f>_xlfn.XLOOKUP(D66,'⑤项目数-B-a-③消耗明细表'!C:C,'⑤项目数-B-a-③消耗明细表'!E:E,0)</f>
        <v>23088.240000000002</v>
      </c>
      <c r="M66" s="153">
        <f>_xlfn.XLOOKUP(D66,'⑤项目数-B-a-③消耗明细表'!$C:$C,'⑤项目数-B-a-③消耗明细表'!F:F,0)</f>
        <v>1257</v>
      </c>
      <c r="N66" s="53">
        <f>_xlfn.XLOOKUP(D66,'⑤项目数-B-a-③消耗明细表'!$C:$C,'⑤项目数-B-a-③消耗明细表'!G:G,0)</f>
        <v>185</v>
      </c>
    </row>
    <row r="67" spans="1:14" x14ac:dyDescent="0.15">
      <c r="A67" s="52" t="str">
        <v>荣华南路</v>
      </c>
      <c r="B67" s="52" t="str">
        <v>健康师</v>
      </c>
      <c r="C67" s="52" t="str">
        <v>A</v>
      </c>
      <c r="D67" s="52" t="str">
        <v>郑加焕</v>
      </c>
      <c r="E67" s="52" t="str">
        <f>_xlfn.XLOOKUP(D67,期初设置!E:E,期初设置!F:F,0)</f>
        <v>荣华南路+销冠队</v>
      </c>
      <c r="F67" s="52" t="str">
        <f>_xlfn.XLOOKUP(D67,期初设置!E:E,期初设置!D:D,0)</f>
        <v>顾问</v>
      </c>
      <c r="G67" s="53">
        <f>_xlfn.XLOOKUP(D67,'④考勤-B-a-26考勤汇总表'!D:D,'④考勤-B-a-26考勤汇总表'!AP:AP,0)</f>
        <v>31</v>
      </c>
      <c r="H67" s="141">
        <f>_xlfn.XLOOKUP(D67,'个人业绩-B-a-②呈现-业绩明细表'!$C:$C,'个人业绩-B-a-②呈现-业绩明细表'!D:D,0)</f>
        <v>56309.2</v>
      </c>
      <c r="I67" s="141">
        <f>_xlfn.XLOOKUP(D67,'个人业绩-B-a-②呈现-业绩明细表'!$C:$C,'个人业绩-B-a-②呈现-业绩明细表'!$E:$E,0)</f>
        <v>56309.2</v>
      </c>
      <c r="J67" s="141">
        <f>_xlfn.XLOOKUP(D67,'个人业绩-B-a-②呈现-业绩明细表'!$C:$C,'个人业绩-B-a-②呈现-业绩明细表'!$F:$F,0)</f>
        <v>0</v>
      </c>
      <c r="K67" s="53">
        <f>SUMIFS('⑦扣除明细-B-a-12-奖励统计表③'!G:G,'⑦扣除明细-B-a-12-奖励统计表③'!D:D,D67)</f>
        <v>0</v>
      </c>
      <c r="L67" s="53">
        <f>_xlfn.XLOOKUP(D67,'⑤项目数-B-a-③消耗明细表'!C:C,'⑤项目数-B-a-③消耗明细表'!E:E,0)</f>
        <v>18058.03</v>
      </c>
      <c r="M67" s="153">
        <f>_xlfn.XLOOKUP(D67,'⑤项目数-B-a-③消耗明细表'!$C:$C,'⑤项目数-B-a-③消耗明细表'!F:F,0)</f>
        <v>1533</v>
      </c>
      <c r="N67" s="53">
        <f>_xlfn.XLOOKUP(D67,'⑤项目数-B-a-③消耗明细表'!$C:$C,'⑤项目数-B-a-③消耗明细表'!G:G,0)</f>
        <v>160</v>
      </c>
    </row>
    <row r="68" spans="1:14" x14ac:dyDescent="0.15">
      <c r="A68" s="52" t="str">
        <v>荣华南路</v>
      </c>
      <c r="B68" s="52" t="str">
        <v>健康师</v>
      </c>
      <c r="C68" s="52" t="str">
        <v>A</v>
      </c>
      <c r="D68" s="52" t="str">
        <v>侯英</v>
      </c>
      <c r="E68" s="52" t="str">
        <f>_xlfn.XLOOKUP(D68,期初设置!E:E,期初设置!F:F,0)</f>
        <v>荣华南路+销冠队</v>
      </c>
      <c r="F68" s="52" t="str">
        <f>_xlfn.XLOOKUP(D68,期初设置!E:E,期初设置!D:D,0)</f>
        <v>健康师</v>
      </c>
      <c r="G68" s="53">
        <f>_xlfn.XLOOKUP(D68,'④考勤-B-a-26考勤汇总表'!D:D,'④考勤-B-a-26考勤汇总表'!AP:AP,0)</f>
        <v>31</v>
      </c>
      <c r="H68" s="141">
        <f>_xlfn.XLOOKUP(D68,'个人业绩-B-a-②呈现-业绩明细表'!$C:$C,'个人业绩-B-a-②呈现-业绩明细表'!D:D,0)</f>
        <v>15401.8</v>
      </c>
      <c r="I68" s="141">
        <f>_xlfn.XLOOKUP(D68,'个人业绩-B-a-②呈现-业绩明细表'!$C:$C,'个人业绩-B-a-②呈现-业绩明细表'!$E:$E,0)</f>
        <v>15401.8</v>
      </c>
      <c r="J68" s="141">
        <f>_xlfn.XLOOKUP(D68,'个人业绩-B-a-②呈现-业绩明细表'!$C:$C,'个人业绩-B-a-②呈现-业绩明细表'!$F:$F,0)</f>
        <v>0</v>
      </c>
      <c r="K68" s="53">
        <f>SUMIFS('⑦扣除明细-B-a-12-奖励统计表③'!G:G,'⑦扣除明细-B-a-12-奖励统计表③'!D:D,D68)</f>
        <v>0</v>
      </c>
      <c r="L68" s="53">
        <f>_xlfn.XLOOKUP(D68,'⑤项目数-B-a-③消耗明细表'!C:C,'⑤项目数-B-a-③消耗明细表'!E:E,0)</f>
        <v>8043.96</v>
      </c>
      <c r="M68" s="153">
        <f>_xlfn.XLOOKUP(D68,'⑤项目数-B-a-③消耗明细表'!$C:$C,'⑤项目数-B-a-③消耗明细表'!F:F,0)</f>
        <v>1185</v>
      </c>
      <c r="N68" s="53">
        <f>_xlfn.XLOOKUP(D68,'⑤项目数-B-a-③消耗明细表'!$C:$C,'⑤项目数-B-a-③消耗明细表'!G:G,0)</f>
        <v>70</v>
      </c>
    </row>
    <row r="69" spans="1:14" x14ac:dyDescent="0.15">
      <c r="A69" s="52" t="str">
        <v>荣华南路</v>
      </c>
      <c r="B69" s="52" t="str">
        <v>健康师</v>
      </c>
      <c r="C69" s="52" t="str">
        <v>A</v>
      </c>
      <c r="D69" s="52" t="str">
        <v>谢德芳</v>
      </c>
      <c r="E69" s="52" t="str">
        <f>_xlfn.XLOOKUP(D69,期初设置!E:E,期初设置!F:F,0)</f>
        <v>荣华南路+赢销队</v>
      </c>
      <c r="F69" s="52" t="str">
        <f>_xlfn.XLOOKUP(D69,期初设置!E:E,期初设置!D:D,0)</f>
        <v>健康师</v>
      </c>
      <c r="G69" s="53">
        <f>_xlfn.XLOOKUP(D69,'④考勤-B-a-26考勤汇总表'!D:D,'④考勤-B-a-26考勤汇总表'!AP:AP,0)</f>
        <v>31</v>
      </c>
      <c r="H69" s="141">
        <f>_xlfn.XLOOKUP(D69,'个人业绩-B-a-②呈现-业绩明细表'!$C:$C,'个人业绩-B-a-②呈现-业绩明细表'!D:D,0)</f>
        <v>10860</v>
      </c>
      <c r="I69" s="141">
        <f>_xlfn.XLOOKUP(D69,'个人业绩-B-a-②呈现-业绩明细表'!$C:$C,'个人业绩-B-a-②呈现-业绩明细表'!$E:$E,0)</f>
        <v>10860</v>
      </c>
      <c r="J69" s="141">
        <f>_xlfn.XLOOKUP(D69,'个人业绩-B-a-②呈现-业绩明细表'!$C:$C,'个人业绩-B-a-②呈现-业绩明细表'!$F:$F,0)</f>
        <v>0</v>
      </c>
      <c r="K69" s="53">
        <f>SUMIFS('⑦扣除明细-B-a-12-奖励统计表③'!G:G,'⑦扣除明细-B-a-12-奖励统计表③'!D:D,D69)</f>
        <v>0</v>
      </c>
      <c r="L69" s="53">
        <f>_xlfn.XLOOKUP(D69,'⑤项目数-B-a-③消耗明细表'!C:C,'⑤项目数-B-a-③消耗明细表'!E:E,0)</f>
        <v>7520.64</v>
      </c>
      <c r="M69" s="153">
        <f>_xlfn.XLOOKUP(D69,'⑤项目数-B-a-③消耗明细表'!$C:$C,'⑤项目数-B-a-③消耗明细表'!F:F,0)</f>
        <v>1066</v>
      </c>
      <c r="N69" s="53">
        <f>_xlfn.XLOOKUP(D69,'⑤项目数-B-a-③消耗明细表'!$C:$C,'⑤项目数-B-a-③消耗明细表'!G:G,0)</f>
        <v>0</v>
      </c>
    </row>
    <row r="70" spans="1:14" x14ac:dyDescent="0.15">
      <c r="A70" s="52" t="str">
        <v>大丰</v>
      </c>
      <c r="B70" s="52" t="str">
        <v>健康师</v>
      </c>
      <c r="C70" s="52" t="str">
        <v>A</v>
      </c>
      <c r="D70" s="52" t="str">
        <v>孙红梅</v>
      </c>
      <c r="E70" s="52" t="str">
        <f>_xlfn.XLOOKUP(D70,期初设置!E:E,期初设置!F:F,0)</f>
        <v>大丰+冲锋队</v>
      </c>
      <c r="F70" s="52" t="str">
        <f>_xlfn.XLOOKUP(D70,期初设置!E:E,期初设置!D:D,0)</f>
        <v>顾问</v>
      </c>
      <c r="G70" s="53">
        <f>_xlfn.XLOOKUP(D70,'④考勤-B-a-26考勤汇总表'!D:D,'④考勤-B-a-26考勤汇总表'!AP:AP,0)</f>
        <v>31</v>
      </c>
      <c r="H70" s="141">
        <f>_xlfn.XLOOKUP(D70,'个人业绩-B-a-②呈现-业绩明细表'!$C:$C,'个人业绩-B-a-②呈现-业绩明细表'!D:D,0)</f>
        <v>80534.86</v>
      </c>
      <c r="I70" s="141">
        <f>_xlfn.XLOOKUP(D70,'个人业绩-B-a-②呈现-业绩明细表'!$C:$C,'个人业绩-B-a-②呈现-业绩明细表'!$E:$E,0)</f>
        <v>72929.259999999995</v>
      </c>
      <c r="J70" s="141">
        <f>_xlfn.XLOOKUP(D70,'个人业绩-B-a-②呈现-业绩明细表'!$C:$C,'个人业绩-B-a-②呈现-业绩明细表'!$F:$F,0)</f>
        <v>7017.6</v>
      </c>
      <c r="K70" s="53">
        <f>SUMIFS('⑦扣除明细-B-a-12-奖励统计表③'!G:G,'⑦扣除明细-B-a-12-奖励统计表③'!D:D,D70)</f>
        <v>588</v>
      </c>
      <c r="L70" s="53">
        <f>_xlfn.XLOOKUP(D70,'⑤项目数-B-a-③消耗明细表'!C:C,'⑤项目数-B-a-③消耗明细表'!E:E,0)</f>
        <v>57021.5</v>
      </c>
      <c r="M70" s="153">
        <f>_xlfn.XLOOKUP(D70,'⑤项目数-B-a-③消耗明细表'!$C:$C,'⑤项目数-B-a-③消耗明细表'!F:F,0)</f>
        <v>2007</v>
      </c>
      <c r="N70" s="53">
        <f>_xlfn.XLOOKUP(D70,'⑤项目数-B-a-③消耗明细表'!$C:$C,'⑤项目数-B-a-③消耗明细表'!G:G,0)</f>
        <v>60</v>
      </c>
    </row>
    <row r="71" spans="1:14" x14ac:dyDescent="0.15">
      <c r="A71" s="52" t="str">
        <v>大丰</v>
      </c>
      <c r="B71" s="52" t="str">
        <v>健康师</v>
      </c>
      <c r="C71" s="52" t="str">
        <v>A</v>
      </c>
      <c r="D71" s="52" t="str">
        <v>黎红花</v>
      </c>
      <c r="E71" s="52" t="str">
        <f>_xlfn.XLOOKUP(D71,期初设置!E:E,期初设置!F:F,0)</f>
        <v>大丰+精英队</v>
      </c>
      <c r="F71" s="52" t="str">
        <f>_xlfn.XLOOKUP(D71,期初设置!E:E,期初设置!D:D,0)</f>
        <v>顾问</v>
      </c>
      <c r="G71" s="53">
        <f>_xlfn.XLOOKUP(D71,'④考勤-B-a-26考勤汇总表'!D:D,'④考勤-B-a-26考勤汇总表'!AP:AP,0)</f>
        <v>31</v>
      </c>
      <c r="H71" s="141">
        <f>_xlfn.XLOOKUP(D71,'个人业绩-B-a-②呈现-业绩明细表'!$C:$C,'个人业绩-B-a-②呈现-业绩明细表'!D:D,0)</f>
        <v>37656.9</v>
      </c>
      <c r="I71" s="141">
        <f>_xlfn.XLOOKUP(D71,'个人业绩-B-a-②呈现-业绩明细表'!$C:$C,'个人业绩-B-a-②呈现-业绩明细表'!$E:$E,0)</f>
        <v>37212.9</v>
      </c>
      <c r="J71" s="141">
        <f>_xlfn.XLOOKUP(D71,'个人业绩-B-a-②呈现-业绩明细表'!$C:$C,'个人业绩-B-a-②呈现-业绩明细表'!$F:$F,0)</f>
        <v>0</v>
      </c>
      <c r="K71" s="53">
        <f>SUMIFS('⑦扣除明细-B-a-12-奖励统计表③'!G:G,'⑦扣除明细-B-a-12-奖励统计表③'!D:D,D71)</f>
        <v>444</v>
      </c>
      <c r="L71" s="53">
        <f>_xlfn.XLOOKUP(D71,'⑤项目数-B-a-③消耗明细表'!C:C,'⑤项目数-B-a-③消耗明细表'!E:E,0)</f>
        <v>51418.54</v>
      </c>
      <c r="M71" s="153">
        <f>_xlfn.XLOOKUP(D71,'⑤项目数-B-a-③消耗明细表'!$C:$C,'⑤项目数-B-a-③消耗明细表'!F:F,0)</f>
        <v>2340</v>
      </c>
      <c r="N71" s="53">
        <f>_xlfn.XLOOKUP(D71,'⑤项目数-B-a-③消耗明细表'!$C:$C,'⑤项目数-B-a-③消耗明细表'!G:G,0)</f>
        <v>360</v>
      </c>
    </row>
    <row r="72" spans="1:14" x14ac:dyDescent="0.15">
      <c r="A72" s="52" t="str">
        <v>大丰</v>
      </c>
      <c r="B72" s="52" t="str">
        <v>健康师</v>
      </c>
      <c r="C72" s="52" t="str">
        <v>A</v>
      </c>
      <c r="D72" s="52" t="str">
        <v>蒲艳婷</v>
      </c>
      <c r="E72" s="52" t="str">
        <f>_xlfn.XLOOKUP(D72,期初设置!E:E,期初设置!F:F,0)</f>
        <v>大丰+冲锋队</v>
      </c>
      <c r="F72" s="52" t="str">
        <f>_xlfn.XLOOKUP(D72,期初设置!E:E,期初设置!D:D,0)</f>
        <v>健康师</v>
      </c>
      <c r="G72" s="53">
        <f>_xlfn.XLOOKUP(D72,'④考勤-B-a-26考勤汇总表'!D:D,'④考勤-B-a-26考勤汇总表'!AP:AP,0)</f>
        <v>31</v>
      </c>
      <c r="H72" s="141">
        <f>_xlfn.XLOOKUP(D72,'个人业绩-B-a-②呈现-业绩明细表'!$C:$C,'个人业绩-B-a-②呈现-业绩明细表'!D:D,0)</f>
        <v>61761.340000000004</v>
      </c>
      <c r="I72" s="141">
        <f>_xlfn.XLOOKUP(D72,'个人业绩-B-a-②呈现-业绩明细表'!$C:$C,'个人业绩-B-a-②呈现-业绩明细表'!$E:$E,0)</f>
        <v>33070.94</v>
      </c>
      <c r="J72" s="141">
        <f>_xlfn.XLOOKUP(D72,'个人业绩-B-a-②呈现-业绩明细表'!$C:$C,'个人业绩-B-a-②呈现-业绩明细表'!$F:$F,0)</f>
        <v>28070.400000000001</v>
      </c>
      <c r="K72" s="53">
        <f>SUMIFS('⑦扣除明细-B-a-12-奖励统计表③'!G:G,'⑦扣除明细-B-a-12-奖励统计表③'!D:D,D72)</f>
        <v>620</v>
      </c>
      <c r="L72" s="53">
        <f>_xlfn.XLOOKUP(D72,'⑤项目数-B-a-③消耗明细表'!C:C,'⑤项目数-B-a-③消耗明细表'!E:E,0)</f>
        <v>17876.88</v>
      </c>
      <c r="M72" s="153">
        <f>_xlfn.XLOOKUP(D72,'⑤项目数-B-a-③消耗明细表'!$C:$C,'⑤项目数-B-a-③消耗明细表'!F:F,0)</f>
        <v>1843</v>
      </c>
      <c r="N72" s="53">
        <f>_xlfn.XLOOKUP(D72,'⑤项目数-B-a-③消耗明细表'!$C:$C,'⑤项目数-B-a-③消耗明细表'!G:G,0)</f>
        <v>175</v>
      </c>
    </row>
    <row r="73" spans="1:14" x14ac:dyDescent="0.15">
      <c r="A73" s="52" t="str">
        <v>大丰</v>
      </c>
      <c r="B73" s="52" t="str">
        <v>健康师</v>
      </c>
      <c r="C73" s="52" t="str">
        <v>A</v>
      </c>
      <c r="D73" s="52" t="str">
        <v>刘帆</v>
      </c>
      <c r="E73" s="52" t="str">
        <f>_xlfn.XLOOKUP(D73,期初设置!E:E,期初设置!F:F,0)</f>
        <v>大丰+精英队</v>
      </c>
      <c r="F73" s="52" t="str">
        <f>_xlfn.XLOOKUP(D73,期初设置!E:E,期初设置!D:D,0)</f>
        <v>健康师</v>
      </c>
      <c r="G73" s="53">
        <f>_xlfn.XLOOKUP(D73,'④考勤-B-a-26考勤汇总表'!D:D,'④考勤-B-a-26考勤汇总表'!AP:AP,0)</f>
        <v>31</v>
      </c>
      <c r="H73" s="141">
        <f>_xlfn.XLOOKUP(D73,'个人业绩-B-a-②呈现-业绩明细表'!$C:$C,'个人业绩-B-a-②呈现-业绩明细表'!D:D,0)</f>
        <v>13894.4</v>
      </c>
      <c r="I73" s="141">
        <f>_xlfn.XLOOKUP(D73,'个人业绩-B-a-②呈现-业绩明细表'!$C:$C,'个人业绩-B-a-②呈现-业绩明细表'!$E:$E,0)</f>
        <v>13274.4</v>
      </c>
      <c r="J73" s="141">
        <f>_xlfn.XLOOKUP(D73,'个人业绩-B-a-②呈现-业绩明细表'!$C:$C,'个人业绩-B-a-②呈现-业绩明细表'!$F:$F,0)</f>
        <v>0</v>
      </c>
      <c r="K73" s="53">
        <f>SUMIFS('⑦扣除明细-B-a-12-奖励统计表③'!G:G,'⑦扣除明细-B-a-12-奖励统计表③'!D:D,D73)</f>
        <v>620</v>
      </c>
      <c r="L73" s="53">
        <f>_xlfn.XLOOKUP(D73,'⑤项目数-B-a-③消耗明细表'!C:C,'⑤项目数-B-a-③消耗明细表'!E:E,0)</f>
        <v>10085.799999999999</v>
      </c>
      <c r="M73" s="153">
        <f>_xlfn.XLOOKUP(D73,'⑤项目数-B-a-③消耗明细表'!$C:$C,'⑤项目数-B-a-③消耗明细表'!F:F,0)</f>
        <v>1241</v>
      </c>
      <c r="N73" s="53">
        <f>_xlfn.XLOOKUP(D73,'⑤项目数-B-a-③消耗明细表'!$C:$C,'⑤项目数-B-a-③消耗明细表'!G:G,0)</f>
        <v>15</v>
      </c>
    </row>
    <row r="74" spans="1:14" x14ac:dyDescent="0.15">
      <c r="A74" s="52" t="str">
        <v>大丰</v>
      </c>
      <c r="B74" s="52" t="str">
        <v>健康师</v>
      </c>
      <c r="C74" s="52" t="str">
        <v>A</v>
      </c>
      <c r="D74" s="52" t="str">
        <v>杨艳</v>
      </c>
      <c r="E74" s="52" t="str">
        <f>_xlfn.XLOOKUP(D74,期初设置!E:E,期初设置!F:F,0)</f>
        <v>大丰+冲锋队</v>
      </c>
      <c r="F74" s="52" t="str">
        <f>_xlfn.XLOOKUP(D74,期初设置!E:E,期初设置!D:D,0)</f>
        <v>健康师</v>
      </c>
      <c r="G74" s="53">
        <f>_xlfn.XLOOKUP(D74,'④考勤-B-a-26考勤汇总表'!D:D,'④考勤-B-a-26考勤汇总表'!AP:AP,0)</f>
        <v>31</v>
      </c>
      <c r="H74" s="141">
        <f>_xlfn.XLOOKUP(D74,'个人业绩-B-a-②呈现-业绩明细表'!$C:$C,'个人业绩-B-a-②呈现-业绩明细表'!D:D,0)</f>
        <v>2466</v>
      </c>
      <c r="I74" s="141">
        <f>_xlfn.XLOOKUP(D74,'个人业绩-B-a-②呈现-业绩明细表'!$C:$C,'个人业绩-B-a-②呈现-业绩明细表'!$E:$E,0)</f>
        <v>2466</v>
      </c>
      <c r="J74" s="141">
        <f>_xlfn.XLOOKUP(D74,'个人业绩-B-a-②呈现-业绩明细表'!$C:$C,'个人业绩-B-a-②呈现-业绩明细表'!$F:$F,0)</f>
        <v>0</v>
      </c>
      <c r="K74" s="53">
        <f>SUMIFS('⑦扣除明细-B-a-12-奖励统计表③'!G:G,'⑦扣除明细-B-a-12-奖励统计表③'!D:D,D74)</f>
        <v>0</v>
      </c>
      <c r="L74" s="53">
        <f>_xlfn.XLOOKUP(D74,'⑤项目数-B-a-③消耗明细表'!C:C,'⑤项目数-B-a-③消耗明细表'!E:E,0)</f>
        <v>4540.6499999999996</v>
      </c>
      <c r="M74" s="153">
        <f>_xlfn.XLOOKUP(D74,'⑤项目数-B-a-③消耗明细表'!$C:$C,'⑤项目数-B-a-③消耗明细表'!F:F,0)</f>
        <v>1039</v>
      </c>
      <c r="N74" s="53">
        <f>_xlfn.XLOOKUP(D74,'⑤项目数-B-a-③消耗明细表'!$C:$C,'⑤项目数-B-a-③消耗明细表'!G:G,0)</f>
        <v>0</v>
      </c>
    </row>
    <row r="75" spans="1:14" x14ac:dyDescent="0.15">
      <c r="A75" s="52" t="str">
        <v>双流</v>
      </c>
      <c r="B75" s="52" t="str">
        <v>健康师</v>
      </c>
      <c r="C75" s="52" t="str">
        <v>A</v>
      </c>
      <c r="D75" s="52" t="str">
        <v>彭措志玛</v>
      </c>
      <c r="E75" s="52" t="str">
        <f>_xlfn.XLOOKUP(D75,期初设置!E:E,期初设置!F:F,0)</f>
        <v>双流+星耀队</v>
      </c>
      <c r="F75" s="52" t="str">
        <f>_xlfn.XLOOKUP(D75,期初设置!E:E,期初设置!D:D,0)</f>
        <v>健康师</v>
      </c>
      <c r="G75" s="53">
        <f>_xlfn.XLOOKUP(D75,'④考勤-B-a-26考勤汇总表'!D:D,'④考勤-B-a-26考勤汇总表'!AP:AP,0)</f>
        <v>31</v>
      </c>
      <c r="H75" s="141">
        <f>_xlfn.XLOOKUP(D75,'个人业绩-B-a-②呈现-业绩明细表'!$C:$C,'个人业绩-B-a-②呈现-业绩明细表'!D:D,0)</f>
        <v>43063.5</v>
      </c>
      <c r="I75" s="141">
        <f>_xlfn.XLOOKUP(D75,'个人业绩-B-a-②呈现-业绩明细表'!$C:$C,'个人业绩-B-a-②呈现-业绩明细表'!$E:$E,0)</f>
        <v>16423.5</v>
      </c>
      <c r="J75" s="141">
        <f>_xlfn.XLOOKUP(D75,'个人业绩-B-a-②呈现-业绩明细表'!$C:$C,'个人业绩-B-a-②呈现-业绩明细表'!$F:$F,0)</f>
        <v>26640</v>
      </c>
      <c r="K75" s="53">
        <f>SUMIFS('⑦扣除明细-B-a-12-奖励统计表③'!G:G,'⑦扣除明细-B-a-12-奖励统计表③'!D:D,D75)</f>
        <v>0</v>
      </c>
      <c r="L75" s="53">
        <f>_xlfn.XLOOKUP(D75,'⑤项目数-B-a-③消耗明细表'!C:C,'⑤项目数-B-a-③消耗明细表'!E:E,0)</f>
        <v>21667.48</v>
      </c>
      <c r="M75" s="153">
        <f>_xlfn.XLOOKUP(D75,'⑤项目数-B-a-③消耗明细表'!$C:$C,'⑤项目数-B-a-③消耗明细表'!F:F,0)</f>
        <v>1322.5</v>
      </c>
      <c r="N75" s="53">
        <f>_xlfn.XLOOKUP(D75,'⑤项目数-B-a-③消耗明细表'!$C:$C,'⑤项目数-B-a-③消耗明细表'!G:G,0)</f>
        <v>20</v>
      </c>
    </row>
    <row r="76" spans="1:14" x14ac:dyDescent="0.15">
      <c r="A76" s="52" t="str">
        <v>双流</v>
      </c>
      <c r="B76" s="52" t="str">
        <v>健康师</v>
      </c>
      <c r="C76" s="52" t="str">
        <v>A</v>
      </c>
      <c r="D76" s="52" t="str">
        <v>郝中南</v>
      </c>
      <c r="E76" s="52" t="str">
        <f>_xlfn.XLOOKUP(D76,期初设置!E:E,期初设置!F:F,0)</f>
        <v>双流+星耀队</v>
      </c>
      <c r="F76" s="52" t="str">
        <f>_xlfn.XLOOKUP(D76,期初设置!E:E,期初设置!D:D,0)</f>
        <v>顾问</v>
      </c>
      <c r="G76" s="53">
        <f>_xlfn.XLOOKUP(D76,'④考勤-B-a-26考勤汇总表'!D:D,'④考勤-B-a-26考勤汇总表'!AP:AP,0)</f>
        <v>31</v>
      </c>
      <c r="H76" s="141">
        <f>_xlfn.XLOOKUP(D76,'个人业绩-B-a-②呈现-业绩明细表'!$C:$C,'个人业绩-B-a-②呈现-业绩明细表'!D:D,0)</f>
        <v>96356</v>
      </c>
      <c r="I76" s="141">
        <f>_xlfn.XLOOKUP(D76,'个人业绩-B-a-②呈现-业绩明细表'!$C:$C,'个人业绩-B-a-②呈现-业绩明细表'!$E:$E,0)</f>
        <v>27310</v>
      </c>
      <c r="J76" s="141">
        <f>_xlfn.XLOOKUP(D76,'个人业绩-B-a-②呈现-业绩明细表'!$C:$C,'个人业绩-B-a-②呈现-业绩明细表'!$F:$F,0)</f>
        <v>66750</v>
      </c>
      <c r="K76" s="53">
        <f>SUMIFS('⑦扣除明细-B-a-12-奖励统计表③'!G:G,'⑦扣除明细-B-a-12-奖励统计表③'!D:D,D76)</f>
        <v>2296</v>
      </c>
      <c r="L76" s="53">
        <f>_xlfn.XLOOKUP(D76,'⑤项目数-B-a-③消耗明细表'!C:C,'⑤项目数-B-a-③消耗明细表'!E:E,0)</f>
        <v>25042.22</v>
      </c>
      <c r="M76" s="153">
        <f>_xlfn.XLOOKUP(D76,'⑤项目数-B-a-③消耗明细表'!$C:$C,'⑤项目数-B-a-③消耗明细表'!F:F,0)</f>
        <v>1869</v>
      </c>
      <c r="N76" s="53">
        <f>_xlfn.XLOOKUP(D76,'⑤项目数-B-a-③消耗明细表'!$C:$C,'⑤项目数-B-a-③消耗明细表'!G:G,0)</f>
        <v>240</v>
      </c>
    </row>
    <row r="77" spans="1:14" x14ac:dyDescent="0.15">
      <c r="A77" s="52" t="str">
        <v>双流</v>
      </c>
      <c r="B77" s="52" t="str">
        <v>健康师</v>
      </c>
      <c r="C77" s="52" t="str">
        <v>A</v>
      </c>
      <c r="D77" s="52" t="str">
        <v>冉芳霞</v>
      </c>
      <c r="E77" s="52" t="str">
        <f>_xlfn.XLOOKUP(D77,期初设置!E:E,期初设置!F:F,0)</f>
        <v>双流+超越队</v>
      </c>
      <c r="F77" s="52" t="str">
        <f>_xlfn.XLOOKUP(D77,期初设置!E:E,期初设置!D:D,0)</f>
        <v>顾问</v>
      </c>
      <c r="G77" s="53">
        <f>_xlfn.XLOOKUP(D77,'④考勤-B-a-26考勤汇总表'!D:D,'④考勤-B-a-26考勤汇总表'!AP:AP,0)</f>
        <v>31</v>
      </c>
      <c r="H77" s="141">
        <f>_xlfn.XLOOKUP(D77,'个人业绩-B-a-②呈现-业绩明细表'!$C:$C,'个人业绩-B-a-②呈现-业绩明细表'!D:D,0)</f>
        <v>113442</v>
      </c>
      <c r="I77" s="141">
        <f>_xlfn.XLOOKUP(D77,'个人业绩-B-a-②呈现-业绩明细表'!$C:$C,'个人业绩-B-a-②呈现-业绩明细表'!$E:$E,0)</f>
        <v>22234</v>
      </c>
      <c r="J77" s="141">
        <f>_xlfn.XLOOKUP(D77,'个人业绩-B-a-②呈现-业绩明细表'!$C:$C,'个人业绩-B-a-②呈现-业绩明细表'!$F:$F,0)</f>
        <v>89700</v>
      </c>
      <c r="K77" s="53">
        <f>SUMIFS('⑦扣除明细-B-a-12-奖励统计表③'!G:G,'⑦扣除明细-B-a-12-奖励统计表③'!D:D,D77)</f>
        <v>1508</v>
      </c>
      <c r="L77" s="53">
        <f>_xlfn.XLOOKUP(D77,'⑤项目数-B-a-③消耗明细表'!C:C,'⑤项目数-B-a-③消耗明细表'!E:E,0)</f>
        <v>28989.86</v>
      </c>
      <c r="M77" s="153">
        <f>_xlfn.XLOOKUP(D77,'⑤项目数-B-a-③消耗明细表'!$C:$C,'⑤项目数-B-a-③消耗明细表'!F:F,0)</f>
        <v>1752.5</v>
      </c>
      <c r="N77" s="53">
        <f>_xlfn.XLOOKUP(D77,'⑤项目数-B-a-③消耗明细表'!$C:$C,'⑤项目数-B-a-③消耗明细表'!G:G,0)</f>
        <v>142.5</v>
      </c>
    </row>
    <row r="78" spans="1:14" x14ac:dyDescent="0.15">
      <c r="A78" s="52" t="str">
        <v>双流</v>
      </c>
      <c r="B78" s="52" t="str">
        <v>健康师</v>
      </c>
      <c r="C78" s="52" t="str">
        <v>A</v>
      </c>
      <c r="D78" s="52" t="str">
        <v>谭萍</v>
      </c>
      <c r="E78" s="52" t="str">
        <f>_xlfn.XLOOKUP(D78,期初设置!E:E,期初设置!F:F,0)</f>
        <v>双流+超越队</v>
      </c>
      <c r="F78" s="52" t="str">
        <f>_xlfn.XLOOKUP(D78,期初设置!E:E,期初设置!D:D,0)</f>
        <v>健康师</v>
      </c>
      <c r="G78" s="53">
        <f>_xlfn.XLOOKUP(D78,'④考勤-B-a-26考勤汇总表'!D:D,'④考勤-B-a-26考勤汇总表'!AP:AP,0)</f>
        <v>31</v>
      </c>
      <c r="H78" s="141">
        <f>_xlfn.XLOOKUP(D78,'个人业绩-B-a-②呈现-业绩明细表'!$C:$C,'个人业绩-B-a-②呈现-业绩明细表'!D:D,0)</f>
        <v>49998.5</v>
      </c>
      <c r="I78" s="141">
        <f>_xlfn.XLOOKUP(D78,'个人业绩-B-a-②呈现-业绩明细表'!$C:$C,'个人业绩-B-a-②呈现-业绩明细表'!$E:$E,0)</f>
        <v>22458.5</v>
      </c>
      <c r="J78" s="141">
        <f>_xlfn.XLOOKUP(D78,'个人业绩-B-a-②呈现-业绩明细表'!$C:$C,'个人业绩-B-a-②呈现-业绩明细表'!$F:$F,0)</f>
        <v>27540</v>
      </c>
      <c r="K78" s="53">
        <f>SUMIFS('⑦扣除明细-B-a-12-奖励统计表③'!G:G,'⑦扣除明细-B-a-12-奖励统计表③'!D:D,D78)</f>
        <v>0</v>
      </c>
      <c r="L78" s="53">
        <f>_xlfn.XLOOKUP(D78,'⑤项目数-B-a-③消耗明细表'!C:C,'⑤项目数-B-a-③消耗明细表'!E:E,0)</f>
        <v>20314.169999999998</v>
      </c>
      <c r="M78" s="153">
        <f>_xlfn.XLOOKUP(D78,'⑤项目数-B-a-③消耗明细表'!$C:$C,'⑤项目数-B-a-③消耗明细表'!F:F,0)</f>
        <v>1693</v>
      </c>
      <c r="N78" s="53">
        <f>_xlfn.XLOOKUP(D78,'⑤项目数-B-a-③消耗明细表'!$C:$C,'⑤项目数-B-a-③消耗明细表'!G:G,0)</f>
        <v>70</v>
      </c>
    </row>
    <row r="79" spans="1:14" x14ac:dyDescent="0.15">
      <c r="A79" s="52" t="str">
        <v>双流</v>
      </c>
      <c r="B79" s="52" t="str">
        <v>健康师</v>
      </c>
      <c r="C79" s="52" t="str">
        <v>A</v>
      </c>
      <c r="D79" s="52" t="str">
        <v>罗湘湘</v>
      </c>
      <c r="E79" s="52" t="str">
        <f>_xlfn.XLOOKUP(D79,期初设置!E:E,期初设置!F:F,0)</f>
        <v>双流+超越队</v>
      </c>
      <c r="F79" s="52" t="str">
        <f>_xlfn.XLOOKUP(D79,期初设置!E:E,期初设置!D:D,0)</f>
        <v>健康师</v>
      </c>
      <c r="G79" s="53">
        <f>_xlfn.XLOOKUP(D79,'④考勤-B-a-26考勤汇总表'!D:D,'④考勤-B-a-26考勤汇总表'!AP:AP,0)</f>
        <v>31</v>
      </c>
      <c r="H79" s="141">
        <f>_xlfn.XLOOKUP(D79,'个人业绩-B-a-②呈现-业绩明细表'!$C:$C,'个人业绩-B-a-②呈现-业绩明细表'!D:D,0)</f>
        <v>9168</v>
      </c>
      <c r="I79" s="141">
        <f>_xlfn.XLOOKUP(D79,'个人业绩-B-a-②呈现-业绩明细表'!$C:$C,'个人业绩-B-a-②呈现-业绩明细表'!$E:$E,0)</f>
        <v>398</v>
      </c>
      <c r="J79" s="141">
        <f>_xlfn.XLOOKUP(D79,'个人业绩-B-a-②呈现-业绩明细表'!$C:$C,'个人业绩-B-a-②呈现-业绩明细表'!$F:$F,0)</f>
        <v>8770</v>
      </c>
      <c r="K79" s="53">
        <f>SUMIFS('⑦扣除明细-B-a-12-奖励统计表③'!G:G,'⑦扣除明细-B-a-12-奖励统计表③'!D:D,D79)</f>
        <v>0</v>
      </c>
      <c r="L79" s="53">
        <f>_xlfn.XLOOKUP(D79,'⑤项目数-B-a-③消耗明细表'!C:C,'⑤项目数-B-a-③消耗明细表'!E:E,0)</f>
        <v>8687.26</v>
      </c>
      <c r="M79" s="153">
        <f>_xlfn.XLOOKUP(D79,'⑤项目数-B-a-③消耗明细表'!$C:$C,'⑤项目数-B-a-③消耗明细表'!F:F,0)</f>
        <v>1449</v>
      </c>
      <c r="N79" s="53">
        <f>_xlfn.XLOOKUP(D79,'⑤项目数-B-a-③消耗明细表'!$C:$C,'⑤项目数-B-a-③消耗明细表'!G:G,0)</f>
        <v>0</v>
      </c>
    </row>
    <row r="80" spans="1:14" x14ac:dyDescent="0.15">
      <c r="A80" s="52" t="str">
        <v>骑士郡</v>
      </c>
      <c r="B80" s="52" t="str">
        <v>健康师</v>
      </c>
      <c r="C80" s="52" t="str">
        <v>A</v>
      </c>
      <c r="D80" s="52" t="str">
        <v>唐玉芳</v>
      </c>
      <c r="E80" s="52" t="str">
        <f>_xlfn.XLOOKUP(D80,期初设置!E:E,期初设置!F:F,0)</f>
        <v>骑士郡+雄霸天下队</v>
      </c>
      <c r="F80" s="52" t="str">
        <f>_xlfn.XLOOKUP(D80,期初设置!E:E,期初设置!D:D,0)</f>
        <v>顾问</v>
      </c>
      <c r="G80" s="53">
        <f>_xlfn.XLOOKUP(D80,'④考勤-B-a-26考勤汇总表'!D:D,'④考勤-B-a-26考勤汇总表'!AP:AP,0)</f>
        <v>31</v>
      </c>
      <c r="H80" s="141">
        <f>_xlfn.XLOOKUP(D80,'个人业绩-B-a-②呈现-业绩明细表'!$C:$C,'个人业绩-B-a-②呈现-业绩明细表'!D:D,0)</f>
        <v>73048</v>
      </c>
      <c r="I80" s="141">
        <f>_xlfn.XLOOKUP(D80,'个人业绩-B-a-②呈现-业绩明细表'!$C:$C,'个人业绩-B-a-②呈现-业绩明细表'!$E:$E,0)</f>
        <v>74548</v>
      </c>
      <c r="J80" s="141">
        <f>_xlfn.XLOOKUP(D80,'个人业绩-B-a-②呈现-业绩明细表'!$C:$C,'个人业绩-B-a-②呈现-业绩明细表'!$F:$F,0)</f>
        <v>-1500</v>
      </c>
      <c r="K80" s="53">
        <f>SUMIFS('⑦扣除明细-B-a-12-奖励统计表③'!G:G,'⑦扣除明细-B-a-12-奖励统计表③'!D:D,D80)</f>
        <v>0</v>
      </c>
      <c r="L80" s="53">
        <f>_xlfn.XLOOKUP(D80,'⑤项目数-B-a-③消耗明细表'!C:C,'⑤项目数-B-a-③消耗明细表'!E:E,0)</f>
        <v>40016.480000000003</v>
      </c>
      <c r="M80" s="153">
        <f>_xlfn.XLOOKUP(D80,'⑤项目数-B-a-③消耗明细表'!$C:$C,'⑤项目数-B-a-③消耗明细表'!F:F,0)</f>
        <v>1095</v>
      </c>
      <c r="N80" s="53">
        <f>_xlfn.XLOOKUP(D80,'⑤项目数-B-a-③消耗明细表'!$C:$C,'⑤项目数-B-a-③消耗明细表'!G:G,0)</f>
        <v>140</v>
      </c>
    </row>
    <row r="81" spans="1:14" x14ac:dyDescent="0.15">
      <c r="A81" s="52" t="str">
        <v>骑士郡</v>
      </c>
      <c r="B81" s="52" t="str">
        <v>健康师</v>
      </c>
      <c r="C81" s="52" t="str">
        <v>A</v>
      </c>
      <c r="D81" s="52" t="str">
        <v>龙巧云</v>
      </c>
      <c r="E81" s="52" t="str">
        <f>_xlfn.XLOOKUP(D81,期初设置!E:E,期初设置!F:F,0)</f>
        <v>骑士郡+天宇霸主队</v>
      </c>
      <c r="F81" s="52" t="str">
        <f>_xlfn.XLOOKUP(D81,期初设置!E:E,期初设置!D:D,0)</f>
        <v>健康师</v>
      </c>
      <c r="G81" s="53">
        <f>_xlfn.XLOOKUP(D81,'④考勤-B-a-26考勤汇总表'!D:D,'④考勤-B-a-26考勤汇总表'!AP:AP,0)</f>
        <v>31</v>
      </c>
      <c r="H81" s="141">
        <f>_xlfn.XLOOKUP(D81,'个人业绩-B-a-②呈现-业绩明细表'!$C:$C,'个人业绩-B-a-②呈现-业绩明细表'!D:D,0)</f>
        <v>17850.400000000001</v>
      </c>
      <c r="I81" s="141">
        <f>_xlfn.XLOOKUP(D81,'个人业绩-B-a-②呈现-业绩明细表'!$C:$C,'个人业绩-B-a-②呈现-业绩明细表'!$E:$E,0)</f>
        <v>26250.400000000001</v>
      </c>
      <c r="J81" s="141">
        <f>_xlfn.XLOOKUP(D81,'个人业绩-B-a-②呈现-业绩明细表'!$C:$C,'个人业绩-B-a-②呈现-业绩明细表'!$F:$F,0)</f>
        <v>-8400</v>
      </c>
      <c r="K81" s="53">
        <f>SUMIFS('⑦扣除明细-B-a-12-奖励统计表③'!G:G,'⑦扣除明细-B-a-12-奖励统计表③'!D:D,D81)</f>
        <v>0</v>
      </c>
      <c r="L81" s="53">
        <f>_xlfn.XLOOKUP(D81,'⑤项目数-B-a-③消耗明细表'!C:C,'⑤项目数-B-a-③消耗明细表'!E:E,0)</f>
        <v>19482.240000000002</v>
      </c>
      <c r="M81" s="153">
        <f>_xlfn.XLOOKUP(D81,'⑤项目数-B-a-③消耗明细表'!$C:$C,'⑤项目数-B-a-③消耗明细表'!F:F,0)</f>
        <v>1279</v>
      </c>
      <c r="N81" s="53">
        <f>_xlfn.XLOOKUP(D81,'⑤项目数-B-a-③消耗明细表'!$C:$C,'⑤项目数-B-a-③消耗明细表'!G:G,0)</f>
        <v>75</v>
      </c>
    </row>
    <row r="82" spans="1:14" x14ac:dyDescent="0.15">
      <c r="A82" s="52" t="str">
        <v>骑士郡</v>
      </c>
      <c r="B82" s="52" t="str">
        <v>健康师</v>
      </c>
      <c r="C82" s="52" t="str">
        <v>A</v>
      </c>
      <c r="D82" s="52" t="str">
        <v>刘裕琼</v>
      </c>
      <c r="E82" s="52" t="str">
        <f>_xlfn.XLOOKUP(D82,期初设置!E:E,期初设置!F:F,0)</f>
        <v>骑士郡+天宇霸主队</v>
      </c>
      <c r="F82" s="52" t="str">
        <f>_xlfn.XLOOKUP(D82,期初设置!E:E,期初设置!D:D,0)</f>
        <v>顾问</v>
      </c>
      <c r="G82" s="53">
        <f>_xlfn.XLOOKUP(D82,'④考勤-B-a-26考勤汇总表'!D:D,'④考勤-B-a-26考勤汇总表'!AP:AP,0)</f>
        <v>31</v>
      </c>
      <c r="H82" s="141">
        <f>_xlfn.XLOOKUP(D82,'个人业绩-B-a-②呈现-业绩明细表'!$C:$C,'个人业绩-B-a-②呈现-业绩明细表'!D:D,0)</f>
        <v>33492</v>
      </c>
      <c r="I82" s="141">
        <f>_xlfn.XLOOKUP(D82,'个人业绩-B-a-②呈现-业绩明细表'!$C:$C,'个人业绩-B-a-②呈现-业绩明细表'!$E:$E,0)</f>
        <v>32492</v>
      </c>
      <c r="J82" s="141">
        <f>_xlfn.XLOOKUP(D82,'个人业绩-B-a-②呈现-业绩明细表'!$C:$C,'个人业绩-B-a-②呈现-业绩明细表'!$F:$F,0)</f>
        <v>1000</v>
      </c>
      <c r="K82" s="53">
        <f>SUMIFS('⑦扣除明细-B-a-12-奖励统计表③'!G:G,'⑦扣除明细-B-a-12-奖励统计表③'!D:D,D82)</f>
        <v>0</v>
      </c>
      <c r="L82" s="53">
        <f>_xlfn.XLOOKUP(D82,'⑤项目数-B-a-③消耗明细表'!C:C,'⑤项目数-B-a-③消耗明细表'!E:E,0)</f>
        <v>21310.35</v>
      </c>
      <c r="M82" s="153">
        <f>_xlfn.XLOOKUP(D82,'⑤项目数-B-a-③消耗明细表'!$C:$C,'⑤项目数-B-a-③消耗明细表'!F:F,0)</f>
        <v>1292</v>
      </c>
      <c r="N82" s="53">
        <f>_xlfn.XLOOKUP(D82,'⑤项目数-B-a-③消耗明细表'!$C:$C,'⑤项目数-B-a-③消耗明细表'!G:G,0)</f>
        <v>55</v>
      </c>
    </row>
    <row r="83" spans="1:14" x14ac:dyDescent="0.15">
      <c r="A83" s="52" t="str">
        <v>骑士郡</v>
      </c>
      <c r="B83" s="52" t="str">
        <v>健康师</v>
      </c>
      <c r="C83" s="52" t="str">
        <v>A</v>
      </c>
      <c r="D83" s="52" t="str">
        <v>唐施语</v>
      </c>
      <c r="E83" s="52" t="str">
        <f>_xlfn.XLOOKUP(D83,期初设置!E:E,期初设置!F:F,0)</f>
        <v>骑士郡+雄霸天下队</v>
      </c>
      <c r="F83" s="52" t="str">
        <f>_xlfn.XLOOKUP(D83,期初设置!E:E,期初设置!D:D,0)</f>
        <v>健康师</v>
      </c>
      <c r="G83" s="53">
        <f>_xlfn.XLOOKUP(D83,'④考勤-B-a-26考勤汇总表'!D:D,'④考勤-B-a-26考勤汇总表'!AP:AP,0)</f>
        <v>31</v>
      </c>
      <c r="H83" s="141">
        <f>_xlfn.XLOOKUP(D83,'个人业绩-B-a-②呈现-业绩明细表'!$C:$C,'个人业绩-B-a-②呈现-业绩明细表'!D:D,0)</f>
        <v>18034.400000000001</v>
      </c>
      <c r="I83" s="141">
        <f>_xlfn.XLOOKUP(D83,'个人业绩-B-a-②呈现-业绩明细表'!$C:$C,'个人业绩-B-a-②呈现-业绩明细表'!$E:$E,0)</f>
        <v>21535.4</v>
      </c>
      <c r="J83" s="141">
        <f>_xlfn.XLOOKUP(D83,'个人业绩-B-a-②呈现-业绩明细表'!$C:$C,'个人业绩-B-a-②呈现-业绩明细表'!$F:$F,0)</f>
        <v>-3501</v>
      </c>
      <c r="K83" s="53">
        <f>SUMIFS('⑦扣除明细-B-a-12-奖励统计表③'!G:G,'⑦扣除明细-B-a-12-奖励统计表③'!D:D,D83)</f>
        <v>0</v>
      </c>
      <c r="L83" s="53">
        <f>_xlfn.XLOOKUP(D83,'⑤项目数-B-a-③消耗明细表'!C:C,'⑤项目数-B-a-③消耗明细表'!E:E,0)</f>
        <v>18303.84</v>
      </c>
      <c r="M83" s="153">
        <f>_xlfn.XLOOKUP(D83,'⑤项目数-B-a-③消耗明细表'!$C:$C,'⑤项目数-B-a-③消耗明细表'!F:F,0)</f>
        <v>1155</v>
      </c>
      <c r="N83" s="53">
        <f>_xlfn.XLOOKUP(D83,'⑤项目数-B-a-③消耗明细表'!$C:$C,'⑤项目数-B-a-③消耗明细表'!G:G,0)</f>
        <v>0</v>
      </c>
    </row>
    <row r="84" spans="1:14" x14ac:dyDescent="0.15">
      <c r="A84" s="52" t="str">
        <v>骑士郡</v>
      </c>
      <c r="B84" s="52" t="str">
        <v>健康师</v>
      </c>
      <c r="C84" s="52" t="str">
        <v>A</v>
      </c>
      <c r="D84" s="52" t="str">
        <v>谭福英</v>
      </c>
      <c r="E84" s="52" t="str">
        <f>_xlfn.XLOOKUP(D84,期初设置!E:E,期初设置!F:F,0)</f>
        <v>骑士郡+雄霸天下队</v>
      </c>
      <c r="F84" s="52" t="str">
        <f>_xlfn.XLOOKUP(D84,期初设置!E:E,期初设置!D:D,0)</f>
        <v>健康师</v>
      </c>
      <c r="G84" s="53">
        <f>_xlfn.XLOOKUP(D84,'④考勤-B-a-26考勤汇总表'!D:D,'④考勤-B-a-26考勤汇总表'!AP:AP,0)</f>
        <v>31</v>
      </c>
      <c r="H84" s="141">
        <f>_xlfn.XLOOKUP(D84,'个人业绩-B-a-②呈现-业绩明细表'!$C:$C,'个人业绩-B-a-②呈现-业绩明细表'!D:D,0)</f>
        <v>11138</v>
      </c>
      <c r="I84" s="141">
        <f>_xlfn.XLOOKUP(D84,'个人业绩-B-a-②呈现-业绩明细表'!$C:$C,'个人业绩-B-a-②呈现-业绩明细表'!$E:$E,0)</f>
        <v>12638</v>
      </c>
      <c r="J84" s="141">
        <f>_xlfn.XLOOKUP(D84,'个人业绩-B-a-②呈现-业绩明细表'!$C:$C,'个人业绩-B-a-②呈现-业绩明细表'!$F:$F,0)</f>
        <v>-1500</v>
      </c>
      <c r="K84" s="53">
        <f>SUMIFS('⑦扣除明细-B-a-12-奖励统计表③'!G:G,'⑦扣除明细-B-a-12-奖励统计表③'!D:D,D84)</f>
        <v>0</v>
      </c>
      <c r="L84" s="53">
        <f>_xlfn.XLOOKUP(D84,'⑤项目数-B-a-③消耗明细表'!C:C,'⑤项目数-B-a-③消耗明细表'!E:E,0)</f>
        <v>12395.25</v>
      </c>
      <c r="M84" s="153">
        <f>_xlfn.XLOOKUP(D84,'⑤项目数-B-a-③消耗明细表'!$C:$C,'⑤项目数-B-a-③消耗明细表'!F:F,0)</f>
        <v>1209</v>
      </c>
      <c r="N84" s="53">
        <f>_xlfn.XLOOKUP(D84,'⑤项目数-B-a-③消耗明细表'!$C:$C,'⑤项目数-B-a-③消耗明细表'!G:G,0)</f>
        <v>0</v>
      </c>
    </row>
    <row r="85" spans="1:14" x14ac:dyDescent="0.15">
      <c r="A85" s="52" t="str">
        <v>骑士郡</v>
      </c>
      <c r="B85" s="52" t="str">
        <v>健康师</v>
      </c>
      <c r="C85" s="52" t="str">
        <v>A</v>
      </c>
      <c r="D85" s="52" t="str">
        <v>李凤</v>
      </c>
      <c r="E85" s="52" t="str">
        <f>_xlfn.XLOOKUP(D85,期初设置!E:E,期初设置!F:F,0)</f>
        <v>骑士郡+天宇霸主队</v>
      </c>
      <c r="F85" s="52" t="str">
        <f>_xlfn.XLOOKUP(D85,期初设置!E:E,期初设置!D:D,0)</f>
        <v>健康师</v>
      </c>
      <c r="G85" s="53">
        <f>_xlfn.XLOOKUP(D85,'④考勤-B-a-26考勤汇总表'!D:D,'④考勤-B-a-26考勤汇总表'!AP:AP,0)</f>
        <v>31</v>
      </c>
      <c r="H85" s="141">
        <f>_xlfn.XLOOKUP(D85,'个人业绩-B-a-②呈现-业绩明细表'!$C:$C,'个人业绩-B-a-②呈现-业绩明细表'!D:D,0)</f>
        <v>5070.2</v>
      </c>
      <c r="I85" s="141">
        <f>_xlfn.XLOOKUP(D85,'个人业绩-B-a-②呈现-业绩明细表'!$C:$C,'个人业绩-B-a-②呈现-业绩明细表'!$E:$E,0)</f>
        <v>5070.2</v>
      </c>
      <c r="J85" s="141">
        <f>_xlfn.XLOOKUP(D85,'个人业绩-B-a-②呈现-业绩明细表'!$C:$C,'个人业绩-B-a-②呈现-业绩明细表'!$F:$F,0)</f>
        <v>0</v>
      </c>
      <c r="K85" s="53">
        <f>SUMIFS('⑦扣除明细-B-a-12-奖励统计表③'!G:G,'⑦扣除明细-B-a-12-奖励统计表③'!D:D,D85)</f>
        <v>0</v>
      </c>
      <c r="L85" s="53">
        <f>_xlfn.XLOOKUP(D85,'⑤项目数-B-a-③消耗明细表'!C:C,'⑤项目数-B-a-③消耗明细表'!E:E,0)</f>
        <v>7126.18</v>
      </c>
      <c r="M85" s="153">
        <f>_xlfn.XLOOKUP(D85,'⑤项目数-B-a-③消耗明细表'!$C:$C,'⑤项目数-B-a-③消耗明细表'!F:F,0)</f>
        <v>1095</v>
      </c>
      <c r="N85" s="53">
        <f>_xlfn.XLOOKUP(D85,'⑤项目数-B-a-③消耗明细表'!$C:$C,'⑤项目数-B-a-③消耗明细表'!G:G,0)</f>
        <v>0</v>
      </c>
    </row>
    <row r="86" spans="1:14" x14ac:dyDescent="0.15">
      <c r="A86" s="52" t="str">
        <v>明信</v>
      </c>
      <c r="B86" s="52" t="str">
        <v>健康师</v>
      </c>
      <c r="C86" s="52" t="str">
        <v>A</v>
      </c>
      <c r="D86" s="52" t="str">
        <v>王红</v>
      </c>
      <c r="E86" s="52" t="str">
        <f>_xlfn.XLOOKUP(D86,期初设置!E:E,期初设置!F:F,0)</f>
        <v>明信+单人</v>
      </c>
      <c r="F86" s="52" t="str">
        <f>_xlfn.XLOOKUP(D86,期初设置!E:E,期初设置!D:D,0)</f>
        <v>健康师</v>
      </c>
      <c r="G86" s="53">
        <f>_xlfn.XLOOKUP(D86,'④考勤-B-a-26考勤汇总表'!D:D,'④考勤-B-a-26考勤汇总表'!AP:AP,0)</f>
        <v>31</v>
      </c>
      <c r="H86" s="141">
        <f>_xlfn.XLOOKUP(D86,'个人业绩-B-a-②呈现-业绩明细表'!$C:$C,'个人业绩-B-a-②呈现-业绩明细表'!D:D,0)</f>
        <v>30057</v>
      </c>
      <c r="I86" s="141">
        <f>_xlfn.XLOOKUP(D86,'个人业绩-B-a-②呈现-业绩明细表'!$C:$C,'个人业绩-B-a-②呈现-业绩明细表'!$E:$E,0)</f>
        <v>29169</v>
      </c>
      <c r="J86" s="141">
        <f>_xlfn.XLOOKUP(D86,'个人业绩-B-a-②呈现-业绩明细表'!$C:$C,'个人业绩-B-a-②呈现-业绩明细表'!$F:$F,0)</f>
        <v>0</v>
      </c>
      <c r="K86" s="53">
        <f>SUMIFS('⑦扣除明细-B-a-12-奖励统计表③'!G:G,'⑦扣除明细-B-a-12-奖励统计表③'!D:D,D86)</f>
        <v>888</v>
      </c>
      <c r="L86" s="53">
        <f>_xlfn.XLOOKUP(D86,'⑤项目数-B-a-③消耗明细表'!C:C,'⑤项目数-B-a-③消耗明细表'!E:E,0)</f>
        <v>11864.38</v>
      </c>
      <c r="M86" s="153">
        <f>_xlfn.XLOOKUP(D86,'⑤项目数-B-a-③消耗明细表'!$C:$C,'⑤项目数-B-a-③消耗明细表'!F:F,0)</f>
        <v>1467</v>
      </c>
      <c r="N86" s="53">
        <f>_xlfn.XLOOKUP(D86,'⑤项目数-B-a-③消耗明细表'!$C:$C,'⑤项目数-B-a-③消耗明细表'!G:G,0)</f>
        <v>85</v>
      </c>
    </row>
    <row r="87" spans="1:14" x14ac:dyDescent="0.15">
      <c r="A87" s="52" t="str">
        <v>明信</v>
      </c>
      <c r="B87" s="52" t="str">
        <v>健康师</v>
      </c>
      <c r="C87" s="52" t="str">
        <v>A</v>
      </c>
      <c r="D87" s="52" t="str">
        <v>冷忠翠</v>
      </c>
      <c r="E87" s="52" t="str">
        <f>_xlfn.XLOOKUP(D87,期初设置!E:E,期初设置!F:F,0)</f>
        <v>明信+精英队</v>
      </c>
      <c r="F87" s="52" t="str">
        <f>_xlfn.XLOOKUP(D87,期初设置!E:E,期初设置!D:D,0)</f>
        <v>顾问</v>
      </c>
      <c r="G87" s="53">
        <f>_xlfn.XLOOKUP(D87,'④考勤-B-a-26考勤汇总表'!D:D,'④考勤-B-a-26考勤汇总表'!AP:AP,0)</f>
        <v>31</v>
      </c>
      <c r="H87" s="141">
        <f>_xlfn.XLOOKUP(D87,'个人业绩-B-a-②呈现-业绩明细表'!$C:$C,'个人业绩-B-a-②呈现-业绩明细表'!D:D,0)</f>
        <v>44080</v>
      </c>
      <c r="I87" s="141">
        <f>_xlfn.XLOOKUP(D87,'个人业绩-B-a-②呈现-业绩明细表'!$C:$C,'个人业绩-B-a-②呈现-业绩明细表'!$E:$E,0)</f>
        <v>42992</v>
      </c>
      <c r="J87" s="141">
        <f>_xlfn.XLOOKUP(D87,'个人业绩-B-a-②呈现-业绩明细表'!$C:$C,'个人业绩-B-a-②呈现-业绩明细表'!$F:$F,0)</f>
        <v>200</v>
      </c>
      <c r="K87" s="53">
        <f>SUMIFS('⑦扣除明细-B-a-12-奖励统计表③'!G:G,'⑦扣除明细-B-a-12-奖励统计表③'!D:D,D87)</f>
        <v>888</v>
      </c>
      <c r="L87" s="53">
        <f>_xlfn.XLOOKUP(D87,'⑤项目数-B-a-③消耗明细表'!C:C,'⑤项目数-B-a-③消耗明细表'!E:E,0)</f>
        <v>25735.17</v>
      </c>
      <c r="M87" s="153">
        <f>_xlfn.XLOOKUP(D87,'⑤项目数-B-a-③消耗明细表'!$C:$C,'⑤项目数-B-a-③消耗明细表'!F:F,0)</f>
        <v>1889</v>
      </c>
      <c r="N87" s="53">
        <f>_xlfn.XLOOKUP(D87,'⑤项目数-B-a-③消耗明细表'!$C:$C,'⑤项目数-B-a-③消耗明细表'!G:G,0)</f>
        <v>175</v>
      </c>
    </row>
    <row r="88" spans="1:14" x14ac:dyDescent="0.15">
      <c r="A88" s="52" t="str">
        <v>明信</v>
      </c>
      <c r="B88" s="52" t="str">
        <v>健康师</v>
      </c>
      <c r="C88" s="52" t="str">
        <v>A</v>
      </c>
      <c r="D88" s="52" t="str">
        <v>贺金云</v>
      </c>
      <c r="E88" s="52" t="str">
        <f>_xlfn.XLOOKUP(D88,期初设置!E:E,期初设置!F:F,0)</f>
        <v>明信+单人</v>
      </c>
      <c r="F88" s="52" t="str">
        <f>_xlfn.XLOOKUP(D88,期初设置!E:E,期初设置!D:D,0)</f>
        <v>健康师</v>
      </c>
      <c r="G88" s="53">
        <f>_xlfn.XLOOKUP(D88,'④考勤-B-a-26考勤汇总表'!D:D,'④考勤-B-a-26考勤汇总表'!AP:AP,0)</f>
        <v>19</v>
      </c>
      <c r="H88" s="141">
        <f>_xlfn.XLOOKUP(D88,'个人业绩-B-a-②呈现-业绩明细表'!$C:$C,'个人业绩-B-a-②呈现-业绩明细表'!D:D,0)</f>
        <v>198</v>
      </c>
      <c r="I88" s="141">
        <f>_xlfn.XLOOKUP(D88,'个人业绩-B-a-②呈现-业绩明细表'!$C:$C,'个人业绩-B-a-②呈现-业绩明细表'!$E:$E,0)</f>
        <v>198</v>
      </c>
      <c r="J88" s="141">
        <f>_xlfn.XLOOKUP(D88,'个人业绩-B-a-②呈现-业绩明细表'!$C:$C,'个人业绩-B-a-②呈现-业绩明细表'!$F:$F,0)</f>
        <v>0</v>
      </c>
      <c r="K88" s="53">
        <f>SUMIFS('⑦扣除明细-B-a-12-奖励统计表③'!G:G,'⑦扣除明细-B-a-12-奖励统计表③'!D:D,D88)</f>
        <v>0</v>
      </c>
      <c r="L88" s="53">
        <f>_xlfn.XLOOKUP(D88,'⑤项目数-B-a-③消耗明细表'!C:C,'⑤项目数-B-a-③消耗明细表'!E:E,0)</f>
        <v>7654.79</v>
      </c>
      <c r="M88" s="153">
        <f>_xlfn.XLOOKUP(D88,'⑤项目数-B-a-③消耗明细表'!$C:$C,'⑤项目数-B-a-③消耗明细表'!F:F,0)</f>
        <v>892</v>
      </c>
      <c r="N88" s="53">
        <f>_xlfn.XLOOKUP(D88,'⑤项目数-B-a-③消耗明细表'!$C:$C,'⑤项目数-B-a-③消耗明细表'!G:G,0)</f>
        <v>0</v>
      </c>
    </row>
    <row r="89" spans="1:14" x14ac:dyDescent="0.15">
      <c r="A89" s="52" t="str">
        <v>明信</v>
      </c>
      <c r="B89" s="52" t="str">
        <v>健康师</v>
      </c>
      <c r="C89" s="52" t="str">
        <v>A</v>
      </c>
      <c r="D89" s="52" t="str">
        <v>舒许芳</v>
      </c>
      <c r="E89" s="52" t="str">
        <f>_xlfn.XLOOKUP(D89,期初设置!E:E,期初设置!F:F,0)</f>
        <v>明信+精英队</v>
      </c>
      <c r="F89" s="52" t="str">
        <f>_xlfn.XLOOKUP(D89,期初设置!E:E,期初设置!D:D,0)</f>
        <v>健康师</v>
      </c>
      <c r="G89" s="53">
        <f>_xlfn.XLOOKUP(D89,'④考勤-B-a-26考勤汇总表'!D:D,'④考勤-B-a-26考勤汇总表'!AP:AP,0)</f>
        <v>30</v>
      </c>
      <c r="H89" s="141">
        <f>_xlfn.XLOOKUP(D89,'个人业绩-B-a-②呈现-业绩明细表'!$C:$C,'个人业绩-B-a-②呈现-业绩明细表'!D:D,0)</f>
        <v>10214</v>
      </c>
      <c r="I89" s="141">
        <f>_xlfn.XLOOKUP(D89,'个人业绩-B-a-②呈现-业绩明细表'!$C:$C,'个人业绩-B-a-②呈现-业绩明细表'!$E:$E,0)</f>
        <v>10214</v>
      </c>
      <c r="J89" s="141">
        <f>_xlfn.XLOOKUP(D89,'个人业绩-B-a-②呈现-业绩明细表'!$C:$C,'个人业绩-B-a-②呈现-业绩明细表'!$F:$F,0)</f>
        <v>0</v>
      </c>
      <c r="K89" s="53">
        <f>SUMIFS('⑦扣除明细-B-a-12-奖励统计表③'!G:G,'⑦扣除明细-B-a-12-奖励统计表③'!D:D,D89)</f>
        <v>0</v>
      </c>
      <c r="L89" s="53">
        <f>_xlfn.XLOOKUP(D89,'⑤项目数-B-a-③消耗明细表'!C:C,'⑤项目数-B-a-③消耗明细表'!E:E,0)</f>
        <v>4125.03</v>
      </c>
      <c r="M89" s="153">
        <f>_xlfn.XLOOKUP(D89,'⑤项目数-B-a-③消耗明细表'!$C:$C,'⑤项目数-B-a-③消耗明细表'!F:F,0)</f>
        <v>1064</v>
      </c>
      <c r="N89" s="53">
        <f>_xlfn.XLOOKUP(D89,'⑤项目数-B-a-③消耗明细表'!$C:$C,'⑤项目数-B-a-③消耗明细表'!G:G,0)</f>
        <v>0</v>
      </c>
    </row>
    <row r="90" spans="1:14" x14ac:dyDescent="0.15">
      <c r="A90" s="52" t="str">
        <v>犀浦</v>
      </c>
      <c r="B90" s="52" t="str">
        <v>健康师</v>
      </c>
      <c r="C90" s="52" t="str">
        <v>A</v>
      </c>
      <c r="D90" s="52" t="str">
        <v>包竹梅</v>
      </c>
      <c r="E90" s="52" t="str">
        <f>_xlfn.XLOOKUP(D90,期初设置!E:E,期初设置!F:F,0)</f>
        <v>红光+飞鹰队</v>
      </c>
      <c r="F90" s="52" t="str">
        <f>_xlfn.XLOOKUP(D90,期初设置!E:E,期初设置!D:D,0)</f>
        <v>顾问</v>
      </c>
      <c r="G90" s="53">
        <f>_xlfn.XLOOKUP(D90,'④考勤-B-a-26考勤汇总表'!D:D,'④考勤-B-a-26考勤汇总表'!AP:AP,0)</f>
        <v>31</v>
      </c>
      <c r="H90" s="141">
        <f>_xlfn.XLOOKUP(D90,'个人业绩-B-a-②呈现-业绩明细表'!$C:$C,'个人业绩-B-a-②呈现-业绩明细表'!D:D,0)</f>
        <v>67361.600000000006</v>
      </c>
      <c r="I90" s="141">
        <f>_xlfn.XLOOKUP(D90,'个人业绩-B-a-②呈现-业绩明细表'!$C:$C,'个人业绩-B-a-②呈现-业绩明细表'!$E:$E,0)</f>
        <v>40081.599999999999</v>
      </c>
      <c r="J90" s="141">
        <f>_xlfn.XLOOKUP(D90,'个人业绩-B-a-②呈现-业绩明细表'!$C:$C,'个人业绩-B-a-②呈现-业绩明细表'!$F:$F,0)</f>
        <v>26040</v>
      </c>
      <c r="K90" s="53">
        <f>SUMIFS('⑦扣除明细-B-a-12-奖励统计表③'!G:G,'⑦扣除明细-B-a-12-奖励统计表③'!D:D,D90)</f>
        <v>1240</v>
      </c>
      <c r="L90" s="53">
        <f>_xlfn.XLOOKUP(D90,'⑤项目数-B-a-③消耗明细表'!C:C,'⑤项目数-B-a-③消耗明细表'!E:E,0)</f>
        <v>14051.89</v>
      </c>
      <c r="M90" s="153">
        <f>_xlfn.XLOOKUP(D90,'⑤项目数-B-a-③消耗明细表'!$C:$C,'⑤项目数-B-a-③消耗明细表'!F:F,0)</f>
        <v>1917</v>
      </c>
      <c r="N90" s="53">
        <f>_xlfn.XLOOKUP(D90,'⑤项目数-B-a-③消耗明细表'!$C:$C,'⑤项目数-B-a-③消耗明细表'!G:G,0)</f>
        <v>260</v>
      </c>
    </row>
    <row r="91" spans="1:14" x14ac:dyDescent="0.15">
      <c r="A91" s="52" t="str">
        <v>犀浦</v>
      </c>
      <c r="B91" s="52" t="str">
        <v>健康师</v>
      </c>
      <c r="C91" s="52" t="str">
        <v>A</v>
      </c>
      <c r="D91" s="52" t="str">
        <v>欧迎春</v>
      </c>
      <c r="E91" s="52" t="str">
        <f>_xlfn.XLOOKUP(D91,期初设置!E:E,期初设置!F:F,0)</f>
        <v>犀浦+战胜队</v>
      </c>
      <c r="F91" s="52" t="str">
        <f>_xlfn.XLOOKUP(D91,期初设置!E:E,期初设置!D:D,0)</f>
        <v>顾问</v>
      </c>
      <c r="G91" s="53">
        <f>_xlfn.XLOOKUP(D91,'④考勤-B-a-26考勤汇总表'!D:D,'④考勤-B-a-26考勤汇总表'!AP:AP,0)</f>
        <v>31</v>
      </c>
      <c r="H91" s="141">
        <f>_xlfn.XLOOKUP(D91,'个人业绩-B-a-②呈现-业绩明细表'!$C:$C,'个人业绩-B-a-②呈现-业绩明细表'!D:D,0)</f>
        <v>33786</v>
      </c>
      <c r="I91" s="141">
        <f>_xlfn.XLOOKUP(D91,'个人业绩-B-a-②呈现-业绩明细表'!$C:$C,'个人业绩-B-a-②呈现-业绩明细表'!$E:$E,0)</f>
        <v>33198</v>
      </c>
      <c r="J91" s="141">
        <f>_xlfn.XLOOKUP(D91,'个人业绩-B-a-②呈现-业绩明细表'!$C:$C,'个人业绩-B-a-②呈现-业绩明细表'!$F:$F,0)</f>
        <v>0</v>
      </c>
      <c r="K91" s="53">
        <f>SUMIFS('⑦扣除明细-B-a-12-奖励统计表③'!G:G,'⑦扣除明细-B-a-12-奖励统计表③'!D:D,D91)</f>
        <v>588</v>
      </c>
      <c r="L91" s="53">
        <f>_xlfn.XLOOKUP(D91,'⑤项目数-B-a-③消耗明细表'!C:C,'⑤项目数-B-a-③消耗明细表'!E:E,0)</f>
        <v>48184.25</v>
      </c>
      <c r="M91" s="153">
        <f>_xlfn.XLOOKUP(D91,'⑤项目数-B-a-③消耗明细表'!$C:$C,'⑤项目数-B-a-③消耗明细表'!F:F,0)</f>
        <v>1894</v>
      </c>
      <c r="N91" s="53">
        <f>_xlfn.XLOOKUP(D91,'⑤项目数-B-a-③消耗明细表'!$C:$C,'⑤项目数-B-a-③消耗明细表'!G:G,0)</f>
        <v>270</v>
      </c>
    </row>
    <row r="92" spans="1:14" x14ac:dyDescent="0.15">
      <c r="A92" s="52" t="str">
        <v>犀浦</v>
      </c>
      <c r="B92" s="52" t="str">
        <v>健康师</v>
      </c>
      <c r="C92" s="52" t="str">
        <v>A</v>
      </c>
      <c r="D92" s="52" t="str">
        <v>谭芙蓉</v>
      </c>
      <c r="E92" s="52" t="str">
        <f>_xlfn.XLOOKUP(D92,期初设置!E:E,期初设置!F:F,0)</f>
        <v>犀浦+旗胜队</v>
      </c>
      <c r="F92" s="52" t="str">
        <f>_xlfn.XLOOKUP(D92,期初设置!E:E,期初设置!D:D,0)</f>
        <v>健康师</v>
      </c>
      <c r="G92" s="53">
        <f>_xlfn.XLOOKUP(D92,'④考勤-B-a-26考勤汇总表'!D:D,'④考勤-B-a-26考勤汇总表'!AP:AP,0)</f>
        <v>31</v>
      </c>
      <c r="H92" s="141">
        <f>_xlfn.XLOOKUP(D92,'个人业绩-B-a-②呈现-业绩明细表'!$C:$C,'个人业绩-B-a-②呈现-业绩明细表'!D:D,0)</f>
        <v>15267.75</v>
      </c>
      <c r="I92" s="141">
        <f>_xlfn.XLOOKUP(D92,'个人业绩-B-a-②呈现-业绩明细表'!$C:$C,'个人业绩-B-a-②呈现-业绩明细表'!$E:$E,0)</f>
        <v>15787.75</v>
      </c>
      <c r="J92" s="141">
        <f>_xlfn.XLOOKUP(D92,'个人业绩-B-a-②呈现-业绩明细表'!$C:$C,'个人业绩-B-a-②呈现-业绩明细表'!$F:$F,0)</f>
        <v>-520</v>
      </c>
      <c r="K92" s="53">
        <f>SUMIFS('⑦扣除明细-B-a-12-奖励统计表③'!G:G,'⑦扣除明细-B-a-12-奖励统计表③'!D:D,D92)</f>
        <v>0</v>
      </c>
      <c r="L92" s="53">
        <f>_xlfn.XLOOKUP(D92,'⑤项目数-B-a-③消耗明细表'!C:C,'⑤项目数-B-a-③消耗明细表'!E:E,0)</f>
        <v>19882.2</v>
      </c>
      <c r="M92" s="153">
        <f>_xlfn.XLOOKUP(D92,'⑤项目数-B-a-③消耗明细表'!$C:$C,'⑤项目数-B-a-③消耗明细表'!F:F,0)</f>
        <v>1352</v>
      </c>
      <c r="N92" s="53">
        <f>_xlfn.XLOOKUP(D92,'⑤项目数-B-a-③消耗明细表'!$C:$C,'⑤项目数-B-a-③消耗明细表'!G:G,0)</f>
        <v>50</v>
      </c>
    </row>
    <row r="93" spans="1:14" x14ac:dyDescent="0.15">
      <c r="A93" s="52" t="str">
        <v>犀浦</v>
      </c>
      <c r="B93" s="52" t="str">
        <v>健康师</v>
      </c>
      <c r="C93" s="52" t="str">
        <v>A</v>
      </c>
      <c r="D93" s="52" t="str">
        <v>刘婵琴</v>
      </c>
      <c r="E93" s="52" t="str">
        <f>_xlfn.XLOOKUP(D93,期初设置!E:E,期初设置!F:F,0)</f>
        <v>犀浦+旗胜队</v>
      </c>
      <c r="F93" s="52" t="str">
        <f>_xlfn.XLOOKUP(D93,期初设置!E:E,期初设置!D:D,0)</f>
        <v>顾问</v>
      </c>
      <c r="G93" s="53">
        <f>_xlfn.XLOOKUP(D93,'④考勤-B-a-26考勤汇总表'!D:D,'④考勤-B-a-26考勤汇总表'!AP:AP,0)</f>
        <v>31</v>
      </c>
      <c r="H93" s="141">
        <f>_xlfn.XLOOKUP(D93,'个人业绩-B-a-②呈现-业绩明细表'!$C:$C,'个人业绩-B-a-②呈现-业绩明细表'!D:D,0)</f>
        <v>26514.75</v>
      </c>
      <c r="I93" s="141">
        <f>_xlfn.XLOOKUP(D93,'个人业绩-B-a-②呈现-业绩明细表'!$C:$C,'个人业绩-B-a-②呈现-业绩明细表'!$E:$E,0)</f>
        <v>26514.75</v>
      </c>
      <c r="J93" s="141">
        <f>_xlfn.XLOOKUP(D93,'个人业绩-B-a-②呈现-业绩明细表'!$C:$C,'个人业绩-B-a-②呈现-业绩明细表'!$F:$F,0)</f>
        <v>0</v>
      </c>
      <c r="K93" s="53">
        <f>SUMIFS('⑦扣除明细-B-a-12-奖励统计表③'!G:G,'⑦扣除明细-B-a-12-奖励统计表③'!D:D,D93)</f>
        <v>0</v>
      </c>
      <c r="L93" s="53">
        <f>_xlfn.XLOOKUP(D93,'⑤项目数-B-a-③消耗明细表'!C:C,'⑤项目数-B-a-③消耗明细表'!E:E,0)</f>
        <v>16872.439999999999</v>
      </c>
      <c r="M93" s="153">
        <f>_xlfn.XLOOKUP(D93,'⑤项目数-B-a-③消耗明细表'!$C:$C,'⑤项目数-B-a-③消耗明细表'!F:F,0)</f>
        <v>1489</v>
      </c>
      <c r="N93" s="53">
        <f>_xlfn.XLOOKUP(D93,'⑤项目数-B-a-③消耗明细表'!$C:$C,'⑤项目数-B-a-③消耗明细表'!G:G,0)</f>
        <v>95</v>
      </c>
    </row>
    <row r="94" spans="1:14" x14ac:dyDescent="0.15">
      <c r="A94" s="52" t="str">
        <v>犀浦</v>
      </c>
      <c r="B94" s="52" t="str">
        <v>健康师</v>
      </c>
      <c r="C94" s="52" t="str">
        <v>A</v>
      </c>
      <c r="D94" s="52" t="str">
        <v>泽仁拉姆</v>
      </c>
      <c r="E94" s="52" t="str">
        <f>_xlfn.XLOOKUP(D94,期初设置!E:E,期初设置!F:F,0)</f>
        <v>犀浦+战胜队</v>
      </c>
      <c r="F94" s="52" t="str">
        <f>_xlfn.XLOOKUP(D94,期初设置!E:E,期初设置!D:D,0)</f>
        <v>健康师</v>
      </c>
      <c r="G94" s="53">
        <f>_xlfn.XLOOKUP(D94,'④考勤-B-a-26考勤汇总表'!D:D,'④考勤-B-a-26考勤汇总表'!AP:AP,0)</f>
        <v>31</v>
      </c>
      <c r="H94" s="141">
        <f>_xlfn.XLOOKUP(D94,'个人业绩-B-a-②呈现-业绩明细表'!$C:$C,'个人业绩-B-a-②呈现-业绩明细表'!D:D,0)</f>
        <v>7483</v>
      </c>
      <c r="I94" s="141">
        <f>_xlfn.XLOOKUP(D94,'个人业绩-B-a-②呈现-业绩明细表'!$C:$C,'个人业绩-B-a-②呈现-业绩明细表'!$E:$E,0)</f>
        <v>7483</v>
      </c>
      <c r="J94" s="141">
        <f>_xlfn.XLOOKUP(D94,'个人业绩-B-a-②呈现-业绩明细表'!$C:$C,'个人业绩-B-a-②呈现-业绩明细表'!$F:$F,0)</f>
        <v>0</v>
      </c>
      <c r="K94" s="53">
        <f>SUMIFS('⑦扣除明细-B-a-12-奖励统计表③'!G:G,'⑦扣除明细-B-a-12-奖励统计表③'!D:D,D94)</f>
        <v>0</v>
      </c>
      <c r="L94" s="53">
        <f>_xlfn.XLOOKUP(D94,'⑤项目数-B-a-③消耗明细表'!C:C,'⑤项目数-B-a-③消耗明细表'!E:E,0)</f>
        <v>15050.06</v>
      </c>
      <c r="M94" s="153">
        <f>_xlfn.XLOOKUP(D94,'⑤项目数-B-a-③消耗明细表'!$C:$C,'⑤项目数-B-a-③消耗明细表'!F:F,0)</f>
        <v>1422</v>
      </c>
      <c r="N94" s="53">
        <f>_xlfn.XLOOKUP(D94,'⑤项目数-B-a-③消耗明细表'!$C:$C,'⑤项目数-B-a-③消耗明细表'!G:G,0)</f>
        <v>90</v>
      </c>
    </row>
    <row r="95" spans="1:14" x14ac:dyDescent="0.15">
      <c r="A95" s="52" t="str">
        <v>犀浦</v>
      </c>
      <c r="B95" s="52" t="str">
        <v>健康师</v>
      </c>
      <c r="C95" s="52" t="str">
        <v>A</v>
      </c>
      <c r="D95" s="52" t="str">
        <v>舒阳</v>
      </c>
      <c r="E95" s="52" t="str">
        <f>_xlfn.XLOOKUP(D95,期初设置!E:E,期初设置!F:F,0)</f>
        <v>犀浦+战胜队</v>
      </c>
      <c r="F95" s="52" t="str">
        <f>_xlfn.XLOOKUP(D95,期初设置!E:E,期初设置!D:D,0)</f>
        <v>健康师</v>
      </c>
      <c r="G95" s="53">
        <f>_xlfn.XLOOKUP(D95,'④考勤-B-a-26考勤汇总表'!D:D,'④考勤-B-a-26考勤汇总表'!AP:AP,0)</f>
        <v>31</v>
      </c>
      <c r="H95" s="141">
        <f>_xlfn.XLOOKUP(D95,'个人业绩-B-a-②呈现-业绩明细表'!$C:$C,'个人业绩-B-a-②呈现-业绩明细表'!D:D,0)</f>
        <v>3144</v>
      </c>
      <c r="I95" s="141">
        <f>_xlfn.XLOOKUP(D95,'个人业绩-B-a-②呈现-业绩明细表'!$C:$C,'个人业绩-B-a-②呈现-业绩明细表'!$E:$E,0)</f>
        <v>3144</v>
      </c>
      <c r="J95" s="141">
        <f>_xlfn.XLOOKUP(D95,'个人业绩-B-a-②呈现-业绩明细表'!$C:$C,'个人业绩-B-a-②呈现-业绩明细表'!$F:$F,0)</f>
        <v>0</v>
      </c>
      <c r="K95" s="53">
        <f>SUMIFS('⑦扣除明细-B-a-12-奖励统计表③'!G:G,'⑦扣除明细-B-a-12-奖励统计表③'!D:D,D95)</f>
        <v>0</v>
      </c>
      <c r="L95" s="53">
        <f>_xlfn.XLOOKUP(D95,'⑤项目数-B-a-③消耗明细表'!C:C,'⑤项目数-B-a-③消耗明细表'!E:E,0)</f>
        <v>7445.38</v>
      </c>
      <c r="M95" s="153">
        <f>_xlfn.XLOOKUP(D95,'⑤项目数-B-a-③消耗明细表'!$C:$C,'⑤项目数-B-a-③消耗明细表'!F:F,0)</f>
        <v>1252</v>
      </c>
      <c r="N95" s="53">
        <f>_xlfn.XLOOKUP(D95,'⑤项目数-B-a-③消耗明细表'!$C:$C,'⑤项目数-B-a-③消耗明细表'!G:G,0)</f>
        <v>0</v>
      </c>
    </row>
    <row r="96" spans="1:14" x14ac:dyDescent="0.15">
      <c r="A96" s="52" t="str">
        <v>千禧</v>
      </c>
      <c r="B96" s="52" t="str">
        <v>健康师</v>
      </c>
      <c r="C96" s="52" t="str">
        <v>A</v>
      </c>
      <c r="D96" s="52" t="str">
        <v>张廷妍</v>
      </c>
      <c r="E96" s="52" t="str">
        <f>_xlfn.XLOOKUP(D96,期初设置!E:E,期初设置!F:F,0)</f>
        <v>千禧+深藏不露队</v>
      </c>
      <c r="F96" s="52" t="str">
        <f>_xlfn.XLOOKUP(D96,期初设置!E:E,期初设置!D:D,0)</f>
        <v>顾问</v>
      </c>
      <c r="G96" s="53">
        <f>_xlfn.XLOOKUP(D96,'④考勤-B-a-26考勤汇总表'!D:D,'④考勤-B-a-26考勤汇总表'!AP:AP,0)</f>
        <v>31</v>
      </c>
      <c r="H96" s="141">
        <f>_xlfn.XLOOKUP(D96,'个人业绩-B-a-②呈现-业绩明细表'!$C:$C,'个人业绩-B-a-②呈现-业绩明细表'!D:D,0)</f>
        <v>47556.4</v>
      </c>
      <c r="I96" s="141">
        <f>_xlfn.XLOOKUP(D96,'个人业绩-B-a-②呈现-业绩明细表'!$C:$C,'个人业绩-B-a-②呈现-业绩明细表'!$E:$E,0)</f>
        <v>47556.4</v>
      </c>
      <c r="J96" s="141">
        <f>_xlfn.XLOOKUP(D96,'个人业绩-B-a-②呈现-业绩明细表'!$C:$C,'个人业绩-B-a-②呈现-业绩明细表'!$F:$F,0)</f>
        <v>0</v>
      </c>
      <c r="K96" s="53">
        <f>SUMIFS('⑦扣除明细-B-a-12-奖励统计表③'!G:G,'⑦扣除明细-B-a-12-奖励统计表③'!D:D,D96)</f>
        <v>0</v>
      </c>
      <c r="L96" s="53">
        <f>_xlfn.XLOOKUP(D96,'⑤项目数-B-a-③消耗明细表'!C:C,'⑤项目数-B-a-③消耗明细表'!E:E,0)</f>
        <v>23569.279999999999</v>
      </c>
      <c r="M96" s="153">
        <f>_xlfn.XLOOKUP(D96,'⑤项目数-B-a-③消耗明细表'!$C:$C,'⑤项目数-B-a-③消耗明细表'!F:F,0)</f>
        <v>1480</v>
      </c>
      <c r="N96" s="53">
        <f>_xlfn.XLOOKUP(D96,'⑤项目数-B-a-③消耗明细表'!$C:$C,'⑤项目数-B-a-③消耗明细表'!G:G,0)</f>
        <v>175</v>
      </c>
    </row>
    <row r="97" spans="1:14" x14ac:dyDescent="0.15">
      <c r="A97" s="52" t="str">
        <v>千禧</v>
      </c>
      <c r="B97" s="52" t="str">
        <v>健康师</v>
      </c>
      <c r="C97" s="52" t="str">
        <v>A</v>
      </c>
      <c r="D97" s="52" t="str">
        <v>杜兰兰</v>
      </c>
      <c r="E97" s="52" t="str">
        <f>_xlfn.XLOOKUP(D97,期初设置!E:E,期初设置!F:F,0)</f>
        <v>千禧+无敌队</v>
      </c>
      <c r="F97" s="52" t="str">
        <f>_xlfn.XLOOKUP(D97,期初设置!E:E,期初设置!D:D,0)</f>
        <v>顾问</v>
      </c>
      <c r="G97" s="53">
        <f>_xlfn.XLOOKUP(D97,'④考勤-B-a-26考勤汇总表'!D:D,'④考勤-B-a-26考勤汇总表'!AP:AP,0)</f>
        <v>31</v>
      </c>
      <c r="H97" s="141">
        <f>_xlfn.XLOOKUP(D97,'个人业绩-B-a-②呈现-业绩明细表'!$C:$C,'个人业绩-B-a-②呈现-业绩明细表'!D:D,0)</f>
        <v>61643</v>
      </c>
      <c r="I97" s="141">
        <f>_xlfn.XLOOKUP(D97,'个人业绩-B-a-②呈现-业绩明细表'!$C:$C,'个人业绩-B-a-②呈现-业绩明细表'!$E:$E,0)</f>
        <v>68765</v>
      </c>
      <c r="J97" s="141">
        <f>_xlfn.XLOOKUP(D97,'个人业绩-B-a-②呈现-业绩明细表'!$C:$C,'个人业绩-B-a-②呈现-业绩明细表'!$F:$F,0)</f>
        <v>-8010</v>
      </c>
      <c r="K97" s="53">
        <f>SUMIFS('⑦扣除明细-B-a-12-奖励统计表③'!G:G,'⑦扣除明细-B-a-12-奖励统计表③'!D:D,D97)</f>
        <v>888</v>
      </c>
      <c r="L97" s="53">
        <f>_xlfn.XLOOKUP(D97,'⑤项目数-B-a-③消耗明细表'!C:C,'⑤项目数-B-a-③消耗明细表'!E:E,0)</f>
        <v>67533.37</v>
      </c>
      <c r="M97" s="153">
        <f>_xlfn.XLOOKUP(D97,'⑤项目数-B-a-③消耗明细表'!$C:$C,'⑤项目数-B-a-③消耗明细表'!F:F,0)</f>
        <v>1237</v>
      </c>
      <c r="N97" s="53">
        <f>_xlfn.XLOOKUP(D97,'⑤项目数-B-a-③消耗明细表'!$C:$C,'⑤项目数-B-a-③消耗明细表'!G:G,0)</f>
        <v>135</v>
      </c>
    </row>
    <row r="98" spans="1:14" x14ac:dyDescent="0.15">
      <c r="A98" s="52" t="str">
        <v>千禧</v>
      </c>
      <c r="B98" s="52" t="str">
        <v>健康师</v>
      </c>
      <c r="C98" s="52" t="str">
        <v>A</v>
      </c>
      <c r="D98" s="52" t="str">
        <v>王显珍</v>
      </c>
      <c r="E98" s="52" t="str">
        <f>_xlfn.XLOOKUP(D98,期初设置!E:E,期初设置!F:F,0)</f>
        <v>千禧+深藏不露队</v>
      </c>
      <c r="F98" s="52" t="str">
        <f>_xlfn.XLOOKUP(D98,期初设置!E:E,期初设置!D:D,0)</f>
        <v>健康师</v>
      </c>
      <c r="G98" s="53">
        <f>_xlfn.XLOOKUP(D98,'④考勤-B-a-26考勤汇总表'!D:D,'④考勤-B-a-26考勤汇总表'!AP:AP,0)</f>
        <v>31</v>
      </c>
      <c r="H98" s="141">
        <f>_xlfn.XLOOKUP(D98,'个人业绩-B-a-②呈现-业绩明细表'!$C:$C,'个人业绩-B-a-②呈现-业绩明细表'!D:D,0)</f>
        <v>14306.400000000001</v>
      </c>
      <c r="I98" s="141">
        <f>_xlfn.XLOOKUP(D98,'个人业绩-B-a-②呈现-业绩明细表'!$C:$C,'个人业绩-B-a-②呈现-业绩明细表'!$E:$E,0)</f>
        <v>20045.400000000001</v>
      </c>
      <c r="J98" s="141">
        <f>_xlfn.XLOOKUP(D98,'个人业绩-B-a-②呈现-业绩明细表'!$C:$C,'个人业绩-B-a-②呈现-业绩明细表'!$F:$F,0)</f>
        <v>-5739</v>
      </c>
      <c r="K98" s="53">
        <f>SUMIFS('⑦扣除明细-B-a-12-奖励统计表③'!G:G,'⑦扣除明细-B-a-12-奖励统计表③'!D:D,D98)</f>
        <v>0</v>
      </c>
      <c r="L98" s="53">
        <f>_xlfn.XLOOKUP(D98,'⑤项目数-B-a-③消耗明细表'!C:C,'⑤项目数-B-a-③消耗明细表'!E:E,0)</f>
        <v>8434.52</v>
      </c>
      <c r="M98" s="153">
        <f>_xlfn.XLOOKUP(D98,'⑤项目数-B-a-③消耗明细表'!$C:$C,'⑤项目数-B-a-③消耗明细表'!F:F,0)</f>
        <v>1161</v>
      </c>
      <c r="N98" s="53">
        <f>_xlfn.XLOOKUP(D98,'⑤项目数-B-a-③消耗明细表'!$C:$C,'⑤项目数-B-a-③消耗明细表'!G:G,0)</f>
        <v>0</v>
      </c>
    </row>
    <row r="99" spans="1:14" x14ac:dyDescent="0.15">
      <c r="A99" s="52" t="str">
        <v>千禧</v>
      </c>
      <c r="B99" s="52" t="str">
        <v>健康师</v>
      </c>
      <c r="C99" s="52" t="str">
        <v>A</v>
      </c>
      <c r="D99" s="52" t="str">
        <v>马冬梅</v>
      </c>
      <c r="E99" s="52" t="str">
        <f>_xlfn.XLOOKUP(D99,期初设置!E:E,期初设置!F:F,0)</f>
        <v>千禧+无敌队</v>
      </c>
      <c r="F99" s="52" t="str">
        <f>_xlfn.XLOOKUP(D99,期初设置!E:E,期初设置!D:D,0)</f>
        <v>健康师</v>
      </c>
      <c r="G99" s="53">
        <f>_xlfn.XLOOKUP(D99,'④考勤-B-a-26考勤汇总表'!D:D,'④考勤-B-a-26考勤汇总表'!AP:AP,0)</f>
        <v>31</v>
      </c>
      <c r="H99" s="141">
        <f>_xlfn.XLOOKUP(D99,'个人业绩-B-a-②呈现-业绩明细表'!$C:$C,'个人业绩-B-a-②呈现-业绩明细表'!D:D,0)</f>
        <v>6959.2</v>
      </c>
      <c r="I99" s="141">
        <f>_xlfn.XLOOKUP(D99,'个人业绩-B-a-②呈现-业绩明细表'!$C:$C,'个人业绩-B-a-②呈现-业绩明细表'!$E:$E,0)</f>
        <v>6959.2</v>
      </c>
      <c r="J99" s="141">
        <f>_xlfn.XLOOKUP(D99,'个人业绩-B-a-②呈现-业绩明细表'!$C:$C,'个人业绩-B-a-②呈现-业绩明细表'!$F:$F,0)</f>
        <v>0</v>
      </c>
      <c r="K99" s="53">
        <f>SUMIFS('⑦扣除明细-B-a-12-奖励统计表③'!G:G,'⑦扣除明细-B-a-12-奖励统计表③'!D:D,D99)</f>
        <v>0</v>
      </c>
      <c r="L99" s="53">
        <f>_xlfn.XLOOKUP(D99,'⑤项目数-B-a-③消耗明细表'!C:C,'⑤项目数-B-a-③消耗明细表'!E:E,0)</f>
        <v>5771.98</v>
      </c>
      <c r="M99" s="153">
        <f>_xlfn.XLOOKUP(D99,'⑤项目数-B-a-③消耗明细表'!$C:$C,'⑤项目数-B-a-③消耗明细表'!F:F,0)</f>
        <v>1129</v>
      </c>
      <c r="N99" s="53">
        <f>_xlfn.XLOOKUP(D99,'⑤项目数-B-a-③消耗明细表'!$C:$C,'⑤项目数-B-a-③消耗明细表'!G:G,0)</f>
        <v>0</v>
      </c>
    </row>
    <row r="100" spans="1:14" x14ac:dyDescent="0.15">
      <c r="A100" s="52" t="str">
        <v>千禧</v>
      </c>
      <c r="B100" s="52" t="str">
        <v>健康师</v>
      </c>
      <c r="C100" s="52" t="str">
        <v>A</v>
      </c>
      <c r="D100" s="52" t="str">
        <v>彭莉群</v>
      </c>
      <c r="E100" s="52" t="str">
        <f>_xlfn.XLOOKUP(D100,期初设置!E:E,期初设置!F:F,0)</f>
        <v>千禧+无敌队</v>
      </c>
      <c r="F100" s="52" t="str">
        <f>_xlfn.XLOOKUP(D100,期初设置!E:E,期初设置!D:D,0)</f>
        <v>健康师</v>
      </c>
      <c r="G100" s="53">
        <f>_xlfn.XLOOKUP(D100,'④考勤-B-a-26考勤汇总表'!D:D,'④考勤-B-a-26考勤汇总表'!AP:AP,0)</f>
        <v>31</v>
      </c>
      <c r="H100" s="141">
        <f>_xlfn.XLOOKUP(D100,'个人业绩-B-a-②呈现-业绩明细表'!$C:$C,'个人业绩-B-a-②呈现-业绩明细表'!D:D,0)</f>
        <v>3614</v>
      </c>
      <c r="I100" s="141">
        <f>_xlfn.XLOOKUP(D100,'个人业绩-B-a-②呈现-业绩明细表'!$C:$C,'个人业绩-B-a-②呈现-业绩明细表'!$E:$E,0)</f>
        <v>3614</v>
      </c>
      <c r="J100" s="141">
        <f>_xlfn.XLOOKUP(D100,'个人业绩-B-a-②呈现-业绩明细表'!$C:$C,'个人业绩-B-a-②呈现-业绩明细表'!$F:$F,0)</f>
        <v>0</v>
      </c>
      <c r="K100" s="53">
        <f>SUMIFS('⑦扣除明细-B-a-12-奖励统计表③'!G:G,'⑦扣除明细-B-a-12-奖励统计表③'!D:D,D100)</f>
        <v>0</v>
      </c>
      <c r="L100" s="53">
        <f>_xlfn.XLOOKUP(D100,'⑤项目数-B-a-③消耗明细表'!C:C,'⑤项目数-B-a-③消耗明细表'!E:E,0)</f>
        <v>4789.33</v>
      </c>
      <c r="M100" s="153">
        <f>_xlfn.XLOOKUP(D100,'⑤项目数-B-a-③消耗明细表'!$C:$C,'⑤项目数-B-a-③消耗明细表'!F:F,0)</f>
        <v>952</v>
      </c>
      <c r="N100" s="53">
        <f>_xlfn.XLOOKUP(D100,'⑤项目数-B-a-③消耗明细表'!$C:$C,'⑤项目数-B-a-③消耗明细表'!G:G,0)</f>
        <v>0</v>
      </c>
    </row>
    <row r="101" spans="1:14" x14ac:dyDescent="0.15">
      <c r="A101" s="52" t="str">
        <v>亚洲湾</v>
      </c>
      <c r="B101" s="52" t="str">
        <v>健康师</v>
      </c>
      <c r="C101" s="52" t="str">
        <v>A</v>
      </c>
      <c r="D101" s="52" t="str">
        <v>刘霞</v>
      </c>
      <c r="E101" s="52" t="str">
        <f>_xlfn.XLOOKUP(D101,期初设置!E:E,期初设置!F:F,0)</f>
        <v>亚洲湾+钱进队</v>
      </c>
      <c r="F101" s="52" t="str">
        <f>_xlfn.XLOOKUP(D101,期初设置!E:E,期初设置!D:D,0)</f>
        <v>顾问</v>
      </c>
      <c r="G101" s="53">
        <f>_xlfn.XLOOKUP(D101,'④考勤-B-a-26考勤汇总表'!D:D,'④考勤-B-a-26考勤汇总表'!AP:AP,0)</f>
        <v>31</v>
      </c>
      <c r="H101" s="141">
        <f>_xlfn.XLOOKUP(D101,'个人业绩-B-a-②呈现-业绩明细表'!$C:$C,'个人业绩-B-a-②呈现-业绩明细表'!D:D,0)</f>
        <v>17665.8</v>
      </c>
      <c r="I101" s="141">
        <f>_xlfn.XLOOKUP(D101,'个人业绩-B-a-②呈现-业绩明细表'!$C:$C,'个人业绩-B-a-②呈现-业绩明细表'!$E:$E,0)</f>
        <v>14865.8</v>
      </c>
      <c r="J101" s="141">
        <f>_xlfn.XLOOKUP(D101,'个人业绩-B-a-②呈现-业绩明细表'!$C:$C,'个人业绩-B-a-②呈现-业绩明细表'!$F:$F,0)</f>
        <v>2800</v>
      </c>
      <c r="K101" s="53">
        <f>SUMIFS('⑦扣除明细-B-a-12-奖励统计表③'!G:G,'⑦扣除明细-B-a-12-奖励统计表③'!D:D,D101)</f>
        <v>0</v>
      </c>
      <c r="L101" s="53">
        <f>_xlfn.XLOOKUP(D101,'⑤项目数-B-a-③消耗明细表'!C:C,'⑤项目数-B-a-③消耗明细表'!E:E,0)</f>
        <v>12053.89</v>
      </c>
      <c r="M101" s="153">
        <f>_xlfn.XLOOKUP(D101,'⑤项目数-B-a-③消耗明细表'!$C:$C,'⑤项目数-B-a-③消耗明细表'!F:F,0)</f>
        <v>819</v>
      </c>
      <c r="N101" s="53">
        <f>_xlfn.XLOOKUP(D101,'⑤项目数-B-a-③消耗明细表'!$C:$C,'⑤项目数-B-a-③消耗明细表'!G:G,0)</f>
        <v>0</v>
      </c>
    </row>
    <row r="102" spans="1:14" x14ac:dyDescent="0.15">
      <c r="A102" s="52" t="str">
        <v>亚洲湾</v>
      </c>
      <c r="B102" s="52" t="str">
        <v>健康师</v>
      </c>
      <c r="C102" s="52" t="str">
        <v>A</v>
      </c>
      <c r="D102" s="52" t="str">
        <v>李科</v>
      </c>
      <c r="E102" s="52" t="str">
        <f>_xlfn.XLOOKUP(D102,期初设置!E:E,期初设置!F:F,0)</f>
        <v>亚洲湾+龙腾队</v>
      </c>
      <c r="F102" s="52" t="str">
        <f>_xlfn.XLOOKUP(D102,期初设置!E:E,期初设置!D:D,0)</f>
        <v>顾问</v>
      </c>
      <c r="G102" s="53">
        <f>_xlfn.XLOOKUP(D102,'④考勤-B-a-26考勤汇总表'!D:D,'④考勤-B-a-26考勤汇总表'!AP:AP,0)</f>
        <v>31</v>
      </c>
      <c r="H102" s="141">
        <f>_xlfn.XLOOKUP(D102,'个人业绩-B-a-②呈现-业绩明细表'!$C:$C,'个人业绩-B-a-②呈现-业绩明细表'!D:D,0)</f>
        <v>51450</v>
      </c>
      <c r="I102" s="141">
        <f>_xlfn.XLOOKUP(D102,'个人业绩-B-a-②呈现-业绩明细表'!$C:$C,'个人业绩-B-a-②呈现-业绩明细表'!$E:$E,0)</f>
        <v>41778</v>
      </c>
      <c r="J102" s="141">
        <f>_xlfn.XLOOKUP(D102,'个人业绩-B-a-②呈现-业绩明细表'!$C:$C,'个人业绩-B-a-②呈现-业绩明细表'!$F:$F,0)</f>
        <v>9672</v>
      </c>
      <c r="K102" s="53">
        <f>SUMIFS('⑦扣除明细-B-a-12-奖励统计表③'!G:G,'⑦扣除明细-B-a-12-奖励统计表③'!D:D,D102)</f>
        <v>0</v>
      </c>
      <c r="L102" s="53">
        <f>_xlfn.XLOOKUP(D102,'⑤项目数-B-a-③消耗明细表'!C:C,'⑤项目数-B-a-③消耗明细表'!E:E,0)</f>
        <v>17541.330000000002</v>
      </c>
      <c r="M102" s="153">
        <f>_xlfn.XLOOKUP(D102,'⑤项目数-B-a-③消耗明细表'!$C:$C,'⑤项目数-B-a-③消耗明细表'!F:F,0)</f>
        <v>1707</v>
      </c>
      <c r="N102" s="53">
        <f>_xlfn.XLOOKUP(D102,'⑤项目数-B-a-③消耗明细表'!$C:$C,'⑤项目数-B-a-③消耗明细表'!G:G,0)</f>
        <v>240</v>
      </c>
    </row>
    <row r="103" spans="1:14" x14ac:dyDescent="0.15">
      <c r="A103" s="52" t="str">
        <v>亚洲湾</v>
      </c>
      <c r="B103" s="52" t="str">
        <v>健康师</v>
      </c>
      <c r="C103" s="52" t="str">
        <v>A</v>
      </c>
      <c r="D103" s="52" t="str">
        <v>石海力</v>
      </c>
      <c r="E103" s="52" t="str">
        <f>_xlfn.XLOOKUP(D103,期初设置!E:E,期初设置!F:F,0)</f>
        <v>亚洲湾+钱进队</v>
      </c>
      <c r="F103" s="52" t="str">
        <f>_xlfn.XLOOKUP(D103,期初设置!E:E,期初设置!D:D,0)</f>
        <v>健康师</v>
      </c>
      <c r="G103" s="53">
        <f>_xlfn.XLOOKUP(D103,'④考勤-B-a-26考勤汇总表'!D:D,'④考勤-B-a-26考勤汇总表'!AP:AP,0)</f>
        <v>31</v>
      </c>
      <c r="H103" s="141">
        <f>_xlfn.XLOOKUP(D103,'个人业绩-B-a-②呈现-业绩明细表'!$C:$C,'个人业绩-B-a-②呈现-业绩明细表'!D:D,0)</f>
        <v>14795.7</v>
      </c>
      <c r="I103" s="141">
        <f>_xlfn.XLOOKUP(D103,'个人业绩-B-a-②呈现-业绩明细表'!$C:$C,'个人业绩-B-a-②呈现-业绩明细表'!$E:$E,0)</f>
        <v>6435.7</v>
      </c>
      <c r="J103" s="141">
        <f>_xlfn.XLOOKUP(D103,'个人业绩-B-a-②呈现-业绩明细表'!$C:$C,'个人业绩-B-a-②呈现-业绩明细表'!$F:$F,0)</f>
        <v>7360</v>
      </c>
      <c r="K103" s="53">
        <f>SUMIFS('⑦扣除明细-B-a-12-奖励统计表③'!G:G,'⑦扣除明细-B-a-12-奖励统计表③'!D:D,D103)</f>
        <v>1000</v>
      </c>
      <c r="L103" s="53">
        <f>_xlfn.XLOOKUP(D103,'⑤项目数-B-a-③消耗明细表'!C:C,'⑤项目数-B-a-③消耗明细表'!E:E,0)</f>
        <v>13323.72</v>
      </c>
      <c r="M103" s="153">
        <f>_xlfn.XLOOKUP(D103,'⑤项目数-B-a-③消耗明细表'!$C:$C,'⑤项目数-B-a-③消耗明细表'!F:F,0)</f>
        <v>1155</v>
      </c>
      <c r="N103" s="53">
        <f>_xlfn.XLOOKUP(D103,'⑤项目数-B-a-③消耗明细表'!$C:$C,'⑤项目数-B-a-③消耗明细表'!G:G,0)</f>
        <v>45</v>
      </c>
    </row>
    <row r="104" spans="1:14" x14ac:dyDescent="0.15">
      <c r="A104" s="52" t="str">
        <v>亚洲湾</v>
      </c>
      <c r="B104" s="52" t="str">
        <v>健康师</v>
      </c>
      <c r="C104" s="52" t="str">
        <v>A</v>
      </c>
      <c r="D104" s="52" t="str">
        <v>付薪燕</v>
      </c>
      <c r="E104" s="52" t="str">
        <f>_xlfn.XLOOKUP(D104,期初设置!E:E,期初设置!F:F,0)</f>
        <v>亚洲湾+龙腾队</v>
      </c>
      <c r="F104" s="52" t="str">
        <f>_xlfn.XLOOKUP(D104,期初设置!E:E,期初设置!D:D,0)</f>
        <v>健康师</v>
      </c>
      <c r="G104" s="53">
        <f>_xlfn.XLOOKUP(D104,'④考勤-B-a-26考勤汇总表'!D:D,'④考勤-B-a-26考勤汇总表'!AP:AP,0)</f>
        <v>31</v>
      </c>
      <c r="H104" s="141">
        <f>_xlfn.XLOOKUP(D104,'个人业绩-B-a-②呈现-业绩明细表'!$C:$C,'个人业绩-B-a-②呈现-业绩明细表'!D:D,0)</f>
        <v>17231.2</v>
      </c>
      <c r="I104" s="141">
        <f>_xlfn.XLOOKUP(D104,'个人业绩-B-a-②呈现-业绩明细表'!$C:$C,'个人业绩-B-a-②呈现-业绩明细表'!$E:$E,0)</f>
        <v>16043.2</v>
      </c>
      <c r="J104" s="141">
        <f>_xlfn.XLOOKUP(D104,'个人业绩-B-a-②呈现-业绩明细表'!$C:$C,'个人业绩-B-a-②呈现-业绩明细表'!$F:$F,0)</f>
        <v>1188</v>
      </c>
      <c r="K104" s="53">
        <f>SUMIFS('⑦扣除明细-B-a-12-奖励统计表③'!G:G,'⑦扣除明细-B-a-12-奖励统计表③'!D:D,D104)</f>
        <v>0</v>
      </c>
      <c r="L104" s="53">
        <f>_xlfn.XLOOKUP(D104,'⑤项目数-B-a-③消耗明细表'!C:C,'⑤项目数-B-a-③消耗明细表'!E:E,0)</f>
        <v>8021.09</v>
      </c>
      <c r="M104" s="153">
        <f>_xlfn.XLOOKUP(D104,'⑤项目数-B-a-③消耗明细表'!$C:$C,'⑤项目数-B-a-③消耗明细表'!F:F,0)</f>
        <v>1344</v>
      </c>
      <c r="N104" s="53">
        <f>_xlfn.XLOOKUP(D104,'⑤项目数-B-a-③消耗明细表'!$C:$C,'⑤项目数-B-a-③消耗明细表'!G:G,0)</f>
        <v>0</v>
      </c>
    </row>
    <row r="105" spans="1:14" x14ac:dyDescent="0.15">
      <c r="A105" s="52" t="str">
        <v>亚洲湾</v>
      </c>
      <c r="B105" s="52" t="str">
        <v>健康师</v>
      </c>
      <c r="C105" s="52" t="str">
        <v>A</v>
      </c>
      <c r="D105" s="52" t="str">
        <v>陈定坤</v>
      </c>
      <c r="E105" s="52" t="str">
        <f>_xlfn.XLOOKUP(D105,期初设置!E:E,期初设置!F:F,0)</f>
        <v>亚洲湾+钱进队</v>
      </c>
      <c r="F105" s="52" t="str">
        <f>_xlfn.XLOOKUP(D105,期初设置!E:E,期初设置!D:D,0)</f>
        <v>健康师</v>
      </c>
      <c r="G105" s="53">
        <f>_xlfn.XLOOKUP(D105,'④考勤-B-a-26考勤汇总表'!D:D,'④考勤-B-a-26考勤汇总表'!AP:AP,0)</f>
        <v>31</v>
      </c>
      <c r="H105" s="141">
        <f>_xlfn.XLOOKUP(D105,'个人业绩-B-a-②呈现-业绩明细表'!$C:$C,'个人业绩-B-a-②呈现-业绩明细表'!D:D,0)</f>
        <v>25092.6</v>
      </c>
      <c r="I105" s="141">
        <f>_xlfn.XLOOKUP(D105,'个人业绩-B-a-②呈现-业绩明细表'!$C:$C,'个人业绩-B-a-②呈现-业绩明细表'!$E:$E,0)</f>
        <v>10792.6</v>
      </c>
      <c r="J105" s="141">
        <f>_xlfn.XLOOKUP(D105,'个人业绩-B-a-②呈现-业绩明细表'!$C:$C,'个人业绩-B-a-②呈现-业绩明细表'!$F:$F,0)</f>
        <v>14300</v>
      </c>
      <c r="K105" s="53">
        <f>SUMIFS('⑦扣除明细-B-a-12-奖励统计表③'!G:G,'⑦扣除明细-B-a-12-奖励统计表③'!D:D,D105)</f>
        <v>0</v>
      </c>
      <c r="L105" s="53">
        <f>_xlfn.XLOOKUP(D105,'⑤项目数-B-a-③消耗明细表'!C:C,'⑤项目数-B-a-③消耗明细表'!E:E,0)</f>
        <v>5913.88</v>
      </c>
      <c r="M105" s="153">
        <f>_xlfn.XLOOKUP(D105,'⑤项目数-B-a-③消耗明细表'!$C:$C,'⑤项目数-B-a-③消耗明细表'!F:F,0)</f>
        <v>1110</v>
      </c>
      <c r="N105" s="53">
        <f>_xlfn.XLOOKUP(D105,'⑤项目数-B-a-③消耗明细表'!$C:$C,'⑤项目数-B-a-③消耗明细表'!G:G,0)</f>
        <v>5</v>
      </c>
    </row>
    <row r="106" spans="1:14" x14ac:dyDescent="0.15">
      <c r="A106" s="52" t="str">
        <v>中和</v>
      </c>
      <c r="B106" s="52" t="str">
        <v>健康师</v>
      </c>
      <c r="C106" s="52" t="str">
        <v>A</v>
      </c>
      <c r="D106" s="52" t="str">
        <v>唐尹</v>
      </c>
      <c r="E106" s="52" t="str">
        <f>_xlfn.XLOOKUP(D106,期初设置!E:E,期初设置!F:F,0)</f>
        <v>中和+无敌队</v>
      </c>
      <c r="F106" s="52" t="str">
        <f>_xlfn.XLOOKUP(D106,期初设置!E:E,期初设置!D:D,0)</f>
        <v>顾问</v>
      </c>
      <c r="G106" s="53">
        <f>_xlfn.XLOOKUP(D106,'④考勤-B-a-26考勤汇总表'!D:D,'④考勤-B-a-26考勤汇总表'!AP:AP,0)</f>
        <v>31</v>
      </c>
      <c r="H106" s="141">
        <f>_xlfn.XLOOKUP(D106,'个人业绩-B-a-②呈现-业绩明细表'!$C:$C,'个人业绩-B-a-②呈现-业绩明细表'!D:D,0)</f>
        <v>45903.8</v>
      </c>
      <c r="I106" s="141">
        <f>_xlfn.XLOOKUP(D106,'个人业绩-B-a-②呈现-业绩明细表'!$C:$C,'个人业绩-B-a-②呈现-业绩明细表'!$E:$E,0)</f>
        <v>31275.8</v>
      </c>
      <c r="J106" s="141">
        <f>_xlfn.XLOOKUP(D106,'个人业绩-B-a-②呈现-业绩明细表'!$C:$C,'个人业绩-B-a-②呈现-业绩明细表'!$F:$F,0)</f>
        <v>12852</v>
      </c>
      <c r="K106" s="53">
        <f>SUMIFS('⑦扣除明细-B-a-12-奖励统计表③'!G:G,'⑦扣除明细-B-a-12-奖励统计表③'!D:D,D106)</f>
        <v>1776</v>
      </c>
      <c r="L106" s="53">
        <f>_xlfn.XLOOKUP(D106,'⑤项目数-B-a-③消耗明细表'!C:C,'⑤项目数-B-a-③消耗明细表'!E:E,0)</f>
        <v>21255.46</v>
      </c>
      <c r="M106" s="153">
        <f>_xlfn.XLOOKUP(D106,'⑤项目数-B-a-③消耗明细表'!$C:$C,'⑤项目数-B-a-③消耗明细表'!F:F,0)</f>
        <v>1406</v>
      </c>
      <c r="N106" s="53">
        <f>_xlfn.XLOOKUP(D106,'⑤项目数-B-a-③消耗明细表'!$C:$C,'⑤项目数-B-a-③消耗明细表'!G:G,0)</f>
        <v>155</v>
      </c>
    </row>
    <row r="107" spans="1:14" x14ac:dyDescent="0.15">
      <c r="A107" s="52" t="str">
        <v>中和</v>
      </c>
      <c r="B107" s="52" t="str">
        <v>健康师</v>
      </c>
      <c r="C107" s="52" t="str">
        <v>A</v>
      </c>
      <c r="D107" s="52" t="str">
        <v>李红梅</v>
      </c>
      <c r="E107" s="52" t="str">
        <f>_xlfn.XLOOKUP(D107,期初设置!E:E,期初设置!F:F,0)</f>
        <v>中和+冠军队</v>
      </c>
      <c r="F107" s="52" t="str">
        <f>_xlfn.XLOOKUP(D107,期初设置!E:E,期初设置!D:D,0)</f>
        <v>顾问</v>
      </c>
      <c r="G107" s="53">
        <f>_xlfn.XLOOKUP(D107,'④考勤-B-a-26考勤汇总表'!D:D,'④考勤-B-a-26考勤汇总表'!AP:AP,0)</f>
        <v>31</v>
      </c>
      <c r="H107" s="141">
        <f>_xlfn.XLOOKUP(D107,'个人业绩-B-a-②呈现-业绩明细表'!$C:$C,'个人业绩-B-a-②呈现-业绩明细表'!D:D,0)</f>
        <v>60066.400000000001</v>
      </c>
      <c r="I107" s="141">
        <f>_xlfn.XLOOKUP(D107,'个人业绩-B-a-②呈现-业绩明细表'!$C:$C,'个人业绩-B-a-②呈现-业绩明细表'!$E:$E,0)</f>
        <v>55290.400000000001</v>
      </c>
      <c r="J107" s="141">
        <f>_xlfn.XLOOKUP(D107,'个人业绩-B-a-②呈现-业绩明细表'!$C:$C,'个人业绩-B-a-②呈现-业绩明细表'!$F:$F,0)</f>
        <v>4776</v>
      </c>
      <c r="K107" s="53">
        <f>SUMIFS('⑦扣除明细-B-a-12-奖励统计表③'!G:G,'⑦扣除明细-B-a-12-奖励统计表③'!D:D,D107)</f>
        <v>0</v>
      </c>
      <c r="L107" s="53">
        <f>_xlfn.XLOOKUP(D107,'⑤项目数-B-a-③消耗明细表'!C:C,'⑤项目数-B-a-③消耗明细表'!E:E,0)</f>
        <v>24816.880000000001</v>
      </c>
      <c r="M107" s="153">
        <f>_xlfn.XLOOKUP(D107,'⑤项目数-B-a-③消耗明细表'!$C:$C,'⑤项目数-B-a-③消耗明细表'!F:F,0)</f>
        <v>1594</v>
      </c>
      <c r="N107" s="53">
        <f>_xlfn.XLOOKUP(D107,'⑤项目数-B-a-③消耗明细表'!$C:$C,'⑤项目数-B-a-③消耗明细表'!G:G,0)</f>
        <v>220</v>
      </c>
    </row>
    <row r="108" spans="1:14" x14ac:dyDescent="0.15">
      <c r="A108" s="52" t="str">
        <v>中和</v>
      </c>
      <c r="B108" s="52" t="str">
        <v>健康师</v>
      </c>
      <c r="C108" s="52" t="str">
        <v>A</v>
      </c>
      <c r="D108" s="52" t="str">
        <v>龚艳</v>
      </c>
      <c r="E108" s="52" t="str">
        <f>_xlfn.XLOOKUP(D108,期初设置!E:E,期初设置!F:F,0)</f>
        <v>中和+冠军队</v>
      </c>
      <c r="F108" s="52" t="str">
        <f>_xlfn.XLOOKUP(D108,期初设置!E:E,期初设置!D:D,0)</f>
        <v>健康师</v>
      </c>
      <c r="G108" s="53">
        <f>_xlfn.XLOOKUP(D108,'④考勤-B-a-26考勤汇总表'!D:D,'④考勤-B-a-26考勤汇总表'!AP:AP,0)</f>
        <v>31</v>
      </c>
      <c r="H108" s="141">
        <f>_xlfn.XLOOKUP(D108,'个人业绩-B-a-②呈现-业绩明细表'!$C:$C,'个人业绩-B-a-②呈现-业绩明细表'!D:D,0)</f>
        <v>25588.6</v>
      </c>
      <c r="I108" s="141">
        <f>_xlfn.XLOOKUP(D108,'个人业绩-B-a-②呈现-业绩明细表'!$C:$C,'个人业绩-B-a-②呈现-业绩明细表'!$E:$E,0)</f>
        <v>24856.6</v>
      </c>
      <c r="J108" s="141">
        <f>_xlfn.XLOOKUP(D108,'个人业绩-B-a-②呈现-业绩明细表'!$C:$C,'个人业绩-B-a-②呈现-业绩明细表'!$F:$F,0)</f>
        <v>732</v>
      </c>
      <c r="K108" s="53">
        <f>SUMIFS('⑦扣除明细-B-a-12-奖励统计表③'!G:G,'⑦扣除明细-B-a-12-奖励统计表③'!D:D,D108)</f>
        <v>0</v>
      </c>
      <c r="L108" s="53">
        <f>_xlfn.XLOOKUP(D108,'⑤项目数-B-a-③消耗明细表'!C:C,'⑤项目数-B-a-③消耗明细表'!E:E,0)</f>
        <v>20075.759999999998</v>
      </c>
      <c r="M108" s="153">
        <f>_xlfn.XLOOKUP(D108,'⑤项目数-B-a-③消耗明细表'!$C:$C,'⑤项目数-B-a-③消耗明细表'!F:F,0)</f>
        <v>1546</v>
      </c>
      <c r="N108" s="53">
        <f>_xlfn.XLOOKUP(D108,'⑤项目数-B-a-③消耗明细表'!$C:$C,'⑤项目数-B-a-③消耗明细表'!G:G,0)</f>
        <v>120</v>
      </c>
    </row>
    <row r="109" spans="1:14" x14ac:dyDescent="0.15">
      <c r="A109" s="52" t="str">
        <v>中和</v>
      </c>
      <c r="B109" s="52" t="str">
        <v>健康师</v>
      </c>
      <c r="C109" s="52" t="str">
        <v>A</v>
      </c>
      <c r="D109" s="52" t="str">
        <v>余姣姣</v>
      </c>
      <c r="E109" s="52" t="str">
        <f>_xlfn.XLOOKUP(D109,期初设置!E:E,期初设置!F:F,0)</f>
        <v>中和+无敌队</v>
      </c>
      <c r="F109" s="52" t="str">
        <f>_xlfn.XLOOKUP(D109,期初设置!E:E,期初设置!D:D,0)</f>
        <v>健康师</v>
      </c>
      <c r="G109" s="53">
        <f>_xlfn.XLOOKUP(D109,'④考勤-B-a-26考勤汇总表'!D:D,'④考勤-B-a-26考勤汇总表'!AP:AP,0)</f>
        <v>31</v>
      </c>
      <c r="H109" s="141">
        <f>_xlfn.XLOOKUP(D109,'个人业绩-B-a-②呈现-业绩明细表'!$C:$C,'个人业绩-B-a-②呈现-业绩明细表'!D:D,0)</f>
        <v>16219.6</v>
      </c>
      <c r="I109" s="141">
        <f>_xlfn.XLOOKUP(D109,'个人业绩-B-a-②呈现-业绩明细表'!$C:$C,'个人业绩-B-a-②呈现-业绩明细表'!$E:$E,0)</f>
        <v>16219.6</v>
      </c>
      <c r="J109" s="141">
        <f>_xlfn.XLOOKUP(D109,'个人业绩-B-a-②呈现-业绩明细表'!$C:$C,'个人业绩-B-a-②呈现-业绩明细表'!$F:$F,0)</f>
        <v>0</v>
      </c>
      <c r="K109" s="53">
        <f>SUMIFS('⑦扣除明细-B-a-12-奖励统计表③'!G:G,'⑦扣除明细-B-a-12-奖励统计表③'!D:D,D109)</f>
        <v>0</v>
      </c>
      <c r="L109" s="53">
        <f>_xlfn.XLOOKUP(D109,'⑤项目数-B-a-③消耗明细表'!C:C,'⑤项目数-B-a-③消耗明细表'!E:E,0)</f>
        <v>11905.51</v>
      </c>
      <c r="M109" s="153">
        <f>_xlfn.XLOOKUP(D109,'⑤项目数-B-a-③消耗明细表'!$C:$C,'⑤项目数-B-a-③消耗明细表'!F:F,0)</f>
        <v>1339</v>
      </c>
      <c r="N109" s="53">
        <f>_xlfn.XLOOKUP(D109,'⑤项目数-B-a-③消耗明细表'!$C:$C,'⑤项目数-B-a-③消耗明细表'!G:G,0)</f>
        <v>90</v>
      </c>
    </row>
    <row r="110" spans="1:14" x14ac:dyDescent="0.15">
      <c r="A110" s="52" t="str">
        <v>中和</v>
      </c>
      <c r="B110" s="52" t="str">
        <v>健康师</v>
      </c>
      <c r="C110" s="52" t="str">
        <v>A</v>
      </c>
      <c r="D110" s="52" t="str">
        <v>叶朝春</v>
      </c>
      <c r="E110" s="52" t="str">
        <f>_xlfn.XLOOKUP(D110,期初设置!E:E,期初设置!F:F,0)</f>
        <v>中和+冠军队</v>
      </c>
      <c r="F110" s="52" t="str">
        <f>_xlfn.XLOOKUP(D110,期初设置!E:E,期初设置!D:D,0)</f>
        <v>健康师</v>
      </c>
      <c r="G110" s="53">
        <f>_xlfn.XLOOKUP(D110,'④考勤-B-a-26考勤汇总表'!D:D,'④考勤-B-a-26考勤汇总表'!AP:AP,0)</f>
        <v>31</v>
      </c>
      <c r="H110" s="141">
        <f>_xlfn.XLOOKUP(D110,'个人业绩-B-a-②呈现-业绩明细表'!$C:$C,'个人业绩-B-a-②呈现-业绩明细表'!D:D,0)</f>
        <v>2643.6</v>
      </c>
      <c r="I110" s="141">
        <f>_xlfn.XLOOKUP(D110,'个人业绩-B-a-②呈现-业绩明细表'!$C:$C,'个人业绩-B-a-②呈现-业绩明细表'!$E:$E,0)</f>
        <v>2643.6</v>
      </c>
      <c r="J110" s="141">
        <f>_xlfn.XLOOKUP(D110,'个人业绩-B-a-②呈现-业绩明细表'!$C:$C,'个人业绩-B-a-②呈现-业绩明细表'!$F:$F,0)</f>
        <v>0</v>
      </c>
      <c r="K110" s="53">
        <f>SUMIFS('⑦扣除明细-B-a-12-奖励统计表③'!G:G,'⑦扣除明细-B-a-12-奖励统计表③'!D:D,D110)</f>
        <v>0</v>
      </c>
      <c r="L110" s="53">
        <f>_xlfn.XLOOKUP(D110,'⑤项目数-B-a-③消耗明细表'!C:C,'⑤项目数-B-a-③消耗明细表'!E:E,0)</f>
        <v>7009.51</v>
      </c>
      <c r="M110" s="153">
        <f>_xlfn.XLOOKUP(D110,'⑤项目数-B-a-③消耗明细表'!$C:$C,'⑤项目数-B-a-③消耗明细表'!F:F,0)</f>
        <v>1186</v>
      </c>
      <c r="N110" s="53">
        <f>_xlfn.XLOOKUP(D110,'⑤项目数-B-a-③消耗明细表'!$C:$C,'⑤项目数-B-a-③消耗明细表'!G:G,0)</f>
        <v>0</v>
      </c>
    </row>
    <row r="111" spans="1:14" x14ac:dyDescent="0.15">
      <c r="A111" s="52" t="str">
        <v>凤凰山</v>
      </c>
      <c r="B111" s="52" t="str">
        <v>健康师</v>
      </c>
      <c r="C111" s="52" t="str">
        <v>A</v>
      </c>
      <c r="D111" s="52" t="str">
        <v>喻容</v>
      </c>
      <c r="E111" s="52" t="str">
        <f>_xlfn.XLOOKUP(D111,期初设置!E:E,期初设置!F:F,0)</f>
        <v>凤凰山+凤羽队</v>
      </c>
      <c r="F111" s="52" t="str">
        <f>_xlfn.XLOOKUP(D111,期初设置!E:E,期初设置!D:D,0)</f>
        <v>顾问</v>
      </c>
      <c r="G111" s="53">
        <f>_xlfn.XLOOKUP(D111,'④考勤-B-a-26考勤汇总表'!D:D,'④考勤-B-a-26考勤汇总表'!AP:AP,0)</f>
        <v>31</v>
      </c>
      <c r="H111" s="141">
        <f>_xlfn.XLOOKUP(D111,'个人业绩-B-a-②呈现-业绩明细表'!$C:$C,'个人业绩-B-a-②呈现-业绩明细表'!D:D,0)</f>
        <v>57575.1</v>
      </c>
      <c r="I111" s="141">
        <f>_xlfn.XLOOKUP(D111,'个人业绩-B-a-②呈现-业绩明细表'!$C:$C,'个人业绩-B-a-②呈现-业绩明细表'!$E:$E,0)</f>
        <v>51303.1</v>
      </c>
      <c r="J111" s="141">
        <f>_xlfn.XLOOKUP(D111,'个人业绩-B-a-②呈现-业绩明细表'!$C:$C,'个人业绩-B-a-②呈现-业绩明细表'!$F:$F,0)</f>
        <v>6272</v>
      </c>
      <c r="K111" s="53">
        <f>SUMIFS('⑦扣除明细-B-a-12-奖励统计表③'!G:G,'⑦扣除明细-B-a-12-奖励统计表③'!D:D,D111)</f>
        <v>0</v>
      </c>
      <c r="L111" s="53">
        <f>_xlfn.XLOOKUP(D111,'⑤项目数-B-a-③消耗明细表'!C:C,'⑤项目数-B-a-③消耗明细表'!E:E,0)</f>
        <v>20649.43</v>
      </c>
      <c r="M111" s="153">
        <f>_xlfn.XLOOKUP(D111,'⑤项目数-B-a-③消耗明细表'!$C:$C,'⑤项目数-B-a-③消耗明细表'!F:F,0)</f>
        <v>1160</v>
      </c>
      <c r="N111" s="53">
        <f>_xlfn.XLOOKUP(D111,'⑤项目数-B-a-③消耗明细表'!$C:$C,'⑤项目数-B-a-③消耗明细表'!G:G,0)</f>
        <v>60</v>
      </c>
    </row>
    <row r="112" spans="1:14" x14ac:dyDescent="0.15">
      <c r="A112" s="52" t="str">
        <v>凤凰山</v>
      </c>
      <c r="B112" s="52" t="str">
        <v>健康师</v>
      </c>
      <c r="C112" s="52" t="str">
        <v>A</v>
      </c>
      <c r="D112" s="52" t="str">
        <v>徐文平</v>
      </c>
      <c r="E112" s="52" t="str">
        <f>_xlfn.XLOOKUP(D112,期初设置!E:E,期初设置!F:F,0)</f>
        <v>凤凰山+冲锋队</v>
      </c>
      <c r="F112" s="52" t="str">
        <f>_xlfn.XLOOKUP(D112,期初设置!E:E,期初设置!D:D,0)</f>
        <v>顾问</v>
      </c>
      <c r="G112" s="53">
        <f>_xlfn.XLOOKUP(D112,'④考勤-B-a-26考勤汇总表'!D:D,'④考勤-B-a-26考勤汇总表'!AP:AP,0)</f>
        <v>31</v>
      </c>
      <c r="H112" s="141">
        <f>_xlfn.XLOOKUP(D112,'个人业绩-B-a-②呈现-业绩明细表'!$C:$C,'个人业绩-B-a-②呈现-业绩明细表'!D:D,0)</f>
        <v>82953.3</v>
      </c>
      <c r="I112" s="141">
        <f>_xlfn.XLOOKUP(D112,'个人业绩-B-a-②呈现-业绩明细表'!$C:$C,'个人业绩-B-a-②呈现-业绩明细表'!$E:$E,0)</f>
        <v>84943.3</v>
      </c>
      <c r="J112" s="141">
        <f>_xlfn.XLOOKUP(D112,'个人业绩-B-a-②呈现-业绩明细表'!$C:$C,'个人业绩-B-a-②呈现-业绩明细表'!$F:$F,0)</f>
        <v>-1990</v>
      </c>
      <c r="K112" s="53">
        <f>SUMIFS('⑦扣除明细-B-a-12-奖励统计表③'!G:G,'⑦扣除明细-B-a-12-奖励统计表③'!D:D,D112)</f>
        <v>0</v>
      </c>
      <c r="L112" s="53">
        <f>_xlfn.XLOOKUP(D112,'⑤项目数-B-a-③消耗明细表'!C:C,'⑤项目数-B-a-③消耗明细表'!E:E,0)</f>
        <v>26333.16</v>
      </c>
      <c r="M112" s="153">
        <f>_xlfn.XLOOKUP(D112,'⑤项目数-B-a-③消耗明细表'!$C:$C,'⑤项目数-B-a-③消耗明细表'!F:F,0)</f>
        <v>1450</v>
      </c>
      <c r="N112" s="53">
        <f>_xlfn.XLOOKUP(D112,'⑤项目数-B-a-③消耗明细表'!$C:$C,'⑤项目数-B-a-③消耗明细表'!G:G,0)</f>
        <v>175</v>
      </c>
    </row>
    <row r="113" spans="1:14" x14ac:dyDescent="0.15">
      <c r="A113" s="52" t="str">
        <v>凤凰山</v>
      </c>
      <c r="B113" s="52" t="str">
        <v>健康师</v>
      </c>
      <c r="C113" s="52" t="str">
        <v>A</v>
      </c>
      <c r="D113" s="52" t="str">
        <v>张欣</v>
      </c>
      <c r="E113" s="52" t="str">
        <f>_xlfn.XLOOKUP(D113,期初设置!E:E,期初设置!F:F,0)</f>
        <v>凤凰山+凤羽队</v>
      </c>
      <c r="F113" s="52" t="str">
        <f>_xlfn.XLOOKUP(D113,期初设置!E:E,期初设置!D:D,0)</f>
        <v>健康师</v>
      </c>
      <c r="G113" s="53">
        <f>_xlfn.XLOOKUP(D113,'④考勤-B-a-26考勤汇总表'!D:D,'④考勤-B-a-26考勤汇总表'!AP:AP,0)</f>
        <v>7</v>
      </c>
      <c r="H113" s="141">
        <f>_xlfn.XLOOKUP(D113,'个人业绩-B-a-②呈现-业绩明细表'!$C:$C,'个人业绩-B-a-②呈现-业绩明细表'!D:D,0)</f>
        <v>6688</v>
      </c>
      <c r="I113" s="141">
        <f>_xlfn.XLOOKUP(D113,'个人业绩-B-a-②呈现-业绩明细表'!$C:$C,'个人业绩-B-a-②呈现-业绩明细表'!$E:$E,0)</f>
        <v>8678</v>
      </c>
      <c r="J113" s="141">
        <f>_xlfn.XLOOKUP(D113,'个人业绩-B-a-②呈现-业绩明细表'!$C:$C,'个人业绩-B-a-②呈现-业绩明细表'!$F:$F,0)</f>
        <v>-1990</v>
      </c>
      <c r="K113" s="53">
        <f>SUMIFS('⑦扣除明细-B-a-12-奖励统计表③'!G:G,'⑦扣除明细-B-a-12-奖励统计表③'!D:D,D113)</f>
        <v>0</v>
      </c>
      <c r="L113" s="53">
        <f>_xlfn.XLOOKUP(D113,'⑤项目数-B-a-③消耗明细表'!C:C,'⑤项目数-B-a-③消耗明细表'!E:E,0)</f>
        <v>8727.02</v>
      </c>
      <c r="M113" s="153">
        <f>_xlfn.XLOOKUP(D113,'⑤项目数-B-a-③消耗明细表'!$C:$C,'⑤项目数-B-a-③消耗明细表'!F:F,0)</f>
        <v>49</v>
      </c>
      <c r="N113" s="53">
        <f>_xlfn.XLOOKUP(D113,'⑤项目数-B-a-③消耗明细表'!$C:$C,'⑤项目数-B-a-③消耗明细表'!G:G,0)</f>
        <v>0</v>
      </c>
    </row>
    <row r="114" spans="1:14" x14ac:dyDescent="0.15">
      <c r="A114" s="52" t="str">
        <v>凤凰山</v>
      </c>
      <c r="B114" s="52" t="str">
        <v>健康师</v>
      </c>
      <c r="C114" s="52" t="str">
        <v>A</v>
      </c>
      <c r="D114" s="52" t="str">
        <v>周文慧</v>
      </c>
      <c r="E114" s="52" t="str">
        <f>_xlfn.XLOOKUP(D114,期初设置!E:E,期初设置!F:F,0)</f>
        <v>凤凰山+冲锋队</v>
      </c>
      <c r="F114" s="52" t="str">
        <f>_xlfn.XLOOKUP(D114,期初设置!E:E,期初设置!D:D,0)</f>
        <v>健康师</v>
      </c>
      <c r="G114" s="53">
        <f>_xlfn.XLOOKUP(D114,'④考勤-B-a-26考勤汇总表'!D:D,'④考勤-B-a-26考勤汇总表'!AP:AP,0)</f>
        <v>31</v>
      </c>
      <c r="H114" s="141">
        <f>_xlfn.XLOOKUP(D114,'个人业绩-B-a-②呈现-业绩明细表'!$C:$C,'个人业绩-B-a-②呈现-业绩明细表'!D:D,0)</f>
        <v>15460.4</v>
      </c>
      <c r="I114" s="141">
        <f>_xlfn.XLOOKUP(D114,'个人业绩-B-a-②呈现-业绩明细表'!$C:$C,'个人业绩-B-a-②呈现-业绩明细表'!$E:$E,0)</f>
        <v>14872.4</v>
      </c>
      <c r="J114" s="141">
        <f>_xlfn.XLOOKUP(D114,'个人业绩-B-a-②呈现-业绩明细表'!$C:$C,'个人业绩-B-a-②呈现-业绩明细表'!$F:$F,0)</f>
        <v>0</v>
      </c>
      <c r="K114" s="53">
        <f>SUMIFS('⑦扣除明细-B-a-12-奖励统计表③'!G:G,'⑦扣除明细-B-a-12-奖励统计表③'!D:D,D114)</f>
        <v>588</v>
      </c>
      <c r="L114" s="53">
        <f>_xlfn.XLOOKUP(D114,'⑤项目数-B-a-③消耗明细表'!C:C,'⑤项目数-B-a-③消耗明细表'!E:E,0)</f>
        <v>5446.22</v>
      </c>
      <c r="M114" s="153">
        <f>_xlfn.XLOOKUP(D114,'⑤项目数-B-a-③消耗明细表'!$C:$C,'⑤项目数-B-a-③消耗明细表'!F:F,0)</f>
        <v>1089</v>
      </c>
      <c r="N114" s="53">
        <f>_xlfn.XLOOKUP(D114,'⑤项目数-B-a-③消耗明细表'!$C:$C,'⑤项目数-B-a-③消耗明细表'!G:G,0)</f>
        <v>20</v>
      </c>
    </row>
    <row r="115" spans="1:14" x14ac:dyDescent="0.15">
      <c r="A115" s="52" t="str">
        <v>凤凰山</v>
      </c>
      <c r="B115" s="52" t="str">
        <v>健康师</v>
      </c>
      <c r="C115" s="52" t="str">
        <v>A</v>
      </c>
      <c r="D115" s="52" t="str">
        <v>张白金</v>
      </c>
      <c r="E115" s="52" t="str">
        <f>_xlfn.XLOOKUP(D115,期初设置!E:E,期初设置!F:F,0)</f>
        <v>凤凰山+凤羽队</v>
      </c>
      <c r="F115" s="52" t="str">
        <f>_xlfn.XLOOKUP(D115,期初设置!E:E,期初设置!D:D,0)</f>
        <v>健康师</v>
      </c>
      <c r="G115" s="53">
        <f>_xlfn.XLOOKUP(D115,'④考勤-B-a-26考勤汇总表'!D:D,'④考勤-B-a-26考勤汇总表'!AP:AP,0)</f>
        <v>31</v>
      </c>
      <c r="H115" s="141">
        <f>_xlfn.XLOOKUP(D115,'个人业绩-B-a-②呈现-业绩明细表'!$C:$C,'个人业绩-B-a-②呈现-业绩明细表'!D:D,0)</f>
        <v>8732.7000000000007</v>
      </c>
      <c r="I115" s="141">
        <f>_xlfn.XLOOKUP(D115,'个人业绩-B-a-②呈现-业绩明细表'!$C:$C,'个人业绩-B-a-②呈现-业绩明细表'!$E:$E,0)</f>
        <v>5924.7</v>
      </c>
      <c r="J115" s="141">
        <f>_xlfn.XLOOKUP(D115,'个人业绩-B-a-②呈现-业绩明细表'!$C:$C,'个人业绩-B-a-②呈现-业绩明细表'!$F:$F,0)</f>
        <v>1568</v>
      </c>
      <c r="K115" s="53">
        <f>SUMIFS('⑦扣除明细-B-a-12-奖励统计表③'!G:G,'⑦扣除明细-B-a-12-奖励统计表③'!D:D,D115)</f>
        <v>1240</v>
      </c>
      <c r="L115" s="53">
        <f>_xlfn.XLOOKUP(D115,'⑤项目数-B-a-③消耗明细表'!C:C,'⑤项目数-B-a-③消耗明细表'!E:E,0)</f>
        <v>6608.24</v>
      </c>
      <c r="M115" s="153">
        <f>_xlfn.XLOOKUP(D115,'⑤项目数-B-a-③消耗明细表'!$C:$C,'⑤项目数-B-a-③消耗明细表'!F:F,0)</f>
        <v>1263</v>
      </c>
      <c r="N115" s="53">
        <f>_xlfn.XLOOKUP(D115,'⑤项目数-B-a-③消耗明细表'!$C:$C,'⑤项目数-B-a-③消耗明细表'!G:G,0)</f>
        <v>0</v>
      </c>
    </row>
    <row r="116" spans="1:14" x14ac:dyDescent="0.15">
      <c r="A116" s="52" t="str">
        <v>凤凰山</v>
      </c>
      <c r="B116" s="52" t="str">
        <v>健康师</v>
      </c>
      <c r="C116" s="52" t="str">
        <v>A</v>
      </c>
      <c r="D116" s="52" t="str">
        <v>郑美函</v>
      </c>
      <c r="E116" s="52" t="str">
        <f>_xlfn.XLOOKUP(D116,期初设置!E:E,期初设置!F:F,0)</f>
        <v>凤凰山+冲锋队</v>
      </c>
      <c r="F116" s="52" t="str">
        <f>_xlfn.XLOOKUP(D116,期初设置!E:E,期初设置!D:D,0)</f>
        <v>健康师</v>
      </c>
      <c r="G116" s="53">
        <f>_xlfn.XLOOKUP(D116,'④考勤-B-a-26考勤汇总表'!D:D,'④考勤-B-a-26考勤汇总表'!AP:AP,0)</f>
        <v>31</v>
      </c>
      <c r="H116" s="141">
        <f>_xlfn.XLOOKUP(D116,'个人业绩-B-a-②呈现-业绩明细表'!$C:$C,'个人业绩-B-a-②呈现-业绩明细表'!D:D,0)</f>
        <v>8133.3</v>
      </c>
      <c r="I116" s="141">
        <f>_xlfn.XLOOKUP(D116,'个人业绩-B-a-②呈现-业绩明细表'!$C:$C,'个人业绩-B-a-②呈现-业绩明细表'!$E:$E,0)</f>
        <v>8133.3</v>
      </c>
      <c r="J116" s="141">
        <f>_xlfn.XLOOKUP(D116,'个人业绩-B-a-②呈现-业绩明细表'!$C:$C,'个人业绩-B-a-②呈现-业绩明细表'!$F:$F,0)</f>
        <v>0</v>
      </c>
      <c r="K116" s="53">
        <f>SUMIFS('⑦扣除明细-B-a-12-奖励统计表③'!G:G,'⑦扣除明细-B-a-12-奖励统计表③'!D:D,D116)</f>
        <v>0</v>
      </c>
      <c r="L116" s="53">
        <f>_xlfn.XLOOKUP(D116,'⑤项目数-B-a-③消耗明细表'!C:C,'⑤项目数-B-a-③消耗明细表'!E:E,0)</f>
        <v>5713.5</v>
      </c>
      <c r="M116" s="153">
        <f>_xlfn.XLOOKUP(D116,'⑤项目数-B-a-③消耗明细表'!$C:$C,'⑤项目数-B-a-③消耗明细表'!F:F,0)</f>
        <v>1123</v>
      </c>
      <c r="N116" s="53">
        <f>_xlfn.XLOOKUP(D116,'⑤项目数-B-a-③消耗明细表'!$C:$C,'⑤项目数-B-a-③消耗明细表'!G:G,0)</f>
        <v>0</v>
      </c>
    </row>
    <row r="117" spans="1:14" x14ac:dyDescent="0.15">
      <c r="A117" s="52" t="str">
        <v>南湖</v>
      </c>
      <c r="B117" s="52" t="str">
        <v>健康师</v>
      </c>
      <c r="C117" s="52" t="str">
        <v>A</v>
      </c>
      <c r="D117" s="52" t="str">
        <v>廖妍</v>
      </c>
      <c r="E117" s="52" t="str">
        <f>_xlfn.XLOOKUP(D117,期初设置!E:E,期初设置!F:F,0)</f>
        <v>南湖+进宝队</v>
      </c>
      <c r="F117" s="52" t="str">
        <f>_xlfn.XLOOKUP(D117,期初设置!E:E,期初设置!D:D,0)</f>
        <v>顾问</v>
      </c>
      <c r="G117" s="53">
        <f>_xlfn.XLOOKUP(D117,'④考勤-B-a-26考勤汇总表'!D:D,'④考勤-B-a-26考勤汇总表'!AP:AP,0)</f>
        <v>31</v>
      </c>
      <c r="H117" s="141">
        <f>_xlfn.XLOOKUP(D117,'个人业绩-B-a-②呈现-业绩明细表'!$C:$C,'个人业绩-B-a-②呈现-业绩明细表'!D:D,0)</f>
        <v>63805.2</v>
      </c>
      <c r="I117" s="141">
        <f>_xlfn.XLOOKUP(D117,'个人业绩-B-a-②呈现-业绩明细表'!$C:$C,'个人业绩-B-a-②呈现-业绩明细表'!$E:$E,0)</f>
        <v>39297.199999999997</v>
      </c>
      <c r="J117" s="141">
        <f>_xlfn.XLOOKUP(D117,'个人业绩-B-a-②呈现-业绩明细表'!$C:$C,'个人业绩-B-a-②呈现-业绩明细表'!$F:$F,0)</f>
        <v>23620</v>
      </c>
      <c r="K117" s="53">
        <f>SUMIFS('⑦扣除明细-B-a-12-奖励统计表③'!G:G,'⑦扣除明细-B-a-12-奖励统计表③'!D:D,D117)</f>
        <v>888</v>
      </c>
      <c r="L117" s="53">
        <f>_xlfn.XLOOKUP(D117,'⑤项目数-B-a-③消耗明细表'!C:C,'⑤项目数-B-a-③消耗明细表'!E:E,0)</f>
        <v>14073.36</v>
      </c>
      <c r="M117" s="153">
        <f>_xlfn.XLOOKUP(D117,'⑤项目数-B-a-③消耗明细表'!$C:$C,'⑤项目数-B-a-③消耗明细表'!F:F,0)</f>
        <v>854</v>
      </c>
      <c r="N117" s="53">
        <f>_xlfn.XLOOKUP(D117,'⑤项目数-B-a-③消耗明细表'!$C:$C,'⑤项目数-B-a-③消耗明细表'!G:G,0)</f>
        <v>0</v>
      </c>
    </row>
    <row r="118" spans="1:14" x14ac:dyDescent="0.15">
      <c r="A118" s="52" t="str">
        <v>南湖</v>
      </c>
      <c r="B118" s="52" t="str">
        <v>健康师</v>
      </c>
      <c r="C118" s="52" t="str">
        <v>A</v>
      </c>
      <c r="D118" s="52" t="str">
        <v>李彩华</v>
      </c>
      <c r="E118" s="52" t="str">
        <f>_xlfn.XLOOKUP(D118,期初设置!E:E,期初设置!F:F,0)</f>
        <v>南湖+招财队</v>
      </c>
      <c r="F118" s="52" t="str">
        <f>_xlfn.XLOOKUP(D118,期初设置!E:E,期初设置!D:D,0)</f>
        <v>健康师</v>
      </c>
      <c r="G118" s="53">
        <f>_xlfn.XLOOKUP(D118,'④考勤-B-a-26考勤汇总表'!D:D,'④考勤-B-a-26考勤汇总表'!AP:AP,0)</f>
        <v>31</v>
      </c>
      <c r="H118" s="141">
        <f>_xlfn.XLOOKUP(D118,'个人业绩-B-a-②呈现-业绩明细表'!$C:$C,'个人业绩-B-a-②呈现-业绩明细表'!D:D,0)</f>
        <v>33079.9</v>
      </c>
      <c r="I118" s="141">
        <f>_xlfn.XLOOKUP(D118,'个人业绩-B-a-②呈现-业绩明细表'!$C:$C,'个人业绩-B-a-②呈现-业绩明细表'!$E:$E,0)</f>
        <v>17513.900000000001</v>
      </c>
      <c r="J118" s="141">
        <f>_xlfn.XLOOKUP(D118,'个人业绩-B-a-②呈现-业绩明细表'!$C:$C,'个人业绩-B-a-②呈现-业绩明细表'!$F:$F,0)</f>
        <v>14900</v>
      </c>
      <c r="K118" s="53">
        <f>SUMIFS('⑦扣除明细-B-a-12-奖励统计表③'!G:G,'⑦扣除明细-B-a-12-奖励统计表③'!D:D,D118)</f>
        <v>666</v>
      </c>
      <c r="L118" s="53">
        <f>_xlfn.XLOOKUP(D118,'⑤项目数-B-a-③消耗明细表'!C:C,'⑤项目数-B-a-③消耗明细表'!E:E,0)</f>
        <v>9635.01</v>
      </c>
      <c r="M118" s="153">
        <f>_xlfn.XLOOKUP(D118,'⑤项目数-B-a-③消耗明细表'!$C:$C,'⑤项目数-B-a-③消耗明细表'!F:F,0)</f>
        <v>1748</v>
      </c>
      <c r="N118" s="53">
        <f>_xlfn.XLOOKUP(D118,'⑤项目数-B-a-③消耗明细表'!$C:$C,'⑤项目数-B-a-③消耗明细表'!G:G,0)</f>
        <v>217.5</v>
      </c>
    </row>
    <row r="119" spans="1:14" x14ac:dyDescent="0.15">
      <c r="A119" s="52" t="str">
        <v>南湖</v>
      </c>
      <c r="B119" s="52" t="str">
        <v>健康师</v>
      </c>
      <c r="C119" s="52" t="str">
        <v>A</v>
      </c>
      <c r="D119" s="52" t="str">
        <v>刘九招</v>
      </c>
      <c r="E119" s="52" t="str">
        <f>_xlfn.XLOOKUP(D119,期初设置!E:E,期初设置!F:F,0)</f>
        <v>南湖+招财队</v>
      </c>
      <c r="F119" s="52" t="str">
        <f>_xlfn.XLOOKUP(D119,期初设置!E:E,期初设置!D:D,0)</f>
        <v>顾问</v>
      </c>
      <c r="G119" s="53">
        <f>_xlfn.XLOOKUP(D119,'④考勤-B-a-26考勤汇总表'!D:D,'④考勤-B-a-26考勤汇总表'!AP:AP,0)</f>
        <v>31</v>
      </c>
      <c r="H119" s="141">
        <f>_xlfn.XLOOKUP(D119,'个人业绩-B-a-②呈现-业绩明细表'!$C:$C,'个人业绩-B-a-②呈现-业绩明细表'!D:D,0)</f>
        <v>25000.1</v>
      </c>
      <c r="I119" s="141">
        <f>_xlfn.XLOOKUP(D119,'个人业绩-B-a-②呈现-业绩明细表'!$C:$C,'个人业绩-B-a-②呈现-业绩明细表'!$E:$E,0)</f>
        <v>37500.1</v>
      </c>
      <c r="J119" s="141">
        <f>_xlfn.XLOOKUP(D119,'个人业绩-B-a-②呈现-业绩明细表'!$C:$C,'个人业绩-B-a-②呈现-业绩明细表'!$F:$F,0)</f>
        <v>-12500</v>
      </c>
      <c r="K119" s="53">
        <f>SUMIFS('⑦扣除明细-B-a-12-奖励统计表③'!G:G,'⑦扣除明细-B-a-12-奖励统计表③'!D:D,D119)</f>
        <v>0</v>
      </c>
      <c r="L119" s="53">
        <f>_xlfn.XLOOKUP(D119,'⑤项目数-B-a-③消耗明细表'!C:C,'⑤项目数-B-a-③消耗明细表'!E:E,0)</f>
        <v>20521.48</v>
      </c>
      <c r="M119" s="153">
        <f>_xlfn.XLOOKUP(D119,'⑤项目数-B-a-③消耗明细表'!$C:$C,'⑤项目数-B-a-③消耗明细表'!F:F,0)</f>
        <v>1662</v>
      </c>
      <c r="N119" s="53">
        <f>_xlfn.XLOOKUP(D119,'⑤项目数-B-a-③消耗明细表'!$C:$C,'⑤项目数-B-a-③消耗明细表'!G:G,0)</f>
        <v>245</v>
      </c>
    </row>
    <row r="120" spans="1:14" x14ac:dyDescent="0.15">
      <c r="A120" s="52" t="str">
        <v>南湖</v>
      </c>
      <c r="B120" s="52" t="str">
        <v>健康师</v>
      </c>
      <c r="C120" s="52" t="str">
        <v>A</v>
      </c>
      <c r="D120" s="52" t="str">
        <v>朱羽</v>
      </c>
      <c r="E120" s="52" t="str">
        <f>_xlfn.XLOOKUP(D120,期初设置!E:E,期初设置!F:F,0)</f>
        <v>南湖+进宝队</v>
      </c>
      <c r="F120" s="52" t="str">
        <f>_xlfn.XLOOKUP(D120,期初设置!E:E,期初设置!D:D,0)</f>
        <v>健康师</v>
      </c>
      <c r="G120" s="53">
        <f>_xlfn.XLOOKUP(D120,'④考勤-B-a-26考勤汇总表'!D:D,'④考勤-B-a-26考勤汇总表'!AP:AP,0)</f>
        <v>31</v>
      </c>
      <c r="H120" s="141">
        <f>_xlfn.XLOOKUP(D120,'个人业绩-B-a-②呈现-业绩明细表'!$C:$C,'个人业绩-B-a-②呈现-业绩明细表'!D:D,0)</f>
        <v>6753.4000000000015</v>
      </c>
      <c r="I120" s="141">
        <f>_xlfn.XLOOKUP(D120,'个人业绩-B-a-②呈现-业绩明细表'!$C:$C,'个人业绩-B-a-②呈现-业绩明细表'!$E:$E,0)</f>
        <v>16533.400000000001</v>
      </c>
      <c r="J120" s="141">
        <f>_xlfn.XLOOKUP(D120,'个人业绩-B-a-②呈现-业绩明细表'!$C:$C,'个人业绩-B-a-②呈现-业绩明细表'!$F:$F,0)</f>
        <v>-9780</v>
      </c>
      <c r="K120" s="53">
        <f>SUMIFS('⑦扣除明细-B-a-12-奖励统计表③'!G:G,'⑦扣除明细-B-a-12-奖励统计表③'!D:D,D120)</f>
        <v>0</v>
      </c>
      <c r="L120" s="53">
        <f>_xlfn.XLOOKUP(D120,'⑤项目数-B-a-③消耗明细表'!C:C,'⑤项目数-B-a-③消耗明细表'!E:E,0)</f>
        <v>9662.0400000000009</v>
      </c>
      <c r="M120" s="153">
        <f>_xlfn.XLOOKUP(D120,'⑤项目数-B-a-③消耗明细表'!$C:$C,'⑤项目数-B-a-③消耗明细表'!F:F,0)</f>
        <v>1139</v>
      </c>
      <c r="N120" s="53">
        <f>_xlfn.XLOOKUP(D120,'⑤项目数-B-a-③消耗明细表'!$C:$C,'⑤项目数-B-a-③消耗明细表'!G:G,0)</f>
        <v>15</v>
      </c>
    </row>
    <row r="121" spans="1:14" x14ac:dyDescent="0.15">
      <c r="A121" s="52" t="str">
        <v>南湖</v>
      </c>
      <c r="B121" s="52" t="str">
        <v>健康师</v>
      </c>
      <c r="C121" s="52" t="str">
        <v>A</v>
      </c>
      <c r="D121" s="52" t="str">
        <v>高琴</v>
      </c>
      <c r="E121" s="52" t="str">
        <f>_xlfn.XLOOKUP(D121,期初设置!E:E,期初设置!F:F,0)</f>
        <v>南湖+进宝队</v>
      </c>
      <c r="F121" s="52" t="str">
        <f>_xlfn.XLOOKUP(D121,期初设置!E:E,期初设置!D:D,0)</f>
        <v>健康师</v>
      </c>
      <c r="G121" s="53">
        <f>_xlfn.XLOOKUP(D121,'④考勤-B-a-26考勤汇总表'!D:D,'④考勤-B-a-26考勤汇总表'!AP:AP,0)</f>
        <v>31</v>
      </c>
      <c r="H121" s="141">
        <f>_xlfn.XLOOKUP(D121,'个人业绩-B-a-②呈现-业绩明细表'!$C:$C,'个人业绩-B-a-②呈现-业绩明细表'!D:D,0)</f>
        <v>9885.4</v>
      </c>
      <c r="I121" s="141">
        <f>_xlfn.XLOOKUP(D121,'个人业绩-B-a-②呈现-业绩明细表'!$C:$C,'个人业绩-B-a-②呈现-业绩明细表'!$E:$E,0)</f>
        <v>6926.4</v>
      </c>
      <c r="J121" s="141">
        <f>_xlfn.XLOOKUP(D121,'个人业绩-B-a-②呈现-业绩明细表'!$C:$C,'个人业绩-B-a-②呈现-业绩明细表'!$F:$F,0)</f>
        <v>2959</v>
      </c>
      <c r="K121" s="53">
        <f>SUMIFS('⑦扣除明细-B-a-12-奖励统计表③'!G:G,'⑦扣除明细-B-a-12-奖励统计表③'!D:D,D121)</f>
        <v>0</v>
      </c>
      <c r="L121" s="53">
        <f>_xlfn.XLOOKUP(D121,'⑤项目数-B-a-③消耗明细表'!C:C,'⑤项目数-B-a-③消耗明细表'!E:E,0)</f>
        <v>6148.22</v>
      </c>
      <c r="M121" s="153">
        <f>_xlfn.XLOOKUP(D121,'⑤项目数-B-a-③消耗明细表'!$C:$C,'⑤项目数-B-a-③消耗明细表'!F:F,0)</f>
        <v>1339</v>
      </c>
      <c r="N121" s="53">
        <f>_xlfn.XLOOKUP(D121,'⑤项目数-B-a-③消耗明细表'!$C:$C,'⑤项目数-B-a-③消耗明细表'!G:G,0)</f>
        <v>45</v>
      </c>
    </row>
    <row r="122" spans="1:14" x14ac:dyDescent="0.15">
      <c r="A122" s="52" t="str">
        <v>南湖</v>
      </c>
      <c r="B122" s="52" t="str">
        <v>健康师</v>
      </c>
      <c r="C122" s="52" t="str">
        <v>A</v>
      </c>
      <c r="D122" s="52" t="str">
        <v>达卓措</v>
      </c>
      <c r="E122" s="52" t="str">
        <f>_xlfn.XLOOKUP(D122,期初设置!E:E,期初设置!F:F,0)</f>
        <v>南湖+单人</v>
      </c>
      <c r="F122" s="52" t="str">
        <f>_xlfn.XLOOKUP(D122,期初设置!E:E,期初设置!D:D,0)</f>
        <v>健康师</v>
      </c>
      <c r="G122" s="53">
        <f>_xlfn.XLOOKUP(D122,'④考勤-B-a-26考勤汇总表'!D:D,'④考勤-B-a-26考勤汇总表'!AP:AP,0)</f>
        <v>31</v>
      </c>
      <c r="H122" s="141">
        <f>_xlfn.XLOOKUP(D122,'个人业绩-B-a-②呈现-业绩明细表'!$C:$C,'个人业绩-B-a-②呈现-业绩明细表'!D:D,0)</f>
        <v>498</v>
      </c>
      <c r="I122" s="141">
        <f>_xlfn.XLOOKUP(D122,'个人业绩-B-a-②呈现-业绩明细表'!$C:$C,'个人业绩-B-a-②呈现-业绩明细表'!$E:$E,0)</f>
        <v>498</v>
      </c>
      <c r="J122" s="141">
        <f>_xlfn.XLOOKUP(D122,'个人业绩-B-a-②呈现-业绩明细表'!$C:$C,'个人业绩-B-a-②呈现-业绩明细表'!$F:$F,0)</f>
        <v>0</v>
      </c>
      <c r="K122" s="53">
        <f>SUMIFS('⑦扣除明细-B-a-12-奖励统计表③'!G:G,'⑦扣除明细-B-a-12-奖励统计表③'!D:D,D122)</f>
        <v>0</v>
      </c>
      <c r="L122" s="53">
        <f>_xlfn.XLOOKUP(D122,'⑤项目数-B-a-③消耗明细表'!C:C,'⑤项目数-B-a-③消耗明细表'!E:E,0)</f>
        <v>5287.65</v>
      </c>
      <c r="M122" s="153">
        <f>_xlfn.XLOOKUP(D122,'⑤项目数-B-a-③消耗明细表'!$C:$C,'⑤项目数-B-a-③消耗明细表'!F:F,0)</f>
        <v>1021</v>
      </c>
      <c r="N122" s="53">
        <f>_xlfn.XLOOKUP(D122,'⑤项目数-B-a-③消耗明细表'!$C:$C,'⑤项目数-B-a-③消耗明细表'!G:G,0)</f>
        <v>0</v>
      </c>
    </row>
    <row r="123" spans="1:14" x14ac:dyDescent="0.15">
      <c r="A123" s="52" t="str">
        <v>涌泉</v>
      </c>
      <c r="B123" s="52" t="str">
        <v>健康师</v>
      </c>
      <c r="C123" s="52" t="str">
        <v>A</v>
      </c>
      <c r="D123" s="52" t="str">
        <v>袁玉</v>
      </c>
      <c r="E123" s="52" t="str">
        <f>_xlfn.XLOOKUP(D123,期初设置!E:E,期初设置!F:F,0)</f>
        <v>涌泉+冲刺队</v>
      </c>
      <c r="F123" s="52" t="str">
        <f>_xlfn.XLOOKUP(D123,期初设置!E:E,期初设置!D:D,0)</f>
        <v>顾问</v>
      </c>
      <c r="G123" s="53">
        <f>_xlfn.XLOOKUP(D123,'④考勤-B-a-26考勤汇总表'!D:D,'④考勤-B-a-26考勤汇总表'!AP:AP,0)</f>
        <v>31</v>
      </c>
      <c r="H123" s="141">
        <f>_xlfn.XLOOKUP(D123,'个人业绩-B-a-②呈现-业绩明细表'!$C:$C,'个人业绩-B-a-②呈现-业绩明细表'!D:D,0)</f>
        <v>70139.600000000006</v>
      </c>
      <c r="I123" s="141">
        <f>_xlfn.XLOOKUP(D123,'个人业绩-B-a-②呈现-业绩明细表'!$C:$C,'个人业绩-B-a-②呈现-业绩明细表'!$E:$E,0)</f>
        <v>43069.599999999999</v>
      </c>
      <c r="J123" s="141">
        <f>_xlfn.XLOOKUP(D123,'个人业绩-B-a-②呈现-业绩明细表'!$C:$C,'个人业绩-B-a-②呈现-业绩明细表'!$F:$F,0)</f>
        <v>27070</v>
      </c>
      <c r="K123" s="53">
        <f>SUMIFS('⑦扣除明细-B-a-12-奖励统计表③'!G:G,'⑦扣除明细-B-a-12-奖励统计表③'!D:D,D123)</f>
        <v>0</v>
      </c>
      <c r="L123" s="53">
        <f>_xlfn.XLOOKUP(D123,'⑤项目数-B-a-③消耗明细表'!C:C,'⑤项目数-B-a-③消耗明细表'!E:E,0)</f>
        <v>28112.98</v>
      </c>
      <c r="M123" s="153">
        <f>_xlfn.XLOOKUP(D123,'⑤项目数-B-a-③消耗明细表'!$C:$C,'⑤项目数-B-a-③消耗明细表'!F:F,0)</f>
        <v>1055</v>
      </c>
      <c r="N123" s="53">
        <f>_xlfn.XLOOKUP(D123,'⑤项目数-B-a-③消耗明细表'!$C:$C,'⑤项目数-B-a-③消耗明细表'!G:G,0)</f>
        <v>100</v>
      </c>
    </row>
    <row r="124" spans="1:14" x14ac:dyDescent="0.15">
      <c r="A124" s="52" t="str">
        <v>涌泉</v>
      </c>
      <c r="B124" s="52" t="str">
        <v>健康师</v>
      </c>
      <c r="C124" s="52" t="str">
        <v>A</v>
      </c>
      <c r="D124" s="52" t="str">
        <v>赵晴亮</v>
      </c>
      <c r="E124" s="52" t="str">
        <f>_xlfn.XLOOKUP(D124,期初设置!E:E,期初设置!F:F,0)</f>
        <v>涌泉+进钱队</v>
      </c>
      <c r="F124" s="52" t="str">
        <f>_xlfn.XLOOKUP(D124,期初设置!E:E,期初设置!D:D,0)</f>
        <v>顾问</v>
      </c>
      <c r="G124" s="53">
        <f>_xlfn.XLOOKUP(D124,'④考勤-B-a-26考勤汇总表'!D:D,'④考勤-B-a-26考勤汇总表'!AP:AP,0)</f>
        <v>31</v>
      </c>
      <c r="H124" s="141">
        <f>_xlfn.XLOOKUP(D124,'个人业绩-B-a-②呈现-业绩明细表'!$C:$C,'个人业绩-B-a-②呈现-业绩明细表'!D:D,0)</f>
        <v>52700.6</v>
      </c>
      <c r="I124" s="141">
        <f>_xlfn.XLOOKUP(D124,'个人业绩-B-a-②呈现-业绩明细表'!$C:$C,'个人业绩-B-a-②呈现-业绩明细表'!$E:$E,0)</f>
        <v>26300.6</v>
      </c>
      <c r="J124" s="141">
        <f>_xlfn.XLOOKUP(D124,'个人业绩-B-a-②呈现-业绩明细表'!$C:$C,'个人业绩-B-a-②呈现-业绩明细表'!$F:$F,0)</f>
        <v>26400</v>
      </c>
      <c r="K124" s="53">
        <f>SUMIFS('⑦扣除明细-B-a-12-奖励统计表③'!G:G,'⑦扣除明细-B-a-12-奖励统计表③'!D:D,D124)</f>
        <v>0</v>
      </c>
      <c r="L124" s="53">
        <f>_xlfn.XLOOKUP(D124,'⑤项目数-B-a-③消耗明细表'!C:C,'⑤项目数-B-a-③消耗明细表'!E:E,0)</f>
        <v>26242.55</v>
      </c>
      <c r="M124" s="153">
        <f>_xlfn.XLOOKUP(D124,'⑤项目数-B-a-③消耗明细表'!$C:$C,'⑤项目数-B-a-③消耗明细表'!F:F,0)</f>
        <v>1394</v>
      </c>
      <c r="N124" s="53">
        <f>_xlfn.XLOOKUP(D124,'⑤项目数-B-a-③消耗明细表'!$C:$C,'⑤项目数-B-a-③消耗明细表'!G:G,0)</f>
        <v>130</v>
      </c>
    </row>
    <row r="125" spans="1:14" x14ac:dyDescent="0.15">
      <c r="A125" s="52" t="str">
        <v>涌泉</v>
      </c>
      <c r="B125" s="52" t="str">
        <v>健康师</v>
      </c>
      <c r="C125" s="52" t="str">
        <v>A</v>
      </c>
      <c r="D125" s="52" t="str">
        <v>郑丹</v>
      </c>
      <c r="E125" s="52" t="str">
        <f>_xlfn.XLOOKUP(D125,期初设置!E:E,期初设置!F:F,0)</f>
        <v>涌泉+冲刺队</v>
      </c>
      <c r="F125" s="52" t="str">
        <f>_xlfn.XLOOKUP(D125,期初设置!E:E,期初设置!D:D,0)</f>
        <v>健康师</v>
      </c>
      <c r="G125" s="53">
        <f>_xlfn.XLOOKUP(D125,'④考勤-B-a-26考勤汇总表'!D:D,'④考勤-B-a-26考勤汇总表'!AP:AP,0)</f>
        <v>31</v>
      </c>
      <c r="H125" s="141">
        <f>_xlfn.XLOOKUP(D125,'个人业绩-B-a-②呈现-业绩明细表'!$C:$C,'个人业绩-B-a-②呈现-业绩明细表'!D:D,0)</f>
        <v>36194.800000000003</v>
      </c>
      <c r="I125" s="141">
        <f>_xlfn.XLOOKUP(D125,'个人业绩-B-a-②呈现-业绩明细表'!$C:$C,'个人业绩-B-a-②呈现-业绩明细表'!$E:$E,0)</f>
        <v>24470.799999999999</v>
      </c>
      <c r="J125" s="141">
        <f>_xlfn.XLOOKUP(D125,'个人业绩-B-a-②呈现-业绩明细表'!$C:$C,'个人业绩-B-a-②呈现-业绩明细表'!$F:$F,0)</f>
        <v>11280</v>
      </c>
      <c r="K125" s="53">
        <f>SUMIFS('⑦扣除明细-B-a-12-奖励统计表③'!G:G,'⑦扣除明细-B-a-12-奖励统计表③'!D:D,D125)</f>
        <v>444</v>
      </c>
      <c r="L125" s="53">
        <f>_xlfn.XLOOKUP(D125,'⑤项目数-B-a-③消耗明细表'!C:C,'⑤项目数-B-a-③消耗明细表'!E:E,0)</f>
        <v>8694.48</v>
      </c>
      <c r="M125" s="153">
        <f>_xlfn.XLOOKUP(D125,'⑤项目数-B-a-③消耗明细表'!$C:$C,'⑤项目数-B-a-③消耗明细表'!F:F,0)</f>
        <v>1093</v>
      </c>
      <c r="N125" s="53">
        <f>_xlfn.XLOOKUP(D125,'⑤项目数-B-a-③消耗明细表'!$C:$C,'⑤项目数-B-a-③消耗明细表'!G:G,0)</f>
        <v>0</v>
      </c>
    </row>
    <row r="126" spans="1:14" x14ac:dyDescent="0.15">
      <c r="A126" s="52" t="str">
        <v>涌泉</v>
      </c>
      <c r="B126" s="52" t="str">
        <v>健康师</v>
      </c>
      <c r="C126" s="52" t="str">
        <v>A</v>
      </c>
      <c r="D126" s="52" t="str">
        <v>胡钦秀</v>
      </c>
      <c r="E126" s="52" t="str">
        <f>_xlfn.XLOOKUP(D126,期初设置!E:E,期初设置!F:F,0)</f>
        <v>涌泉+进钱队</v>
      </c>
      <c r="F126" s="52" t="str">
        <f>_xlfn.XLOOKUP(D126,期初设置!E:E,期初设置!D:D,0)</f>
        <v>健康师</v>
      </c>
      <c r="G126" s="53">
        <f>_xlfn.XLOOKUP(D126,'④考勤-B-a-26考勤汇总表'!D:D,'④考勤-B-a-26考勤汇总表'!AP:AP,0)</f>
        <v>31</v>
      </c>
      <c r="H126" s="141">
        <f>_xlfn.XLOOKUP(D126,'个人业绩-B-a-②呈现-业绩明细表'!$C:$C,'个人业绩-B-a-②呈现-业绩明细表'!D:D,0)</f>
        <v>9281</v>
      </c>
      <c r="I126" s="141">
        <f>_xlfn.XLOOKUP(D126,'个人业绩-B-a-②呈现-业绩明细表'!$C:$C,'个人业绩-B-a-②呈现-业绩明细表'!$E:$E,0)</f>
        <v>8381</v>
      </c>
      <c r="J126" s="141">
        <f>_xlfn.XLOOKUP(D126,'个人业绩-B-a-②呈现-业绩明细表'!$C:$C,'个人业绩-B-a-②呈现-业绩明细表'!$F:$F,0)</f>
        <v>900</v>
      </c>
      <c r="K126" s="53">
        <f>SUMIFS('⑦扣除明细-B-a-12-奖励统计表③'!G:G,'⑦扣除明细-B-a-12-奖励统计表③'!D:D,D126)</f>
        <v>0</v>
      </c>
      <c r="L126" s="53">
        <f>_xlfn.XLOOKUP(D126,'⑤项目数-B-a-③消耗明细表'!C:C,'⑤项目数-B-a-③消耗明细表'!E:E,0)</f>
        <v>5947.88</v>
      </c>
      <c r="M126" s="153">
        <f>_xlfn.XLOOKUP(D126,'⑤项目数-B-a-③消耗明细表'!$C:$C,'⑤项目数-B-a-③消耗明细表'!F:F,0)</f>
        <v>980</v>
      </c>
      <c r="N126" s="53">
        <f>_xlfn.XLOOKUP(D126,'⑤项目数-B-a-③消耗明细表'!$C:$C,'⑤项目数-B-a-③消耗明细表'!G:G,0)</f>
        <v>0</v>
      </c>
    </row>
    <row r="127" spans="1:14" x14ac:dyDescent="0.15">
      <c r="A127" s="52" t="str">
        <v>涌泉</v>
      </c>
      <c r="B127" s="52" t="str">
        <v>健康师</v>
      </c>
      <c r="C127" s="52" t="str">
        <v>A</v>
      </c>
      <c r="D127" s="52" t="str">
        <v>曾怡</v>
      </c>
      <c r="E127" s="52" t="str">
        <f>_xlfn.XLOOKUP(D127,期初设置!E:E,期初设置!F:F,0)</f>
        <v>涌泉+单人</v>
      </c>
      <c r="F127" s="52" t="str">
        <f>_xlfn.XLOOKUP(D127,期初设置!E:E,期初设置!D:D,0)</f>
        <v>健康师</v>
      </c>
      <c r="G127" s="53">
        <f>_xlfn.XLOOKUP(D127,'④考勤-B-a-26考勤汇总表'!D:D,'④考勤-B-a-26考勤汇总表'!AP:AP,0)</f>
        <v>31</v>
      </c>
      <c r="H127" s="141">
        <f>_xlfn.XLOOKUP(D127,'个人业绩-B-a-②呈现-业绩明细表'!$C:$C,'个人业绩-B-a-②呈现-业绩明细表'!D:D,0)</f>
        <v>1316</v>
      </c>
      <c r="I127" s="141">
        <f>_xlfn.XLOOKUP(D127,'个人业绩-B-a-②呈现-业绩明细表'!$C:$C,'个人业绩-B-a-②呈现-业绩明细表'!$E:$E,0)</f>
        <v>872</v>
      </c>
      <c r="J127" s="141">
        <f>_xlfn.XLOOKUP(D127,'个人业绩-B-a-②呈现-业绩明细表'!$C:$C,'个人业绩-B-a-②呈现-业绩明细表'!$F:$F,0)</f>
        <v>0</v>
      </c>
      <c r="K127" s="53">
        <f>SUMIFS('⑦扣除明细-B-a-12-奖励统计表③'!G:G,'⑦扣除明细-B-a-12-奖励统计表③'!D:D,D127)</f>
        <v>444</v>
      </c>
      <c r="L127" s="53">
        <f>_xlfn.XLOOKUP(D127,'⑤项目数-B-a-③消耗明细表'!C:C,'⑤项目数-B-a-③消耗明细表'!E:E,0)</f>
        <v>5032.04</v>
      </c>
      <c r="M127" s="153">
        <f>_xlfn.XLOOKUP(D127,'⑤项目数-B-a-③消耗明细表'!$C:$C,'⑤项目数-B-a-③消耗明细表'!F:F,0)</f>
        <v>963</v>
      </c>
      <c r="N127" s="53">
        <f>_xlfn.XLOOKUP(D127,'⑤项目数-B-a-③消耗明细表'!$C:$C,'⑤项目数-B-a-③消耗明细表'!G:G,0)</f>
        <v>0</v>
      </c>
    </row>
    <row r="128" spans="1:14" x14ac:dyDescent="0.15">
      <c r="A128" s="52" t="str">
        <v>优品道</v>
      </c>
      <c r="B128" s="52" t="str">
        <v>健康师</v>
      </c>
      <c r="C128" s="52" t="str">
        <v>A</v>
      </c>
      <c r="D128" s="52" t="str">
        <v>彭鑫</v>
      </c>
      <c r="E128" s="52" t="str">
        <f>_xlfn.XLOOKUP(D128,期初设置!E:E,期初设置!F:F,0)</f>
        <v>优品道+出奇队</v>
      </c>
      <c r="F128" s="52" t="str">
        <f>_xlfn.XLOOKUP(D128,期初设置!E:E,期初设置!D:D,0)</f>
        <v>健康师</v>
      </c>
      <c r="G128" s="53">
        <f>_xlfn.XLOOKUP(D128,'④考勤-B-a-26考勤汇总表'!D:D,'④考勤-B-a-26考勤汇总表'!AP:AP,0)</f>
        <v>31</v>
      </c>
      <c r="H128" s="141">
        <f>_xlfn.XLOOKUP(D128,'个人业绩-B-a-②呈现-业绩明细表'!$C:$C,'个人业绩-B-a-②呈现-业绩明细表'!D:D,0)</f>
        <v>34917.1</v>
      </c>
      <c r="I128" s="141">
        <f>_xlfn.XLOOKUP(D128,'个人业绩-B-a-②呈现-业绩明细表'!$C:$C,'个人业绩-B-a-②呈现-业绩明细表'!$E:$E,0)</f>
        <v>33141.1</v>
      </c>
      <c r="J128" s="141">
        <f>_xlfn.XLOOKUP(D128,'个人业绩-B-a-②呈现-业绩明细表'!$C:$C,'个人业绩-B-a-②呈现-业绩明细表'!$F:$F,0)</f>
        <v>0</v>
      </c>
      <c r="K128" s="53">
        <f>SUMIFS('⑦扣除明细-B-a-12-奖励统计表③'!G:G,'⑦扣除明细-B-a-12-奖励统计表③'!D:D,D128)</f>
        <v>1776</v>
      </c>
      <c r="L128" s="53">
        <f>_xlfn.XLOOKUP(D128,'⑤项目数-B-a-③消耗明细表'!C:C,'⑤项目数-B-a-③消耗明细表'!E:E,0)</f>
        <v>16263.86</v>
      </c>
      <c r="M128" s="153">
        <f>_xlfn.XLOOKUP(D128,'⑤项目数-B-a-③消耗明细表'!$C:$C,'⑤项目数-B-a-③消耗明细表'!F:F,0)</f>
        <v>1159</v>
      </c>
      <c r="N128" s="53">
        <f>_xlfn.XLOOKUP(D128,'⑤项目数-B-a-③消耗明细表'!$C:$C,'⑤项目数-B-a-③消耗明细表'!G:G,0)</f>
        <v>0</v>
      </c>
    </row>
    <row r="129" spans="1:14" x14ac:dyDescent="0.15">
      <c r="A129" s="52" t="str">
        <v>优品道</v>
      </c>
      <c r="B129" s="52" t="str">
        <v>健康师</v>
      </c>
      <c r="C129" s="52" t="str">
        <v>A</v>
      </c>
      <c r="D129" s="52" t="str">
        <v>李维</v>
      </c>
      <c r="E129" s="52" t="str">
        <f>_xlfn.XLOOKUP(D129,期初设置!E:E,期初设置!F:F,0)</f>
        <v>优品道+梦想队</v>
      </c>
      <c r="F129" s="52" t="str">
        <f>_xlfn.XLOOKUP(D129,期初设置!E:E,期初设置!D:D,0)</f>
        <v>顾问</v>
      </c>
      <c r="G129" s="53">
        <f>_xlfn.XLOOKUP(D129,'④考勤-B-a-26考勤汇总表'!D:D,'④考勤-B-a-26考勤汇总表'!AP:AP,0)</f>
        <v>31</v>
      </c>
      <c r="H129" s="141">
        <f>_xlfn.XLOOKUP(D129,'个人业绩-B-a-②呈现-业绩明细表'!$C:$C,'个人业绩-B-a-②呈现-业绩明细表'!D:D,0)</f>
        <v>48088.9</v>
      </c>
      <c r="I129" s="141">
        <f>_xlfn.XLOOKUP(D129,'个人业绩-B-a-②呈现-业绩明细表'!$C:$C,'个人业绩-B-a-②呈现-业绩明细表'!$E:$E,0)</f>
        <v>45888.9</v>
      </c>
      <c r="J129" s="141">
        <f>_xlfn.XLOOKUP(D129,'个人业绩-B-a-②呈现-业绩明细表'!$C:$C,'个人业绩-B-a-②呈现-业绩明细表'!$F:$F,0)</f>
        <v>1000</v>
      </c>
      <c r="K129" s="53">
        <f>SUMIFS('⑦扣除明细-B-a-12-奖励统计表③'!G:G,'⑦扣除明细-B-a-12-奖励统计表③'!D:D,D129)</f>
        <v>1200</v>
      </c>
      <c r="L129" s="53">
        <f>_xlfn.XLOOKUP(D129,'⑤项目数-B-a-③消耗明细表'!C:C,'⑤项目数-B-a-③消耗明细表'!E:E,0)</f>
        <v>36278.51</v>
      </c>
      <c r="M129" s="153">
        <f>_xlfn.XLOOKUP(D129,'⑤项目数-B-a-③消耗明细表'!$C:$C,'⑤项目数-B-a-③消耗明细表'!F:F,0)</f>
        <v>1730</v>
      </c>
      <c r="N129" s="53">
        <f>_xlfn.XLOOKUP(D129,'⑤项目数-B-a-③消耗明细表'!$C:$C,'⑤项目数-B-a-③消耗明细表'!G:G,0)</f>
        <v>220</v>
      </c>
    </row>
    <row r="130" spans="1:14" x14ac:dyDescent="0.15">
      <c r="A130" s="52" t="str">
        <v>优品道</v>
      </c>
      <c r="B130" s="52" t="str">
        <v>健康师</v>
      </c>
      <c r="C130" s="52" t="str">
        <v>A</v>
      </c>
      <c r="D130" s="52" t="str">
        <v>贾琳</v>
      </c>
      <c r="E130" s="52" t="str">
        <f>_xlfn.XLOOKUP(D130,期初设置!E:E,期初设置!F:F,0)</f>
        <v>优品道+出奇队</v>
      </c>
      <c r="F130" s="52" t="str">
        <f>_xlfn.XLOOKUP(D130,期初设置!E:E,期初设置!D:D,0)</f>
        <v>顾问</v>
      </c>
      <c r="G130" s="53">
        <f>_xlfn.XLOOKUP(D130,'④考勤-B-a-26考勤汇总表'!D:D,'④考勤-B-a-26考勤汇总表'!AP:AP,0)</f>
        <v>31</v>
      </c>
      <c r="H130" s="141">
        <f>_xlfn.XLOOKUP(D130,'个人业绩-B-a-②呈现-业绩明细表'!$C:$C,'个人业绩-B-a-②呈现-业绩明细表'!D:D,0)</f>
        <v>45081</v>
      </c>
      <c r="I130" s="141">
        <f>_xlfn.XLOOKUP(D130,'个人业绩-B-a-②呈现-业绩明细表'!$C:$C,'个人业绩-B-a-②呈现-业绩明细表'!$E:$E,0)</f>
        <v>27701</v>
      </c>
      <c r="J130" s="141">
        <f>_xlfn.XLOOKUP(D130,'个人业绩-B-a-②呈现-业绩明细表'!$C:$C,'个人业绩-B-a-②呈现-业绩明细表'!$F:$F,0)</f>
        <v>17180</v>
      </c>
      <c r="K130" s="53">
        <f>SUMIFS('⑦扣除明细-B-a-12-奖励统计表③'!G:G,'⑦扣除明细-B-a-12-奖励统计表③'!D:D,D130)</f>
        <v>200</v>
      </c>
      <c r="L130" s="53">
        <f>_xlfn.XLOOKUP(D130,'⑤项目数-B-a-③消耗明细表'!C:C,'⑤项目数-B-a-③消耗明细表'!E:E,0)</f>
        <v>15154.56</v>
      </c>
      <c r="M130" s="153">
        <f>_xlfn.XLOOKUP(D130,'⑤项目数-B-a-③消耗明细表'!$C:$C,'⑤项目数-B-a-③消耗明细表'!F:F,0)</f>
        <v>1498</v>
      </c>
      <c r="N130" s="53">
        <f>_xlfn.XLOOKUP(D130,'⑤项目数-B-a-③消耗明细表'!$C:$C,'⑤项目数-B-a-③消耗明细表'!G:G,0)</f>
        <v>220</v>
      </c>
    </row>
    <row r="131" spans="1:14" x14ac:dyDescent="0.15">
      <c r="A131" s="52" t="str">
        <v>优品道</v>
      </c>
      <c r="B131" s="52" t="str">
        <v>健康师</v>
      </c>
      <c r="C131" s="52" t="str">
        <v>A</v>
      </c>
      <c r="D131" s="52" t="str">
        <v>王智慧</v>
      </c>
      <c r="E131" s="52" t="str">
        <f>_xlfn.XLOOKUP(D131,期初设置!E:E,期初设置!F:F,0)</f>
        <v>优品道+出奇队</v>
      </c>
      <c r="F131" s="52" t="str">
        <f>_xlfn.XLOOKUP(D131,期初设置!E:E,期初设置!D:D,0)</f>
        <v>健康师</v>
      </c>
      <c r="G131" s="53">
        <f>_xlfn.XLOOKUP(D131,'④考勤-B-a-26考勤汇总表'!D:D,'④考勤-B-a-26考勤汇总表'!AP:AP,0)</f>
        <v>31</v>
      </c>
      <c r="H131" s="141">
        <f>_xlfn.XLOOKUP(D131,'个人业绩-B-a-②呈现-业绩明细表'!$C:$C,'个人业绩-B-a-②呈现-业绩明细表'!D:D,0)</f>
        <v>11389</v>
      </c>
      <c r="I131" s="141">
        <f>_xlfn.XLOOKUP(D131,'个人业绩-B-a-②呈现-业绩明细表'!$C:$C,'个人业绩-B-a-②呈现-业绩明细表'!$E:$E,0)</f>
        <v>10644</v>
      </c>
      <c r="J131" s="141">
        <f>_xlfn.XLOOKUP(D131,'个人业绩-B-a-②呈现-业绩明细表'!$C:$C,'个人业绩-B-a-②呈现-业绩明细表'!$F:$F,0)</f>
        <v>0</v>
      </c>
      <c r="K131" s="53">
        <f>SUMIFS('⑦扣除明细-B-a-12-奖励统计表③'!G:G,'⑦扣除明细-B-a-12-奖励统计表③'!D:D,D131)</f>
        <v>745</v>
      </c>
      <c r="L131" s="53">
        <f>_xlfn.XLOOKUP(D131,'⑤项目数-B-a-③消耗明细表'!C:C,'⑤项目数-B-a-③消耗明细表'!E:E,0)</f>
        <v>13041.74</v>
      </c>
      <c r="M131" s="153">
        <f>_xlfn.XLOOKUP(D131,'⑤项目数-B-a-③消耗明细表'!$C:$C,'⑤项目数-B-a-③消耗明细表'!F:F,0)</f>
        <v>1493</v>
      </c>
      <c r="N131" s="53">
        <f>_xlfn.XLOOKUP(D131,'⑤项目数-B-a-③消耗明细表'!$C:$C,'⑤项目数-B-a-③消耗明细表'!G:G,0)</f>
        <v>115</v>
      </c>
    </row>
    <row r="132" spans="1:14" x14ac:dyDescent="0.15">
      <c r="A132" s="52" t="str">
        <v>优品道</v>
      </c>
      <c r="B132" s="52" t="str">
        <v>健康师</v>
      </c>
      <c r="C132" s="52" t="str">
        <v>A</v>
      </c>
      <c r="D132" s="52" t="str">
        <v>邓笑</v>
      </c>
      <c r="E132" s="52" t="str">
        <f>_xlfn.XLOOKUP(D132,期初设置!E:E,期初设置!F:F,0)</f>
        <v>优品道+梦想队</v>
      </c>
      <c r="F132" s="52" t="str">
        <f>_xlfn.XLOOKUP(D132,期初设置!E:E,期初设置!D:D,0)</f>
        <v>健康师</v>
      </c>
      <c r="G132" s="53">
        <f>_xlfn.XLOOKUP(D132,'④考勤-B-a-26考勤汇总表'!D:D,'④考勤-B-a-26考勤汇总表'!AP:AP,0)</f>
        <v>31</v>
      </c>
      <c r="H132" s="141">
        <f>_xlfn.XLOOKUP(D132,'个人业绩-B-a-②呈现-业绩明细表'!$C:$C,'个人业绩-B-a-②呈现-业绩明细表'!D:D,0)</f>
        <v>16834</v>
      </c>
      <c r="I132" s="141">
        <f>_xlfn.XLOOKUP(D132,'个人业绩-B-a-②呈现-业绩明细表'!$C:$C,'个人业绩-B-a-②呈现-业绩明细表'!$E:$E,0)</f>
        <v>15746</v>
      </c>
      <c r="J132" s="141">
        <f>_xlfn.XLOOKUP(D132,'个人业绩-B-a-②呈现-业绩明细表'!$C:$C,'个人业绩-B-a-②呈现-业绩明细表'!$F:$F,0)</f>
        <v>0</v>
      </c>
      <c r="K132" s="53">
        <f>SUMIFS('⑦扣除明细-B-a-12-奖励统计表③'!G:G,'⑦扣除明细-B-a-12-奖励统计表③'!D:D,D132)</f>
        <v>1088</v>
      </c>
      <c r="L132" s="53">
        <f>_xlfn.XLOOKUP(D132,'⑤项目数-B-a-③消耗明细表'!C:C,'⑤项目数-B-a-③消耗明细表'!E:E,0)</f>
        <v>19040.330000000002</v>
      </c>
      <c r="M132" s="153">
        <f>_xlfn.XLOOKUP(D132,'⑤项目数-B-a-③消耗明细表'!$C:$C,'⑤项目数-B-a-③消耗明细表'!F:F,0)</f>
        <v>1637</v>
      </c>
      <c r="N132" s="53">
        <f>_xlfn.XLOOKUP(D132,'⑤项目数-B-a-③消耗明细表'!$C:$C,'⑤项目数-B-a-③消耗明细表'!G:G,0)</f>
        <v>195</v>
      </c>
    </row>
    <row r="133" spans="1:14" x14ac:dyDescent="0.15">
      <c r="A133" s="52" t="str">
        <v>优品道</v>
      </c>
      <c r="B133" s="52" t="str">
        <v>健康师</v>
      </c>
      <c r="C133" s="52" t="str">
        <v>A</v>
      </c>
      <c r="D133" s="52" t="str">
        <v>刘丽华</v>
      </c>
      <c r="E133" s="52" t="str">
        <f>_xlfn.XLOOKUP(D133,期初设置!E:E,期初设置!F:F,0)</f>
        <v>优品道+梦想队</v>
      </c>
      <c r="F133" s="52" t="str">
        <f>_xlfn.XLOOKUP(D133,期初设置!E:E,期初设置!D:D,0)</f>
        <v>健康师</v>
      </c>
      <c r="G133" s="53">
        <f>_xlfn.XLOOKUP(D133,'④考勤-B-a-26考勤汇总表'!D:D,'④考勤-B-a-26考勤汇总表'!AP:AP,0)</f>
        <v>31</v>
      </c>
      <c r="H133" s="141">
        <f>_xlfn.XLOOKUP(D133,'个人业绩-B-a-②呈现-业绩明细表'!$C:$C,'个人业绩-B-a-②呈现-业绩明细表'!D:D,0)</f>
        <v>4502</v>
      </c>
      <c r="I133" s="141">
        <f>_xlfn.XLOOKUP(D133,'个人业绩-B-a-②呈现-业绩明细表'!$C:$C,'个人业绩-B-a-②呈现-业绩明细表'!$E:$E,0)</f>
        <v>4502</v>
      </c>
      <c r="J133" s="141">
        <f>_xlfn.XLOOKUP(D133,'个人业绩-B-a-②呈现-业绩明细表'!$C:$C,'个人业绩-B-a-②呈现-业绩明细表'!$F:$F,0)</f>
        <v>0</v>
      </c>
      <c r="K133" s="53">
        <f>SUMIFS('⑦扣除明细-B-a-12-奖励统计表③'!G:G,'⑦扣除明细-B-a-12-奖励统计表③'!D:D,D133)</f>
        <v>0</v>
      </c>
      <c r="L133" s="53">
        <f>_xlfn.XLOOKUP(D133,'⑤项目数-B-a-③消耗明细表'!C:C,'⑤项目数-B-a-③消耗明细表'!E:E,0)</f>
        <v>6417.83</v>
      </c>
      <c r="M133" s="153">
        <f>_xlfn.XLOOKUP(D133,'⑤项目数-B-a-③消耗明细表'!$C:$C,'⑤项目数-B-a-③消耗明细表'!F:F,0)</f>
        <v>1229</v>
      </c>
      <c r="N133" s="53">
        <f>_xlfn.XLOOKUP(D133,'⑤项目数-B-a-③消耗明细表'!$C:$C,'⑤项目数-B-a-③消耗明细表'!G:G,0)</f>
        <v>0</v>
      </c>
    </row>
    <row r="134" spans="1:14" x14ac:dyDescent="0.15">
      <c r="A134" s="52" t="str">
        <v>大源</v>
      </c>
      <c r="B134" s="52" t="str">
        <v>健康师</v>
      </c>
      <c r="C134" s="52" t="str">
        <v>A</v>
      </c>
      <c r="D134" s="52" t="str">
        <v>周林</v>
      </c>
      <c r="E134" s="52" t="str">
        <f>_xlfn.XLOOKUP(D134,期初设置!E:E,期初设置!F:F,0)</f>
        <v>大源+野狼队</v>
      </c>
      <c r="F134" s="52" t="str">
        <f>_xlfn.XLOOKUP(D134,期初设置!E:E,期初设置!D:D,0)</f>
        <v>健康师</v>
      </c>
      <c r="G134" s="53">
        <f>_xlfn.XLOOKUP(D134,'④考勤-B-a-26考勤汇总表'!D:D,'④考勤-B-a-26考勤汇总表'!AP:AP,0)</f>
        <v>31</v>
      </c>
      <c r="H134" s="141">
        <f>_xlfn.XLOOKUP(D134,'个人业绩-B-a-②呈现-业绩明细表'!$C:$C,'个人业绩-B-a-②呈现-业绩明细表'!D:D,0)</f>
        <v>22707.200000000001</v>
      </c>
      <c r="I134" s="141">
        <f>_xlfn.XLOOKUP(D134,'个人业绩-B-a-②呈现-业绩明细表'!$C:$C,'个人业绩-B-a-②呈现-业绩明细表'!$E:$E,0)</f>
        <v>5727</v>
      </c>
      <c r="J134" s="141">
        <f>_xlfn.XLOOKUP(D134,'个人业绩-B-a-②呈现-业绩明细表'!$C:$C,'个人业绩-B-a-②呈现-业绩明细表'!$F:$F,0)</f>
        <v>15472.2</v>
      </c>
      <c r="K134" s="53">
        <f>SUMIFS('⑦扣除明细-B-a-12-奖励统计表③'!G:G,'⑦扣除明细-B-a-12-奖励统计表③'!D:D,D134)</f>
        <v>1508</v>
      </c>
      <c r="L134" s="53">
        <f>_xlfn.XLOOKUP(D134,'⑤项目数-B-a-③消耗明细表'!C:C,'⑤项目数-B-a-③消耗明细表'!E:E,0)</f>
        <v>14187.07</v>
      </c>
      <c r="M134" s="153">
        <f>_xlfn.XLOOKUP(D134,'⑤项目数-B-a-③消耗明细表'!$C:$C,'⑤项目数-B-a-③消耗明细表'!F:F,0)</f>
        <v>1615</v>
      </c>
      <c r="N134" s="53">
        <f>_xlfn.XLOOKUP(D134,'⑤项目数-B-a-③消耗明细表'!$C:$C,'⑤项目数-B-a-③消耗明细表'!G:G,0)</f>
        <v>120</v>
      </c>
    </row>
    <row r="135" spans="1:14" x14ac:dyDescent="0.15">
      <c r="A135" s="52" t="str">
        <v>大源</v>
      </c>
      <c r="B135" s="52" t="str">
        <v>健康师</v>
      </c>
      <c r="C135" s="52" t="str">
        <v>A</v>
      </c>
      <c r="D135" s="52" t="str">
        <v>钟秦</v>
      </c>
      <c r="E135" s="52" t="str">
        <f>_xlfn.XLOOKUP(D135,期初设置!E:E,期初设置!F:F,0)</f>
        <v>大源+野狼队</v>
      </c>
      <c r="F135" s="52" t="str">
        <f>_xlfn.XLOOKUP(D135,期初设置!E:E,期初设置!D:D,0)</f>
        <v>顾问</v>
      </c>
      <c r="G135" s="53">
        <f>_xlfn.XLOOKUP(D135,'④考勤-B-a-26考勤汇总表'!D:D,'④考勤-B-a-26考勤汇总表'!AP:AP,0)</f>
        <v>31</v>
      </c>
      <c r="H135" s="141">
        <f>_xlfn.XLOOKUP(D135,'个人业绩-B-a-②呈现-业绩明细表'!$C:$C,'个人业绩-B-a-②呈现-业绩明细表'!D:D,0)</f>
        <v>33524</v>
      </c>
      <c r="I135" s="141">
        <f>_xlfn.XLOOKUP(D135,'个人业绩-B-a-②呈现-业绩明细表'!$C:$C,'个人业绩-B-a-②呈现-业绩明细表'!$E:$E,0)</f>
        <v>6188</v>
      </c>
      <c r="J135" s="141">
        <f>_xlfn.XLOOKUP(D135,'个人业绩-B-a-②呈现-业绩明细表'!$C:$C,'个人业绩-B-a-②呈现-业绩明细表'!$F:$F,0)</f>
        <v>27336</v>
      </c>
      <c r="K135" s="53">
        <f>SUMIFS('⑦扣除明细-B-a-12-奖励统计表③'!G:G,'⑦扣除明细-B-a-12-奖励统计表③'!D:D,D135)</f>
        <v>0</v>
      </c>
      <c r="L135" s="53">
        <f>_xlfn.XLOOKUP(D135,'⑤项目数-B-a-③消耗明细表'!C:C,'⑤项目数-B-a-③消耗明细表'!E:E,0)</f>
        <v>9214.99</v>
      </c>
      <c r="M135" s="153">
        <f>_xlfn.XLOOKUP(D135,'⑤项目数-B-a-③消耗明细表'!$C:$C,'⑤项目数-B-a-③消耗明细表'!F:F,0)</f>
        <v>1186</v>
      </c>
      <c r="N135" s="53">
        <f>_xlfn.XLOOKUP(D135,'⑤项目数-B-a-③消耗明细表'!$C:$C,'⑤项目数-B-a-③消耗明细表'!G:G,0)</f>
        <v>90</v>
      </c>
    </row>
    <row r="136" spans="1:14" x14ac:dyDescent="0.15">
      <c r="A136" s="52" t="str">
        <v>大源</v>
      </c>
      <c r="B136" s="52" t="str">
        <v>健康师</v>
      </c>
      <c r="C136" s="52" t="str">
        <v>A</v>
      </c>
      <c r="D136" s="52" t="str">
        <v>李燕1</v>
      </c>
      <c r="E136" s="52" t="str">
        <f>_xlfn.XLOOKUP(D136,期初设置!E:E,期初设置!F:F,0)</f>
        <v>大源+冲锋队</v>
      </c>
      <c r="F136" s="52" t="str">
        <f>_xlfn.XLOOKUP(D136,期初设置!E:E,期初设置!D:D,0)</f>
        <v>健康师</v>
      </c>
      <c r="G136" s="53">
        <f>_xlfn.XLOOKUP(D136,'④考勤-B-a-26考勤汇总表'!D:D,'④考勤-B-a-26考勤汇总表'!AP:AP,0)</f>
        <v>31</v>
      </c>
      <c r="H136" s="141">
        <f>_xlfn.XLOOKUP(D136,'个人业绩-B-a-②呈现-业绩明细表'!$C:$C,'个人业绩-B-a-②呈现-业绩明细表'!D:D,0)</f>
        <v>34659.15</v>
      </c>
      <c r="I136" s="141">
        <f>_xlfn.XLOOKUP(D136,'个人业绩-B-a-②呈现-业绩明细表'!$C:$C,'个人业绩-B-a-②呈现-业绩明细表'!$E:$E,0)</f>
        <v>11154.25</v>
      </c>
      <c r="J136" s="141">
        <f>_xlfn.XLOOKUP(D136,'个人业绩-B-a-②呈现-业绩明细表'!$C:$C,'个人业绩-B-a-②呈现-业绩明细表'!$F:$F,0)</f>
        <v>22504.9</v>
      </c>
      <c r="K136" s="53">
        <f>SUMIFS('⑦扣除明细-B-a-12-奖励统计表③'!G:G,'⑦扣除明细-B-a-12-奖励统计表③'!D:D,D136)</f>
        <v>1000</v>
      </c>
      <c r="L136" s="53">
        <f>_xlfn.XLOOKUP(D136,'⑤项目数-B-a-③消耗明细表'!C:C,'⑤项目数-B-a-③消耗明细表'!E:E,0)</f>
        <v>5717.98</v>
      </c>
      <c r="M136" s="153">
        <f>_xlfn.XLOOKUP(D136,'⑤项目数-B-a-③消耗明细表'!$C:$C,'⑤项目数-B-a-③消耗明细表'!F:F,0)</f>
        <v>1261</v>
      </c>
      <c r="N136" s="53">
        <f>_xlfn.XLOOKUP(D136,'⑤项目数-B-a-③消耗明细表'!$C:$C,'⑤项目数-B-a-③消耗明细表'!G:G,0)</f>
        <v>45</v>
      </c>
    </row>
    <row r="137" spans="1:14" x14ac:dyDescent="0.15">
      <c r="A137" s="52" t="str">
        <v>大源</v>
      </c>
      <c r="B137" s="52" t="str">
        <v>健康师</v>
      </c>
      <c r="C137" s="52" t="str">
        <v>A</v>
      </c>
      <c r="D137" s="52" t="str">
        <v>陈世琳</v>
      </c>
      <c r="E137" s="52" t="str">
        <f>_xlfn.XLOOKUP(D137,期初设置!E:E,期初设置!F:F,0)</f>
        <v>大源+冲锋队</v>
      </c>
      <c r="F137" s="52" t="str">
        <f>_xlfn.XLOOKUP(D137,期初设置!E:E,期初设置!D:D,0)</f>
        <v>顾问</v>
      </c>
      <c r="G137" s="53">
        <f>_xlfn.XLOOKUP(D137,'④考勤-B-a-26考勤汇总表'!D:D,'④考勤-B-a-26考勤汇总表'!AP:AP,0)</f>
        <v>31</v>
      </c>
      <c r="H137" s="141">
        <f>_xlfn.XLOOKUP(D137,'个人业绩-B-a-②呈现-业绩明细表'!$C:$C,'个人业绩-B-a-②呈现-业绩明细表'!D:D,0)</f>
        <v>20697.650000000001</v>
      </c>
      <c r="I137" s="141">
        <f>_xlfn.XLOOKUP(D137,'个人业绩-B-a-②呈现-业绩明细表'!$C:$C,'个人业绩-B-a-②呈现-业绩明细表'!$E:$E,0)</f>
        <v>4785.25</v>
      </c>
      <c r="J137" s="141">
        <f>_xlfn.XLOOKUP(D137,'个人业绩-B-a-②呈现-业绩明细表'!$C:$C,'个人业绩-B-a-②呈现-业绩明细表'!$F:$F,0)</f>
        <v>15912.4</v>
      </c>
      <c r="K137" s="53">
        <f>SUMIFS('⑦扣除明细-B-a-12-奖励统计表③'!G:G,'⑦扣除明细-B-a-12-奖励统计表③'!D:D,D137)</f>
        <v>0</v>
      </c>
      <c r="L137" s="53">
        <f>_xlfn.XLOOKUP(D137,'⑤项目数-B-a-③消耗明细表'!C:C,'⑤项目数-B-a-③消耗明细表'!E:E,0)</f>
        <v>20407.3</v>
      </c>
      <c r="M137" s="153">
        <f>_xlfn.XLOOKUP(D137,'⑤项目数-B-a-③消耗明细表'!$C:$C,'⑤项目数-B-a-③消耗明细表'!F:F,0)</f>
        <v>2023</v>
      </c>
      <c r="N137" s="53">
        <f>_xlfn.XLOOKUP(D137,'⑤项目数-B-a-③消耗明细表'!$C:$C,'⑤项目数-B-a-③消耗明细表'!G:G,0)</f>
        <v>240</v>
      </c>
    </row>
    <row r="138" spans="1:14" x14ac:dyDescent="0.15">
      <c r="A138" s="52" t="str">
        <v>大源</v>
      </c>
      <c r="B138" s="52" t="str">
        <v>健康师</v>
      </c>
      <c r="C138" s="52" t="str">
        <v>A</v>
      </c>
      <c r="D138" s="52" t="str">
        <v>张林英</v>
      </c>
      <c r="E138" s="52" t="str">
        <f>_xlfn.XLOOKUP(D138,期初设置!E:E,期初设置!F:F,0)</f>
        <v>大源+单人</v>
      </c>
      <c r="F138" s="52">
        <f>_xlfn.XLOOKUP(D138,期初设置!E:E,期初设置!D:D,0)</f>
        <v>0</v>
      </c>
      <c r="G138" s="53">
        <f>_xlfn.XLOOKUP(D138,'④考勤-B-a-26考勤汇总表'!D:D,'④考勤-B-a-26考勤汇总表'!AP:AP,0)</f>
        <v>1</v>
      </c>
      <c r="H138" s="141">
        <f>_xlfn.XLOOKUP(D138,'个人业绩-B-a-②呈现-业绩明细表'!$C:$C,'个人业绩-B-a-②呈现-业绩明细表'!D:D,0)</f>
        <v>0</v>
      </c>
      <c r="I138" s="141">
        <f>_xlfn.XLOOKUP(D138,'个人业绩-B-a-②呈现-业绩明细表'!$C:$C,'个人业绩-B-a-②呈现-业绩明细表'!$E:$E,0)</f>
        <v>0</v>
      </c>
      <c r="J138" s="141">
        <f>_xlfn.XLOOKUP(D138,'个人业绩-B-a-②呈现-业绩明细表'!$C:$C,'个人业绩-B-a-②呈现-业绩明细表'!$F:$F,0)</f>
        <v>0</v>
      </c>
      <c r="K138" s="53">
        <f>SUMIFS('⑦扣除明细-B-a-12-奖励统计表③'!G:G,'⑦扣除明细-B-a-12-奖励统计表③'!D:D,D138)</f>
        <v>0</v>
      </c>
      <c r="L138" s="53">
        <f>_xlfn.XLOOKUP(D138,'⑤项目数-B-a-③消耗明细表'!C:C,'⑤项目数-B-a-③消耗明细表'!E:E,0)</f>
        <v>81.13</v>
      </c>
      <c r="M138" s="153">
        <f>_xlfn.XLOOKUP(D138,'⑤项目数-B-a-③消耗明细表'!$C:$C,'⑤项目数-B-a-③消耗明细表'!F:F,0)</f>
        <v>30</v>
      </c>
      <c r="N138" s="53">
        <f>_xlfn.XLOOKUP(D138,'⑤项目数-B-a-③消耗明细表'!$C:$C,'⑤项目数-B-a-③消耗明细表'!G:G,0)</f>
        <v>0</v>
      </c>
    </row>
    <row r="139" spans="1:14" x14ac:dyDescent="0.15">
      <c r="A139" s="52" t="str">
        <v>红光</v>
      </c>
      <c r="B139" s="52" t="str">
        <v>健康师</v>
      </c>
      <c r="C139" s="52" t="str">
        <v>A</v>
      </c>
      <c r="D139" s="52" t="str">
        <v>马丽亚</v>
      </c>
      <c r="E139" s="52" t="str">
        <f>_xlfn.XLOOKUP(D139,期初设置!E:E,期初设置!F:F,0)</f>
        <v>红光+逐梦队</v>
      </c>
      <c r="F139" s="52" t="str">
        <f>_xlfn.XLOOKUP(D139,期初设置!E:E,期初设置!D:D,0)</f>
        <v>顾问</v>
      </c>
      <c r="G139" s="53">
        <f>_xlfn.XLOOKUP(D139,'④考勤-B-a-26考勤汇总表'!D:D,'④考勤-B-a-26考勤汇总表'!AP:AP,0)</f>
        <v>25</v>
      </c>
      <c r="H139" s="141">
        <f>_xlfn.XLOOKUP(D139,'个人业绩-B-a-②呈现-业绩明细表'!$C:$C,'个人业绩-B-a-②呈现-业绩明细表'!D:D,0)</f>
        <v>97081.22</v>
      </c>
      <c r="I139" s="141">
        <f>_xlfn.XLOOKUP(D139,'个人业绩-B-a-②呈现-业绩明细表'!$C:$C,'个人业绩-B-a-②呈现-业绩明细表'!$E:$E,0)</f>
        <v>31981.22</v>
      </c>
      <c r="J139" s="141">
        <f>_xlfn.XLOOKUP(D139,'个人业绩-B-a-②呈现-业绩明细表'!$C:$C,'个人业绩-B-a-②呈现-业绩明细表'!$F:$F,0)</f>
        <v>65100</v>
      </c>
      <c r="K139" s="53">
        <f>SUMIFS('⑦扣除明细-B-a-12-奖励统计表③'!G:G,'⑦扣除明细-B-a-12-奖励统计表③'!D:D,D139)</f>
        <v>0</v>
      </c>
      <c r="L139" s="53">
        <f>_xlfn.XLOOKUP(D139,'⑤项目数-B-a-③消耗明细表'!C:C,'⑤项目数-B-a-③消耗明细表'!E:E,0)</f>
        <v>15611.31</v>
      </c>
      <c r="M139" s="153">
        <f>_xlfn.XLOOKUP(D139,'⑤项目数-B-a-③消耗明细表'!$C:$C,'⑤项目数-B-a-③消耗明细表'!F:F,0)</f>
        <v>1400</v>
      </c>
      <c r="N139" s="53">
        <f>_xlfn.XLOOKUP(D139,'⑤项目数-B-a-③消耗明细表'!$C:$C,'⑤项目数-B-a-③消耗明细表'!G:G,0)</f>
        <v>165</v>
      </c>
    </row>
    <row r="140" spans="1:14" x14ac:dyDescent="0.15">
      <c r="A140" s="52" t="str">
        <v>红光</v>
      </c>
      <c r="B140" s="52" t="str">
        <v>健康师</v>
      </c>
      <c r="C140" s="52" t="str">
        <v>A</v>
      </c>
      <c r="D140" s="52" t="str">
        <v>阿衣尔扎</v>
      </c>
      <c r="E140" s="52" t="str">
        <f>_xlfn.XLOOKUP(D140,期初设置!E:E,期初设置!F:F,0)</f>
        <v>红光+逐梦队</v>
      </c>
      <c r="F140" s="52" t="str">
        <f>_xlfn.XLOOKUP(D140,期初设置!E:E,期初设置!D:D,0)</f>
        <v>健康师</v>
      </c>
      <c r="G140" s="53">
        <f>_xlfn.XLOOKUP(D140,'④考勤-B-a-26考勤汇总表'!D:D,'④考勤-B-a-26考勤汇总表'!AP:AP,0)</f>
        <v>31</v>
      </c>
      <c r="H140" s="141">
        <f>_xlfn.XLOOKUP(D140,'个人业绩-B-a-②呈现-业绩明细表'!$C:$C,'个人业绩-B-a-②呈现-业绩明细表'!D:D,0)</f>
        <v>20395</v>
      </c>
      <c r="I140" s="141">
        <f>_xlfn.XLOOKUP(D140,'个人业绩-B-a-②呈现-业绩明细表'!$C:$C,'个人业绩-B-a-②呈现-业绩明细表'!$E:$E,0)</f>
        <v>19997</v>
      </c>
      <c r="J140" s="141">
        <f>_xlfn.XLOOKUP(D140,'个人业绩-B-a-②呈现-业绩明细表'!$C:$C,'个人业绩-B-a-②呈现-业绩明细表'!$F:$F,0)</f>
        <v>398</v>
      </c>
      <c r="K140" s="53">
        <f>SUMIFS('⑦扣除明细-B-a-12-奖励统计表③'!G:G,'⑦扣除明细-B-a-12-奖励统计表③'!D:D,D140)</f>
        <v>0</v>
      </c>
      <c r="L140" s="53">
        <f>_xlfn.XLOOKUP(D140,'⑤项目数-B-a-③消耗明细表'!C:C,'⑤项目数-B-a-③消耗明细表'!E:E,0)</f>
        <v>3537.89</v>
      </c>
      <c r="M140" s="153">
        <f>_xlfn.XLOOKUP(D140,'⑤项目数-B-a-③消耗明细表'!$C:$C,'⑤项目数-B-a-③消耗明细表'!F:F,0)</f>
        <v>860</v>
      </c>
      <c r="N140" s="53">
        <f>_xlfn.XLOOKUP(D140,'⑤项目数-B-a-③消耗明细表'!$C:$C,'⑤项目数-B-a-③消耗明细表'!G:G,0)</f>
        <v>30</v>
      </c>
    </row>
    <row r="141" spans="1:14" x14ac:dyDescent="0.15">
      <c r="A141" s="52" t="str">
        <v>犀浦</v>
      </c>
      <c r="B141" s="52" t="str">
        <v>健康师</v>
      </c>
      <c r="C141" s="52" t="str">
        <v>A</v>
      </c>
      <c r="D141" s="52" t="str">
        <v>张霞</v>
      </c>
      <c r="E141" s="52" t="str">
        <f>_xlfn.XLOOKUP(D141,期初设置!E:E,期初设置!F:F,0)</f>
        <v>犀浦+旗胜队</v>
      </c>
      <c r="F141" s="52" t="str">
        <f>_xlfn.XLOOKUP(D141,期初设置!E:E,期初设置!D:D,0)</f>
        <v>健康师</v>
      </c>
      <c r="G141" s="53">
        <f>_xlfn.XLOOKUP(D141,'④考勤-B-a-26考勤汇总表'!D:D,'④考勤-B-a-26考勤汇总表'!AP:AP,0)</f>
        <v>31</v>
      </c>
      <c r="H141" s="141">
        <f>_xlfn.XLOOKUP(D141,'个人业绩-B-a-②呈现-业绩明细表'!$C:$C,'个人业绩-B-a-②呈现-业绩明细表'!D:D,0)</f>
        <v>20020.5</v>
      </c>
      <c r="I141" s="141">
        <f>_xlfn.XLOOKUP(D141,'个人业绩-B-a-②呈现-业绩明细表'!$C:$C,'个人业绩-B-a-②呈现-业绩明细表'!$E:$E,0)</f>
        <v>19132.5</v>
      </c>
      <c r="J141" s="141">
        <f>_xlfn.XLOOKUP(D141,'个人业绩-B-a-②呈现-业绩明细表'!$C:$C,'个人业绩-B-a-②呈现-业绩明细表'!$F:$F,0)</f>
        <v>0</v>
      </c>
      <c r="K141" s="53">
        <f>SUMIFS('⑦扣除明细-B-a-12-奖励统计表③'!G:G,'⑦扣除明细-B-a-12-奖励统计表③'!D:D,D141)</f>
        <v>888</v>
      </c>
      <c r="L141" s="53">
        <f>_xlfn.XLOOKUP(D141,'⑤项目数-B-a-③消耗明细表'!C:C,'⑤项目数-B-a-③消耗明细表'!E:E,0)</f>
        <v>12792.49</v>
      </c>
      <c r="M141" s="153">
        <f>_xlfn.XLOOKUP(D141,'⑤项目数-B-a-③消耗明细表'!$C:$C,'⑤项目数-B-a-③消耗明细表'!F:F,0)</f>
        <v>1437</v>
      </c>
      <c r="N141" s="53">
        <f>_xlfn.XLOOKUP(D141,'⑤项目数-B-a-③消耗明细表'!$C:$C,'⑤项目数-B-a-③消耗明细表'!G:G,0)</f>
        <v>55</v>
      </c>
    </row>
    <row r="142" spans="1:14" x14ac:dyDescent="0.15">
      <c r="A142" s="52" t="str">
        <v>红光</v>
      </c>
      <c r="B142" s="52" t="str">
        <v>健康师</v>
      </c>
      <c r="C142" s="52" t="str">
        <v>A</v>
      </c>
      <c r="D142" s="52" t="str">
        <v>蒙亦锌</v>
      </c>
      <c r="E142" s="52" t="str">
        <f>_xlfn.XLOOKUP(D142,期初设置!E:E,期初设置!F:F,0)</f>
        <v>红光+飞鹰队</v>
      </c>
      <c r="F142" s="52" t="str">
        <f>_xlfn.XLOOKUP(D142,期初设置!E:E,期初设置!D:D,0)</f>
        <v>健康师</v>
      </c>
      <c r="G142" s="53">
        <f>_xlfn.XLOOKUP(D142,'④考勤-B-a-26考勤汇总表'!D:D,'④考勤-B-a-26考勤汇总表'!AP:AP,0)</f>
        <v>31</v>
      </c>
      <c r="H142" s="141">
        <f>_xlfn.XLOOKUP(D142,'个人业绩-B-a-②呈现-业绩明细表'!$C:$C,'个人业绩-B-a-②呈现-业绩明细表'!D:D,0)</f>
        <v>43052.66</v>
      </c>
      <c r="I142" s="141">
        <f>_xlfn.XLOOKUP(D142,'个人业绩-B-a-②呈现-业绩明细表'!$C:$C,'个人业绩-B-a-②呈现-业绩明细表'!$E:$E,0)</f>
        <v>16392.66</v>
      </c>
      <c r="J142" s="141">
        <f>_xlfn.XLOOKUP(D142,'个人业绩-B-a-②呈现-业绩明细表'!$C:$C,'个人业绩-B-a-②呈现-业绩明细表'!$F:$F,0)</f>
        <v>26040</v>
      </c>
      <c r="K142" s="53">
        <f>SUMIFS('⑦扣除明细-B-a-12-奖励统计表③'!G:G,'⑦扣除明细-B-a-12-奖励统计表③'!D:D,D142)</f>
        <v>620</v>
      </c>
      <c r="L142" s="53">
        <f>_xlfn.XLOOKUP(D142,'⑤项目数-B-a-③消耗明细表'!C:C,'⑤项目数-B-a-③消耗明细表'!E:E,0)</f>
        <v>10460.950000000001</v>
      </c>
      <c r="M142" s="153">
        <f>_xlfn.XLOOKUP(D142,'⑤项目数-B-a-③消耗明细表'!$C:$C,'⑤项目数-B-a-③消耗明细表'!F:F,0)</f>
        <v>1139</v>
      </c>
      <c r="N142" s="53">
        <f>_xlfn.XLOOKUP(D142,'⑤项目数-B-a-③消耗明细表'!$C:$C,'⑤项目数-B-a-③消耗明细表'!G:G,0)</f>
        <v>15</v>
      </c>
    </row>
    <row r="143" spans="1:14" x14ac:dyDescent="0.15">
      <c r="A143" s="52" t="str">
        <v>红光</v>
      </c>
      <c r="B143" s="52" t="str">
        <v>健康师</v>
      </c>
      <c r="C143" s="52" t="str">
        <v>A</v>
      </c>
      <c r="D143" s="52" t="str">
        <v>刘梦蓝</v>
      </c>
      <c r="E143" s="52" t="str">
        <f>_xlfn.XLOOKUP(D143,期初设置!E:E,期初设置!F:F,0)</f>
        <v>红光+飞鹰队</v>
      </c>
      <c r="F143" s="52" t="str">
        <f>_xlfn.XLOOKUP(D143,期初设置!E:E,期初设置!D:D,0)</f>
        <v>健康师</v>
      </c>
      <c r="G143" s="53">
        <f>_xlfn.XLOOKUP(D143,'④考勤-B-a-26考勤汇总表'!D:D,'④考勤-B-a-26考勤汇总表'!AP:AP,0)</f>
        <v>31</v>
      </c>
      <c r="H143" s="141">
        <f>_xlfn.XLOOKUP(D143,'个人业绩-B-a-②呈现-业绩明细表'!$C:$C,'个人业绩-B-a-②呈现-业绩明细表'!D:D,0)</f>
        <v>14374.4</v>
      </c>
      <c r="I143" s="141">
        <f>_xlfn.XLOOKUP(D143,'个人业绩-B-a-②呈现-业绩明细表'!$C:$C,'个人业绩-B-a-②呈现-业绩明细表'!$E:$E,0)</f>
        <v>13754.4</v>
      </c>
      <c r="J143" s="141">
        <f>_xlfn.XLOOKUP(D143,'个人业绩-B-a-②呈现-业绩明细表'!$C:$C,'个人业绩-B-a-②呈现-业绩明细表'!$F:$F,0)</f>
        <v>0</v>
      </c>
      <c r="K143" s="53">
        <f>SUMIFS('⑦扣除明细-B-a-12-奖励统计表③'!G:G,'⑦扣除明细-B-a-12-奖励统计表③'!D:D,D143)</f>
        <v>620</v>
      </c>
      <c r="L143" s="53">
        <f>_xlfn.XLOOKUP(D143,'⑤项目数-B-a-③消耗明细表'!C:C,'⑤项目数-B-a-③消耗明细表'!E:E,0)</f>
        <v>6609.12</v>
      </c>
      <c r="M143" s="153">
        <f>_xlfn.XLOOKUP(D143,'⑤项目数-B-a-③消耗明细表'!$C:$C,'⑤项目数-B-a-③消耗明细表'!F:F,0)</f>
        <v>1027</v>
      </c>
      <c r="N143" s="53">
        <f>_xlfn.XLOOKUP(D143,'⑤项目数-B-a-③消耗明细表'!$C:$C,'⑤项目数-B-a-③消耗明细表'!G:G,0)</f>
        <v>35</v>
      </c>
    </row>
    <row r="144" spans="1:14" x14ac:dyDescent="0.15">
      <c r="A144" s="52" t="str">
        <v>保利</v>
      </c>
      <c r="B144" s="52" t="str">
        <v>健康师</v>
      </c>
      <c r="C144" s="52" t="str">
        <v>A</v>
      </c>
      <c r="D144" s="52" t="str">
        <v>谭言希</v>
      </c>
      <c r="E144" s="52" t="str">
        <f>_xlfn.XLOOKUP(D144,期初设置!E:E,期初设置!F:F,0)</f>
        <v>保利+爆棚队</v>
      </c>
      <c r="F144" s="52" t="str">
        <f>_xlfn.XLOOKUP(D144,期初设置!E:E,期初设置!D:D,0)</f>
        <v>顾问</v>
      </c>
      <c r="G144" s="53">
        <f>_xlfn.XLOOKUP(D144,'④考勤-B-a-26考勤汇总表'!D:D,'④考勤-B-a-26考勤汇总表'!AP:AP,0)</f>
        <v>31</v>
      </c>
      <c r="H144" s="141">
        <f>_xlfn.XLOOKUP(D144,'个人业绩-B-a-②呈现-业绩明细表'!$C:$C,'个人业绩-B-a-②呈现-业绩明细表'!D:D,0)</f>
        <v>43252.5</v>
      </c>
      <c r="I144" s="141">
        <f>_xlfn.XLOOKUP(D144,'个人业绩-B-a-②呈现-业绩明细表'!$C:$C,'个人业绩-B-a-②呈现-业绩明细表'!$E:$E,0)</f>
        <v>42364.5</v>
      </c>
      <c r="J144" s="141">
        <f>_xlfn.XLOOKUP(D144,'个人业绩-B-a-②呈现-业绩明细表'!$C:$C,'个人业绩-B-a-②呈现-业绩明细表'!$F:$F,0)</f>
        <v>0</v>
      </c>
      <c r="K144" s="53">
        <f>SUMIFS('⑦扣除明细-B-a-12-奖励统计表③'!G:G,'⑦扣除明细-B-a-12-奖励统计表③'!D:D,D144)</f>
        <v>888</v>
      </c>
      <c r="L144" s="53">
        <f>_xlfn.XLOOKUP(D144,'⑤项目数-B-a-③消耗明细表'!C:C,'⑤项目数-B-a-③消耗明细表'!E:E,0)</f>
        <v>7861.8</v>
      </c>
      <c r="M144" s="153">
        <f>_xlfn.XLOOKUP(D144,'⑤项目数-B-a-③消耗明细表'!$C:$C,'⑤项目数-B-a-③消耗明细表'!F:F,0)</f>
        <v>1140</v>
      </c>
      <c r="N144" s="53">
        <f>_xlfn.XLOOKUP(D144,'⑤项目数-B-a-③消耗明细表'!$C:$C,'⑤项目数-B-a-③消耗明细表'!G:G,0)</f>
        <v>15</v>
      </c>
    </row>
    <row r="145" spans="1:14" x14ac:dyDescent="0.15">
      <c r="A145" s="52" t="str">
        <v>保利</v>
      </c>
      <c r="B145" s="52" t="str">
        <v>健康师</v>
      </c>
      <c r="C145" s="52" t="str">
        <v>A</v>
      </c>
      <c r="D145" s="52" t="str">
        <v>黄江</v>
      </c>
      <c r="E145" s="52" t="str">
        <f>_xlfn.XLOOKUP(D145,期初设置!E:E,期初设置!F:F,0)</f>
        <v>保利+霸天虎啸队</v>
      </c>
      <c r="F145" s="52" t="str">
        <f>_xlfn.XLOOKUP(D145,期初设置!E:E,期初设置!D:D,0)</f>
        <v>顾问</v>
      </c>
      <c r="G145" s="53">
        <f>_xlfn.XLOOKUP(D145,'④考勤-B-a-26考勤汇总表'!D:D,'④考勤-B-a-26考勤汇总表'!AP:AP,0)</f>
        <v>31</v>
      </c>
      <c r="H145" s="141">
        <f>_xlfn.XLOOKUP(D145,'个人业绩-B-a-②呈现-业绩明细表'!$C:$C,'个人业绩-B-a-②呈现-业绩明细表'!D:D,0)</f>
        <v>55870</v>
      </c>
      <c r="I145" s="141">
        <f>_xlfn.XLOOKUP(D145,'个人业绩-B-a-②呈现-业绩明细表'!$C:$C,'个人业绩-B-a-②呈现-业绩明细表'!$E:$E,0)</f>
        <v>36070</v>
      </c>
      <c r="J145" s="141">
        <f>_xlfn.XLOOKUP(D145,'个人业绩-B-a-②呈现-业绩明细表'!$C:$C,'个人业绩-B-a-②呈现-业绩明细表'!$F:$F,0)</f>
        <v>19800</v>
      </c>
      <c r="K145" s="53">
        <f>SUMIFS('⑦扣除明细-B-a-12-奖励统计表③'!G:G,'⑦扣除明细-B-a-12-奖励统计表③'!D:D,D145)</f>
        <v>0</v>
      </c>
      <c r="L145" s="53">
        <f>_xlfn.XLOOKUP(D145,'⑤项目数-B-a-③消耗明细表'!C:C,'⑤项目数-B-a-③消耗明细表'!E:E,0)</f>
        <v>14027.7</v>
      </c>
      <c r="M145" s="153">
        <f>_xlfn.XLOOKUP(D145,'⑤项目数-B-a-③消耗明细表'!$C:$C,'⑤项目数-B-a-③消耗明细表'!F:F,0)</f>
        <v>1234</v>
      </c>
      <c r="N145" s="53">
        <f>_xlfn.XLOOKUP(D145,'⑤项目数-B-a-③消耗明细表'!$C:$C,'⑤项目数-B-a-③消耗明细表'!G:G,0)</f>
        <v>15</v>
      </c>
    </row>
    <row r="146" spans="1:14" x14ac:dyDescent="0.15">
      <c r="A146" s="52" t="str">
        <v>保利</v>
      </c>
      <c r="B146" s="52" t="str">
        <v>健康师</v>
      </c>
      <c r="C146" s="52" t="str">
        <v>A</v>
      </c>
      <c r="D146" s="52" t="str">
        <v>陈琼</v>
      </c>
      <c r="E146" s="52" t="str">
        <f>_xlfn.XLOOKUP(D146,期初设置!E:E,期初设置!F:F,0)</f>
        <v>保利+霸天虎啸队</v>
      </c>
      <c r="F146" s="52" t="str">
        <f>_xlfn.XLOOKUP(D146,期初设置!E:E,期初设置!D:D,0)</f>
        <v>健康师</v>
      </c>
      <c r="G146" s="53">
        <f>_xlfn.XLOOKUP(D146,'④考勤-B-a-26考勤汇总表'!D:D,'④考勤-B-a-26考勤汇总表'!AP:AP,0)</f>
        <v>31</v>
      </c>
      <c r="H146" s="141">
        <f>_xlfn.XLOOKUP(D146,'个人业绩-B-a-②呈现-业绩明细表'!$C:$C,'个人业绩-B-a-②呈现-业绩明细表'!D:D,0)</f>
        <v>42964.33</v>
      </c>
      <c r="I146" s="141">
        <f>_xlfn.XLOOKUP(D146,'个人业绩-B-a-②呈现-业绩明细表'!$C:$C,'个人业绩-B-a-②呈现-业绩明细表'!$E:$E,0)</f>
        <v>42964.33</v>
      </c>
      <c r="J146" s="141">
        <f>_xlfn.XLOOKUP(D146,'个人业绩-B-a-②呈现-业绩明细表'!$C:$C,'个人业绩-B-a-②呈现-业绩明细表'!$F:$F,0)</f>
        <v>0</v>
      </c>
      <c r="K146" s="53">
        <f>SUMIFS('⑦扣除明细-B-a-12-奖励统计表③'!G:G,'⑦扣除明细-B-a-12-奖励统计表③'!D:D,D146)</f>
        <v>0</v>
      </c>
      <c r="L146" s="53">
        <f>_xlfn.XLOOKUP(D146,'⑤项目数-B-a-③消耗明细表'!C:C,'⑤项目数-B-a-③消耗明细表'!E:E,0)</f>
        <v>11825.28</v>
      </c>
      <c r="M146" s="153">
        <f>_xlfn.XLOOKUP(D146,'⑤项目数-B-a-③消耗明细表'!$C:$C,'⑤项目数-B-a-③消耗明细表'!F:F,0)</f>
        <v>1474</v>
      </c>
      <c r="N146" s="53">
        <f>_xlfn.XLOOKUP(D146,'⑤项目数-B-a-③消耗明细表'!$C:$C,'⑤项目数-B-a-③消耗明细表'!G:G,0)</f>
        <v>125</v>
      </c>
    </row>
    <row r="147" spans="1:14" x14ac:dyDescent="0.15">
      <c r="A147" s="52" t="str">
        <v>保利</v>
      </c>
      <c r="B147" s="52" t="str">
        <v>健康师</v>
      </c>
      <c r="C147" s="52" t="str">
        <v>A</v>
      </c>
      <c r="D147" s="52" t="str">
        <v>米琪</v>
      </c>
      <c r="E147" s="52" t="str">
        <f>_xlfn.XLOOKUP(D147,期初设置!E:E,期初设置!F:F,0)</f>
        <v>保利+爆棚队</v>
      </c>
      <c r="F147" s="52" t="str">
        <f>_xlfn.XLOOKUP(D147,期初设置!E:E,期初设置!D:D,0)</f>
        <v>健康师</v>
      </c>
      <c r="G147" s="53">
        <f>_xlfn.XLOOKUP(D147,'④考勤-B-a-26考勤汇总表'!D:D,'④考勤-B-a-26考勤汇总表'!AP:AP,0)</f>
        <v>31</v>
      </c>
      <c r="H147" s="141">
        <f>_xlfn.XLOOKUP(D147,'个人业绩-B-a-②呈现-业绩明细表'!$C:$C,'个人业绩-B-a-②呈现-业绩明细表'!D:D,0)</f>
        <v>6130.5</v>
      </c>
      <c r="I147" s="141">
        <f>_xlfn.XLOOKUP(D147,'个人业绩-B-a-②呈现-业绩明细表'!$C:$C,'个人业绩-B-a-②呈现-业绩明细表'!$E:$E,0)</f>
        <v>6130.5</v>
      </c>
      <c r="J147" s="141">
        <f>_xlfn.XLOOKUP(D147,'个人业绩-B-a-②呈现-业绩明细表'!$C:$C,'个人业绩-B-a-②呈现-业绩明细表'!$F:$F,0)</f>
        <v>0</v>
      </c>
      <c r="K147" s="53">
        <f>SUMIFS('⑦扣除明细-B-a-12-奖励统计表③'!G:G,'⑦扣除明细-B-a-12-奖励统计表③'!D:D,D147)</f>
        <v>0</v>
      </c>
      <c r="L147" s="53">
        <f>_xlfn.XLOOKUP(D147,'⑤项目数-B-a-③消耗明细表'!C:C,'⑤项目数-B-a-③消耗明细表'!E:E,0)</f>
        <v>6892.7</v>
      </c>
      <c r="M147" s="153">
        <f>_xlfn.XLOOKUP(D147,'⑤项目数-B-a-③消耗明细表'!$C:$C,'⑤项目数-B-a-③消耗明细表'!F:F,0)</f>
        <v>1337</v>
      </c>
      <c r="N147" s="53">
        <f>_xlfn.XLOOKUP(D147,'⑤项目数-B-a-③消耗明细表'!$C:$C,'⑤项目数-B-a-③消耗明细表'!G:G,0)</f>
        <v>0</v>
      </c>
    </row>
    <row r="148" spans="1:14" x14ac:dyDescent="0.15">
      <c r="A148" s="52" t="str">
        <v>保利</v>
      </c>
      <c r="B148" s="52" t="str">
        <v>健康师</v>
      </c>
      <c r="C148" s="52" t="str">
        <v>A</v>
      </c>
      <c r="D148" s="52" t="str">
        <v>尚杨</v>
      </c>
      <c r="E148" s="52" t="str">
        <f>_xlfn.XLOOKUP(D148,期初设置!E:E,期初设置!F:F,0)</f>
        <v>保利+爆棚队</v>
      </c>
      <c r="F148" s="52" t="str">
        <f>_xlfn.XLOOKUP(D148,期初设置!E:E,期初设置!D:D,0)</f>
        <v>健康师</v>
      </c>
      <c r="G148" s="53">
        <f>_xlfn.XLOOKUP(D148,'④考勤-B-a-26考勤汇总表'!D:D,'④考勤-B-a-26考勤汇总表'!AP:AP,0)</f>
        <v>31</v>
      </c>
      <c r="H148" s="141">
        <f>_xlfn.XLOOKUP(D148,'个人业绩-B-a-②呈现-业绩明细表'!$C:$C,'个人业绩-B-a-②呈现-业绩明细表'!D:D,0)</f>
        <v>1814</v>
      </c>
      <c r="I148" s="141">
        <f>_xlfn.XLOOKUP(D148,'个人业绩-B-a-②呈现-业绩明细表'!$C:$C,'个人业绩-B-a-②呈现-业绩明细表'!$E:$E,0)</f>
        <v>1814</v>
      </c>
      <c r="J148" s="141">
        <f>_xlfn.XLOOKUP(D148,'个人业绩-B-a-②呈现-业绩明细表'!$C:$C,'个人业绩-B-a-②呈现-业绩明细表'!$F:$F,0)</f>
        <v>0</v>
      </c>
      <c r="K148" s="53">
        <f>SUMIFS('⑦扣除明细-B-a-12-奖励统计表③'!G:G,'⑦扣除明细-B-a-12-奖励统计表③'!D:D,D148)</f>
        <v>0</v>
      </c>
      <c r="L148" s="53">
        <f>_xlfn.XLOOKUP(D148,'⑤项目数-B-a-③消耗明细表'!C:C,'⑤项目数-B-a-③消耗明细表'!E:E,0)</f>
        <v>3721.76</v>
      </c>
      <c r="M148" s="153">
        <f>_xlfn.XLOOKUP(D148,'⑤项目数-B-a-③消耗明细表'!$C:$C,'⑤项目数-B-a-③消耗明细表'!F:F,0)</f>
        <v>938</v>
      </c>
      <c r="N148" s="53">
        <f>_xlfn.XLOOKUP(D148,'⑤项目数-B-a-③消耗明细表'!$C:$C,'⑤项目数-B-a-③消耗明细表'!G:G,0)</f>
        <v>0</v>
      </c>
    </row>
    <row r="149" spans="1:14" x14ac:dyDescent="0.15">
      <c r="A149" s="52" t="str">
        <v>龙城国际</v>
      </c>
      <c r="B149" s="52" t="str">
        <v>健康师</v>
      </c>
      <c r="C149" s="52" t="str">
        <v>A</v>
      </c>
      <c r="D149" s="52" t="str">
        <v>钟心悦</v>
      </c>
      <c r="E149" s="52" t="str">
        <f>_xlfn.XLOOKUP(D149,期初设置!E:E,期初设置!F:F,0)</f>
        <v>龙城国际+单人</v>
      </c>
      <c r="F149" s="52" t="str">
        <f>_xlfn.XLOOKUP(D149,期初设置!E:E,期初设置!D:D,0)</f>
        <v>健康师</v>
      </c>
      <c r="G149" s="53">
        <f>_xlfn.XLOOKUP(D149,'④考勤-B-a-26考勤汇总表'!D:D,'④考勤-B-a-26考勤汇总表'!AP:AP,0)</f>
        <v>10</v>
      </c>
      <c r="H149" s="141">
        <f>_xlfn.XLOOKUP(D149,'个人业绩-B-a-②呈现-业绩明细表'!$C:$C,'个人业绩-B-a-②呈现-业绩明细表'!D:D,0)</f>
        <v>2500</v>
      </c>
      <c r="I149" s="141">
        <f>_xlfn.XLOOKUP(D149,'个人业绩-B-a-②呈现-业绩明细表'!$C:$C,'个人业绩-B-a-②呈现-业绩明细表'!$E:$E,0)</f>
        <v>2500</v>
      </c>
      <c r="J149" s="141">
        <f>_xlfn.XLOOKUP(D149,'个人业绩-B-a-②呈现-业绩明细表'!$C:$C,'个人业绩-B-a-②呈现-业绩明细表'!$F:$F,0)</f>
        <v>0</v>
      </c>
      <c r="K149" s="53">
        <f>SUMIFS('⑦扣除明细-B-a-12-奖励统计表③'!G:G,'⑦扣除明细-B-a-12-奖励统计表③'!D:D,D149)</f>
        <v>0</v>
      </c>
      <c r="L149" s="53">
        <f>_xlfn.XLOOKUP(D149,'⑤项目数-B-a-③消耗明细表'!C:C,'⑤项目数-B-a-③消耗明细表'!E:E,0)</f>
        <v>864.77</v>
      </c>
      <c r="M149" s="153">
        <f>_xlfn.XLOOKUP(D149,'⑤项目数-B-a-③消耗明细表'!$C:$C,'⑤项目数-B-a-③消耗明细表'!F:F,0)</f>
        <v>210</v>
      </c>
      <c r="N149" s="53">
        <f>_xlfn.XLOOKUP(D149,'⑤项目数-B-a-③消耗明细表'!$C:$C,'⑤项目数-B-a-③消耗明细表'!G:G,0)</f>
        <v>0</v>
      </c>
    </row>
    <row r="150" spans="1:14" x14ac:dyDescent="0.15">
      <c r="A150" s="52" t="str">
        <v>龙城国际</v>
      </c>
      <c r="B150" s="52" t="str">
        <v>健康师</v>
      </c>
      <c r="C150" s="52" t="str">
        <v>A</v>
      </c>
      <c r="D150" s="52" t="str">
        <v>谢金梅</v>
      </c>
      <c r="E150" s="52" t="str">
        <f>_xlfn.XLOOKUP(D150,期初设置!E:E,期初设置!F:F,0)</f>
        <v>龙城国际+单人</v>
      </c>
      <c r="F150" s="52" t="str">
        <f>_xlfn.XLOOKUP(D150,期初设置!E:E,期初设置!D:D,0)</f>
        <v>健康师</v>
      </c>
      <c r="G150" s="53">
        <f>_xlfn.XLOOKUP(D150,'④考勤-B-a-26考勤汇总表'!D:D,'④考勤-B-a-26考勤汇总表'!AP:AP,0)</f>
        <v>14</v>
      </c>
      <c r="H150" s="141">
        <f>_xlfn.XLOOKUP(D150,'个人业绩-B-a-②呈现-业绩明细表'!$C:$C,'个人业绩-B-a-②呈现-业绩明细表'!D:D,0)</f>
        <v>4940</v>
      </c>
      <c r="I150" s="141">
        <f>_xlfn.XLOOKUP(D150,'个人业绩-B-a-②呈现-业绩明细表'!$C:$C,'个人业绩-B-a-②呈现-业绩明细表'!$E:$E,0)</f>
        <v>4630</v>
      </c>
      <c r="J150" s="141">
        <f>_xlfn.XLOOKUP(D150,'个人业绩-B-a-②呈现-业绩明细表'!$C:$C,'个人业绩-B-a-②呈现-业绩明细表'!$F:$F,0)</f>
        <v>0</v>
      </c>
      <c r="K150" s="53">
        <f>SUMIFS('⑦扣除明细-B-a-12-奖励统计表③'!G:G,'⑦扣除明细-B-a-12-奖励统计表③'!D:D,D150)</f>
        <v>310</v>
      </c>
      <c r="L150" s="53">
        <f>_xlfn.XLOOKUP(D150,'⑤项目数-B-a-③消耗明细表'!C:C,'⑤项目数-B-a-③消耗明细表'!E:E,0)</f>
        <v>7196.53</v>
      </c>
      <c r="M150" s="153">
        <f>_xlfn.XLOOKUP(D150,'⑤项目数-B-a-③消耗明细表'!$C:$C,'⑤项目数-B-a-③消耗明细表'!F:F,0)</f>
        <v>504.5</v>
      </c>
      <c r="N150" s="53">
        <f>_xlfn.XLOOKUP(D150,'⑤项目数-B-a-③消耗明细表'!$C:$C,'⑤项目数-B-a-③消耗明细表'!G:G,0)</f>
        <v>0</v>
      </c>
    </row>
    <row r="151" spans="1:14" x14ac:dyDescent="0.15">
      <c r="A151" s="52" t="str">
        <v>龙城国际</v>
      </c>
      <c r="B151" s="52" t="str">
        <v>健康师</v>
      </c>
      <c r="C151" s="52" t="str">
        <v>A</v>
      </c>
      <c r="D151" s="52" t="str">
        <v>李洪芳</v>
      </c>
      <c r="E151" s="52" t="str">
        <f>_xlfn.XLOOKUP(D151,期初设置!E:E,期初设置!F:F,0)</f>
        <v>龙城国际+单人</v>
      </c>
      <c r="F151" s="52" t="str">
        <f>_xlfn.XLOOKUP(D151,期初设置!E:E,期初设置!D:D,0)</f>
        <v>健康师</v>
      </c>
      <c r="G151" s="53">
        <f>_xlfn.XLOOKUP(D151,'④考勤-B-a-26考勤汇总表'!D:D,'④考勤-B-a-26考勤汇总表'!AP:AP,0)</f>
        <v>31</v>
      </c>
      <c r="H151" s="141">
        <f>_xlfn.XLOOKUP(D151,'个人业绩-B-a-②呈现-业绩明细表'!$C:$C,'个人业绩-B-a-②呈现-业绩明细表'!D:D,0)</f>
        <v>50770.44</v>
      </c>
      <c r="I151" s="141">
        <f>_xlfn.XLOOKUP(D151,'个人业绩-B-a-②呈现-业绩明细表'!$C:$C,'个人业绩-B-a-②呈现-业绩明细表'!$E:$E,0)</f>
        <v>40530.44</v>
      </c>
      <c r="J151" s="141">
        <f>_xlfn.XLOOKUP(D151,'个人业绩-B-a-②呈现-业绩明细表'!$C:$C,'个人业绩-B-a-②呈现-业绩明细表'!$F:$F,0)</f>
        <v>9000</v>
      </c>
      <c r="K151" s="53">
        <f>SUMIFS('⑦扣除明细-B-a-12-奖励统计表③'!G:G,'⑦扣除明细-B-a-12-奖励统计表③'!D:D,D151)</f>
        <v>1240</v>
      </c>
      <c r="L151" s="53">
        <f>_xlfn.XLOOKUP(D151,'⑤项目数-B-a-③消耗明细表'!C:C,'⑤项目数-B-a-③消耗明细表'!E:E,0)</f>
        <v>25992.16</v>
      </c>
      <c r="M151" s="153">
        <f>_xlfn.XLOOKUP(D151,'⑤项目数-B-a-③消耗明细表'!$C:$C,'⑤项目数-B-a-③消耗明细表'!F:F,0)</f>
        <v>1526</v>
      </c>
      <c r="N151" s="53">
        <f>_xlfn.XLOOKUP(D151,'⑤项目数-B-a-③消耗明细表'!$C:$C,'⑤项目数-B-a-③消耗明细表'!G:G,0)</f>
        <v>157.5</v>
      </c>
    </row>
    <row r="152" spans="1:14" x14ac:dyDescent="0.15">
      <c r="A152" s="52" t="str">
        <v>龙城国际</v>
      </c>
      <c r="B152" s="52" t="str">
        <v>健康师</v>
      </c>
      <c r="C152" s="52" t="str">
        <v>A</v>
      </c>
      <c r="D152" s="52" t="str">
        <v>王维</v>
      </c>
      <c r="E152" s="52" t="str">
        <f>_xlfn.XLOOKUP(D152,期初设置!E:E,期初设置!F:F,0)</f>
        <v>龙城国际+单人</v>
      </c>
      <c r="F152" s="52" t="str">
        <f>_xlfn.XLOOKUP(D152,期初设置!E:E,期初设置!D:D,0)</f>
        <v>健康师</v>
      </c>
      <c r="G152" s="53">
        <f>_xlfn.XLOOKUP(D152,'④考勤-B-a-26考勤汇总表'!D:D,'④考勤-B-a-26考勤汇总表'!AP:AP,0)</f>
        <v>31</v>
      </c>
      <c r="H152" s="141">
        <f>_xlfn.XLOOKUP(D152,'个人业绩-B-a-②呈现-业绩明细表'!$C:$C,'个人业绩-B-a-②呈现-业绩明细表'!D:D,0)</f>
        <v>41686</v>
      </c>
      <c r="I152" s="141">
        <f>_xlfn.XLOOKUP(D152,'个人业绩-B-a-②呈现-业绩明细表'!$C:$C,'个人业绩-B-a-②呈现-业绩明细表'!$E:$E,0)</f>
        <v>18706</v>
      </c>
      <c r="J152" s="141">
        <f>_xlfn.XLOOKUP(D152,'个人业绩-B-a-②呈现-业绩明细表'!$C:$C,'个人业绩-B-a-②呈现-业绩明细表'!$F:$F,0)</f>
        <v>22980</v>
      </c>
      <c r="K152" s="53">
        <f>SUMIFS('⑦扣除明细-B-a-12-奖励统计表③'!G:G,'⑦扣除明细-B-a-12-奖励统计表③'!D:D,D152)</f>
        <v>0</v>
      </c>
      <c r="L152" s="53">
        <f>_xlfn.XLOOKUP(D152,'⑤项目数-B-a-③消耗明细表'!C:C,'⑤项目数-B-a-③消耗明细表'!E:E,0)</f>
        <v>7072.69</v>
      </c>
      <c r="M152" s="153">
        <f>_xlfn.XLOOKUP(D152,'⑤项目数-B-a-③消耗明细表'!$C:$C,'⑤项目数-B-a-③消耗明细表'!F:F,0)</f>
        <v>1009</v>
      </c>
      <c r="N152" s="53">
        <f>_xlfn.XLOOKUP(D152,'⑤项目数-B-a-③消耗明细表'!$C:$C,'⑤项目数-B-a-③消耗明细表'!G:G,0)</f>
        <v>45</v>
      </c>
    </row>
    <row r="153" spans="1:14" x14ac:dyDescent="0.15">
      <c r="A153" s="52" t="str">
        <v>龙城国际</v>
      </c>
      <c r="B153" s="52" t="str">
        <v>健康师</v>
      </c>
      <c r="C153" s="52" t="str">
        <v>A</v>
      </c>
      <c r="D153" s="52" t="str">
        <v>罗文文</v>
      </c>
      <c r="E153" s="52" t="str">
        <f>_xlfn.XLOOKUP(D153,期初设置!E:E,期初设置!F:F,0)</f>
        <v>龙城国际+单人</v>
      </c>
      <c r="F153" s="52" t="str">
        <f>_xlfn.XLOOKUP(D153,期初设置!E:E,期初设置!D:D,0)</f>
        <v>健康师</v>
      </c>
      <c r="G153" s="53">
        <f>_xlfn.XLOOKUP(D153,'④考勤-B-a-26考勤汇总表'!D:D,'④考勤-B-a-26考勤汇总表'!AP:AP,0)</f>
        <v>31</v>
      </c>
      <c r="H153" s="141">
        <f>_xlfn.XLOOKUP(D153,'个人业绩-B-a-②呈现-业绩明细表'!$C:$C,'个人业绩-B-a-②呈现-业绩明细表'!D:D,0)</f>
        <v>22190.44</v>
      </c>
      <c r="I153" s="141">
        <f>_xlfn.XLOOKUP(D153,'个人业绩-B-a-②呈现-业绩明细表'!$C:$C,'个人业绩-B-a-②呈现-业绩明细表'!$E:$E,0)</f>
        <v>20682.439999999999</v>
      </c>
      <c r="J153" s="141">
        <f>_xlfn.XLOOKUP(D153,'个人业绩-B-a-②呈现-业绩明细表'!$C:$C,'个人业绩-B-a-②呈现-业绩明细表'!$F:$F,0)</f>
        <v>0</v>
      </c>
      <c r="K153" s="53">
        <f>SUMIFS('⑦扣除明细-B-a-12-奖励统计表③'!G:G,'⑦扣除明细-B-a-12-奖励统计表③'!D:D,D153)</f>
        <v>1508</v>
      </c>
      <c r="L153" s="53">
        <f>_xlfn.XLOOKUP(D153,'⑤项目数-B-a-③消耗明细表'!C:C,'⑤项目数-B-a-③消耗明细表'!E:E,0)</f>
        <v>6857.83</v>
      </c>
      <c r="M153" s="153">
        <f>_xlfn.XLOOKUP(D153,'⑤项目数-B-a-③消耗明细表'!$C:$C,'⑤项目数-B-a-③消耗明细表'!F:F,0)</f>
        <v>971.5</v>
      </c>
      <c r="N153" s="53">
        <f>_xlfn.XLOOKUP(D153,'⑤项目数-B-a-③消耗明细表'!$C:$C,'⑤项目数-B-a-③消耗明细表'!G:G,0)</f>
        <v>20</v>
      </c>
    </row>
    <row r="154" spans="1:14" x14ac:dyDescent="0.15">
      <c r="A154" s="52" t="str">
        <v>川音</v>
      </c>
      <c r="B154" s="52" t="str">
        <v>健康师</v>
      </c>
      <c r="C154" s="52" t="str">
        <v>A</v>
      </c>
      <c r="D154" s="52" t="str">
        <v>贺丽</v>
      </c>
      <c r="E154" s="52" t="str">
        <f>_xlfn.XLOOKUP(D154,期初设置!E:E,期初设置!F:F,0)</f>
        <v>川音+单人</v>
      </c>
      <c r="F154" s="52" t="str">
        <f>_xlfn.XLOOKUP(D154,期初设置!E:E,期初设置!D:D,0)</f>
        <v>健康师</v>
      </c>
      <c r="G154" s="53">
        <f>_xlfn.XLOOKUP(D154,'④考勤-B-a-26考勤汇总表'!D:D,'④考勤-B-a-26考勤汇总表'!AP:AP,0)</f>
        <v>31</v>
      </c>
      <c r="H154" s="141">
        <f>_xlfn.XLOOKUP(D154,'个人业绩-B-a-②呈现-业绩明细表'!$C:$C,'个人业绩-B-a-②呈现-业绩明细表'!D:D,0)</f>
        <v>21786</v>
      </c>
      <c r="I154" s="141">
        <f>_xlfn.XLOOKUP(D154,'个人业绩-B-a-②呈现-业绩明细表'!$C:$C,'个人业绩-B-a-②呈现-业绩明细表'!$E:$E,0)</f>
        <v>21166</v>
      </c>
      <c r="J154" s="141">
        <f>_xlfn.XLOOKUP(D154,'个人业绩-B-a-②呈现-业绩明细表'!$C:$C,'个人业绩-B-a-②呈现-业绩明细表'!$F:$F,0)</f>
        <v>0</v>
      </c>
      <c r="K154" s="53">
        <f>SUMIFS('⑦扣除明细-B-a-12-奖励统计表③'!G:G,'⑦扣除明细-B-a-12-奖励统计表③'!D:D,D154)</f>
        <v>620</v>
      </c>
      <c r="L154" s="53">
        <f>_xlfn.XLOOKUP(D154,'⑤项目数-B-a-③消耗明细表'!C:C,'⑤项目数-B-a-③消耗明细表'!E:E,0)</f>
        <v>5211.9399999999996</v>
      </c>
      <c r="M154" s="153">
        <f>_xlfn.XLOOKUP(D154,'⑤项目数-B-a-③消耗明细表'!$C:$C,'⑤项目数-B-a-③消耗明细表'!F:F,0)</f>
        <v>1062</v>
      </c>
      <c r="N154" s="53">
        <f>_xlfn.XLOOKUP(D154,'⑤项目数-B-a-③消耗明细表'!$C:$C,'⑤项目数-B-a-③消耗明细表'!G:G,0)</f>
        <v>90</v>
      </c>
    </row>
    <row r="155" spans="1:14" x14ac:dyDescent="0.15">
      <c r="A155" s="52" t="str">
        <v>川音</v>
      </c>
      <c r="B155" s="52" t="str">
        <v>健康师</v>
      </c>
      <c r="C155" s="52" t="str">
        <v>A</v>
      </c>
      <c r="D155" s="52" t="str">
        <v>殷小燕</v>
      </c>
      <c r="E155" s="52" t="str">
        <f>_xlfn.XLOOKUP(D155,期初设置!E:E,期初设置!F:F,0)</f>
        <v>川音+单人</v>
      </c>
      <c r="F155" s="52" t="str">
        <f>_xlfn.XLOOKUP(D155,期初设置!E:E,期初设置!D:D,0)</f>
        <v>健康师</v>
      </c>
      <c r="G155" s="53">
        <f>_xlfn.XLOOKUP(D155,'④考勤-B-a-26考勤汇总表'!D:D,'④考勤-B-a-26考勤汇总表'!AP:AP,0)</f>
        <v>31</v>
      </c>
      <c r="H155" s="141">
        <f>_xlfn.XLOOKUP(D155,'个人业绩-B-a-②呈现-业绩明细表'!$C:$C,'个人业绩-B-a-②呈现-业绩明细表'!D:D,0)</f>
        <v>21112.799999999999</v>
      </c>
      <c r="I155" s="141">
        <f>_xlfn.XLOOKUP(D155,'个人业绩-B-a-②呈现-业绩明细表'!$C:$C,'个人业绩-B-a-②呈现-业绩明细表'!$E:$E,0)</f>
        <v>21112.799999999999</v>
      </c>
      <c r="J155" s="141">
        <f>_xlfn.XLOOKUP(D155,'个人业绩-B-a-②呈现-业绩明细表'!$C:$C,'个人业绩-B-a-②呈现-业绩明细表'!$F:$F,0)</f>
        <v>0</v>
      </c>
      <c r="K155" s="53">
        <f>SUMIFS('⑦扣除明细-B-a-12-奖励统计表③'!G:G,'⑦扣除明细-B-a-12-奖励统计表③'!D:D,D155)</f>
        <v>0</v>
      </c>
      <c r="L155" s="53">
        <f>_xlfn.XLOOKUP(D155,'⑤项目数-B-a-③消耗明细表'!C:C,'⑤项目数-B-a-③消耗明细表'!E:E,0)</f>
        <v>8653.2099999999991</v>
      </c>
      <c r="M155" s="153">
        <f>_xlfn.XLOOKUP(D155,'⑤项目数-B-a-③消耗明细表'!$C:$C,'⑤项目数-B-a-③消耗明细表'!F:F,0)</f>
        <v>950</v>
      </c>
      <c r="N155" s="53">
        <f>_xlfn.XLOOKUP(D155,'⑤项目数-B-a-③消耗明细表'!$C:$C,'⑤项目数-B-a-③消耗明细表'!G:G,0)</f>
        <v>0</v>
      </c>
    </row>
    <row r="156" spans="1:14" x14ac:dyDescent="0.15">
      <c r="A156" s="52" t="str">
        <v>川音</v>
      </c>
      <c r="B156" s="52" t="str">
        <v>健康师</v>
      </c>
      <c r="C156" s="52" t="str">
        <v>A</v>
      </c>
      <c r="D156" s="52" t="str">
        <v>李海瑛</v>
      </c>
      <c r="E156" s="52" t="str">
        <f>_xlfn.XLOOKUP(D156,期初设置!E:E,期初设置!F:F,0)</f>
        <v>川音+单人</v>
      </c>
      <c r="F156" s="52" t="str">
        <f>_xlfn.XLOOKUP(D156,期初设置!E:E,期初设置!D:D,0)</f>
        <v>健康师</v>
      </c>
      <c r="G156" s="53">
        <f>_xlfn.XLOOKUP(D156,'④考勤-B-a-26考勤汇总表'!D:D,'④考勤-B-a-26考勤汇总表'!AP:AP,0)</f>
        <v>31</v>
      </c>
      <c r="H156" s="141">
        <f>_xlfn.XLOOKUP(D156,'个人业绩-B-a-②呈现-业绩明细表'!$C:$C,'个人业绩-B-a-②呈现-业绩明细表'!D:D,0)</f>
        <v>33613.599999999999</v>
      </c>
      <c r="I156" s="141">
        <f>_xlfn.XLOOKUP(D156,'个人业绩-B-a-②呈现-业绩明细表'!$C:$C,'个人业绩-B-a-②呈现-业绩明细表'!$E:$E,0)</f>
        <v>12793.6</v>
      </c>
      <c r="J156" s="141">
        <f>_xlfn.XLOOKUP(D156,'个人业绩-B-a-②呈现-业绩明细表'!$C:$C,'个人业绩-B-a-②呈现-业绩明细表'!$F:$F,0)</f>
        <v>20820</v>
      </c>
      <c r="K156" s="53">
        <f>SUMIFS('⑦扣除明细-B-a-12-奖励统计表③'!G:G,'⑦扣除明细-B-a-12-奖励统计表③'!D:D,D156)</f>
        <v>0</v>
      </c>
      <c r="L156" s="53">
        <f>_xlfn.XLOOKUP(D156,'⑤项目数-B-a-③消耗明细表'!C:C,'⑤项目数-B-a-③消耗明细表'!E:E,0)</f>
        <v>2668.06</v>
      </c>
      <c r="M156" s="153">
        <f>_xlfn.XLOOKUP(D156,'⑤项目数-B-a-③消耗明细表'!$C:$C,'⑤项目数-B-a-③消耗明细表'!F:F,0)</f>
        <v>656</v>
      </c>
      <c r="N156" s="53">
        <f>_xlfn.XLOOKUP(D156,'⑤项目数-B-a-③消耗明细表'!$C:$C,'⑤项目数-B-a-③消耗明细表'!G:G,0)</f>
        <v>0</v>
      </c>
    </row>
    <row r="157" spans="1:14" x14ac:dyDescent="0.15">
      <c r="A157" s="52" t="str">
        <v>川音</v>
      </c>
      <c r="B157" s="52" t="str">
        <v>健康师</v>
      </c>
      <c r="C157" s="52" t="str">
        <v>A</v>
      </c>
      <c r="D157" s="52" t="str">
        <v>邹孟君</v>
      </c>
      <c r="E157" s="52" t="str">
        <f>_xlfn.XLOOKUP(D157,期初设置!E:E,期初设置!F:F,0)</f>
        <v>川音+单人</v>
      </c>
      <c r="F157" s="52" t="str">
        <f>_xlfn.XLOOKUP(D157,期初设置!E:E,期初设置!D:D,0)</f>
        <v>健康师</v>
      </c>
      <c r="G157" s="53">
        <f>_xlfn.XLOOKUP(D157,'④考勤-B-a-26考勤汇总表'!D:D,'④考勤-B-a-26考勤汇总表'!AP:AP,0)</f>
        <v>31</v>
      </c>
      <c r="H157" s="141">
        <f>_xlfn.XLOOKUP(D157,'个人业绩-B-a-②呈现-业绩明细表'!$C:$C,'个人业绩-B-a-②呈现-业绩明细表'!D:D,0)</f>
        <v>4443.2</v>
      </c>
      <c r="I157" s="141">
        <f>_xlfn.XLOOKUP(D157,'个人业绩-B-a-②呈现-业绩明细表'!$C:$C,'个人业绩-B-a-②呈现-业绩明细表'!$E:$E,0)</f>
        <v>4443.2</v>
      </c>
      <c r="J157" s="141">
        <f>_xlfn.XLOOKUP(D157,'个人业绩-B-a-②呈现-业绩明细表'!$C:$C,'个人业绩-B-a-②呈现-业绩明细表'!$F:$F,0)</f>
        <v>0</v>
      </c>
      <c r="K157" s="53">
        <f>SUMIFS('⑦扣除明细-B-a-12-奖励统计表③'!G:G,'⑦扣除明细-B-a-12-奖励统计表③'!D:D,D157)</f>
        <v>0</v>
      </c>
      <c r="L157" s="53">
        <f>_xlfn.XLOOKUP(D157,'⑤项目数-B-a-③消耗明细表'!C:C,'⑤项目数-B-a-③消耗明细表'!E:E,0)</f>
        <v>3102.44</v>
      </c>
      <c r="M157" s="153">
        <f>_xlfn.XLOOKUP(D157,'⑤项目数-B-a-③消耗明细表'!$C:$C,'⑤项目数-B-a-③消耗明细表'!F:F,0)</f>
        <v>796</v>
      </c>
      <c r="N157" s="53">
        <f>_xlfn.XLOOKUP(D157,'⑤项目数-B-a-③消耗明细表'!$C:$C,'⑤项目数-B-a-③消耗明细表'!G:G,0)</f>
        <v>0</v>
      </c>
    </row>
    <row r="158" spans="1:14" x14ac:dyDescent="0.15">
      <c r="A158" s="52" t="str">
        <v>川音</v>
      </c>
      <c r="B158" s="52" t="str">
        <v>健康师</v>
      </c>
      <c r="C158" s="52" t="str">
        <v>A</v>
      </c>
      <c r="D158" s="52" t="str">
        <v>彭羽佳</v>
      </c>
      <c r="E158" s="52" t="str">
        <f>_xlfn.XLOOKUP(D158,期初设置!E:E,期初设置!F:F,0)</f>
        <v>川音+单人</v>
      </c>
      <c r="F158" s="52" t="str">
        <f>_xlfn.XLOOKUP(D158,期初设置!E:E,期初设置!D:D,0)</f>
        <v>健康师</v>
      </c>
      <c r="G158" s="53">
        <f>_xlfn.XLOOKUP(D158,'④考勤-B-a-26考勤汇总表'!D:D,'④考勤-B-a-26考勤汇总表'!AP:AP,0)</f>
        <v>31</v>
      </c>
      <c r="H158" s="141">
        <f>_xlfn.XLOOKUP(D158,'个人业绩-B-a-②呈现-业绩明细表'!$C:$C,'个人业绩-B-a-②呈现-业绩明细表'!D:D,0)</f>
        <v>10295</v>
      </c>
      <c r="I158" s="141">
        <f>_xlfn.XLOOKUP(D158,'个人业绩-B-a-②呈现-业绩明细表'!$C:$C,'个人业绩-B-a-②呈现-业绩明细表'!$E:$E,0)</f>
        <v>7427</v>
      </c>
      <c r="J158" s="141">
        <f>_xlfn.XLOOKUP(D158,'个人业绩-B-a-②呈现-业绩明细表'!$C:$C,'个人业绩-B-a-②呈现-业绩明细表'!$F:$F,0)</f>
        <v>1980</v>
      </c>
      <c r="K158" s="53">
        <f>SUMIFS('⑦扣除明细-B-a-12-奖励统计表③'!G:G,'⑦扣除明细-B-a-12-奖励统计表③'!D:D,D158)</f>
        <v>888</v>
      </c>
      <c r="L158" s="53">
        <f>_xlfn.XLOOKUP(D158,'⑤项目数-B-a-③消耗明细表'!C:C,'⑤项目数-B-a-③消耗明细表'!E:E,0)</f>
        <v>3082.38</v>
      </c>
      <c r="M158" s="153">
        <f>_xlfn.XLOOKUP(D158,'⑤项目数-B-a-③消耗明细表'!$C:$C,'⑤项目数-B-a-③消耗明细表'!F:F,0)</f>
        <v>610</v>
      </c>
      <c r="N158" s="53">
        <f>_xlfn.XLOOKUP(D158,'⑤项目数-B-a-③消耗明细表'!$C:$C,'⑤项目数-B-a-③消耗明细表'!G:G,0)</f>
        <v>0</v>
      </c>
    </row>
    <row r="159" spans="1:14" x14ac:dyDescent="0.15">
      <c r="A159" s="52" t="str">
        <v>川音</v>
      </c>
      <c r="B159" s="52" t="str">
        <v>健康师</v>
      </c>
      <c r="C159" s="52" t="str">
        <v>A</v>
      </c>
      <c r="D159" s="52" t="str">
        <v>朱成芳</v>
      </c>
      <c r="E159" s="52" t="str">
        <f>_xlfn.XLOOKUP(D159,期初设置!E:E,期初设置!F:F,0)</f>
        <v>川音+单人</v>
      </c>
      <c r="F159" s="52" t="str">
        <f>_xlfn.XLOOKUP(D159,期初设置!E:E,期初设置!D:D,0)</f>
        <v>健康师</v>
      </c>
      <c r="G159" s="53">
        <f>_xlfn.XLOOKUP(D159,'④考勤-B-a-26考勤汇总表'!D:D,'④考勤-B-a-26考勤汇总表'!AP:AP,0)</f>
        <v>31</v>
      </c>
      <c r="H159" s="141">
        <f>_xlfn.XLOOKUP(D159,'个人业绩-B-a-②呈现-业绩明细表'!$C:$C,'个人业绩-B-a-②呈现-业绩明细表'!D:D,0)</f>
        <v>68697</v>
      </c>
      <c r="I159" s="141">
        <f>_xlfn.XLOOKUP(D159,'个人业绩-B-a-②呈现-业绩明细表'!$C:$C,'个人业绩-B-a-②呈现-业绩明细表'!$E:$E,0)</f>
        <v>14997</v>
      </c>
      <c r="J159" s="141">
        <f>_xlfn.XLOOKUP(D159,'个人业绩-B-a-②呈现-业绩明细表'!$C:$C,'个人业绩-B-a-②呈现-业绩明细表'!$F:$F,0)</f>
        <v>53700</v>
      </c>
      <c r="K159" s="53">
        <f>SUMIFS('⑦扣除明细-B-a-12-奖励统计表③'!G:G,'⑦扣除明细-B-a-12-奖励统计表③'!D:D,D159)</f>
        <v>0</v>
      </c>
      <c r="L159" s="53">
        <f>_xlfn.XLOOKUP(D159,'⑤项目数-B-a-③消耗明细表'!C:C,'⑤项目数-B-a-③消耗明细表'!E:E,0)</f>
        <v>5148.9799999999996</v>
      </c>
      <c r="M159" s="153">
        <f>_xlfn.XLOOKUP(D159,'⑤项目数-B-a-③消耗明细表'!$C:$C,'⑤项目数-B-a-③消耗明细表'!F:F,0)</f>
        <v>559</v>
      </c>
      <c r="N159" s="53">
        <f>_xlfn.XLOOKUP(D159,'⑤项目数-B-a-③消耗明细表'!$C:$C,'⑤项目数-B-a-③消耗明细表'!G:G,0)</f>
        <v>20</v>
      </c>
    </row>
    <row r="160" spans="1:14" x14ac:dyDescent="0.15">
      <c r="A160" s="52" t="str">
        <v>川音</v>
      </c>
      <c r="B160" s="52" t="str">
        <v>健康师</v>
      </c>
      <c r="C160" s="52" t="str">
        <v>A</v>
      </c>
      <c r="D160" s="52" t="str">
        <v>翁玲</v>
      </c>
      <c r="E160" s="52" t="str">
        <f>_xlfn.XLOOKUP(D160,期初设置!E:E,期初设置!F:F,0)</f>
        <v>川音+单人</v>
      </c>
      <c r="F160" s="52" t="str">
        <f>_xlfn.XLOOKUP(D160,期初设置!E:E,期初设置!D:D,0)</f>
        <v>健康师</v>
      </c>
      <c r="G160" s="53">
        <f>_xlfn.XLOOKUP(D160,'④考勤-B-a-26考勤汇总表'!D:D,'④考勤-B-a-26考勤汇总表'!AP:AP,0)</f>
        <v>31</v>
      </c>
      <c r="H160" s="141">
        <f>_xlfn.XLOOKUP(D160,'个人业绩-B-a-②呈现-业绩明细表'!$C:$C,'个人业绩-B-a-②呈现-业绩明细表'!D:D,0)</f>
        <v>10079</v>
      </c>
      <c r="I160" s="141">
        <f>_xlfn.XLOOKUP(D160,'个人业绩-B-a-②呈现-业绩明细表'!$C:$C,'个人业绩-B-a-②呈现-业绩明细表'!$E:$E,0)</f>
        <v>7079</v>
      </c>
      <c r="J160" s="141">
        <f>_xlfn.XLOOKUP(D160,'个人业绩-B-a-②呈现-业绩明细表'!$C:$C,'个人业绩-B-a-②呈现-业绩明细表'!$F:$F,0)</f>
        <v>3000</v>
      </c>
      <c r="K160" s="53">
        <f>SUMIFS('⑦扣除明细-B-a-12-奖励统计表③'!G:G,'⑦扣除明细-B-a-12-奖励统计表③'!D:D,D160)</f>
        <v>0</v>
      </c>
      <c r="L160" s="53">
        <f>_xlfn.XLOOKUP(D160,'⑤项目数-B-a-③消耗明细表'!C:C,'⑤项目数-B-a-③消耗明细表'!E:E,0)</f>
        <v>3540.96</v>
      </c>
      <c r="M160" s="153">
        <f>_xlfn.XLOOKUP(D160,'⑤项目数-B-a-③消耗明细表'!$C:$C,'⑤项目数-B-a-③消耗明细表'!F:F,0)</f>
        <v>613</v>
      </c>
      <c r="N160" s="53">
        <f>_xlfn.XLOOKUP(D160,'⑤项目数-B-a-③消耗明细表'!$C:$C,'⑤项目数-B-a-③消耗明细表'!G:G,0)</f>
        <v>0</v>
      </c>
    </row>
    <row r="161" spans="1:14" x14ac:dyDescent="0.15">
      <c r="A161" s="52" t="str">
        <v>川音</v>
      </c>
      <c r="B161" s="52" t="str">
        <v>健康师</v>
      </c>
      <c r="C161" s="52" t="str">
        <v>A</v>
      </c>
      <c r="D161" s="52" t="str">
        <v>王能琴</v>
      </c>
      <c r="E161" s="52" t="str">
        <f>_xlfn.XLOOKUP(D161,期初设置!E:E,期初设置!F:F,0)</f>
        <v>川音+单人</v>
      </c>
      <c r="F161" s="52" t="str">
        <f>_xlfn.XLOOKUP(D161,期初设置!E:E,期初设置!D:D,0)</f>
        <v>健康师</v>
      </c>
      <c r="G161" s="53">
        <f>_xlfn.XLOOKUP(D161,'④考勤-B-a-26考勤汇总表'!D:D,'④考勤-B-a-26考勤汇总表'!AP:AP,0)</f>
        <v>31</v>
      </c>
      <c r="H161" s="141">
        <f>_xlfn.XLOOKUP(D161,'个人业绩-B-a-②呈现-业绩明细表'!$C:$C,'个人业绩-B-a-②呈现-业绩明细表'!D:D,0)</f>
        <v>3264</v>
      </c>
      <c r="I161" s="141">
        <f>_xlfn.XLOOKUP(D161,'个人业绩-B-a-②呈现-业绩明细表'!$C:$C,'个人业绩-B-a-②呈现-业绩明细表'!$E:$E,0)</f>
        <v>3264</v>
      </c>
      <c r="J161" s="141">
        <f>_xlfn.XLOOKUP(D161,'个人业绩-B-a-②呈现-业绩明细表'!$C:$C,'个人业绩-B-a-②呈现-业绩明细表'!$F:$F,0)</f>
        <v>0</v>
      </c>
      <c r="K161" s="53">
        <f>SUMIFS('⑦扣除明细-B-a-12-奖励统计表③'!G:G,'⑦扣除明细-B-a-12-奖励统计表③'!D:D,D161)</f>
        <v>0</v>
      </c>
      <c r="L161" s="53">
        <f>_xlfn.XLOOKUP(D161,'⑤项目数-B-a-③消耗明细表'!C:C,'⑤项目数-B-a-③消耗明细表'!E:E,0)</f>
        <v>2856.63</v>
      </c>
      <c r="M161" s="153">
        <f>_xlfn.XLOOKUP(D161,'⑤项目数-B-a-③消耗明细表'!$C:$C,'⑤项目数-B-a-③消耗明细表'!F:F,0)</f>
        <v>814</v>
      </c>
      <c r="N161" s="53">
        <f>_xlfn.XLOOKUP(D161,'⑤项目数-B-a-③消耗明细表'!$C:$C,'⑤项目数-B-a-③消耗明细表'!G:G,0)</f>
        <v>0</v>
      </c>
    </row>
    <row r="162" spans="1:14" x14ac:dyDescent="0.15">
      <c r="A162" s="52" t="str">
        <v>大源</v>
      </c>
      <c r="B162" s="52" t="str">
        <v>健康师</v>
      </c>
      <c r="C162" s="52" t="str">
        <v>A</v>
      </c>
      <c r="D162" s="52" t="str">
        <v>陈珊珊</v>
      </c>
      <c r="E162" s="52" t="str">
        <f>_xlfn.XLOOKUP(D162,期初设置!E:E,期初设置!F:F,0)</f>
        <v>大源+冲锋队</v>
      </c>
      <c r="F162" s="52" t="str">
        <f>_xlfn.XLOOKUP(D162,期初设置!E:E,期初设置!D:D,0)</f>
        <v>健康师</v>
      </c>
      <c r="G162" s="53">
        <f>_xlfn.XLOOKUP(D162,'④考勤-B-a-26考勤汇总表'!D:D,'④考勤-B-a-26考勤汇总表'!AP:AP,0)</f>
        <v>22</v>
      </c>
      <c r="H162" s="141">
        <f>_xlfn.XLOOKUP(D162,'个人业绩-B-a-②呈现-业绩明细表'!$C:$C,'个人业绩-B-a-②呈现-业绩明细表'!D:D,0)</f>
        <v>9372.5</v>
      </c>
      <c r="I162" s="141">
        <f>_xlfn.XLOOKUP(D162,'个人业绩-B-a-②呈现-业绩明细表'!$C:$C,'个人业绩-B-a-②呈现-业绩明细表'!$E:$E,0)</f>
        <v>7590</v>
      </c>
      <c r="J162" s="141">
        <f>_xlfn.XLOOKUP(D162,'个人业绩-B-a-②呈现-业绩明细表'!$C:$C,'个人业绩-B-a-②呈现-业绩明细表'!$F:$F,0)</f>
        <v>1782.5</v>
      </c>
      <c r="K162" s="53">
        <f>SUMIFS('⑦扣除明细-B-a-12-奖励统计表③'!G:G,'⑦扣除明细-B-a-12-奖励统计表③'!D:D,D162)</f>
        <v>0</v>
      </c>
      <c r="L162" s="53">
        <f>_xlfn.XLOOKUP(D162,'⑤项目数-B-a-③消耗明细表'!C:C,'⑤项目数-B-a-③消耗明细表'!E:E,0)</f>
        <v>1887.22</v>
      </c>
      <c r="M162" s="153">
        <f>_xlfn.XLOOKUP(D162,'⑤项目数-B-a-③消耗明细表'!$C:$C,'⑤项目数-B-a-③消耗明细表'!F:F,0)</f>
        <v>508</v>
      </c>
      <c r="N162" s="53">
        <f>_xlfn.XLOOKUP(D162,'⑤项目数-B-a-③消耗明细表'!$C:$C,'⑤项目数-B-a-③消耗明细表'!G:G,0)</f>
        <v>0</v>
      </c>
    </row>
    <row r="163" spans="1:14" x14ac:dyDescent="0.15">
      <c r="A163" s="52" t="str">
        <v>鹭岛</v>
      </c>
      <c r="B163" s="52" t="str">
        <v>健康师</v>
      </c>
      <c r="C163" s="52" t="str">
        <v>A</v>
      </c>
      <c r="D163" s="52" t="str">
        <v>安家晴</v>
      </c>
      <c r="E163" s="52" t="str">
        <f>_xlfn.XLOOKUP(D163,期初设置!E:E,期初设置!F:F,0)</f>
        <v>鹭岛+单人</v>
      </c>
      <c r="F163" s="52" t="str">
        <f>_xlfn.XLOOKUP(D163,期初设置!E:E,期初设置!D:D,0)</f>
        <v>健康师</v>
      </c>
      <c r="G163" s="53">
        <f>_xlfn.XLOOKUP(D163,'④考勤-B-a-26考勤汇总表'!D:D,'④考勤-B-a-26考勤汇总表'!AP:AP,0)</f>
        <v>18</v>
      </c>
      <c r="H163" s="141">
        <f>_xlfn.XLOOKUP(D163,'个人业绩-B-a-②呈现-业绩明细表'!$C:$C,'个人业绩-B-a-②呈现-业绩明细表'!D:D,0)</f>
        <v>0</v>
      </c>
      <c r="I163" s="141">
        <f>_xlfn.XLOOKUP(D163,'个人业绩-B-a-②呈现-业绩明细表'!$C:$C,'个人业绩-B-a-②呈现-业绩明细表'!$E:$E,0)</f>
        <v>0</v>
      </c>
      <c r="J163" s="141">
        <f>_xlfn.XLOOKUP(D163,'个人业绩-B-a-②呈现-业绩明细表'!$C:$C,'个人业绩-B-a-②呈现-业绩明细表'!$F:$F,0)</f>
        <v>0</v>
      </c>
      <c r="K163" s="53">
        <f>SUMIFS('⑦扣除明细-B-a-12-奖励统计表③'!G:G,'⑦扣除明细-B-a-12-奖励统计表③'!D:D,D163)</f>
        <v>0</v>
      </c>
      <c r="L163" s="53">
        <f>_xlfn.XLOOKUP(D163,'⑤项目数-B-a-③消耗明细表'!C:C,'⑤项目数-B-a-③消耗明细表'!E:E,0)</f>
        <v>2623.68</v>
      </c>
      <c r="M163" s="153">
        <f>_xlfn.XLOOKUP(D163,'⑤项目数-B-a-③消耗明细表'!$C:$C,'⑤项目数-B-a-③消耗明细表'!F:F,0)</f>
        <v>493</v>
      </c>
      <c r="N163" s="53">
        <f>_xlfn.XLOOKUP(D163,'⑤项目数-B-a-③消耗明细表'!$C:$C,'⑤项目数-B-a-③消耗明细表'!G:G,0)</f>
        <v>0</v>
      </c>
    </row>
    <row r="164" spans="1:14" x14ac:dyDescent="0.15">
      <c r="A164" s="52" t="str">
        <v>明信</v>
      </c>
      <c r="B164" s="52" t="str">
        <v>健康师</v>
      </c>
      <c r="C164" s="52" t="str">
        <v>A</v>
      </c>
      <c r="D164" s="52" t="str">
        <v>谢翠华</v>
      </c>
      <c r="E164" s="52" t="str">
        <f>_xlfn.XLOOKUP(D164,期初设置!E:E,期初设置!F:F,0)</f>
        <v>明信+精英队</v>
      </c>
      <c r="F164" s="52" t="str">
        <f>_xlfn.XLOOKUP(D164,期初设置!E:E,期初设置!D:D,0)</f>
        <v>健康师</v>
      </c>
      <c r="G164" s="53">
        <f>_xlfn.XLOOKUP(D164,'④考勤-B-a-26考勤汇总表'!D:D,'④考勤-B-a-26考勤汇总表'!AP:AP,0)</f>
        <v>13</v>
      </c>
      <c r="H164" s="141">
        <f>_xlfn.XLOOKUP(D164,'个人业绩-B-a-②呈现-业绩明细表'!$C:$C,'个人业绩-B-a-②呈现-业绩明细表'!D:D,0)</f>
        <v>5838</v>
      </c>
      <c r="I164" s="141">
        <f>_xlfn.XLOOKUP(D164,'个人业绩-B-a-②呈现-业绩明细表'!$C:$C,'个人业绩-B-a-②呈现-业绩明细表'!$E:$E,0)</f>
        <v>5838</v>
      </c>
      <c r="J164" s="141">
        <f>_xlfn.XLOOKUP(D164,'个人业绩-B-a-②呈现-业绩明细表'!$C:$C,'个人业绩-B-a-②呈现-业绩明细表'!$F:$F,0)</f>
        <v>0</v>
      </c>
      <c r="K164" s="53">
        <f>SUMIFS('⑦扣除明细-B-a-12-奖励统计表③'!G:G,'⑦扣除明细-B-a-12-奖励统计表③'!D:D,D164)</f>
        <v>0</v>
      </c>
      <c r="L164" s="53">
        <f>_xlfn.XLOOKUP(D164,'⑤项目数-B-a-③消耗明细表'!C:C,'⑤项目数-B-a-③消耗明细表'!E:E,0)</f>
        <v>2543.87</v>
      </c>
      <c r="M164" s="153">
        <f>_xlfn.XLOOKUP(D164,'⑤项目数-B-a-③消耗明细表'!$C:$C,'⑤项目数-B-a-③消耗明细表'!F:F,0)</f>
        <v>536</v>
      </c>
      <c r="N164" s="53">
        <f>_xlfn.XLOOKUP(D164,'⑤项目数-B-a-③消耗明细表'!$C:$C,'⑤项目数-B-a-③消耗明细表'!G:G,0)</f>
        <v>0</v>
      </c>
    </row>
    <row r="165" spans="1:14" x14ac:dyDescent="0.15">
      <c r="A165" s="52" t="str">
        <v>大丰</v>
      </c>
      <c r="B165" s="52" t="str">
        <v>健康师</v>
      </c>
      <c r="C165" s="52" t="str">
        <v>A</v>
      </c>
      <c r="D165" s="52" t="str">
        <v>袁晓梅</v>
      </c>
      <c r="E165" s="52" t="str">
        <f>_xlfn.XLOOKUP(D165,期初设置!E:E,期初设置!F:F,0)</f>
        <v>大丰+精英队</v>
      </c>
      <c r="F165" s="52" t="str">
        <f>_xlfn.XLOOKUP(D165,期初设置!E:E,期初设置!D:D,0)</f>
        <v>健康师</v>
      </c>
      <c r="G165" s="53">
        <f>_xlfn.XLOOKUP(D165,'④考勤-B-a-26考勤汇总表'!D:D,'④考勤-B-a-26考勤汇总表'!AP:AP,0)</f>
        <v>15</v>
      </c>
      <c r="H165" s="141">
        <f>_xlfn.XLOOKUP(D165,'个人业绩-B-a-②呈现-业绩明细表'!$C:$C,'个人业绩-B-a-②呈现-业绩明细表'!D:D,0)</f>
        <v>3736.2</v>
      </c>
      <c r="I165" s="141">
        <f>_xlfn.XLOOKUP(D165,'个人业绩-B-a-②呈现-业绩明细表'!$C:$C,'个人业绩-B-a-②呈现-业绩明细表'!$E:$E,0)</f>
        <v>3292.2</v>
      </c>
      <c r="J165" s="141">
        <f>_xlfn.XLOOKUP(D165,'个人业绩-B-a-②呈现-业绩明细表'!$C:$C,'个人业绩-B-a-②呈现-业绩明细表'!$F:$F,0)</f>
        <v>0</v>
      </c>
      <c r="K165" s="53">
        <f>SUMIFS('⑦扣除明细-B-a-12-奖励统计表③'!G:G,'⑦扣除明细-B-a-12-奖励统计表③'!D:D,D165)</f>
        <v>444</v>
      </c>
      <c r="L165" s="53">
        <f>_xlfn.XLOOKUP(D165,'⑤项目数-B-a-③消耗明细表'!C:C,'⑤项目数-B-a-③消耗明细表'!E:E,0)</f>
        <v>2141.39</v>
      </c>
      <c r="M165" s="153">
        <f>_xlfn.XLOOKUP(D165,'⑤项目数-B-a-③消耗明细表'!$C:$C,'⑤项目数-B-a-③消耗明细表'!F:F,0)</f>
        <v>460</v>
      </c>
      <c r="N165" s="53">
        <f>_xlfn.XLOOKUP(D165,'⑤项目数-B-a-③消耗明细表'!$C:$C,'⑤项目数-B-a-③消耗明细表'!G:G,0)</f>
        <v>0</v>
      </c>
    </row>
    <row r="166" spans="1:14" x14ac:dyDescent="0.15">
      <c r="A166" s="52" t="str">
        <v>龙湖</v>
      </c>
      <c r="B166" s="52" t="str">
        <v>健康师</v>
      </c>
      <c r="C166" s="52" t="str">
        <v>A</v>
      </c>
      <c r="D166" s="52" t="str">
        <v>陈春秀</v>
      </c>
      <c r="E166" s="52" t="str">
        <f>_xlfn.XLOOKUP(D166,期初设置!E:E,期初设置!F:F,0)</f>
        <v>龙湖+单人</v>
      </c>
      <c r="F166" s="52" t="str">
        <f>_xlfn.XLOOKUP(D166,期初设置!E:E,期初设置!D:D,0)</f>
        <v>健康师</v>
      </c>
      <c r="G166" s="53">
        <f>_xlfn.XLOOKUP(D166,'④考勤-B-a-26考勤汇总表'!D:D,'④考勤-B-a-26考勤汇总表'!AP:AP,0)</f>
        <v>9</v>
      </c>
      <c r="H166" s="141">
        <f>_xlfn.XLOOKUP(D166,'个人业绩-B-a-②呈现-业绩明细表'!$C:$C,'个人业绩-B-a-②呈现-业绩明细表'!D:D,0)</f>
        <v>0</v>
      </c>
      <c r="I166" s="141">
        <f>_xlfn.XLOOKUP(D166,'个人业绩-B-a-②呈现-业绩明细表'!$C:$C,'个人业绩-B-a-②呈现-业绩明细表'!$E:$E,0)</f>
        <v>0</v>
      </c>
      <c r="J166" s="141">
        <f>_xlfn.XLOOKUP(D166,'个人业绩-B-a-②呈现-业绩明细表'!$C:$C,'个人业绩-B-a-②呈现-业绩明细表'!$F:$F,0)</f>
        <v>0</v>
      </c>
      <c r="K166" s="53">
        <f>SUMIFS('⑦扣除明细-B-a-12-奖励统计表③'!G:G,'⑦扣除明细-B-a-12-奖励统计表③'!D:D,D166)</f>
        <v>0</v>
      </c>
      <c r="L166" s="53">
        <f>_xlfn.XLOOKUP(D166,'⑤项目数-B-a-③消耗明细表'!C:C,'⑤项目数-B-a-③消耗明细表'!E:E,0)</f>
        <v>1647.92</v>
      </c>
      <c r="M166" s="153">
        <f>_xlfn.XLOOKUP(D166,'⑤项目数-B-a-③消耗明细表'!$C:$C,'⑤项目数-B-a-③消耗明细表'!F:F,0)</f>
        <v>283</v>
      </c>
      <c r="N166" s="53">
        <f>_xlfn.XLOOKUP(D166,'⑤项目数-B-a-③消耗明细表'!$C:$C,'⑤项目数-B-a-③消耗明细表'!G:G,0)</f>
        <v>0</v>
      </c>
    </row>
    <row r="167" spans="1:14" x14ac:dyDescent="0.15">
      <c r="A167" s="52" t="str">
        <v>明信</v>
      </c>
      <c r="B167" s="52" t="str">
        <v>健康师</v>
      </c>
      <c r="C167" s="52" t="str">
        <v>A</v>
      </c>
      <c r="D167" s="52" t="str">
        <v>郑晓芳</v>
      </c>
      <c r="E167" s="52" t="str">
        <f>_xlfn.XLOOKUP(D167,期初设置!E:E,期初设置!F:F,0)</f>
        <v>明信+单人</v>
      </c>
      <c r="F167" s="52" t="str">
        <f>_xlfn.XLOOKUP(D167,期初设置!E:E,期初设置!D:D,0)</f>
        <v>健康师</v>
      </c>
      <c r="G167" s="53">
        <f>_xlfn.XLOOKUP(D167,'④考勤-B-a-26考勤汇总表'!D:D,'④考勤-B-a-26考勤汇总表'!AP:AP,0)</f>
        <v>8</v>
      </c>
      <c r="H167" s="141">
        <f>_xlfn.XLOOKUP(D167,'个人业绩-B-a-②呈现-业绩明细表'!$C:$C,'个人业绩-B-a-②呈现-业绩明细表'!D:D,0)</f>
        <v>1096</v>
      </c>
      <c r="I167" s="141">
        <f>_xlfn.XLOOKUP(D167,'个人业绩-B-a-②呈现-业绩明细表'!$C:$C,'个人业绩-B-a-②呈现-业绩明细表'!$E:$E,0)</f>
        <v>1096</v>
      </c>
      <c r="J167" s="141">
        <f>_xlfn.XLOOKUP(D167,'个人业绩-B-a-②呈现-业绩明细表'!$C:$C,'个人业绩-B-a-②呈现-业绩明细表'!$F:$F,0)</f>
        <v>0</v>
      </c>
      <c r="K167" s="53">
        <f>SUMIFS('⑦扣除明细-B-a-12-奖励统计表③'!G:G,'⑦扣除明细-B-a-12-奖励统计表③'!D:D,D167)</f>
        <v>0</v>
      </c>
      <c r="L167" s="53">
        <f>_xlfn.XLOOKUP(D167,'⑤项目数-B-a-③消耗明细表'!C:C,'⑤项目数-B-a-③消耗明细表'!E:E,0)</f>
        <v>1250.07</v>
      </c>
      <c r="M167" s="153">
        <f>_xlfn.XLOOKUP(D167,'⑤项目数-B-a-③消耗明细表'!$C:$C,'⑤项目数-B-a-③消耗明细表'!F:F,0)</f>
        <v>233</v>
      </c>
      <c r="N167" s="53">
        <f>_xlfn.XLOOKUP(D167,'⑤项目数-B-a-③消耗明细表'!$C:$C,'⑤项目数-B-a-③消耗明细表'!G:G,0)</f>
        <v>0</v>
      </c>
    </row>
    <row r="168" spans="1:14" x14ac:dyDescent="0.15">
      <c r="A168" s="52" t="str">
        <v>龙城国际</v>
      </c>
      <c r="B168" s="52" t="str">
        <v>健康师</v>
      </c>
      <c r="C168" s="52" t="str">
        <v>A</v>
      </c>
      <c r="D168" s="52" t="str">
        <v>邹奇圻</v>
      </c>
      <c r="E168" s="52" t="str">
        <f>_xlfn.XLOOKUP(D168,期初设置!E:E,期初设置!F:F,0)</f>
        <v>龙城国际+单人</v>
      </c>
      <c r="F168" s="52" t="str">
        <f>_xlfn.XLOOKUP(D168,期初设置!E:E,期初设置!D:D,0)</f>
        <v>健康师</v>
      </c>
      <c r="G168" s="53">
        <f>_xlfn.XLOOKUP(D168,'④考勤-B-a-26考勤汇总表'!D:D,'④考勤-B-a-26考勤汇总表'!AP:AP,0)</f>
        <v>10</v>
      </c>
      <c r="H168" s="141">
        <f>_xlfn.XLOOKUP(D168,'个人业绩-B-a-②呈现-业绩明细表'!$C:$C,'个人业绩-B-a-②呈现-业绩明细表'!D:D,0)</f>
        <v>600</v>
      </c>
      <c r="I168" s="141">
        <f>_xlfn.XLOOKUP(D168,'个人业绩-B-a-②呈现-业绩明细表'!$C:$C,'个人业绩-B-a-②呈现-业绩明细表'!$E:$E,0)</f>
        <v>600</v>
      </c>
      <c r="J168" s="141">
        <f>_xlfn.XLOOKUP(D168,'个人业绩-B-a-②呈现-业绩明细表'!$C:$C,'个人业绩-B-a-②呈现-业绩明细表'!$F:$F,0)</f>
        <v>0</v>
      </c>
      <c r="K168" s="53">
        <f>SUMIFS('⑦扣除明细-B-a-12-奖励统计表③'!G:G,'⑦扣除明细-B-a-12-奖励统计表③'!D:D,D168)</f>
        <v>0</v>
      </c>
      <c r="L168" s="53">
        <f>_xlfn.XLOOKUP(D168,'⑤项目数-B-a-③消耗明细表'!C:C,'⑤项目数-B-a-③消耗明细表'!E:E,0)</f>
        <v>780.5</v>
      </c>
      <c r="M168" s="153">
        <f>_xlfn.XLOOKUP(D168,'⑤项目数-B-a-③消耗明细表'!$C:$C,'⑤项目数-B-a-③消耗明细表'!F:F,0)</f>
        <v>211</v>
      </c>
      <c r="N168" s="53">
        <f>_xlfn.XLOOKUP(D168,'⑤项目数-B-a-③消耗明细表'!$C:$C,'⑤项目数-B-a-③消耗明细表'!G:G,0)</f>
        <v>0</v>
      </c>
    </row>
    <row r="169" spans="1:14" x14ac:dyDescent="0.15">
      <c r="A169" s="52" t="str">
        <v>荣华北路</v>
      </c>
      <c r="B169" s="52" t="str">
        <v>健康师</v>
      </c>
      <c r="C169" s="52" t="str">
        <v>A</v>
      </c>
      <c r="D169" s="52" t="str">
        <v>路平</v>
      </c>
      <c r="E169" s="52" t="str">
        <f>_xlfn.XLOOKUP(D169,期初设置!E:E,期初设置!F:F,0)</f>
        <v>荣华北路+飞跃队</v>
      </c>
      <c r="F169" s="52" t="str">
        <f>_xlfn.XLOOKUP(D169,期初设置!E:E,期初设置!D:D,0)</f>
        <v>健康师</v>
      </c>
      <c r="G169" s="53">
        <f>_xlfn.XLOOKUP(D169,'④考勤-B-a-26考勤汇总表'!D:D,'④考勤-B-a-26考勤汇总表'!AP:AP,0)</f>
        <v>10</v>
      </c>
      <c r="H169" s="141">
        <f>_xlfn.XLOOKUP(D169,'个人业绩-B-a-②呈现-业绩明细表'!$C:$C,'个人业绩-B-a-②呈现-业绩明细表'!D:D,0)</f>
        <v>0</v>
      </c>
      <c r="I169" s="141">
        <f>_xlfn.XLOOKUP(D169,'个人业绩-B-a-②呈现-业绩明细表'!$C:$C,'个人业绩-B-a-②呈现-业绩明细表'!$E:$E,0)</f>
        <v>0</v>
      </c>
      <c r="J169" s="141">
        <f>_xlfn.XLOOKUP(D169,'个人业绩-B-a-②呈现-业绩明细表'!$C:$C,'个人业绩-B-a-②呈现-业绩明细表'!$F:$F,0)</f>
        <v>0</v>
      </c>
      <c r="K169" s="53">
        <f>SUMIFS('⑦扣除明细-B-a-12-奖励统计表③'!G:G,'⑦扣除明细-B-a-12-奖励统计表③'!D:D,D169)</f>
        <v>0</v>
      </c>
      <c r="L169" s="53">
        <f>_xlfn.XLOOKUP(D169,'⑤项目数-B-a-③消耗明细表'!C:C,'⑤项目数-B-a-③消耗明细表'!E:E,0)</f>
        <v>1149.21</v>
      </c>
      <c r="M169" s="153">
        <f>_xlfn.XLOOKUP(D169,'⑤项目数-B-a-③消耗明细表'!$C:$C,'⑤项目数-B-a-③消耗明细表'!F:F,0)</f>
        <v>178</v>
      </c>
      <c r="N169" s="53">
        <f>_xlfn.XLOOKUP(D169,'⑤项目数-B-a-③消耗明细表'!$C:$C,'⑤项目数-B-a-③消耗明细表'!G:G,0)</f>
        <v>0</v>
      </c>
    </row>
    <row r="170" spans="1:14" x14ac:dyDescent="0.15">
      <c r="A170" s="52" t="str">
        <v>光华</v>
      </c>
      <c r="B170" s="52" t="str">
        <v>健康师</v>
      </c>
      <c r="C170" s="52" t="str">
        <v>A</v>
      </c>
      <c r="D170" s="52" t="str">
        <v>曹煦菡</v>
      </c>
      <c r="E170" s="52">
        <f>_xlfn.XLOOKUP(D170,期初设置!E:E,期初设置!F:F,0)</f>
        <v>0</v>
      </c>
      <c r="F170" s="52">
        <f>_xlfn.XLOOKUP(D170,期初设置!E:E,期初设置!D:D,0)</f>
        <v>0</v>
      </c>
      <c r="G170" s="53">
        <f>_xlfn.XLOOKUP(D170,'④考勤-B-a-26考勤汇总表'!D:D,'④考勤-B-a-26考勤汇总表'!AP:AP,0)</f>
        <v>13</v>
      </c>
      <c r="H170" s="141">
        <f>_xlfn.XLOOKUP(D170,'个人业绩-B-a-②呈现-业绩明细表'!$C:$C,'个人业绩-B-a-②呈现-业绩明细表'!D:D,0)</f>
        <v>0</v>
      </c>
      <c r="I170" s="141">
        <f>_xlfn.XLOOKUP(D170,'个人业绩-B-a-②呈现-业绩明细表'!$C:$C,'个人业绩-B-a-②呈现-业绩明细表'!$E:$E,0)</f>
        <v>0</v>
      </c>
      <c r="J170" s="141">
        <f>_xlfn.XLOOKUP(D170,'个人业绩-B-a-②呈现-业绩明细表'!$C:$C,'个人业绩-B-a-②呈现-业绩明细表'!$F:$F,0)</f>
        <v>0</v>
      </c>
      <c r="K170" s="53">
        <f>SUMIFS('⑦扣除明细-B-a-12-奖励统计表③'!G:G,'⑦扣除明细-B-a-12-奖励统计表③'!D:D,D170)</f>
        <v>0</v>
      </c>
      <c r="L170" s="53">
        <f>_xlfn.XLOOKUP(D170,'⑤项目数-B-a-③消耗明细表'!C:C,'⑤项目数-B-a-③消耗明细表'!E:E,0)</f>
        <v>0</v>
      </c>
      <c r="M170" s="153">
        <f>_xlfn.XLOOKUP(D170,'⑤项目数-B-a-③消耗明细表'!$C:$C,'⑤项目数-B-a-③消耗明细表'!F:F,0)</f>
        <v>0</v>
      </c>
      <c r="N170" s="53">
        <f>_xlfn.XLOOKUP(D170,'⑤项目数-B-a-③消耗明细表'!$C:$C,'⑤项目数-B-a-③消耗明细表'!G:G,0)</f>
        <v>0</v>
      </c>
    </row>
    <row r="171" spans="1:14" x14ac:dyDescent="0.15">
      <c r="A171" s="52" t="str">
        <v>亚洲湾</v>
      </c>
      <c r="B171" s="52" t="str">
        <v>健康师</v>
      </c>
      <c r="C171" s="52" t="str">
        <v>A</v>
      </c>
      <c r="D171" s="52" t="str">
        <v>蹇雨珊</v>
      </c>
      <c r="E171" s="52">
        <f>_xlfn.XLOOKUP(D171,期初设置!E:E,期初设置!F:F,0)</f>
        <v>0</v>
      </c>
      <c r="F171" s="52">
        <f>_xlfn.XLOOKUP(D171,期初设置!E:E,期初设置!D:D,0)</f>
        <v>0</v>
      </c>
      <c r="G171" s="53">
        <f>_xlfn.XLOOKUP(D171,'④考勤-B-a-26考勤汇总表'!D:D,'④考勤-B-a-26考勤汇总表'!AP:AP,0)</f>
        <v>12</v>
      </c>
      <c r="H171" s="141">
        <f>_xlfn.XLOOKUP(D171,'个人业绩-B-a-②呈现-业绩明细表'!$C:$C,'个人业绩-B-a-②呈现-业绩明细表'!D:D,0)</f>
        <v>0</v>
      </c>
      <c r="I171" s="141">
        <f>_xlfn.XLOOKUP(D171,'个人业绩-B-a-②呈现-业绩明细表'!$C:$C,'个人业绩-B-a-②呈现-业绩明细表'!$E:$E,0)</f>
        <v>0</v>
      </c>
      <c r="J171" s="141">
        <f>_xlfn.XLOOKUP(D171,'个人业绩-B-a-②呈现-业绩明细表'!$C:$C,'个人业绩-B-a-②呈现-业绩明细表'!$F:$F,0)</f>
        <v>0</v>
      </c>
      <c r="K171" s="53">
        <f>SUMIFS('⑦扣除明细-B-a-12-奖励统计表③'!G:G,'⑦扣除明细-B-a-12-奖励统计表③'!D:D,D171)</f>
        <v>0</v>
      </c>
      <c r="L171" s="53">
        <f>_xlfn.XLOOKUP(D171,'⑤项目数-B-a-③消耗明细表'!C:C,'⑤项目数-B-a-③消耗明细表'!E:E,0)</f>
        <v>0</v>
      </c>
      <c r="M171" s="153">
        <f>_xlfn.XLOOKUP(D171,'⑤项目数-B-a-③消耗明细表'!$C:$C,'⑤项目数-B-a-③消耗明细表'!F:F,0)</f>
        <v>0</v>
      </c>
      <c r="N171" s="53">
        <f>_xlfn.XLOOKUP(D171,'⑤项目数-B-a-③消耗明细表'!$C:$C,'⑤项目数-B-a-③消耗明细表'!G:G,0)</f>
        <v>0</v>
      </c>
    </row>
    <row r="172" spans="1:14" x14ac:dyDescent="0.15">
      <c r="A172" s="52" t="str">
        <v>川师</v>
      </c>
      <c r="B172" s="52" t="str">
        <v>健康师</v>
      </c>
      <c r="C172" s="52" t="str">
        <v>A</v>
      </c>
      <c r="D172" s="52" t="str">
        <v>赵圆缘</v>
      </c>
      <c r="E172" s="52">
        <f>_xlfn.XLOOKUP(D172,期初设置!E:E,期初设置!F:F,0)</f>
        <v>0</v>
      </c>
      <c r="F172" s="52">
        <f>_xlfn.XLOOKUP(D172,期初设置!E:E,期初设置!D:D,0)</f>
        <v>0</v>
      </c>
      <c r="G172" s="53">
        <f>_xlfn.XLOOKUP(D172,'④考勤-B-a-26考勤汇总表'!D:D,'④考勤-B-a-26考勤汇总表'!AP:AP,0)</f>
        <v>12</v>
      </c>
      <c r="H172" s="141">
        <f>_xlfn.XLOOKUP(D172,'个人业绩-B-a-②呈现-业绩明细表'!$C:$C,'个人业绩-B-a-②呈现-业绩明细表'!D:D,0)</f>
        <v>0</v>
      </c>
      <c r="I172" s="141">
        <f>_xlfn.XLOOKUP(D172,'个人业绩-B-a-②呈现-业绩明细表'!$C:$C,'个人业绩-B-a-②呈现-业绩明细表'!$E:$E,0)</f>
        <v>0</v>
      </c>
      <c r="J172" s="141">
        <f>_xlfn.XLOOKUP(D172,'个人业绩-B-a-②呈现-业绩明细表'!$C:$C,'个人业绩-B-a-②呈现-业绩明细表'!$F:$F,0)</f>
        <v>0</v>
      </c>
      <c r="K172" s="53">
        <f>SUMIFS('⑦扣除明细-B-a-12-奖励统计表③'!G:G,'⑦扣除明细-B-a-12-奖励统计表③'!D:D,D172)</f>
        <v>0</v>
      </c>
      <c r="L172" s="53">
        <f>_xlfn.XLOOKUP(D172,'⑤项目数-B-a-③消耗明细表'!C:C,'⑤项目数-B-a-③消耗明细表'!E:E,0)</f>
        <v>0</v>
      </c>
      <c r="M172" s="153">
        <f>_xlfn.XLOOKUP(D172,'⑤项目数-B-a-③消耗明细表'!$C:$C,'⑤项目数-B-a-③消耗明细表'!F:F,0)</f>
        <v>0</v>
      </c>
      <c r="N172" s="53">
        <f>_xlfn.XLOOKUP(D172,'⑤项目数-B-a-③消耗明细表'!$C:$C,'⑤项目数-B-a-③消耗明细表'!G:G,0)</f>
        <v>0</v>
      </c>
    </row>
    <row r="173" spans="1:14" x14ac:dyDescent="0.15">
      <c r="A173" s="52">
        <v>0</v>
      </c>
      <c r="B173" s="52" t="str">
        <v>健康师</v>
      </c>
      <c r="C173" s="52" t="str">
        <v>A</v>
      </c>
      <c r="D173" s="52" t="str">
        <v>李从丽</v>
      </c>
      <c r="E173" s="52">
        <f>_xlfn.XLOOKUP(D173,期初设置!E:E,期初设置!F:F,0)</f>
        <v>0</v>
      </c>
      <c r="F173" s="52">
        <f>_xlfn.XLOOKUP(D173,期初设置!E:E,期初设置!D:D,0)</f>
        <v>0</v>
      </c>
      <c r="G173" s="53">
        <f>_xlfn.XLOOKUP(D173,'④考勤-B-a-26考勤汇总表'!D:D,'④考勤-B-a-26考勤汇总表'!AP:AP,0)</f>
        <v>9</v>
      </c>
      <c r="H173" s="141">
        <f>_xlfn.XLOOKUP(D173,'个人业绩-B-a-②呈现-业绩明细表'!$C:$C,'个人业绩-B-a-②呈现-业绩明细表'!D:D,0)</f>
        <v>0</v>
      </c>
      <c r="I173" s="141">
        <f>_xlfn.XLOOKUP(D173,'个人业绩-B-a-②呈现-业绩明细表'!$C:$C,'个人业绩-B-a-②呈现-业绩明细表'!$E:$E,0)</f>
        <v>0</v>
      </c>
      <c r="J173" s="141">
        <f>_xlfn.XLOOKUP(D173,'个人业绩-B-a-②呈现-业绩明细表'!$C:$C,'个人业绩-B-a-②呈现-业绩明细表'!$F:$F,0)</f>
        <v>0</v>
      </c>
      <c r="K173" s="53">
        <f>SUMIFS('⑦扣除明细-B-a-12-奖励统计表③'!G:G,'⑦扣除明细-B-a-12-奖励统计表③'!D:D,D173)</f>
        <v>0</v>
      </c>
      <c r="L173" s="53">
        <f>_xlfn.XLOOKUP(D173,'⑤项目数-B-a-③消耗明细表'!C:C,'⑤项目数-B-a-③消耗明细表'!E:E,0)</f>
        <v>0</v>
      </c>
      <c r="M173" s="153">
        <f>_xlfn.XLOOKUP(D173,'⑤项目数-B-a-③消耗明细表'!$C:$C,'⑤项目数-B-a-③消耗明细表'!F:F,0)</f>
        <v>0</v>
      </c>
      <c r="N173" s="53">
        <f>_xlfn.XLOOKUP(D173,'⑤项目数-B-a-③消耗明细表'!$C:$C,'⑤项目数-B-a-③消耗明细表'!G:G,0)</f>
        <v>0</v>
      </c>
    </row>
    <row r="174" spans="1:14" x14ac:dyDescent="0.15">
      <c r="A174" s="52">
        <v>0</v>
      </c>
      <c r="B174" s="52" t="str">
        <v>健康师</v>
      </c>
      <c r="C174" s="52" t="str">
        <v>A</v>
      </c>
      <c r="D174" s="52" t="str">
        <v>杨慧琳</v>
      </c>
      <c r="E174" s="52">
        <f>_xlfn.XLOOKUP(D174,期初设置!E:E,期初设置!F:F,0)</f>
        <v>0</v>
      </c>
      <c r="F174" s="52">
        <f>_xlfn.XLOOKUP(D174,期初设置!E:E,期初设置!D:D,0)</f>
        <v>0</v>
      </c>
      <c r="G174" s="53">
        <f>_xlfn.XLOOKUP(D174,'④考勤-B-a-26考勤汇总表'!D:D,'④考勤-B-a-26考勤汇总表'!AP:AP,0)</f>
        <v>9</v>
      </c>
      <c r="H174" s="141">
        <f>_xlfn.XLOOKUP(D174,'个人业绩-B-a-②呈现-业绩明细表'!$C:$C,'个人业绩-B-a-②呈现-业绩明细表'!D:D,0)</f>
        <v>0</v>
      </c>
      <c r="I174" s="141">
        <f>_xlfn.XLOOKUP(D174,'个人业绩-B-a-②呈现-业绩明细表'!$C:$C,'个人业绩-B-a-②呈现-业绩明细表'!$E:$E,0)</f>
        <v>0</v>
      </c>
      <c r="J174" s="141">
        <f>_xlfn.XLOOKUP(D174,'个人业绩-B-a-②呈现-业绩明细表'!$C:$C,'个人业绩-B-a-②呈现-业绩明细表'!$F:$F,0)</f>
        <v>0</v>
      </c>
      <c r="K174" s="53">
        <f>SUMIFS('⑦扣除明细-B-a-12-奖励统计表③'!G:G,'⑦扣除明细-B-a-12-奖励统计表③'!D:D,D174)</f>
        <v>0</v>
      </c>
      <c r="L174" s="53">
        <f>_xlfn.XLOOKUP(D174,'⑤项目数-B-a-③消耗明细表'!C:C,'⑤项目数-B-a-③消耗明细表'!E:E,0)</f>
        <v>0</v>
      </c>
      <c r="M174" s="153">
        <f>_xlfn.XLOOKUP(D174,'⑤项目数-B-a-③消耗明细表'!$C:$C,'⑤项目数-B-a-③消耗明细表'!F:F,0)</f>
        <v>0</v>
      </c>
      <c r="N174" s="53">
        <f>_xlfn.XLOOKUP(D174,'⑤项目数-B-a-③消耗明细表'!$C:$C,'⑤项目数-B-a-③消耗明细表'!G:G,0)</f>
        <v>0</v>
      </c>
    </row>
    <row r="175" spans="1:14" x14ac:dyDescent="0.15">
      <c r="A175" s="52">
        <v>0</v>
      </c>
      <c r="B175" s="52" t="str">
        <v>健康师</v>
      </c>
      <c r="C175" s="52" t="str">
        <v>A</v>
      </c>
      <c r="D175" s="52" t="str">
        <v>袁琳育</v>
      </c>
      <c r="E175" s="52">
        <f>_xlfn.XLOOKUP(D175,期初设置!E:E,期初设置!F:F,0)</f>
        <v>0</v>
      </c>
      <c r="F175" s="52">
        <f>_xlfn.XLOOKUP(D175,期初设置!E:E,期初设置!D:D,0)</f>
        <v>0</v>
      </c>
      <c r="G175" s="53">
        <f>_xlfn.XLOOKUP(D175,'④考勤-B-a-26考勤汇总表'!D:D,'④考勤-B-a-26考勤汇总表'!AP:AP,0)</f>
        <v>9</v>
      </c>
      <c r="H175" s="141">
        <f>_xlfn.XLOOKUP(D175,'个人业绩-B-a-②呈现-业绩明细表'!$C:$C,'个人业绩-B-a-②呈现-业绩明细表'!D:D,0)</f>
        <v>0</v>
      </c>
      <c r="I175" s="141">
        <f>_xlfn.XLOOKUP(D175,'个人业绩-B-a-②呈现-业绩明细表'!$C:$C,'个人业绩-B-a-②呈现-业绩明细表'!$E:$E,0)</f>
        <v>0</v>
      </c>
      <c r="J175" s="141">
        <f>_xlfn.XLOOKUP(D175,'个人业绩-B-a-②呈现-业绩明细表'!$C:$C,'个人业绩-B-a-②呈现-业绩明细表'!$F:$F,0)</f>
        <v>0</v>
      </c>
      <c r="K175" s="53">
        <f>SUMIFS('⑦扣除明细-B-a-12-奖励统计表③'!G:G,'⑦扣除明细-B-a-12-奖励统计表③'!D:D,D175)</f>
        <v>0</v>
      </c>
      <c r="L175" s="53">
        <f>_xlfn.XLOOKUP(D175,'⑤项目数-B-a-③消耗明细表'!C:C,'⑤项目数-B-a-③消耗明细表'!E:E,0)</f>
        <v>0</v>
      </c>
      <c r="M175" s="153">
        <f>_xlfn.XLOOKUP(D175,'⑤项目数-B-a-③消耗明细表'!$C:$C,'⑤项目数-B-a-③消耗明细表'!F:F,0)</f>
        <v>0</v>
      </c>
      <c r="N175" s="53">
        <f>_xlfn.XLOOKUP(D175,'⑤项目数-B-a-③消耗明细表'!$C:$C,'⑤项目数-B-a-③消耗明细表'!G:G,0)</f>
        <v>0</v>
      </c>
    </row>
    <row r="176" spans="1:14" x14ac:dyDescent="0.15">
      <c r="A176" s="52">
        <v>0</v>
      </c>
      <c r="B176" s="52" t="str">
        <v>健康师</v>
      </c>
      <c r="C176" s="52" t="str">
        <v>A</v>
      </c>
      <c r="D176" s="52" t="str">
        <v>蒲敏</v>
      </c>
      <c r="E176" s="52">
        <f>_xlfn.XLOOKUP(D176,期初设置!E:E,期初设置!F:F,0)</f>
        <v>0</v>
      </c>
      <c r="F176" s="52">
        <f>_xlfn.XLOOKUP(D176,期初设置!E:E,期初设置!D:D,0)</f>
        <v>0</v>
      </c>
      <c r="G176" s="53">
        <f>_xlfn.XLOOKUP(D176,'④考勤-B-a-26考勤汇总表'!D:D,'④考勤-B-a-26考勤汇总表'!AP:AP,0)</f>
        <v>8</v>
      </c>
      <c r="H176" s="141">
        <f>_xlfn.XLOOKUP(D176,'个人业绩-B-a-②呈现-业绩明细表'!$C:$C,'个人业绩-B-a-②呈现-业绩明细表'!D:D,0)</f>
        <v>0</v>
      </c>
      <c r="I176" s="141">
        <f>_xlfn.XLOOKUP(D176,'个人业绩-B-a-②呈现-业绩明细表'!$C:$C,'个人业绩-B-a-②呈现-业绩明细表'!$E:$E,0)</f>
        <v>0</v>
      </c>
      <c r="J176" s="141">
        <f>_xlfn.XLOOKUP(D176,'个人业绩-B-a-②呈现-业绩明细表'!$C:$C,'个人业绩-B-a-②呈现-业绩明细表'!$F:$F,0)</f>
        <v>0</v>
      </c>
      <c r="K176" s="53">
        <f>SUMIFS('⑦扣除明细-B-a-12-奖励统计表③'!G:G,'⑦扣除明细-B-a-12-奖励统计表③'!D:D,D176)</f>
        <v>0</v>
      </c>
      <c r="L176" s="53">
        <f>_xlfn.XLOOKUP(D176,'⑤项目数-B-a-③消耗明细表'!C:C,'⑤项目数-B-a-③消耗明细表'!E:E,0)</f>
        <v>0</v>
      </c>
      <c r="M176" s="153">
        <f>_xlfn.XLOOKUP(D176,'⑤项目数-B-a-③消耗明细表'!$C:$C,'⑤项目数-B-a-③消耗明细表'!F:F,0)</f>
        <v>0</v>
      </c>
      <c r="N176" s="53">
        <f>_xlfn.XLOOKUP(D176,'⑤项目数-B-a-③消耗明细表'!$C:$C,'⑤项目数-B-a-③消耗明细表'!G:G,0)</f>
        <v>0</v>
      </c>
    </row>
    <row r="177" spans="1:14" x14ac:dyDescent="0.15">
      <c r="A177" s="52">
        <v>0</v>
      </c>
      <c r="B177" s="52" t="str">
        <v>健康师</v>
      </c>
      <c r="C177" s="52" t="str">
        <v>A</v>
      </c>
      <c r="D177" s="52" t="str">
        <v>黄芬</v>
      </c>
      <c r="E177" s="52">
        <f>_xlfn.XLOOKUP(D177,期初设置!E:E,期初设置!F:F,0)</f>
        <v>0</v>
      </c>
      <c r="F177" s="52">
        <f>_xlfn.XLOOKUP(D177,期初设置!E:E,期初设置!D:D,0)</f>
        <v>0</v>
      </c>
      <c r="G177" s="53">
        <f>_xlfn.XLOOKUP(D177,'④考勤-B-a-26考勤汇总表'!D:D,'④考勤-B-a-26考勤汇总表'!AP:AP,0)</f>
        <v>4</v>
      </c>
      <c r="H177" s="141">
        <f>_xlfn.XLOOKUP(D177,'个人业绩-B-a-②呈现-业绩明细表'!$C:$C,'个人业绩-B-a-②呈现-业绩明细表'!D:D,0)</f>
        <v>0</v>
      </c>
      <c r="I177" s="141">
        <f>_xlfn.XLOOKUP(D177,'个人业绩-B-a-②呈现-业绩明细表'!$C:$C,'个人业绩-B-a-②呈现-业绩明细表'!$E:$E,0)</f>
        <v>0</v>
      </c>
      <c r="J177" s="141">
        <f>_xlfn.XLOOKUP(D177,'个人业绩-B-a-②呈现-业绩明细表'!$C:$C,'个人业绩-B-a-②呈现-业绩明细表'!$F:$F,0)</f>
        <v>0</v>
      </c>
      <c r="K177" s="53">
        <f>SUMIFS('⑦扣除明细-B-a-12-奖励统计表③'!G:G,'⑦扣除明细-B-a-12-奖励统计表③'!D:D,D177)</f>
        <v>0</v>
      </c>
      <c r="L177" s="53">
        <f>_xlfn.XLOOKUP(D177,'⑤项目数-B-a-③消耗明细表'!C:C,'⑤项目数-B-a-③消耗明细表'!E:E,0)</f>
        <v>0</v>
      </c>
      <c r="M177" s="153">
        <f>_xlfn.XLOOKUP(D177,'⑤项目数-B-a-③消耗明细表'!$C:$C,'⑤项目数-B-a-③消耗明细表'!F:F,0)</f>
        <v>0</v>
      </c>
      <c r="N177" s="53">
        <f>_xlfn.XLOOKUP(D177,'⑤项目数-B-a-③消耗明细表'!$C:$C,'⑤项目数-B-a-③消耗明细表'!G:G,0)</f>
        <v>0</v>
      </c>
    </row>
    <row r="178" spans="1:14" x14ac:dyDescent="0.15">
      <c r="A178" s="52">
        <v>0</v>
      </c>
      <c r="B178" s="52" t="str">
        <v>健康师</v>
      </c>
      <c r="C178" s="52" t="str">
        <v>A</v>
      </c>
      <c r="D178" s="52" t="str">
        <v>吴英</v>
      </c>
      <c r="E178" s="52">
        <f>_xlfn.XLOOKUP(D178,期初设置!E:E,期初设置!F:F,0)</f>
        <v>0</v>
      </c>
      <c r="F178" s="52">
        <f>_xlfn.XLOOKUP(D178,期初设置!E:E,期初设置!D:D,0)</f>
        <v>0</v>
      </c>
      <c r="G178" s="53">
        <f>_xlfn.XLOOKUP(D178,'④考勤-B-a-26考勤汇总表'!D:D,'④考勤-B-a-26考勤汇总表'!AP:AP,0)</f>
        <v>2</v>
      </c>
      <c r="H178" s="141">
        <f>_xlfn.XLOOKUP(D178,'个人业绩-B-a-②呈现-业绩明细表'!$C:$C,'个人业绩-B-a-②呈现-业绩明细表'!D:D,0)</f>
        <v>0</v>
      </c>
      <c r="I178" s="141">
        <f>_xlfn.XLOOKUP(D178,'个人业绩-B-a-②呈现-业绩明细表'!$C:$C,'个人业绩-B-a-②呈现-业绩明细表'!$E:$E,0)</f>
        <v>0</v>
      </c>
      <c r="J178" s="141">
        <f>_xlfn.XLOOKUP(D178,'个人业绩-B-a-②呈现-业绩明细表'!$C:$C,'个人业绩-B-a-②呈现-业绩明细表'!$F:$F,0)</f>
        <v>0</v>
      </c>
      <c r="K178" s="53">
        <f>SUMIFS('⑦扣除明细-B-a-12-奖励统计表③'!G:G,'⑦扣除明细-B-a-12-奖励统计表③'!D:D,D178)</f>
        <v>0</v>
      </c>
      <c r="L178" s="53">
        <f>_xlfn.XLOOKUP(D178,'⑤项目数-B-a-③消耗明细表'!C:C,'⑤项目数-B-a-③消耗明细表'!E:E,0)</f>
        <v>0</v>
      </c>
      <c r="M178" s="153">
        <f>_xlfn.XLOOKUP(D178,'⑤项目数-B-a-③消耗明细表'!$C:$C,'⑤项目数-B-a-③消耗明细表'!F:F,0)</f>
        <v>0</v>
      </c>
      <c r="N178" s="53">
        <f>_xlfn.XLOOKUP(D178,'⑤项目数-B-a-③消耗明细表'!$C:$C,'⑤项目数-B-a-③消耗明细表'!G:G,0)</f>
        <v>0</v>
      </c>
    </row>
    <row r="179" spans="1:14" x14ac:dyDescent="0.15">
      <c r="A179" s="52">
        <v>0</v>
      </c>
      <c r="B179" s="52" t="str">
        <v>健康师</v>
      </c>
      <c r="C179" s="52" t="str">
        <v>A</v>
      </c>
      <c r="D179" s="52" t="str">
        <v>杨娇</v>
      </c>
      <c r="E179" s="52">
        <f>_xlfn.XLOOKUP(D179,期初设置!E:E,期初设置!F:F,0)</f>
        <v>0</v>
      </c>
      <c r="F179" s="52">
        <f>_xlfn.XLOOKUP(D179,期初设置!E:E,期初设置!D:D,0)</f>
        <v>0</v>
      </c>
      <c r="G179" s="53">
        <f>_xlfn.XLOOKUP(D179,'④考勤-B-a-26考勤汇总表'!D:D,'④考勤-B-a-26考勤汇总表'!AP:AP,0)</f>
        <v>7</v>
      </c>
      <c r="H179" s="141">
        <f>_xlfn.XLOOKUP(D179,'个人业绩-B-a-②呈现-业绩明细表'!$C:$C,'个人业绩-B-a-②呈现-业绩明细表'!D:D,0)</f>
        <v>0</v>
      </c>
      <c r="I179" s="141">
        <f>_xlfn.XLOOKUP(D179,'个人业绩-B-a-②呈现-业绩明细表'!$C:$C,'个人业绩-B-a-②呈现-业绩明细表'!$E:$E,0)</f>
        <v>0</v>
      </c>
      <c r="J179" s="141">
        <f>_xlfn.XLOOKUP(D179,'个人业绩-B-a-②呈现-业绩明细表'!$C:$C,'个人业绩-B-a-②呈现-业绩明细表'!$F:$F,0)</f>
        <v>0</v>
      </c>
      <c r="K179" s="53">
        <f>SUMIFS('⑦扣除明细-B-a-12-奖励统计表③'!G:G,'⑦扣除明细-B-a-12-奖励统计表③'!D:D,D179)</f>
        <v>0</v>
      </c>
      <c r="L179" s="53">
        <f>_xlfn.XLOOKUP(D179,'⑤项目数-B-a-③消耗明细表'!C:C,'⑤项目数-B-a-③消耗明细表'!E:E,0)</f>
        <v>0</v>
      </c>
      <c r="M179" s="153">
        <f>_xlfn.XLOOKUP(D179,'⑤项目数-B-a-③消耗明细表'!$C:$C,'⑤项目数-B-a-③消耗明细表'!F:F,0)</f>
        <v>0</v>
      </c>
      <c r="N179" s="53">
        <f>_xlfn.XLOOKUP(D179,'⑤项目数-B-a-③消耗明细表'!$C:$C,'⑤项目数-B-a-③消耗明细表'!G:G,0)</f>
        <v>0</v>
      </c>
    </row>
    <row r="180" spans="1:14" x14ac:dyDescent="0.15">
      <c r="A180" s="52">
        <v>0</v>
      </c>
      <c r="B180" s="52" t="str">
        <v>健康师</v>
      </c>
      <c r="C180" s="52" t="str">
        <v>A</v>
      </c>
      <c r="D180" s="52" t="str">
        <v>郭芬</v>
      </c>
      <c r="G180" s="53">
        <f>_xlfn.XLOOKUP(D180,'④考勤-B-a-26考勤汇总表'!D:D,'④考勤-B-a-26考勤汇总表'!AP:AP,0)</f>
        <v>5</v>
      </c>
      <c r="H180" s="141">
        <f>_xlfn.XLOOKUP(D180,'个人业绩-B-a-②呈现-业绩明细表'!$C:$C,'个人业绩-B-a-②呈现-业绩明细表'!D:D,0)</f>
        <v>0</v>
      </c>
      <c r="I180" s="141">
        <f>_xlfn.XLOOKUP(D180,'个人业绩-B-a-②呈现-业绩明细表'!$C:$C,'个人业绩-B-a-②呈现-业绩明细表'!$E:$E,0)</f>
        <v>0</v>
      </c>
      <c r="J180" s="141">
        <f>_xlfn.XLOOKUP(D180,'个人业绩-B-a-②呈现-业绩明细表'!$C:$C,'个人业绩-B-a-②呈现-业绩明细表'!$F:$F,0)</f>
        <v>0</v>
      </c>
      <c r="K180" s="53">
        <f>SUMIFS('⑦扣除明细-B-a-12-奖励统计表③'!G:G,'⑦扣除明细-B-a-12-奖励统计表③'!D:D,D180)</f>
        <v>0</v>
      </c>
      <c r="L180" s="53">
        <f>_xlfn.XLOOKUP(D180,'⑤项目数-B-a-③消耗明细表'!C:C,'⑤项目数-B-a-③消耗明细表'!E:E,0)</f>
        <v>0</v>
      </c>
      <c r="M180" s="153">
        <f>_xlfn.XLOOKUP(D180,'⑤项目数-B-a-③消耗明细表'!$C:$C,'⑤项目数-B-a-③消耗明细表'!F:F,0)</f>
        <v>0</v>
      </c>
      <c r="N180" s="53">
        <f>_xlfn.XLOOKUP(D180,'⑤项目数-B-a-③消耗明细表'!$C:$C,'⑤项目数-B-a-③消耗明细表'!G:G,0)</f>
        <v>0</v>
      </c>
    </row>
  </sheetData>
  <autoFilter ref="A4:T180" xr:uid="{51AB926C-4954-4EC8-A804-5EAEE4EDA6ED}"/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2:H155"/>
  <sheetViews>
    <sheetView topLeftCell="A100" workbookViewId="0">
      <selection activeCell="D118" sqref="D118"/>
    </sheetView>
  </sheetViews>
  <sheetFormatPr defaultColWidth="9" defaultRowHeight="14.25" x14ac:dyDescent="0.15"/>
  <cols>
    <col min="1" max="1" width="18.375" style="53" bestFit="1" customWidth="1"/>
    <col min="2" max="2" width="12.25" style="53" bestFit="1" customWidth="1"/>
    <col min="3" max="3" width="16.5" style="53" customWidth="1"/>
    <col min="4" max="4" width="15.5" style="59" customWidth="1"/>
    <col min="5" max="5" width="16.25" style="53" customWidth="1"/>
    <col min="6" max="6" width="17.5" style="59" customWidth="1"/>
    <col min="7" max="7" width="15.125" style="53" customWidth="1"/>
    <col min="8" max="8" width="11.25" style="53" customWidth="1"/>
    <col min="9" max="16384" width="9" style="112"/>
  </cols>
  <sheetData>
    <row r="2" spans="1:8" x14ac:dyDescent="0.15">
      <c r="A2" s="53" t="s">
        <v>656</v>
      </c>
    </row>
    <row r="3" spans="1:8" x14ac:dyDescent="0.15">
      <c r="A3" s="53" cm="1">
        <f t="array" ref="A3:A126">_xlfn.UNIQUE(期初设置!F:F)</f>
        <v>0</v>
      </c>
    </row>
    <row r="4" spans="1:8" x14ac:dyDescent="0.15">
      <c r="A4" s="53" t="str">
        <v>金三角战队设置</v>
      </c>
      <c r="B4" s="53" t="s">
        <v>288</v>
      </c>
      <c r="C4" s="95" t="s">
        <v>289</v>
      </c>
      <c r="D4" s="59" t="s">
        <v>290</v>
      </c>
      <c r="E4" s="95" t="s">
        <v>291</v>
      </c>
      <c r="F4" s="144" t="s">
        <v>292</v>
      </c>
      <c r="G4" s="53" t="s">
        <v>293</v>
      </c>
      <c r="H4" s="53" t="s">
        <v>294</v>
      </c>
    </row>
    <row r="5" spans="1:8" x14ac:dyDescent="0.15">
      <c r="A5" s="53" t="str">
        <v>A-b-①</v>
      </c>
      <c r="B5" s="53">
        <f>SUMIFS(期初设置!$AB:$AB,期初设置!$F:$F,A5)</f>
        <v>0</v>
      </c>
      <c r="C5" s="53">
        <f>IF(B5&gt;1,SUMIFS(期初设置!S:S,期初设置!F:F,A5,期初设置!AB:AB,1),0)</f>
        <v>0</v>
      </c>
      <c r="D5" s="59">
        <f>IF(B5=3,LOOKUP(C5,'②提成标准-B-a-①-增加'!$B$3:$B$8,'②提成标准-B-a-①-增加'!$D$3:$D$8),IF(B5=2,LOOKUP(C5,'②提成标准-B-a-①-增加'!$B$10:$B$14,'②提成标准-B-a-①-增加'!$D$10:$D$14),IF(B5=1,LOOKUP(C5,'②提成标准-B-a-①-增加'!$B$16:$B$20,'②提成标准-B-a-①-增加'!$D$16:$D$20),0)))</f>
        <v>0</v>
      </c>
      <c r="E5" s="53">
        <f>SUMIFS(期初设置!$W:$W,期初设置!$F:$F,A5)</f>
        <v>0</v>
      </c>
      <c r="F5" s="59" t="str">
        <f>_xlfn.XLOOKUP(A5,期初设置!F:F,期初设置!AL:AL,0)</f>
        <v>⑥战队统计表-B-a-②呈现-业绩明细表④</v>
      </c>
      <c r="G5" s="53">
        <f>IF(AND(C5&gt;='②提成标准-B-a-①-增加'!$G$3,F5&gt;='②提成标准-B-a-①-增加'!$H$3,E5&gt;='②提成标准-B-a-①-增加'!$I$3,B5='②提成标准-B-a-①-增加'!$F$3),'②提成标准-B-a-①-增加'!$J$3,IF(AND(C5&gt;='②提成标准-B-a-①-增加'!$G$4,F5&gt;='②提成标准-B-a-①-增加'!$H$4,E5&gt;='②提成标准-B-a-①-增加'!$I$4,B5='②提成标准-B-a-①-增加'!$F$4),'②提成标准-B-a-①-增加'!$J$4,0))</f>
        <v>0</v>
      </c>
      <c r="H5" s="53">
        <f t="shared" ref="H5:H68" si="0">ROUNDUP(G5*C5,2)</f>
        <v>0</v>
      </c>
    </row>
    <row r="6" spans="1:8" x14ac:dyDescent="0.15">
      <c r="A6" s="53" t="str">
        <v>辅助列</v>
      </c>
      <c r="B6" s="53">
        <f>SUMIFS(期初设置!$AB:$AB,期初设置!$F:$F,A6)</f>
        <v>0</v>
      </c>
      <c r="C6" s="53">
        <f>IF(B6&gt;1,SUMIFS(期初设置!S:S,期初设置!F:F,A6,期初设置!AB:AB,1),0)</f>
        <v>0</v>
      </c>
      <c r="D6" s="59">
        <f>IF(B6=3,LOOKUP(C6,'②提成标准-B-a-①-增加'!$B$3:$B$8,'②提成标准-B-a-①-增加'!$D$3:$D$8),IF(B6=2,LOOKUP(C6,'②提成标准-B-a-①-增加'!$B$10:$B$14,'②提成标准-B-a-①-增加'!$D$10:$D$14),IF(B6=1,LOOKUP(C6,'②提成标准-B-a-①-增加'!$B$16:$B$20,'②提成标准-B-a-①-增加'!$D$16:$D$20),0)))</f>
        <v>0</v>
      </c>
      <c r="E6" s="53">
        <f>SUMIFS(期初设置!$W:$W,期初设置!$F:$F,A6)</f>
        <v>0</v>
      </c>
      <c r="F6" s="59" t="str">
        <f>_xlfn.XLOOKUP(A6,期初设置!F:F,期初设置!AL:AL,0)</f>
        <v>组员合计</v>
      </c>
      <c r="G6" s="53">
        <f>IF(AND(C6&gt;='②提成标准-B-a-①-增加'!$G$3,F6&gt;='②提成标准-B-a-①-增加'!$H$3,E6&gt;='②提成标准-B-a-①-增加'!$I$3,B6='②提成标准-B-a-①-增加'!$F$3),'②提成标准-B-a-①-增加'!$J$3,IF(AND(C6&gt;='②提成标准-B-a-①-增加'!$G$4,F6&gt;='②提成标准-B-a-①-增加'!$H$4,E6&gt;='②提成标准-B-a-①-增加'!$I$4,B6='②提成标准-B-a-①-增加'!$F$4),'②提成标准-B-a-①-增加'!$J$4,0))</f>
        <v>0</v>
      </c>
      <c r="H6" s="53">
        <f t="shared" si="0"/>
        <v>0</v>
      </c>
    </row>
    <row r="7" spans="1:8" x14ac:dyDescent="0.15">
      <c r="A7" s="53" t="str">
        <v>468+精英队</v>
      </c>
      <c r="B7" s="53">
        <f>SUMIFS(期初设置!$AB:$AB,期初设置!$F:$F,A7)</f>
        <v>3</v>
      </c>
      <c r="C7" s="53">
        <f>IF(B7&gt;1,SUMIFS(期初设置!S:S,期初设置!F:F,A7,期初设置!AB:AB,1),0)</f>
        <v>66588</v>
      </c>
      <c r="D7" s="59">
        <f>IF(B7=3,LOOKUP(C7,'②提成标准-B-a-①-增加'!$B$3:$B$8,'②提成标准-B-a-①-增加'!$D$3:$D$8),IF(B7=2,LOOKUP(C7,'②提成标准-B-a-①-增加'!$B$10:$B$14,'②提成标准-B-a-①-增加'!$D$10:$D$14),IF(B7=1,LOOKUP(C7,'②提成标准-B-a-①-增加'!$B$16:$B$20,'②提成标准-B-a-①-增加'!$D$16:$D$20),0)))</f>
        <v>0.04</v>
      </c>
      <c r="E7" s="53">
        <f>SUMIFS(期初设置!$W:$W,期初设置!$F:$F,A7)</f>
        <v>87967.54</v>
      </c>
      <c r="F7" s="59">
        <f>_xlfn.XLOOKUP(A7,期初设置!F:F,期初设置!AL:AL,0)</f>
        <v>0.72945575779419713</v>
      </c>
      <c r="G7" s="53">
        <f>IF(AND(C7&gt;='②提成标准-B-a-①-增加'!$G$3,F7&gt;='②提成标准-B-a-①-增加'!$H$3,E7&gt;='②提成标准-B-a-①-增加'!$I$3,B7='②提成标准-B-a-①-增加'!$F$3),'②提成标准-B-a-①-增加'!$J$3,IF(AND(C7&gt;='②提成标准-B-a-①-增加'!$G$4,F7&gt;='②提成标准-B-a-①-增加'!$H$4,E7&gt;='②提成标准-B-a-①-增加'!$I$4,B7='②提成标准-B-a-①-增加'!$F$4),'②提成标准-B-a-①-增加'!$J$4,0))</f>
        <v>8.0000000000000002E-3</v>
      </c>
      <c r="H7" s="53">
        <f t="shared" si="0"/>
        <v>532.71</v>
      </c>
    </row>
    <row r="8" spans="1:8" x14ac:dyDescent="0.15">
      <c r="A8" s="53" t="str">
        <v>468+T区</v>
      </c>
      <c r="B8" s="53">
        <f>SUMIFS(期初设置!$AB:$AB,期初设置!$F:$F,A8)</f>
        <v>0</v>
      </c>
      <c r="C8" s="53">
        <f>IF(B8&gt;1,SUMIFS(期初设置!S:S,期初设置!F:F,A8,期初设置!AB:AB,1),0)</f>
        <v>0</v>
      </c>
      <c r="D8" s="59">
        <f>IF(B8=3,LOOKUP(C8,'②提成标准-B-a-①-增加'!$B$3:$B$8,'②提成标准-B-a-①-增加'!$D$3:$D$8),IF(B8=2,LOOKUP(C8,'②提成标准-B-a-①-增加'!$B$10:$B$14,'②提成标准-B-a-①-增加'!$D$10:$D$14),IF(B8=1,LOOKUP(C8,'②提成标准-B-a-①-增加'!$B$16:$B$20,'②提成标准-B-a-①-增加'!$D$16:$D$20),0)))</f>
        <v>0</v>
      </c>
      <c r="E8" s="53">
        <f>SUMIFS(期初设置!$W:$W,期初设置!$F:$F,A8)</f>
        <v>12825.42</v>
      </c>
      <c r="F8" s="59" t="str">
        <f>_xlfn.XLOOKUP(A8,期初设置!F:F,期初设置!AL:AL,0)</f>
        <v/>
      </c>
      <c r="G8" s="53">
        <f>IF(AND(C8&gt;='②提成标准-B-a-①-增加'!$G$3,F8&gt;='②提成标准-B-a-①-增加'!$H$3,E8&gt;='②提成标准-B-a-①-增加'!$I$3,B8='②提成标准-B-a-①-增加'!$F$3),'②提成标准-B-a-①-增加'!$J$3,IF(AND(C8&gt;='②提成标准-B-a-①-增加'!$G$4,F8&gt;='②提成标准-B-a-①-增加'!$H$4,E8&gt;='②提成标准-B-a-①-增加'!$I$4,B8='②提成标准-B-a-①-增加'!$F$4),'②提成标准-B-a-①-增加'!$J$4,0))</f>
        <v>0</v>
      </c>
      <c r="H8" s="53">
        <f t="shared" si="0"/>
        <v>0</v>
      </c>
    </row>
    <row r="9" spans="1:8" x14ac:dyDescent="0.15">
      <c r="A9" s="53" t="str">
        <v>468+冲锋队</v>
      </c>
      <c r="B9" s="53">
        <f>SUMIFS(期初设置!$AB:$AB,期初设置!$F:$F,A9)</f>
        <v>2</v>
      </c>
      <c r="C9" s="53">
        <f>IF(B9&gt;1,SUMIFS(期初设置!S:S,期初设置!F:F,A9,期初设置!AB:AB,1),0)</f>
        <v>63707</v>
      </c>
      <c r="D9" s="59">
        <f>IF(B9=3,LOOKUP(C9,'②提成标准-B-a-①-增加'!$B$3:$B$8,'②提成标准-B-a-①-增加'!$D$3:$D$8),IF(B9=2,LOOKUP(C9,'②提成标准-B-a-①-增加'!$B$10:$B$14,'②提成标准-B-a-①-增加'!$D$10:$D$14),IF(B9=1,LOOKUP(C9,'②提成标准-B-a-①-增加'!$B$16:$B$20,'②提成标准-B-a-①-增加'!$D$16:$D$20),0)))</f>
        <v>0.05</v>
      </c>
      <c r="E9" s="53">
        <f>SUMIFS(期初设置!$W:$W,期初设置!$F:$F,A9)</f>
        <v>89989.81</v>
      </c>
      <c r="F9" s="59">
        <f>_xlfn.XLOOKUP(A9,期初设置!F:F,期初设置!AL:AL,0)</f>
        <v>0.36058831839515282</v>
      </c>
      <c r="G9" s="53">
        <f>IF(AND(C9&gt;='②提成标准-B-a-①-增加'!$G$3,F9&gt;='②提成标准-B-a-①-增加'!$H$3,E9&gt;='②提成标准-B-a-①-增加'!$I$3,B9='②提成标准-B-a-①-增加'!$F$3),'②提成标准-B-a-①-增加'!$J$3,IF(AND(C9&gt;='②提成标准-B-a-①-增加'!$G$4,F9&gt;='②提成标准-B-a-①-增加'!$H$4,E9&gt;='②提成标准-B-a-①-增加'!$I$4,B9='②提成标准-B-a-①-增加'!$F$4),'②提成标准-B-a-①-增加'!$J$4,0))</f>
        <v>3.0000000000000001E-3</v>
      </c>
      <c r="H9" s="53">
        <f t="shared" si="0"/>
        <v>191.13</v>
      </c>
    </row>
    <row r="10" spans="1:8" x14ac:dyDescent="0.15">
      <c r="A10" s="53" t="str">
        <v>468+门店T区</v>
      </c>
      <c r="B10" s="53">
        <f>SUMIFS(期初设置!$AB:$AB,期初设置!$F:$F,A10)</f>
        <v>0</v>
      </c>
      <c r="C10" s="53">
        <f>IF(B10&gt;1,SUMIFS(期初设置!S:S,期初设置!F:F,A10,期初设置!AB:AB,1),0)</f>
        <v>0</v>
      </c>
      <c r="D10" s="59">
        <f>IF(B10=3,LOOKUP(C10,'②提成标准-B-a-①-增加'!$B$3:$B$8,'②提成标准-B-a-①-增加'!$D$3:$D$8),IF(B10=2,LOOKUP(C10,'②提成标准-B-a-①-增加'!$B$10:$B$14,'②提成标准-B-a-①-增加'!$D$10:$D$14),IF(B10=1,LOOKUP(C10,'②提成标准-B-a-①-增加'!$B$16:$B$20,'②提成标准-B-a-①-增加'!$D$16:$D$20),0)))</f>
        <v>0</v>
      </c>
      <c r="E10" s="53">
        <f>SUMIFS(期初设置!$W:$W,期初设置!$F:$F,A10)</f>
        <v>0</v>
      </c>
      <c r="F10" s="59" t="str">
        <f>_xlfn.XLOOKUP(A10,期初设置!F:F,期初设置!AL:AL,0)</f>
        <v/>
      </c>
      <c r="G10" s="53">
        <f>IF(AND(C10&gt;='②提成标准-B-a-①-增加'!$G$3,F10&gt;='②提成标准-B-a-①-增加'!$H$3,E10&gt;='②提成标准-B-a-①-增加'!$I$3,B10='②提成标准-B-a-①-增加'!$F$3),'②提成标准-B-a-①-增加'!$J$3,IF(AND(C10&gt;='②提成标准-B-a-①-增加'!$G$4,F10&gt;='②提成标准-B-a-①-增加'!$H$4,E10&gt;='②提成标准-B-a-①-增加'!$I$4,B10='②提成标准-B-a-①-增加'!$F$4),'②提成标准-B-a-①-增加'!$J$4,0))</f>
        <v>0</v>
      </c>
      <c r="H10" s="53">
        <f t="shared" si="0"/>
        <v>0</v>
      </c>
    </row>
    <row r="11" spans="1:8" x14ac:dyDescent="0.15">
      <c r="A11" s="53" t="str">
        <v>华润+战狼队</v>
      </c>
      <c r="B11" s="53">
        <f>SUMIFS(期初设置!$AB:$AB,期初设置!$F:$F,A11)</f>
        <v>3</v>
      </c>
      <c r="C11" s="53">
        <f>IF(B11&gt;1,SUMIFS(期初设置!S:S,期初设置!F:F,A11,期初设置!AB:AB,1),0)</f>
        <v>97597.2</v>
      </c>
      <c r="D11" s="59">
        <f>IF(B11=3,LOOKUP(C11,'②提成标准-B-a-①-增加'!$B$3:$B$8,'②提成标准-B-a-①-增加'!$D$3:$D$8),IF(B11=2,LOOKUP(C11,'②提成标准-B-a-①-增加'!$B$10:$B$14,'②提成标准-B-a-①-增加'!$D$10:$D$14),IF(B11=1,LOOKUP(C11,'②提成标准-B-a-①-增加'!$B$16:$B$20,'②提成标准-B-a-①-增加'!$D$16:$D$20),0)))</f>
        <v>0.05</v>
      </c>
      <c r="E11" s="53">
        <f>SUMIFS(期初设置!$W:$W,期初设置!$F:$F,A11)</f>
        <v>73400.27</v>
      </c>
      <c r="F11" s="59">
        <f>_xlfn.XLOOKUP(A11,期初设置!F:F,期初设置!AL:AL,0)</f>
        <v>0.48069719213256112</v>
      </c>
      <c r="G11" s="53">
        <f>IF(AND(C11&gt;='②提成标准-B-a-①-增加'!$G$3,F11&gt;='②提成标准-B-a-①-增加'!$H$3,E11&gt;='②提成标准-B-a-①-增加'!$I$3,B11='②提成标准-B-a-①-增加'!$F$3),'②提成标准-B-a-①-增加'!$J$3,IF(AND(C11&gt;='②提成标准-B-a-①-增加'!$G$4,F11&gt;='②提成标准-B-a-①-增加'!$H$4,E11&gt;='②提成标准-B-a-①-增加'!$I$4,B11='②提成标准-B-a-①-增加'!$F$4),'②提成标准-B-a-①-增加'!$J$4,0))</f>
        <v>8.0000000000000002E-3</v>
      </c>
      <c r="H11" s="53">
        <f t="shared" si="0"/>
        <v>780.78</v>
      </c>
    </row>
    <row r="12" spans="1:8" x14ac:dyDescent="0.15">
      <c r="A12" s="53" t="str">
        <v>华润+T区</v>
      </c>
      <c r="B12" s="53">
        <f>SUMIFS(期初设置!$AB:$AB,期初设置!$F:$F,A12)</f>
        <v>0</v>
      </c>
      <c r="C12" s="53">
        <f>IF(B12&gt;1,SUMIFS(期初设置!S:S,期初设置!F:F,A12,期初设置!AB:AB,1),0)</f>
        <v>0</v>
      </c>
      <c r="D12" s="59">
        <f>IF(B12=3,LOOKUP(C12,'②提成标准-B-a-①-增加'!$B$3:$B$8,'②提成标准-B-a-①-增加'!$D$3:$D$8),IF(B12=2,LOOKUP(C12,'②提成标准-B-a-①-增加'!$B$10:$B$14,'②提成标准-B-a-①-增加'!$D$10:$D$14),IF(B12=1,LOOKUP(C12,'②提成标准-B-a-①-增加'!$B$16:$B$20,'②提成标准-B-a-①-增加'!$D$16:$D$20),0)))</f>
        <v>0</v>
      </c>
      <c r="E12" s="53">
        <f>SUMIFS(期初设置!$W:$W,期初设置!$F:$F,A12)</f>
        <v>15111.11</v>
      </c>
      <c r="F12" s="59" t="str">
        <f>_xlfn.XLOOKUP(A12,期初设置!F:F,期初设置!AL:AL,0)</f>
        <v/>
      </c>
      <c r="G12" s="53">
        <f>IF(AND(C12&gt;='②提成标准-B-a-①-增加'!$G$3,F12&gt;='②提成标准-B-a-①-增加'!$H$3,E12&gt;='②提成标准-B-a-①-增加'!$I$3,B12='②提成标准-B-a-①-增加'!$F$3),'②提成标准-B-a-①-增加'!$J$3,IF(AND(C12&gt;='②提成标准-B-a-①-增加'!$G$4,F12&gt;='②提成标准-B-a-①-增加'!$H$4,E12&gt;='②提成标准-B-a-①-增加'!$I$4,B12='②提成标准-B-a-①-增加'!$F$4),'②提成标准-B-a-①-增加'!$J$4,0))</f>
        <v>0</v>
      </c>
      <c r="H12" s="53">
        <f t="shared" si="0"/>
        <v>0</v>
      </c>
    </row>
    <row r="13" spans="1:8" x14ac:dyDescent="0.15">
      <c r="A13" s="53" t="str">
        <v>华润+飞跃队</v>
      </c>
      <c r="B13" s="53">
        <f>SUMIFS(期初设置!$AB:$AB,期初设置!$F:$F,A13)</f>
        <v>3</v>
      </c>
      <c r="C13" s="53">
        <f>IF(B13&gt;1,SUMIFS(期初设置!S:S,期初设置!F:F,A13,期初设置!AB:AB,1),0)</f>
        <v>104385.9</v>
      </c>
      <c r="D13" s="59">
        <f>IF(B13=3,LOOKUP(C13,'②提成标准-B-a-①-增加'!$B$3:$B$8,'②提成标准-B-a-①-增加'!$D$3:$D$8),IF(B13=2,LOOKUP(C13,'②提成标准-B-a-①-增加'!$B$10:$B$14,'②提成标准-B-a-①-增加'!$D$10:$D$14),IF(B13=1,LOOKUP(C13,'②提成标准-B-a-①-增加'!$B$16:$B$20,'②提成标准-B-a-①-增加'!$D$16:$D$20),0)))</f>
        <v>0.05</v>
      </c>
      <c r="E13" s="53">
        <f>SUMIFS(期初设置!$W:$W,期初设置!$F:$F,A13)</f>
        <v>93018.13</v>
      </c>
      <c r="F13" s="59">
        <f>_xlfn.XLOOKUP(A13,期初设置!F:F,期初设置!AL:AL,0)</f>
        <v>0.33076306282745083</v>
      </c>
      <c r="G13" s="53">
        <f>IF(AND(C13&gt;='②提成标准-B-a-①-增加'!$G$3,F13&gt;='②提成标准-B-a-①-增加'!$H$3,E13&gt;='②提成标准-B-a-①-增加'!$I$3,B13='②提成标准-B-a-①-增加'!$F$3),'②提成标准-B-a-①-增加'!$J$3,IF(AND(C13&gt;='②提成标准-B-a-①-增加'!$G$4,F13&gt;='②提成标准-B-a-①-增加'!$H$4,E13&gt;='②提成标准-B-a-①-增加'!$I$4,B13='②提成标准-B-a-①-增加'!$F$4),'②提成标准-B-a-①-增加'!$J$4,0))</f>
        <v>0</v>
      </c>
      <c r="H13" s="53">
        <f t="shared" si="0"/>
        <v>0</v>
      </c>
    </row>
    <row r="14" spans="1:8" x14ac:dyDescent="0.15">
      <c r="A14" s="53" t="str">
        <v>华润+门店T区</v>
      </c>
      <c r="B14" s="53">
        <f>SUMIFS(期初设置!$AB:$AB,期初设置!$F:$F,A14)</f>
        <v>0</v>
      </c>
      <c r="C14" s="53">
        <f>IF(B14&gt;1,SUMIFS(期初设置!S:S,期初设置!F:F,A14,期初设置!AB:AB,1),0)</f>
        <v>0</v>
      </c>
      <c r="D14" s="59">
        <f>IF(B14=3,LOOKUP(C14,'②提成标准-B-a-①-增加'!$B$3:$B$8,'②提成标准-B-a-①-增加'!$D$3:$D$8),IF(B14=2,LOOKUP(C14,'②提成标准-B-a-①-增加'!$B$10:$B$14,'②提成标准-B-a-①-增加'!$D$10:$D$14),IF(B14=1,LOOKUP(C14,'②提成标准-B-a-①-增加'!$B$16:$B$20,'②提成标准-B-a-①-增加'!$D$16:$D$20),0)))</f>
        <v>0</v>
      </c>
      <c r="E14" s="53">
        <f>SUMIFS(期初设置!$W:$W,期初设置!$F:$F,A14)</f>
        <v>0</v>
      </c>
      <c r="F14" s="59" t="str">
        <f>_xlfn.XLOOKUP(A14,期初设置!F:F,期初设置!AL:AL,0)</f>
        <v/>
      </c>
      <c r="G14" s="53">
        <f>IF(AND(C14&gt;='②提成标准-B-a-①-增加'!$G$3,F14&gt;='②提成标准-B-a-①-增加'!$H$3,E14&gt;='②提成标准-B-a-①-增加'!$I$3,B14='②提成标准-B-a-①-增加'!$F$3),'②提成标准-B-a-①-增加'!$J$3,IF(AND(C14&gt;='②提成标准-B-a-①-增加'!$G$4,F14&gt;='②提成标准-B-a-①-增加'!$H$4,E14&gt;='②提成标准-B-a-①-增加'!$I$4,B14='②提成标准-B-a-①-增加'!$F$4),'②提成标准-B-a-①-增加'!$J$4,0))</f>
        <v>0</v>
      </c>
      <c r="H14" s="53">
        <f t="shared" si="0"/>
        <v>0</v>
      </c>
    </row>
    <row r="15" spans="1:8" x14ac:dyDescent="0.15">
      <c r="A15" s="53" t="str">
        <v>静居寺+战神队</v>
      </c>
      <c r="B15" s="53">
        <f>SUMIFS(期初设置!$AB:$AB,期初设置!$F:$F,A15)</f>
        <v>3</v>
      </c>
      <c r="C15" s="53">
        <f>IF(B15&gt;1,SUMIFS(期初设置!S:S,期初设置!F:F,A15,期初设置!AB:AB,1),0)</f>
        <v>232087.3</v>
      </c>
      <c r="D15" s="59">
        <f>IF(B15=3,LOOKUP(C15,'②提成标准-B-a-①-增加'!$B$3:$B$8,'②提成标准-B-a-①-增加'!$D$3:$D$8),IF(B15=2,LOOKUP(C15,'②提成标准-B-a-①-增加'!$B$10:$B$14,'②提成标准-B-a-①-增加'!$D$10:$D$14),IF(B15=1,LOOKUP(C15,'②提成标准-B-a-①-增加'!$B$16:$B$20,'②提成标准-B-a-①-增加'!$D$16:$D$20),0)))</f>
        <v>7.0000000000000007E-2</v>
      </c>
      <c r="E15" s="53">
        <f>SUMIFS(期初设置!$W:$W,期初设置!$F:$F,A15)</f>
        <v>147555.93</v>
      </c>
      <c r="F15" s="59">
        <f>_xlfn.XLOOKUP(A15,期初设置!F:F,期初设置!AL:AL,0)</f>
        <v>0.21457572215282783</v>
      </c>
      <c r="G15" s="53">
        <f>IF(AND(C15&gt;='②提成标准-B-a-①-增加'!$G$3,F15&gt;='②提成标准-B-a-①-增加'!$H$3,E15&gt;='②提成标准-B-a-①-增加'!$I$3,B15='②提成标准-B-a-①-增加'!$F$3),'②提成标准-B-a-①-增加'!$J$3,IF(AND(C15&gt;='②提成标准-B-a-①-增加'!$G$4,F15&gt;='②提成标准-B-a-①-增加'!$H$4,E15&gt;='②提成标准-B-a-①-增加'!$I$4,B15='②提成标准-B-a-①-增加'!$F$4),'②提成标准-B-a-①-增加'!$J$4,0))</f>
        <v>0</v>
      </c>
      <c r="H15" s="53">
        <f t="shared" si="0"/>
        <v>0</v>
      </c>
    </row>
    <row r="16" spans="1:8" x14ac:dyDescent="0.15">
      <c r="A16" s="53" t="str">
        <v>静居寺+T区</v>
      </c>
      <c r="B16" s="53">
        <f>SUMIFS(期初设置!$AB:$AB,期初设置!$F:$F,A16)</f>
        <v>0</v>
      </c>
      <c r="C16" s="53">
        <f>IF(B16&gt;1,SUMIFS(期初设置!S:S,期初设置!F:F,A16,期初设置!AB:AB,1),0)</f>
        <v>0</v>
      </c>
      <c r="D16" s="59">
        <f>IF(B16=3,LOOKUP(C16,'②提成标准-B-a-①-增加'!$B$3:$B$8,'②提成标准-B-a-①-增加'!$D$3:$D$8),IF(B16=2,LOOKUP(C16,'②提成标准-B-a-①-增加'!$B$10:$B$14,'②提成标准-B-a-①-增加'!$D$10:$D$14),IF(B16=1,LOOKUP(C16,'②提成标准-B-a-①-增加'!$B$16:$B$20,'②提成标准-B-a-①-增加'!$D$16:$D$20),0)))</f>
        <v>0</v>
      </c>
      <c r="E16" s="53">
        <f>SUMIFS(期初设置!$W:$W,期初设置!$F:$F,A16)</f>
        <v>182027.66</v>
      </c>
      <c r="F16" s="59" t="str">
        <f>_xlfn.XLOOKUP(A16,期初设置!F:F,期初设置!AL:AL,0)</f>
        <v/>
      </c>
      <c r="G16" s="53">
        <f>IF(AND(C16&gt;='②提成标准-B-a-①-增加'!$G$3,F16&gt;='②提成标准-B-a-①-增加'!$H$3,E16&gt;='②提成标准-B-a-①-增加'!$I$3,B16='②提成标准-B-a-①-增加'!$F$3),'②提成标准-B-a-①-增加'!$J$3,IF(AND(C16&gt;='②提成标准-B-a-①-增加'!$G$4,F16&gt;='②提成标准-B-a-①-增加'!$H$4,E16&gt;='②提成标准-B-a-①-增加'!$I$4,B16='②提成标准-B-a-①-增加'!$F$4),'②提成标准-B-a-①-增加'!$J$4,0))</f>
        <v>0</v>
      </c>
      <c r="H16" s="53">
        <f t="shared" si="0"/>
        <v>0</v>
      </c>
    </row>
    <row r="17" spans="1:8" x14ac:dyDescent="0.15">
      <c r="A17" s="53" t="str">
        <v>静居寺+亮剑队</v>
      </c>
      <c r="B17" s="53">
        <f>SUMIFS(期初设置!$AB:$AB,期初设置!$F:$F,A17)</f>
        <v>3</v>
      </c>
      <c r="C17" s="53">
        <f>IF(B17&gt;1,SUMIFS(期初设置!S:S,期初设置!F:F,A17,期初设置!AB:AB,1),0)</f>
        <v>175402.80000000002</v>
      </c>
      <c r="D17" s="59">
        <f>IF(B17=3,LOOKUP(C17,'②提成标准-B-a-①-增加'!$B$3:$B$8,'②提成标准-B-a-①-增加'!$D$3:$D$8),IF(B17=2,LOOKUP(C17,'②提成标准-B-a-①-增加'!$B$10:$B$14,'②提成标准-B-a-①-增加'!$D$10:$D$14),IF(B17=1,LOOKUP(C17,'②提成标准-B-a-①-增加'!$B$16:$B$20,'②提成标准-B-a-①-增加'!$D$16:$D$20),0)))</f>
        <v>7.0000000000000007E-2</v>
      </c>
      <c r="E17" s="53">
        <f>SUMIFS(期初设置!$W:$W,期初设置!$F:$F,A17)</f>
        <v>189445.7</v>
      </c>
      <c r="F17" s="59">
        <f>_xlfn.XLOOKUP(A17,期初设置!F:F,期初设置!AL:AL,0)</f>
        <v>0.33721354505173229</v>
      </c>
      <c r="G17" s="53">
        <f>IF(AND(C17&gt;='②提成标准-B-a-①-增加'!$G$3,F17&gt;='②提成标准-B-a-①-增加'!$H$3,E17&gt;='②提成标准-B-a-①-增加'!$I$3,B17='②提成标准-B-a-①-增加'!$F$3),'②提成标准-B-a-①-增加'!$J$3,IF(AND(C17&gt;='②提成标准-B-a-①-增加'!$G$4,F17&gt;='②提成标准-B-a-①-增加'!$H$4,E17&gt;='②提成标准-B-a-①-增加'!$I$4,B17='②提成标准-B-a-①-增加'!$F$4),'②提成标准-B-a-①-增加'!$J$4,0))</f>
        <v>0</v>
      </c>
      <c r="H17" s="53">
        <f t="shared" si="0"/>
        <v>0</v>
      </c>
    </row>
    <row r="18" spans="1:8" x14ac:dyDescent="0.15">
      <c r="A18" s="53" t="str">
        <v>静居寺+门店T区</v>
      </c>
      <c r="B18" s="53">
        <f>SUMIFS(期初设置!$AB:$AB,期初设置!$F:$F,A18)</f>
        <v>0</v>
      </c>
      <c r="C18" s="53">
        <f>IF(B18&gt;1,SUMIFS(期初设置!S:S,期初设置!F:F,A18,期初设置!AB:AB,1),0)</f>
        <v>0</v>
      </c>
      <c r="D18" s="59">
        <f>IF(B18=3,LOOKUP(C18,'②提成标准-B-a-①-增加'!$B$3:$B$8,'②提成标准-B-a-①-增加'!$D$3:$D$8),IF(B18=2,LOOKUP(C18,'②提成标准-B-a-①-增加'!$B$10:$B$14,'②提成标准-B-a-①-增加'!$D$10:$D$14),IF(B18=1,LOOKUP(C18,'②提成标准-B-a-①-增加'!$B$16:$B$20,'②提成标准-B-a-①-增加'!$D$16:$D$20),0)))</f>
        <v>0</v>
      </c>
      <c r="E18" s="53">
        <f>SUMIFS(期初设置!$W:$W,期初设置!$F:$F,A18)</f>
        <v>0</v>
      </c>
      <c r="F18" s="59" t="str">
        <f>_xlfn.XLOOKUP(A18,期初设置!F:F,期初设置!AL:AL,0)</f>
        <v/>
      </c>
      <c r="G18" s="53">
        <f>IF(AND(C18&gt;='②提成标准-B-a-①-增加'!$G$3,F18&gt;='②提成标准-B-a-①-增加'!$H$3,E18&gt;='②提成标准-B-a-①-增加'!$I$3,B18='②提成标准-B-a-①-增加'!$F$3),'②提成标准-B-a-①-增加'!$J$3,IF(AND(C18&gt;='②提成标准-B-a-①-增加'!$G$4,F18&gt;='②提成标准-B-a-①-增加'!$H$4,E18&gt;='②提成标准-B-a-①-增加'!$I$4,B18='②提成标准-B-a-①-增加'!$F$4),'②提成标准-B-a-①-增加'!$J$4,0))</f>
        <v>0</v>
      </c>
      <c r="H18" s="53">
        <f t="shared" si="0"/>
        <v>0</v>
      </c>
    </row>
    <row r="19" spans="1:8" x14ac:dyDescent="0.15">
      <c r="A19" s="53" t="str">
        <v>红光+逐梦队</v>
      </c>
      <c r="B19" s="53">
        <f>SUMIFS(期初设置!$AB:$AB,期初设置!$F:$F,A19)</f>
        <v>2</v>
      </c>
      <c r="C19" s="53">
        <f>IF(B19&gt;1,SUMIFS(期初设置!S:S,期初设置!F:F,A19,期初设置!AB:AB,1),0)</f>
        <v>117476.22</v>
      </c>
      <c r="D19" s="59">
        <f>IF(B19=3,LOOKUP(C19,'②提成标准-B-a-①-增加'!$B$3:$B$8,'②提成标准-B-a-①-增加'!$D$3:$D$8),IF(B19=2,LOOKUP(C19,'②提成标准-B-a-①-增加'!$B$10:$B$14,'②提成标准-B-a-①-增加'!$D$10:$D$14),IF(B19=1,LOOKUP(C19,'②提成标准-B-a-①-增加'!$B$16:$B$20,'②提成标准-B-a-①-增加'!$D$16:$D$20),0)))</f>
        <v>0.06</v>
      </c>
      <c r="E19" s="53">
        <f>SUMIFS(期初设置!$W:$W,期初设置!$F:$F,A19)</f>
        <v>19149.2</v>
      </c>
      <c r="F19" s="59">
        <f>_xlfn.XLOOKUP(A19,期初设置!F:F,期初设置!AL:AL,0)</f>
        <v>0.17360960371384099</v>
      </c>
      <c r="G19" s="53">
        <f>IF(AND(C19&gt;='②提成标准-B-a-①-增加'!$G$3,F19&gt;='②提成标准-B-a-①-增加'!$H$3,E19&gt;='②提成标准-B-a-①-增加'!$I$3,B19='②提成标准-B-a-①-增加'!$F$3),'②提成标准-B-a-①-增加'!$J$3,IF(AND(C19&gt;='②提成标准-B-a-①-增加'!$G$4,F19&gt;='②提成标准-B-a-①-增加'!$H$4,E19&gt;='②提成标准-B-a-①-增加'!$I$4,B19='②提成标准-B-a-①-增加'!$F$4),'②提成标准-B-a-①-增加'!$J$4,0))</f>
        <v>0</v>
      </c>
      <c r="H19" s="53">
        <f t="shared" si="0"/>
        <v>0</v>
      </c>
    </row>
    <row r="20" spans="1:8" x14ac:dyDescent="0.15">
      <c r="A20" s="53" t="str">
        <v>红光+T区</v>
      </c>
      <c r="B20" s="53">
        <f>SUMIFS(期初设置!$AB:$AB,期初设置!$F:$F,A20)</f>
        <v>0</v>
      </c>
      <c r="C20" s="53">
        <f>IF(B20&gt;1,SUMIFS(期初设置!S:S,期初设置!F:F,A20,期初设置!AB:AB,1),0)</f>
        <v>0</v>
      </c>
      <c r="D20" s="59">
        <f>IF(B20=3,LOOKUP(C20,'②提成标准-B-a-①-增加'!$B$3:$B$8,'②提成标准-B-a-①-增加'!$D$3:$D$8),IF(B20=2,LOOKUP(C20,'②提成标准-B-a-①-增加'!$B$10:$B$14,'②提成标准-B-a-①-增加'!$D$10:$D$14),IF(B20=1,LOOKUP(C20,'②提成标准-B-a-①-增加'!$B$16:$B$20,'②提成标准-B-a-①-增加'!$D$16:$D$20),0)))</f>
        <v>0</v>
      </c>
      <c r="E20" s="53">
        <f>SUMIFS(期初设置!$W:$W,期初设置!$F:$F,A20)</f>
        <v>130200</v>
      </c>
      <c r="F20" s="59" t="str">
        <f>_xlfn.XLOOKUP(A20,期初设置!F:F,期初设置!AL:AL,0)</f>
        <v/>
      </c>
      <c r="G20" s="53">
        <f>IF(AND(C20&gt;='②提成标准-B-a-①-增加'!$G$3,F20&gt;='②提成标准-B-a-①-增加'!$H$3,E20&gt;='②提成标准-B-a-①-增加'!$I$3,B20='②提成标准-B-a-①-增加'!$F$3),'②提成标准-B-a-①-增加'!$J$3,IF(AND(C20&gt;='②提成标准-B-a-①-增加'!$G$4,F20&gt;='②提成标准-B-a-①-增加'!$H$4,E20&gt;='②提成标准-B-a-①-增加'!$I$4,B20='②提成标准-B-a-①-增加'!$F$4),'②提成标准-B-a-①-增加'!$J$4,0))</f>
        <v>0</v>
      </c>
      <c r="H20" s="53">
        <f t="shared" si="0"/>
        <v>0</v>
      </c>
    </row>
    <row r="21" spans="1:8" x14ac:dyDescent="0.15">
      <c r="A21" s="53" t="str">
        <v>红光+飞鹰队</v>
      </c>
      <c r="B21" s="53">
        <f>SUMIFS(期初设置!$AB:$AB,期初设置!$F:$F,A21)</f>
        <v>3</v>
      </c>
      <c r="C21" s="53">
        <f>IF(B21&gt;1,SUMIFS(期初设置!S:S,期初设置!F:F,A21,期初设置!AB:AB,1),0)</f>
        <v>124788.66</v>
      </c>
      <c r="D21" s="59">
        <f>IF(B21=3,LOOKUP(C21,'②提成标准-B-a-①-增加'!$B$3:$B$8,'②提成标准-B-a-①-增加'!$D$3:$D$8),IF(B21=2,LOOKUP(C21,'②提成标准-B-a-①-增加'!$B$10:$B$14,'②提成标准-B-a-①-增加'!$D$10:$D$14),IF(B21=1,LOOKUP(C21,'②提成标准-B-a-①-增加'!$B$16:$B$20,'②提成标准-B-a-①-增加'!$D$16:$D$20),0)))</f>
        <v>0.06</v>
      </c>
      <c r="E21" s="53">
        <f>SUMIFS(期初设置!$W:$W,期初设置!$F:$F,A21)</f>
        <v>31121.96</v>
      </c>
      <c r="F21" s="59">
        <f>_xlfn.XLOOKUP(A21,期初设置!F:F,期初设置!AL:AL,0)</f>
        <v>0.46019454011285965</v>
      </c>
      <c r="G21" s="53">
        <f>IF(AND(C21&gt;='②提成标准-B-a-①-增加'!$G$3,F21&gt;='②提成标准-B-a-①-增加'!$H$3,E21&gt;='②提成标准-B-a-①-增加'!$I$3,B21='②提成标准-B-a-①-增加'!$F$3),'②提成标准-B-a-①-增加'!$J$3,IF(AND(C21&gt;='②提成标准-B-a-①-增加'!$G$4,F21&gt;='②提成标准-B-a-①-增加'!$H$4,E21&gt;='②提成标准-B-a-①-增加'!$I$4,B21='②提成标准-B-a-①-增加'!$F$4),'②提成标准-B-a-①-增加'!$J$4,0))</f>
        <v>0</v>
      </c>
      <c r="H21" s="53">
        <f t="shared" si="0"/>
        <v>0</v>
      </c>
    </row>
    <row r="22" spans="1:8" x14ac:dyDescent="0.15">
      <c r="A22" s="53" t="str">
        <v>红光+门店T区</v>
      </c>
      <c r="B22" s="53">
        <f>SUMIFS(期初设置!$AB:$AB,期初设置!$F:$F,A22)</f>
        <v>0</v>
      </c>
      <c r="C22" s="53">
        <f>IF(B22&gt;1,SUMIFS(期初设置!S:S,期初设置!F:F,A22,期初设置!AB:AB,1),0)</f>
        <v>0</v>
      </c>
      <c r="D22" s="59">
        <f>IF(B22=3,LOOKUP(C22,'②提成标准-B-a-①-增加'!$B$3:$B$8,'②提成标准-B-a-①-增加'!$D$3:$D$8),IF(B22=2,LOOKUP(C22,'②提成标准-B-a-①-增加'!$B$10:$B$14,'②提成标准-B-a-①-增加'!$D$10:$D$14),IF(B22=1,LOOKUP(C22,'②提成标准-B-a-①-增加'!$B$16:$B$20,'②提成标准-B-a-①-增加'!$D$16:$D$20),0)))</f>
        <v>0</v>
      </c>
      <c r="E22" s="53">
        <f>SUMIFS(期初设置!$W:$W,期初设置!$F:$F,A22)</f>
        <v>0</v>
      </c>
      <c r="F22" s="59" t="str">
        <f>_xlfn.XLOOKUP(A22,期初设置!F:F,期初设置!AL:AL,0)</f>
        <v/>
      </c>
      <c r="G22" s="53">
        <f>IF(AND(C22&gt;='②提成标准-B-a-①-增加'!$G$3,F22&gt;='②提成标准-B-a-①-增加'!$H$3,E22&gt;='②提成标准-B-a-①-增加'!$I$3,B22='②提成标准-B-a-①-增加'!$F$3),'②提成标准-B-a-①-增加'!$J$3,IF(AND(C22&gt;='②提成标准-B-a-①-增加'!$G$4,F22&gt;='②提成标准-B-a-①-增加'!$H$4,E22&gt;='②提成标准-B-a-①-增加'!$I$4,B22='②提成标准-B-a-①-增加'!$F$4),'②提成标准-B-a-①-增加'!$J$4,0))</f>
        <v>0</v>
      </c>
      <c r="H22" s="53">
        <f t="shared" si="0"/>
        <v>0</v>
      </c>
    </row>
    <row r="23" spans="1:8" x14ac:dyDescent="0.15">
      <c r="A23" s="53" t="str">
        <v>犀浦+战胜队</v>
      </c>
      <c r="B23" s="53">
        <f>SUMIFS(期初设置!$AB:$AB,期初设置!$F:$F,A23)</f>
        <v>3</v>
      </c>
      <c r="C23" s="53">
        <f>IF(B23&gt;1,SUMIFS(期初设置!S:S,期初设置!F:F,A23,期初设置!AB:AB,1),0)</f>
        <v>44413</v>
      </c>
      <c r="D23" s="59">
        <f>IF(B23=3,LOOKUP(C23,'②提成标准-B-a-①-增加'!$B$3:$B$8,'②提成标准-B-a-①-增加'!$D$3:$D$8),IF(B23=2,LOOKUP(C23,'②提成标准-B-a-①-增加'!$B$10:$B$14,'②提成标准-B-a-①-增加'!$D$10:$D$14),IF(B23=1,LOOKUP(C23,'②提成标准-B-a-①-增加'!$B$16:$B$20,'②提成标准-B-a-①-增加'!$D$16:$D$20),0)))</f>
        <v>0.03</v>
      </c>
      <c r="E23" s="53">
        <f>SUMIFS(期初设置!$W:$W,期初设置!$F:$F,A23)</f>
        <v>70679.69</v>
      </c>
      <c r="F23" s="59">
        <f>_xlfn.XLOOKUP(A23,期初设置!F:F,期初设置!AL:AL,0)</f>
        <v>0.23927678832774191</v>
      </c>
      <c r="G23" s="53">
        <f>IF(AND(C23&gt;='②提成标准-B-a-①-增加'!$G$3,F23&gt;='②提成标准-B-a-①-增加'!$H$3,E23&gt;='②提成标准-B-a-①-增加'!$I$3,B23='②提成标准-B-a-①-增加'!$F$3),'②提成标准-B-a-①-增加'!$J$3,IF(AND(C23&gt;='②提成标准-B-a-①-增加'!$G$4,F23&gt;='②提成标准-B-a-①-增加'!$H$4,E23&gt;='②提成标准-B-a-①-增加'!$I$4,B23='②提成标准-B-a-①-增加'!$F$4),'②提成标准-B-a-①-增加'!$J$4,0))</f>
        <v>0</v>
      </c>
      <c r="H23" s="53">
        <f t="shared" si="0"/>
        <v>0</v>
      </c>
    </row>
    <row r="24" spans="1:8" x14ac:dyDescent="0.15">
      <c r="A24" s="53" t="str">
        <v>犀浦+T区</v>
      </c>
      <c r="B24" s="53">
        <f>SUMIFS(期初设置!$AB:$AB,期初设置!$F:$F,A24)</f>
        <v>0</v>
      </c>
      <c r="C24" s="53">
        <f>IF(B24&gt;1,SUMIFS(期初设置!S:S,期初设置!F:F,A24,期初设置!AB:AB,1),0)</f>
        <v>0</v>
      </c>
      <c r="D24" s="59">
        <f>IF(B24=3,LOOKUP(C24,'②提成标准-B-a-①-增加'!$B$3:$B$8,'②提成标准-B-a-①-增加'!$D$3:$D$8),IF(B24=2,LOOKUP(C24,'②提成标准-B-a-①-增加'!$B$10:$B$14,'②提成标准-B-a-①-增加'!$D$10:$D$14),IF(B24=1,LOOKUP(C24,'②提成标准-B-a-①-增加'!$B$16:$B$20,'②提成标准-B-a-①-增加'!$D$16:$D$20),0)))</f>
        <v>0</v>
      </c>
      <c r="E24" s="53">
        <f>SUMIFS(期初设置!$W:$W,期初设置!$F:$F,A24)</f>
        <v>0</v>
      </c>
      <c r="F24" s="59" t="str">
        <f>_xlfn.XLOOKUP(A24,期初设置!F:F,期初设置!AL:AL,0)</f>
        <v/>
      </c>
      <c r="G24" s="53">
        <f>IF(AND(C24&gt;='②提成标准-B-a-①-增加'!$G$3,F24&gt;='②提成标准-B-a-①-增加'!$H$3,E24&gt;='②提成标准-B-a-①-增加'!$I$3,B24='②提成标准-B-a-①-增加'!$F$3),'②提成标准-B-a-①-增加'!$J$3,IF(AND(C24&gt;='②提成标准-B-a-①-增加'!$G$4,F24&gt;='②提成标准-B-a-①-增加'!$H$4,E24&gt;='②提成标准-B-a-①-增加'!$I$4,B24='②提成标准-B-a-①-增加'!$F$4),'②提成标准-B-a-①-增加'!$J$4,0))</f>
        <v>0</v>
      </c>
      <c r="H24" s="53">
        <f t="shared" si="0"/>
        <v>0</v>
      </c>
    </row>
    <row r="25" spans="1:8" x14ac:dyDescent="0.15">
      <c r="A25" s="53" t="str">
        <v>犀浦+旗胜队</v>
      </c>
      <c r="B25" s="53">
        <f>SUMIFS(期初设置!$AB:$AB,期初设置!$F:$F,A25)</f>
        <v>3</v>
      </c>
      <c r="C25" s="53">
        <f>IF(B25&gt;1,SUMIFS(期初设置!S:S,期初设置!F:F,A25,期初设置!AB:AB,1),0)</f>
        <v>61803</v>
      </c>
      <c r="D25" s="59">
        <f>IF(B25=3,LOOKUP(C25,'②提成标准-B-a-①-增加'!$B$3:$B$8,'②提成标准-B-a-①-增加'!$D$3:$D$8),IF(B25=2,LOOKUP(C25,'②提成标准-B-a-①-增加'!$B$10:$B$14,'②提成标准-B-a-①-增加'!$D$10:$D$14),IF(B25=1,LOOKUP(C25,'②提成标准-B-a-①-增加'!$B$16:$B$20,'②提成标准-B-a-①-增加'!$D$16:$D$20),0)))</f>
        <v>0.04</v>
      </c>
      <c r="E25" s="53">
        <f>SUMIFS(期初设置!$W:$W,期初设置!$F:$F,A25)</f>
        <v>49547.130000000005</v>
      </c>
      <c r="F25" s="59">
        <f>_xlfn.XLOOKUP(A25,期初设置!F:F,期初设置!AL:AL,0)</f>
        <v>0.57097956409883022</v>
      </c>
      <c r="G25" s="53">
        <f>IF(AND(C25&gt;='②提成标准-B-a-①-增加'!$G$3,F25&gt;='②提成标准-B-a-①-增加'!$H$3,E25&gt;='②提成标准-B-a-①-增加'!$I$3,B25='②提成标准-B-a-①-增加'!$F$3),'②提成标准-B-a-①-增加'!$J$3,IF(AND(C25&gt;='②提成标准-B-a-①-增加'!$G$4,F25&gt;='②提成标准-B-a-①-增加'!$H$4,E25&gt;='②提成标准-B-a-①-增加'!$I$4,B25='②提成标准-B-a-①-增加'!$F$4),'②提成标准-B-a-①-增加'!$J$4,0))</f>
        <v>0</v>
      </c>
      <c r="H25" s="53">
        <f t="shared" si="0"/>
        <v>0</v>
      </c>
    </row>
    <row r="26" spans="1:8" x14ac:dyDescent="0.15">
      <c r="A26" s="53" t="str">
        <v>犀浦+门店T区</v>
      </c>
      <c r="B26" s="53">
        <f>SUMIFS(期初设置!$AB:$AB,期初设置!$F:$F,A26)</f>
        <v>0</v>
      </c>
      <c r="C26" s="53">
        <f>IF(B26&gt;1,SUMIFS(期初设置!S:S,期初设置!F:F,A26,期初设置!AB:AB,1),0)</f>
        <v>0</v>
      </c>
      <c r="D26" s="59">
        <f>IF(B26=3,LOOKUP(C26,'②提成标准-B-a-①-增加'!$B$3:$B$8,'②提成标准-B-a-①-增加'!$D$3:$D$8),IF(B26=2,LOOKUP(C26,'②提成标准-B-a-①-增加'!$B$10:$B$14,'②提成标准-B-a-①-增加'!$D$10:$D$14),IF(B26=1,LOOKUP(C26,'②提成标准-B-a-①-增加'!$B$16:$B$20,'②提成标准-B-a-①-增加'!$D$16:$D$20),0)))</f>
        <v>0</v>
      </c>
      <c r="E26" s="53">
        <f>SUMIFS(期初设置!$W:$W,期初设置!$F:$F,A26)</f>
        <v>0</v>
      </c>
      <c r="F26" s="59" t="str">
        <f>_xlfn.XLOOKUP(A26,期初设置!F:F,期初设置!AL:AL,0)</f>
        <v/>
      </c>
      <c r="G26" s="53">
        <f>IF(AND(C26&gt;='②提成标准-B-a-①-增加'!$G$3,F26&gt;='②提成标准-B-a-①-增加'!$H$3,E26&gt;='②提成标准-B-a-①-增加'!$I$3,B26='②提成标准-B-a-①-增加'!$F$3),'②提成标准-B-a-①-增加'!$J$3,IF(AND(C26&gt;='②提成标准-B-a-①-增加'!$G$4,F26&gt;='②提成标准-B-a-①-增加'!$H$4,E26&gt;='②提成标准-B-a-①-增加'!$I$4,B26='②提成标准-B-a-①-增加'!$F$4),'②提成标准-B-a-①-增加'!$J$4,0))</f>
        <v>0</v>
      </c>
      <c r="H26" s="53">
        <f t="shared" si="0"/>
        <v>0</v>
      </c>
    </row>
    <row r="27" spans="1:8" x14ac:dyDescent="0.15">
      <c r="A27" s="53" t="str">
        <v>龙城国际+单人</v>
      </c>
      <c r="B27" s="53">
        <f>SUMIFS(期初设置!$AB:$AB,期初设置!$F:$F,A27)</f>
        <v>0</v>
      </c>
      <c r="C27" s="53">
        <f>IF(B27&gt;1,SUMIFS(期初设置!S:S,期初设置!F:F,A27,期初设置!AB:AB,1),0)</f>
        <v>0</v>
      </c>
      <c r="D27" s="59">
        <f>IF(B27=3,LOOKUP(C27,'②提成标准-B-a-①-增加'!$B$3:$B$8,'②提成标准-B-a-①-增加'!$D$3:$D$8),IF(B27=2,LOOKUP(C27,'②提成标准-B-a-①-增加'!$B$10:$B$14,'②提成标准-B-a-①-增加'!$D$10:$D$14),IF(B27=1,LOOKUP(C27,'②提成标准-B-a-①-增加'!$B$16:$B$20,'②提成标准-B-a-①-增加'!$D$16:$D$20),0)))</f>
        <v>0</v>
      </c>
      <c r="E27" s="53">
        <f>SUMIFS(期初设置!$W:$W,期初设置!$F:$F,A27)</f>
        <v>49035.439999999995</v>
      </c>
      <c r="F27" s="59" t="str">
        <f>_xlfn.XLOOKUP(A27,期初设置!F:F,期初设置!AL:AL,0)</f>
        <v/>
      </c>
      <c r="G27" s="53">
        <f>IF(AND(C27&gt;='②提成标准-B-a-①-增加'!$G$3,F27&gt;='②提成标准-B-a-①-增加'!$H$3,E27&gt;='②提成标准-B-a-①-增加'!$I$3,B27='②提成标准-B-a-①-增加'!$F$3),'②提成标准-B-a-①-增加'!$J$3,IF(AND(C27&gt;='②提成标准-B-a-①-增加'!$G$4,F27&gt;='②提成标准-B-a-①-增加'!$H$4,E27&gt;='②提成标准-B-a-①-增加'!$I$4,B27='②提成标准-B-a-①-增加'!$F$4),'②提成标准-B-a-①-增加'!$J$4,0))</f>
        <v>0</v>
      </c>
      <c r="H27" s="53">
        <f t="shared" si="0"/>
        <v>0</v>
      </c>
    </row>
    <row r="28" spans="1:8" x14ac:dyDescent="0.15">
      <c r="A28" s="53" t="str">
        <v>龙城国际+门店T区</v>
      </c>
      <c r="B28" s="53">
        <f>SUMIFS(期初设置!$AB:$AB,期初设置!$F:$F,A28)</f>
        <v>0</v>
      </c>
      <c r="C28" s="53">
        <f>IF(B28&gt;1,SUMIFS(期初设置!S:S,期初设置!F:F,A28,期初设置!AB:AB,1),0)</f>
        <v>0</v>
      </c>
      <c r="D28" s="59">
        <f>IF(B28=3,LOOKUP(C28,'②提成标准-B-a-①-增加'!$B$3:$B$8,'②提成标准-B-a-①-增加'!$D$3:$D$8),IF(B28=2,LOOKUP(C28,'②提成标准-B-a-①-增加'!$B$10:$B$14,'②提成标准-B-a-①-增加'!$D$10:$D$14),IF(B28=1,LOOKUP(C28,'②提成标准-B-a-①-增加'!$B$16:$B$20,'②提成标准-B-a-①-增加'!$D$16:$D$20),0)))</f>
        <v>0</v>
      </c>
      <c r="E28" s="53">
        <f>SUMIFS(期初设置!$W:$W,期初设置!$F:$F,A28)</f>
        <v>0</v>
      </c>
      <c r="F28" s="59" t="str">
        <f>_xlfn.XLOOKUP(A28,期初设置!F:F,期初设置!AL:AL,0)</f>
        <v/>
      </c>
      <c r="G28" s="53">
        <f>IF(AND(C28&gt;='②提成标准-B-a-①-增加'!$G$3,F28&gt;='②提成标准-B-a-①-增加'!$H$3,E28&gt;='②提成标准-B-a-①-增加'!$I$3,B28='②提成标准-B-a-①-增加'!$F$3),'②提成标准-B-a-①-增加'!$J$3,IF(AND(C28&gt;='②提成标准-B-a-①-增加'!$G$4,F28&gt;='②提成标准-B-a-①-增加'!$H$4,E28&gt;='②提成标准-B-a-①-增加'!$I$4,B28='②提成标准-B-a-①-增加'!$F$4),'②提成标准-B-a-①-增加'!$J$4,0))</f>
        <v>0</v>
      </c>
      <c r="H28" s="53">
        <f t="shared" si="0"/>
        <v>0</v>
      </c>
    </row>
    <row r="29" spans="1:8" x14ac:dyDescent="0.15">
      <c r="A29" s="53" t="str">
        <v>优品道+梦想队</v>
      </c>
      <c r="B29" s="53">
        <f>SUMIFS(期初设置!$AB:$AB,期初设置!$F:$F,A29)</f>
        <v>3</v>
      </c>
      <c r="C29" s="53">
        <f>IF(B29&gt;1,SUMIFS(期初设置!S:S,期初设置!F:F,A29,期初设置!AB:AB,1),0)</f>
        <v>69424.899999999994</v>
      </c>
      <c r="D29" s="59">
        <f>IF(B29=3,LOOKUP(C29,'②提成标准-B-a-①-增加'!$B$3:$B$8,'②提成标准-B-a-①-增加'!$D$3:$D$8),IF(B29=2,LOOKUP(C29,'②提成标准-B-a-①-增加'!$B$10:$B$14,'②提成标准-B-a-①-增加'!$D$10:$D$14),IF(B29=1,LOOKUP(C29,'②提成标准-B-a-①-增加'!$B$16:$B$20,'②提成标准-B-a-①-增加'!$D$16:$D$20),0)))</f>
        <v>0.04</v>
      </c>
      <c r="E29" s="53">
        <f>SUMIFS(期初设置!$W:$W,期初设置!$F:$F,A29)</f>
        <v>61736.670000000006</v>
      </c>
      <c r="F29" s="59">
        <f>_xlfn.XLOOKUP(A29,期初设置!F:F,期初设置!AL:AL,0)</f>
        <v>0.30732489351803172</v>
      </c>
      <c r="G29" s="53">
        <f>IF(AND(C29&gt;='②提成标准-B-a-①-增加'!$G$3,F29&gt;='②提成标准-B-a-①-增加'!$H$3,E29&gt;='②提成标准-B-a-①-增加'!$I$3,B29='②提成标准-B-a-①-增加'!$F$3),'②提成标准-B-a-①-增加'!$J$3,IF(AND(C29&gt;='②提成标准-B-a-①-增加'!$G$4,F29&gt;='②提成标准-B-a-①-增加'!$H$4,E29&gt;='②提成标准-B-a-①-增加'!$I$4,B29='②提成标准-B-a-①-增加'!$F$4),'②提成标准-B-a-①-增加'!$J$4,0))</f>
        <v>0</v>
      </c>
      <c r="H29" s="53">
        <f t="shared" si="0"/>
        <v>0</v>
      </c>
    </row>
    <row r="30" spans="1:8" x14ac:dyDescent="0.15">
      <c r="A30" s="53" t="str">
        <v>优品道+T区</v>
      </c>
      <c r="B30" s="53">
        <f>SUMIFS(期初设置!$AB:$AB,期初设置!$F:$F,A30)</f>
        <v>0</v>
      </c>
      <c r="C30" s="53">
        <f>IF(B30&gt;1,SUMIFS(期初设置!S:S,期初设置!F:F,A30,期初设置!AB:AB,1),0)</f>
        <v>0</v>
      </c>
      <c r="D30" s="59">
        <f>IF(B30=3,LOOKUP(C30,'②提成标准-B-a-①-增加'!$B$3:$B$8,'②提成标准-B-a-①-增加'!$D$3:$D$8),IF(B30=2,LOOKUP(C30,'②提成标准-B-a-①-增加'!$B$10:$B$14,'②提成标准-B-a-①-增加'!$D$10:$D$14),IF(B30=1,LOOKUP(C30,'②提成标准-B-a-①-增加'!$B$16:$B$20,'②提成标准-B-a-①-增加'!$D$16:$D$20),0)))</f>
        <v>0</v>
      </c>
      <c r="E30" s="53">
        <f>SUMIFS(期初设置!$W:$W,期初设置!$F:$F,A30)</f>
        <v>41060</v>
      </c>
      <c r="F30" s="59" t="str">
        <f>_xlfn.XLOOKUP(A30,期初设置!F:F,期初设置!AL:AL,0)</f>
        <v/>
      </c>
      <c r="G30" s="53">
        <f>IF(AND(C30&gt;='②提成标准-B-a-①-增加'!$G$3,F30&gt;='②提成标准-B-a-①-增加'!$H$3,E30&gt;='②提成标准-B-a-①-增加'!$I$3,B30='②提成标准-B-a-①-增加'!$F$3),'②提成标准-B-a-①-增加'!$J$3,IF(AND(C30&gt;='②提成标准-B-a-①-增加'!$G$4,F30&gt;='②提成标准-B-a-①-增加'!$H$4,E30&gt;='②提成标准-B-a-①-增加'!$I$4,B30='②提成标准-B-a-①-增加'!$F$4),'②提成标准-B-a-①-增加'!$J$4,0))</f>
        <v>0</v>
      </c>
      <c r="H30" s="53">
        <f t="shared" si="0"/>
        <v>0</v>
      </c>
    </row>
    <row r="31" spans="1:8" x14ac:dyDescent="0.15">
      <c r="A31" s="53" t="str">
        <v>优品道+出奇队</v>
      </c>
      <c r="B31" s="53">
        <f>SUMIFS(期初设置!$AB:$AB,期初设置!$F:$F,A31)</f>
        <v>3</v>
      </c>
      <c r="C31" s="53">
        <f>IF(B31&gt;1,SUMIFS(期初设置!S:S,期初设置!F:F,A31,期初设置!AB:AB,1),0)</f>
        <v>91387.1</v>
      </c>
      <c r="D31" s="59">
        <f>IF(B31=3,LOOKUP(C31,'②提成标准-B-a-①-增加'!$B$3:$B$8,'②提成标准-B-a-①-增加'!$D$3:$D$8),IF(B31=2,LOOKUP(C31,'②提成标准-B-a-①-增加'!$B$10:$B$14,'②提成标准-B-a-①-增加'!$D$10:$D$14),IF(B31=1,LOOKUP(C31,'②提成标准-B-a-①-增加'!$B$16:$B$20,'②提成标准-B-a-①-增加'!$D$16:$D$20),0)))</f>
        <v>0.05</v>
      </c>
      <c r="E31" s="53">
        <f>SUMIFS(期初设置!$W:$W,期初设置!$F:$F,A31)</f>
        <v>44460.159999999996</v>
      </c>
      <c r="F31" s="59">
        <f>_xlfn.XLOOKUP(A31,期初设置!F:F,期初设置!AL:AL,0)</f>
        <v>0.50670280597589812</v>
      </c>
      <c r="G31" s="53">
        <f>IF(AND(C31&gt;='②提成标准-B-a-①-增加'!$G$3,F31&gt;='②提成标准-B-a-①-增加'!$H$3,E31&gt;='②提成标准-B-a-①-增加'!$I$3,B31='②提成标准-B-a-①-增加'!$F$3),'②提成标准-B-a-①-增加'!$J$3,IF(AND(C31&gt;='②提成标准-B-a-①-增加'!$G$4,F31&gt;='②提成标准-B-a-①-增加'!$H$4,E31&gt;='②提成标准-B-a-①-增加'!$I$4,B31='②提成标准-B-a-①-增加'!$F$4),'②提成标准-B-a-①-增加'!$J$4,0))</f>
        <v>0</v>
      </c>
      <c r="H31" s="53">
        <f t="shared" si="0"/>
        <v>0</v>
      </c>
    </row>
    <row r="32" spans="1:8" x14ac:dyDescent="0.15">
      <c r="A32" s="53" t="str">
        <v>优品道+门店T区</v>
      </c>
      <c r="B32" s="53">
        <f>SUMIFS(期初设置!$AB:$AB,期初设置!$F:$F,A32)</f>
        <v>0</v>
      </c>
      <c r="C32" s="53">
        <f>IF(B32&gt;1,SUMIFS(期初设置!S:S,期初设置!F:F,A32,期初设置!AB:AB,1),0)</f>
        <v>0</v>
      </c>
      <c r="D32" s="59">
        <f>IF(B32=3,LOOKUP(C32,'②提成标准-B-a-①-增加'!$B$3:$B$8,'②提成标准-B-a-①-增加'!$D$3:$D$8),IF(B32=2,LOOKUP(C32,'②提成标准-B-a-①-增加'!$B$10:$B$14,'②提成标准-B-a-①-增加'!$D$10:$D$14),IF(B32=1,LOOKUP(C32,'②提成标准-B-a-①-增加'!$B$16:$B$20,'②提成标准-B-a-①-增加'!$D$16:$D$20),0)))</f>
        <v>0</v>
      </c>
      <c r="E32" s="53">
        <f>SUMIFS(期初设置!$W:$W,期初设置!$F:$F,A32)</f>
        <v>0</v>
      </c>
      <c r="F32" s="59" t="str">
        <f>_xlfn.XLOOKUP(A32,期初设置!F:F,期初设置!AL:AL,0)</f>
        <v/>
      </c>
      <c r="G32" s="53">
        <f>IF(AND(C32&gt;='②提成标准-B-a-①-增加'!$G$3,F32&gt;='②提成标准-B-a-①-增加'!$H$3,E32&gt;='②提成标准-B-a-①-增加'!$I$3,B32='②提成标准-B-a-①-增加'!$F$3),'②提成标准-B-a-①-增加'!$J$3,IF(AND(C32&gt;='②提成标准-B-a-①-增加'!$G$4,F32&gt;='②提成标准-B-a-①-增加'!$H$4,E32&gt;='②提成标准-B-a-①-增加'!$I$4,B32='②提成标准-B-a-①-增加'!$F$4),'②提成标准-B-a-①-增加'!$J$4,0))</f>
        <v>0</v>
      </c>
      <c r="H32" s="53">
        <f t="shared" si="0"/>
        <v>0</v>
      </c>
    </row>
    <row r="33" spans="1:8" x14ac:dyDescent="0.15">
      <c r="A33" s="53" t="str">
        <v>大源+冲锋队</v>
      </c>
      <c r="B33" s="53">
        <f>SUMIFS(期初设置!$AB:$AB,期初设置!$F:$F,A33)</f>
        <v>3</v>
      </c>
      <c r="C33" s="53">
        <f>IF(B33&gt;1,SUMIFS(期初设置!S:S,期初设置!F:F,A33,期初设置!AB:AB,1),0)</f>
        <v>64729.3</v>
      </c>
      <c r="D33" s="59">
        <f>IF(B33=3,LOOKUP(C33,'②提成标准-B-a-①-增加'!$B$3:$B$8,'②提成标准-B-a-①-增加'!$D$3:$D$8),IF(B33=2,LOOKUP(C33,'②提成标准-B-a-①-增加'!$B$10:$B$14,'②提成标准-B-a-①-增加'!$D$10:$D$14),IF(B33=1,LOOKUP(C33,'②提成标准-B-a-①-增加'!$B$16:$B$20,'②提成标准-B-a-①-增加'!$D$16:$D$20),0)))</f>
        <v>0.04</v>
      </c>
      <c r="E33" s="53">
        <f>SUMIFS(期初设置!$W:$W,期初设置!$F:$F,A33)</f>
        <v>28012.5</v>
      </c>
      <c r="F33" s="59">
        <f>_xlfn.XLOOKUP(A33,期初设置!F:F,期初设置!AL:AL,0)</f>
        <v>0.68024295025591197</v>
      </c>
      <c r="G33" s="53">
        <f>IF(AND(C33&gt;='②提成标准-B-a-①-增加'!$G$3,F33&gt;='②提成标准-B-a-①-增加'!$H$3,E33&gt;='②提成标准-B-a-①-增加'!$I$3,B33='②提成标准-B-a-①-增加'!$F$3),'②提成标准-B-a-①-增加'!$J$3,IF(AND(C33&gt;='②提成标准-B-a-①-增加'!$G$4,F33&gt;='②提成标准-B-a-①-增加'!$H$4,E33&gt;='②提成标准-B-a-①-增加'!$I$4,B33='②提成标准-B-a-①-增加'!$F$4),'②提成标准-B-a-①-增加'!$J$4,0))</f>
        <v>0</v>
      </c>
      <c r="H33" s="53">
        <f t="shared" si="0"/>
        <v>0</v>
      </c>
    </row>
    <row r="34" spans="1:8" x14ac:dyDescent="0.15">
      <c r="A34" s="53" t="str">
        <v>大源+T区</v>
      </c>
      <c r="B34" s="53">
        <f>SUMIFS(期初设置!$AB:$AB,期初设置!$F:$F,A34)</f>
        <v>0</v>
      </c>
      <c r="C34" s="53">
        <f>IF(B34&gt;1,SUMIFS(期初设置!S:S,期初设置!F:F,A34,期初设置!AB:AB,1),0)</f>
        <v>0</v>
      </c>
      <c r="D34" s="59">
        <f>IF(B34=3,LOOKUP(C34,'②提成标准-B-a-①-增加'!$B$3:$B$8,'②提成标准-B-a-①-增加'!$D$3:$D$8),IF(B34=2,LOOKUP(C34,'②提成标准-B-a-①-增加'!$B$10:$B$14,'②提成标准-B-a-①-增加'!$D$10:$D$14),IF(B34=1,LOOKUP(C34,'②提成标准-B-a-①-增加'!$B$16:$B$20,'②提成标准-B-a-①-增加'!$D$16:$D$20),0)))</f>
        <v>0</v>
      </c>
      <c r="E34" s="53">
        <f>SUMIFS(期初设置!$W:$W,期初设置!$F:$F,A34)</f>
        <v>30811.75</v>
      </c>
      <c r="F34" s="59" t="str">
        <f>_xlfn.XLOOKUP(A34,期初设置!F:F,期初设置!AL:AL,0)</f>
        <v/>
      </c>
      <c r="G34" s="53">
        <f>IF(AND(C34&gt;='②提成标准-B-a-①-增加'!$G$3,F34&gt;='②提成标准-B-a-①-增加'!$H$3,E34&gt;='②提成标准-B-a-①-增加'!$I$3,B34='②提成标准-B-a-①-增加'!$F$3),'②提成标准-B-a-①-增加'!$J$3,IF(AND(C34&gt;='②提成标准-B-a-①-增加'!$G$4,F34&gt;='②提成标准-B-a-①-增加'!$H$4,E34&gt;='②提成标准-B-a-①-增加'!$I$4,B34='②提成标准-B-a-①-增加'!$F$4),'②提成标准-B-a-①-增加'!$J$4,0))</f>
        <v>0</v>
      </c>
      <c r="H34" s="53">
        <f t="shared" si="0"/>
        <v>0</v>
      </c>
    </row>
    <row r="35" spans="1:8" x14ac:dyDescent="0.15">
      <c r="A35" s="53" t="str">
        <v>大源+野狼队</v>
      </c>
      <c r="B35" s="53">
        <f>SUMIFS(期初设置!$AB:$AB,期初设置!$F:$F,A35)</f>
        <v>2</v>
      </c>
      <c r="C35" s="53">
        <f>IF(B35&gt;1,SUMIFS(期初设置!S:S,期初设置!F:F,A35,期初设置!AB:AB,1),0)</f>
        <v>56231.199999999997</v>
      </c>
      <c r="D35" s="59">
        <f>IF(B35=3,LOOKUP(C35,'②提成标准-B-a-①-增加'!$B$3:$B$8,'②提成标准-B-a-①-增加'!$D$3:$D$8),IF(B35=2,LOOKUP(C35,'②提成标准-B-a-①-增加'!$B$10:$B$14,'②提成标准-B-a-①-增加'!$D$10:$D$14),IF(B35=1,LOOKUP(C35,'②提成标准-B-a-①-增加'!$B$16:$B$20,'②提成标准-B-a-①-增加'!$D$16:$D$20),0)))</f>
        <v>0.04</v>
      </c>
      <c r="E35" s="53">
        <f>SUMIFS(期初设置!$W:$W,期初设置!$F:$F,A35)</f>
        <v>23402.059999999998</v>
      </c>
      <c r="F35" s="59">
        <f>_xlfn.XLOOKUP(A35,期初设置!F:F,期初设置!AL:AL,0)</f>
        <v>0.40381852067891139</v>
      </c>
      <c r="G35" s="53">
        <f>IF(AND(C35&gt;='②提成标准-B-a-①-增加'!$G$3,F35&gt;='②提成标准-B-a-①-增加'!$H$3,E35&gt;='②提成标准-B-a-①-增加'!$I$3,B35='②提成标准-B-a-①-增加'!$F$3),'②提成标准-B-a-①-增加'!$J$3,IF(AND(C35&gt;='②提成标准-B-a-①-增加'!$G$4,F35&gt;='②提成标准-B-a-①-增加'!$H$4,E35&gt;='②提成标准-B-a-①-增加'!$I$4,B35='②提成标准-B-a-①-增加'!$F$4),'②提成标准-B-a-①-增加'!$J$4,0))</f>
        <v>0</v>
      </c>
      <c r="H35" s="53">
        <f t="shared" si="0"/>
        <v>0</v>
      </c>
    </row>
    <row r="36" spans="1:8" x14ac:dyDescent="0.15">
      <c r="A36" s="53" t="str">
        <v>大源+门店T区</v>
      </c>
      <c r="B36" s="53">
        <f>SUMIFS(期初设置!$AB:$AB,期初设置!$F:$F,A36)</f>
        <v>0</v>
      </c>
      <c r="C36" s="53">
        <f>IF(B36&gt;1,SUMIFS(期初设置!S:S,期初设置!F:F,A36,期初设置!AB:AB,1),0)</f>
        <v>0</v>
      </c>
      <c r="D36" s="59">
        <f>IF(B36=3,LOOKUP(C36,'②提成标准-B-a-①-增加'!$B$3:$B$8,'②提成标准-B-a-①-增加'!$D$3:$D$8),IF(B36=2,LOOKUP(C36,'②提成标准-B-a-①-增加'!$B$10:$B$14,'②提成标准-B-a-①-增加'!$D$10:$D$14),IF(B36=1,LOOKUP(C36,'②提成标准-B-a-①-增加'!$B$16:$B$20,'②提成标准-B-a-①-增加'!$D$16:$D$20),0)))</f>
        <v>0</v>
      </c>
      <c r="E36" s="53">
        <f>SUMIFS(期初设置!$W:$W,期初设置!$F:$F,A36)</f>
        <v>0</v>
      </c>
      <c r="F36" s="59" t="str">
        <f>_xlfn.XLOOKUP(A36,期初设置!F:F,期初设置!AL:AL,0)</f>
        <v/>
      </c>
      <c r="G36" s="53">
        <f>IF(AND(C36&gt;='②提成标准-B-a-①-增加'!$G$3,F36&gt;='②提成标准-B-a-①-增加'!$H$3,E36&gt;='②提成标准-B-a-①-增加'!$I$3,B36='②提成标准-B-a-①-增加'!$F$3),'②提成标准-B-a-①-增加'!$J$3,IF(AND(C36&gt;='②提成标准-B-a-①-增加'!$G$4,F36&gt;='②提成标准-B-a-①-增加'!$H$4,E36&gt;='②提成标准-B-a-①-增加'!$I$4,B36='②提成标准-B-a-①-增加'!$F$4),'②提成标准-B-a-①-增加'!$J$4,0))</f>
        <v>0</v>
      </c>
      <c r="H36" s="53">
        <f t="shared" si="0"/>
        <v>0</v>
      </c>
    </row>
    <row r="37" spans="1:8" x14ac:dyDescent="0.15">
      <c r="A37" s="53" t="str">
        <v>保利+霸天虎啸队</v>
      </c>
      <c r="B37" s="53">
        <f>SUMIFS(期初设置!$AB:$AB,期初设置!$F:$F,A37)</f>
        <v>2</v>
      </c>
      <c r="C37" s="53">
        <f>IF(B37&gt;1,SUMIFS(期初设置!S:S,期初设置!F:F,A37,期初设置!AB:AB,1),0)</f>
        <v>98834.33</v>
      </c>
      <c r="D37" s="59">
        <f>IF(B37=3,LOOKUP(C37,'②提成标准-B-a-①-增加'!$B$3:$B$8,'②提成标准-B-a-①-增加'!$D$3:$D$8),IF(B37=2,LOOKUP(C37,'②提成标准-B-a-①-增加'!$B$10:$B$14,'②提成标准-B-a-①-增加'!$D$10:$D$14),IF(B37=1,LOOKUP(C37,'②提成标准-B-a-①-增加'!$B$16:$B$20,'②提成标准-B-a-①-增加'!$D$16:$D$20),0)))</f>
        <v>0.06</v>
      </c>
      <c r="E37" s="53">
        <f>SUMIFS(期初设置!$W:$W,期初设置!$F:$F,A37)</f>
        <v>25852.980000000003</v>
      </c>
      <c r="F37" s="59">
        <f>_xlfn.XLOOKUP(A37,期初设置!F:F,期初设置!AL:AL,0)</f>
        <v>0.4347105909454741</v>
      </c>
      <c r="G37" s="53">
        <f>IF(AND(C37&gt;='②提成标准-B-a-①-增加'!$G$3,F37&gt;='②提成标准-B-a-①-增加'!$H$3,E37&gt;='②提成标准-B-a-①-增加'!$I$3,B37='②提成标准-B-a-①-增加'!$F$3),'②提成标准-B-a-①-增加'!$J$3,IF(AND(C37&gt;='②提成标准-B-a-①-增加'!$G$4,F37&gt;='②提成标准-B-a-①-增加'!$H$4,E37&gt;='②提成标准-B-a-①-增加'!$I$4,B37='②提成标准-B-a-①-增加'!$F$4),'②提成标准-B-a-①-增加'!$J$4,0))</f>
        <v>0</v>
      </c>
      <c r="H37" s="53">
        <f t="shared" si="0"/>
        <v>0</v>
      </c>
    </row>
    <row r="38" spans="1:8" x14ac:dyDescent="0.15">
      <c r="A38" s="53" t="str">
        <v>保利+T区</v>
      </c>
      <c r="B38" s="53">
        <f>SUMIFS(期初设置!$AB:$AB,期初设置!$F:$F,A38)</f>
        <v>0</v>
      </c>
      <c r="C38" s="53">
        <f>IF(B38&gt;1,SUMIFS(期初设置!S:S,期初设置!F:F,A38,期初设置!AB:AB,1),0)</f>
        <v>0</v>
      </c>
      <c r="D38" s="59">
        <f>IF(B38=3,LOOKUP(C38,'②提成标准-B-a-①-增加'!$B$3:$B$8,'②提成标准-B-a-①-增加'!$D$3:$D$8),IF(B38=2,LOOKUP(C38,'②提成标准-B-a-①-增加'!$B$10:$B$14,'②提成标准-B-a-①-增加'!$D$10:$D$14),IF(B38=1,LOOKUP(C38,'②提成标准-B-a-①-增加'!$B$16:$B$20,'②提成标准-B-a-①-增加'!$D$16:$D$20),0)))</f>
        <v>0</v>
      </c>
      <c r="E38" s="53">
        <f>SUMIFS(期初设置!$W:$W,期初设置!$F:$F,A38)</f>
        <v>21218</v>
      </c>
      <c r="F38" s="59" t="str">
        <f>_xlfn.XLOOKUP(A38,期初设置!F:F,期初设置!AL:AL,0)</f>
        <v/>
      </c>
      <c r="G38" s="53">
        <f>IF(AND(C38&gt;='②提成标准-B-a-①-增加'!$G$3,F38&gt;='②提成标准-B-a-①-增加'!$H$3,E38&gt;='②提成标准-B-a-①-增加'!$I$3,B38='②提成标准-B-a-①-增加'!$F$3),'②提成标准-B-a-①-增加'!$J$3,IF(AND(C38&gt;='②提成标准-B-a-①-增加'!$G$4,F38&gt;='②提成标准-B-a-①-增加'!$H$4,E38&gt;='②提成标准-B-a-①-增加'!$I$4,B38='②提成标准-B-a-①-增加'!$F$4),'②提成标准-B-a-①-增加'!$J$4,0))</f>
        <v>0</v>
      </c>
      <c r="H38" s="53">
        <f t="shared" si="0"/>
        <v>0</v>
      </c>
    </row>
    <row r="39" spans="1:8" x14ac:dyDescent="0.15">
      <c r="A39" s="53" t="str">
        <v>保利+爆棚队</v>
      </c>
      <c r="B39" s="53">
        <f>SUMIFS(期初设置!$AB:$AB,期初设置!$F:$F,A39)</f>
        <v>3</v>
      </c>
      <c r="C39" s="53">
        <f>IF(B39&gt;1,SUMIFS(期初设置!S:S,期初设置!F:F,A39,期初设置!AB:AB,1),0)</f>
        <v>51197</v>
      </c>
      <c r="D39" s="59">
        <f>IF(B39=3,LOOKUP(C39,'②提成标准-B-a-①-增加'!$B$3:$B$8,'②提成标准-B-a-①-增加'!$D$3:$D$8),IF(B39=2,LOOKUP(C39,'②提成标准-B-a-①-增加'!$B$10:$B$14,'②提成标准-B-a-①-增加'!$D$10:$D$14),IF(B39=1,LOOKUP(C39,'②提成标准-B-a-①-增加'!$B$16:$B$20,'②提成标准-B-a-①-增加'!$D$16:$D$20),0)))</f>
        <v>0.03</v>
      </c>
      <c r="E39" s="53">
        <f>SUMIFS(期初设置!$W:$W,期初设置!$F:$F,A39)</f>
        <v>18476.260000000002</v>
      </c>
      <c r="F39" s="59">
        <f>_xlfn.XLOOKUP(A39,期初设置!F:F,期初设置!AL:AL,0)</f>
        <v>0.15517510791647948</v>
      </c>
      <c r="G39" s="53">
        <f>IF(AND(C39&gt;='②提成标准-B-a-①-增加'!$G$3,F39&gt;='②提成标准-B-a-①-增加'!$H$3,E39&gt;='②提成标准-B-a-①-增加'!$I$3,B39='②提成标准-B-a-①-增加'!$F$3),'②提成标准-B-a-①-增加'!$J$3,IF(AND(C39&gt;='②提成标准-B-a-①-增加'!$G$4,F39&gt;='②提成标准-B-a-①-增加'!$H$4,E39&gt;='②提成标准-B-a-①-增加'!$I$4,B39='②提成标准-B-a-①-增加'!$F$4),'②提成标准-B-a-①-增加'!$J$4,0))</f>
        <v>0</v>
      </c>
      <c r="H39" s="53">
        <f t="shared" si="0"/>
        <v>0</v>
      </c>
    </row>
    <row r="40" spans="1:8" x14ac:dyDescent="0.15">
      <c r="A40" s="53" t="str">
        <v>保利+门店T区</v>
      </c>
      <c r="B40" s="53">
        <f>SUMIFS(期初设置!$AB:$AB,期初设置!$F:$F,A40)</f>
        <v>0</v>
      </c>
      <c r="C40" s="53">
        <f>IF(B40&gt;1,SUMIFS(期初设置!S:S,期初设置!F:F,A40,期初设置!AB:AB,1),0)</f>
        <v>0</v>
      </c>
      <c r="D40" s="59">
        <f>IF(B40=3,LOOKUP(C40,'②提成标准-B-a-①-增加'!$B$3:$B$8,'②提成标准-B-a-①-增加'!$D$3:$D$8),IF(B40=2,LOOKUP(C40,'②提成标准-B-a-①-增加'!$B$10:$B$14,'②提成标准-B-a-①-增加'!$D$10:$D$14),IF(B40=1,LOOKUP(C40,'②提成标准-B-a-①-增加'!$B$16:$B$20,'②提成标准-B-a-①-增加'!$D$16:$D$20),0)))</f>
        <v>0</v>
      </c>
      <c r="E40" s="53">
        <f>SUMIFS(期初设置!$W:$W,期初设置!$F:$F,A40)</f>
        <v>0</v>
      </c>
      <c r="F40" s="59" t="str">
        <f>_xlfn.XLOOKUP(A40,期初设置!F:F,期初设置!AL:AL,0)</f>
        <v/>
      </c>
      <c r="G40" s="53">
        <f>IF(AND(C40&gt;='②提成标准-B-a-①-增加'!$G$3,F40&gt;='②提成标准-B-a-①-增加'!$H$3,E40&gt;='②提成标准-B-a-①-增加'!$I$3,B40='②提成标准-B-a-①-增加'!$F$3),'②提成标准-B-a-①-增加'!$J$3,IF(AND(C40&gt;='②提成标准-B-a-①-增加'!$G$4,F40&gt;='②提成标准-B-a-①-增加'!$H$4,E40&gt;='②提成标准-B-a-①-增加'!$I$4,B40='②提成标准-B-a-①-增加'!$F$4),'②提成标准-B-a-①-增加'!$J$4,0))</f>
        <v>0</v>
      </c>
      <c r="H40" s="53">
        <f t="shared" si="0"/>
        <v>0</v>
      </c>
    </row>
    <row r="41" spans="1:8" x14ac:dyDescent="0.15">
      <c r="A41" s="53" t="str">
        <v>骑士郡+天宇霸主队</v>
      </c>
      <c r="B41" s="53">
        <f>SUMIFS(期初设置!$AB:$AB,期初设置!$F:$F,A41)</f>
        <v>3</v>
      </c>
      <c r="C41" s="53">
        <f>IF(B41&gt;1,SUMIFS(期初设置!S:S,期初设置!F:F,A41,期初设置!AB:AB,1),0)</f>
        <v>56412.6</v>
      </c>
      <c r="D41" s="59">
        <f>IF(B41=3,LOOKUP(C41,'②提成标准-B-a-①-增加'!$B$3:$B$8,'②提成标准-B-a-①-增加'!$D$3:$D$8),IF(B41=2,LOOKUP(C41,'②提成标准-B-a-①-增加'!$B$10:$B$14,'②提成标准-B-a-①-增加'!$D$10:$D$14),IF(B41=1,LOOKUP(C41,'②提成标准-B-a-①-增加'!$B$16:$B$20,'②提成标准-B-a-①-增加'!$D$16:$D$20),0)))</f>
        <v>0.03</v>
      </c>
      <c r="E41" s="53">
        <f>SUMIFS(期初设置!$W:$W,期初设置!$F:$F,A41)</f>
        <v>47918.77</v>
      </c>
      <c r="F41" s="59">
        <f>_xlfn.XLOOKUP(A41,期初设置!F:F,期初设置!AL:AL,0)</f>
        <v>0.40630284723625576</v>
      </c>
      <c r="G41" s="53">
        <f>IF(AND(C41&gt;='②提成标准-B-a-①-增加'!$G$3,F41&gt;='②提成标准-B-a-①-增加'!$H$3,E41&gt;='②提成标准-B-a-①-增加'!$I$3,B41='②提成标准-B-a-①-增加'!$F$3),'②提成标准-B-a-①-增加'!$J$3,IF(AND(C41&gt;='②提成标准-B-a-①-增加'!$G$4,F41&gt;='②提成标准-B-a-①-增加'!$H$4,E41&gt;='②提成标准-B-a-①-增加'!$I$4,B41='②提成标准-B-a-①-增加'!$F$4),'②提成标准-B-a-①-增加'!$J$4,0))</f>
        <v>0</v>
      </c>
      <c r="H41" s="53">
        <f t="shared" si="0"/>
        <v>0</v>
      </c>
    </row>
    <row r="42" spans="1:8" x14ac:dyDescent="0.15">
      <c r="A42" s="53" t="str">
        <v>骑士郡+T区</v>
      </c>
      <c r="B42" s="53">
        <f>SUMIFS(期初设置!$AB:$AB,期初设置!$F:$F,A42)</f>
        <v>0</v>
      </c>
      <c r="C42" s="53">
        <f>IF(B42&gt;1,SUMIFS(期初设置!S:S,期初设置!F:F,A42,期初设置!AB:AB,1),0)</f>
        <v>0</v>
      </c>
      <c r="D42" s="59">
        <f>IF(B42=3,LOOKUP(C42,'②提成标准-B-a-①-增加'!$B$3:$B$8,'②提成标准-B-a-①-增加'!$D$3:$D$8),IF(B42=2,LOOKUP(C42,'②提成标准-B-a-①-增加'!$B$10:$B$14,'②提成标准-B-a-①-增加'!$D$10:$D$14),IF(B42=1,LOOKUP(C42,'②提成标准-B-a-①-增加'!$B$16:$B$20,'②提成标准-B-a-①-增加'!$D$16:$D$20),0)))</f>
        <v>0</v>
      </c>
      <c r="E42" s="53">
        <f>SUMIFS(期初设置!$W:$W,期初设置!$F:$F,A42)</f>
        <v>4197.9799999999996</v>
      </c>
      <c r="F42" s="59" t="str">
        <f>_xlfn.XLOOKUP(A42,期初设置!F:F,期初设置!AL:AL,0)</f>
        <v/>
      </c>
      <c r="G42" s="53">
        <f>IF(AND(C42&gt;='②提成标准-B-a-①-增加'!$G$3,F42&gt;='②提成标准-B-a-①-增加'!$H$3,E42&gt;='②提成标准-B-a-①-增加'!$I$3,B42='②提成标准-B-a-①-增加'!$F$3),'②提成标准-B-a-①-增加'!$J$3,IF(AND(C42&gt;='②提成标准-B-a-①-增加'!$G$4,F42&gt;='②提成标准-B-a-①-增加'!$H$4,E42&gt;='②提成标准-B-a-①-增加'!$I$4,B42='②提成标准-B-a-①-增加'!$F$4),'②提成标准-B-a-①-增加'!$J$4,0))</f>
        <v>0</v>
      </c>
      <c r="H42" s="53">
        <f t="shared" si="0"/>
        <v>0</v>
      </c>
    </row>
    <row r="43" spans="1:8" x14ac:dyDescent="0.15">
      <c r="A43" s="53" t="str">
        <v>骑士郡+雄霸天下队</v>
      </c>
      <c r="B43" s="53">
        <f>SUMIFS(期初设置!$AB:$AB,期初设置!$F:$F,A43)</f>
        <v>3</v>
      </c>
      <c r="C43" s="53">
        <f>IF(B43&gt;1,SUMIFS(期初设置!S:S,期初设置!F:F,A43,期初设置!AB:AB,1),0)</f>
        <v>102220.4</v>
      </c>
      <c r="D43" s="59">
        <f>IF(B43=3,LOOKUP(C43,'②提成标准-B-a-①-增加'!$B$3:$B$8,'②提成标准-B-a-①-增加'!$D$3:$D$8),IF(B43=2,LOOKUP(C43,'②提成标准-B-a-①-增加'!$B$10:$B$14,'②提成标准-B-a-①-增加'!$D$10:$D$14),IF(B43=1,LOOKUP(C43,'②提成标准-B-a-①-增加'!$B$16:$B$20,'②提成标准-B-a-①-增加'!$D$16:$D$20),0)))</f>
        <v>0.05</v>
      </c>
      <c r="E43" s="53">
        <f>SUMIFS(期初设置!$W:$W,期初设置!$F:$F,A43)</f>
        <v>70715.570000000007</v>
      </c>
      <c r="F43" s="59">
        <f>_xlfn.XLOOKUP(A43,期初设置!F:F,期初设置!AL:AL,0)</f>
        <v>0.28538726125117886</v>
      </c>
      <c r="G43" s="53">
        <f>IF(AND(C43&gt;='②提成标准-B-a-①-增加'!$G$3,F43&gt;='②提成标准-B-a-①-增加'!$H$3,E43&gt;='②提成标准-B-a-①-增加'!$I$3,B43='②提成标准-B-a-①-增加'!$F$3),'②提成标准-B-a-①-增加'!$J$3,IF(AND(C43&gt;='②提成标准-B-a-①-增加'!$G$4,F43&gt;='②提成标准-B-a-①-增加'!$H$4,E43&gt;='②提成标准-B-a-①-增加'!$I$4,B43='②提成标准-B-a-①-增加'!$F$4),'②提成标准-B-a-①-增加'!$J$4,0))</f>
        <v>0</v>
      </c>
      <c r="H43" s="53">
        <f t="shared" si="0"/>
        <v>0</v>
      </c>
    </row>
    <row r="44" spans="1:8" x14ac:dyDescent="0.15">
      <c r="A44" s="53" t="str">
        <v>骑士郡+门店T区</v>
      </c>
      <c r="B44" s="53">
        <f>SUMIFS(期初设置!$AB:$AB,期初设置!$F:$F,A44)</f>
        <v>0</v>
      </c>
      <c r="C44" s="53">
        <f>IF(B44&gt;1,SUMIFS(期初设置!S:S,期初设置!F:F,A44,期初设置!AB:AB,1),0)</f>
        <v>0</v>
      </c>
      <c r="D44" s="59">
        <f>IF(B44=3,LOOKUP(C44,'②提成标准-B-a-①-增加'!$B$3:$B$8,'②提成标准-B-a-①-增加'!$D$3:$D$8),IF(B44=2,LOOKUP(C44,'②提成标准-B-a-①-增加'!$B$10:$B$14,'②提成标准-B-a-①-增加'!$D$10:$D$14),IF(B44=1,LOOKUP(C44,'②提成标准-B-a-①-增加'!$B$16:$B$20,'②提成标准-B-a-①-增加'!$D$16:$D$20),0)))</f>
        <v>0</v>
      </c>
      <c r="E44" s="53">
        <f>SUMIFS(期初设置!$W:$W,期初设置!$F:$F,A44)</f>
        <v>0</v>
      </c>
      <c r="F44" s="59" t="str">
        <f>_xlfn.XLOOKUP(A44,期初设置!F:F,期初设置!AL:AL,0)</f>
        <v/>
      </c>
      <c r="G44" s="53">
        <f>IF(AND(C44&gt;='②提成标准-B-a-①-增加'!$G$3,F44&gt;='②提成标准-B-a-①-增加'!$H$3,E44&gt;='②提成标准-B-a-①-增加'!$I$3,B44='②提成标准-B-a-①-增加'!$F$3),'②提成标准-B-a-①-增加'!$J$3,IF(AND(C44&gt;='②提成标准-B-a-①-增加'!$G$4,F44&gt;='②提成标准-B-a-①-增加'!$H$4,E44&gt;='②提成标准-B-a-①-增加'!$I$4,B44='②提成标准-B-a-①-增加'!$F$4),'②提成标准-B-a-①-增加'!$J$4,0))</f>
        <v>0</v>
      </c>
      <c r="H44" s="53">
        <f t="shared" si="0"/>
        <v>0</v>
      </c>
    </row>
    <row r="45" spans="1:8" x14ac:dyDescent="0.15">
      <c r="A45" s="53" t="str">
        <v>荣华南路+销冠队</v>
      </c>
      <c r="B45" s="53">
        <f>SUMIFS(期初设置!$AB:$AB,期初设置!$F:$F,A45)</f>
        <v>2</v>
      </c>
      <c r="C45" s="53">
        <f>IF(B45&gt;1,SUMIFS(期初设置!S:S,期初设置!F:F,A45,期初设置!AB:AB,1),0)</f>
        <v>71711</v>
      </c>
      <c r="D45" s="59">
        <f>IF(B45=3,LOOKUP(C45,'②提成标准-B-a-①-增加'!$B$3:$B$8,'②提成标准-B-a-①-增加'!$D$3:$D$8),IF(B45=2,LOOKUP(C45,'②提成标准-B-a-①-增加'!$B$10:$B$14,'②提成标准-B-a-①-增加'!$D$10:$D$14),IF(B45=1,LOOKUP(C45,'②提成标准-B-a-①-增加'!$B$16:$B$20,'②提成标准-B-a-①-增加'!$D$16:$D$20),0)))</f>
        <v>0.05</v>
      </c>
      <c r="E45" s="53">
        <f>SUMIFS(期初设置!$W:$W,期初设置!$F:$F,A45)</f>
        <v>26101.989999999998</v>
      </c>
      <c r="F45" s="59">
        <f>_xlfn.XLOOKUP(A45,期初设置!F:F,期初设置!AL:AL,0)</f>
        <v>0.21477597579171953</v>
      </c>
      <c r="G45" s="53">
        <f>IF(AND(C45&gt;='②提成标准-B-a-①-增加'!$G$3,F45&gt;='②提成标准-B-a-①-增加'!$H$3,E45&gt;='②提成标准-B-a-①-增加'!$I$3,B45='②提成标准-B-a-①-增加'!$F$3),'②提成标准-B-a-①-增加'!$J$3,IF(AND(C45&gt;='②提成标准-B-a-①-增加'!$G$4,F45&gt;='②提成标准-B-a-①-增加'!$H$4,E45&gt;='②提成标准-B-a-①-增加'!$I$4,B45='②提成标准-B-a-①-增加'!$F$4),'②提成标准-B-a-①-增加'!$J$4,0))</f>
        <v>0</v>
      </c>
      <c r="H45" s="53">
        <f t="shared" si="0"/>
        <v>0</v>
      </c>
    </row>
    <row r="46" spans="1:8" x14ac:dyDescent="0.15">
      <c r="A46" s="53" t="str">
        <v>荣华南路+T区</v>
      </c>
      <c r="B46" s="53">
        <f>SUMIFS(期初设置!$AB:$AB,期初设置!$F:$F,A46)</f>
        <v>0</v>
      </c>
      <c r="C46" s="53">
        <f>IF(B46&gt;1,SUMIFS(期初设置!S:S,期初设置!F:F,A46,期初设置!AB:AB,1),0)</f>
        <v>0</v>
      </c>
      <c r="D46" s="59">
        <f>IF(B46=3,LOOKUP(C46,'②提成标准-B-a-①-增加'!$B$3:$B$8,'②提成标准-B-a-①-增加'!$D$3:$D$8),IF(B46=2,LOOKUP(C46,'②提成标准-B-a-①-增加'!$B$10:$B$14,'②提成标准-B-a-①-增加'!$D$10:$D$14),IF(B46=1,LOOKUP(C46,'②提成标准-B-a-①-增加'!$B$16:$B$20,'②提成标准-B-a-①-增加'!$D$16:$D$20),0)))</f>
        <v>0</v>
      </c>
      <c r="E46" s="53">
        <f>SUMIFS(期初设置!$W:$W,期初设置!$F:$F,A46)</f>
        <v>4592.87</v>
      </c>
      <c r="F46" s="59" t="str">
        <f>_xlfn.XLOOKUP(A46,期初设置!F:F,期初设置!AL:AL,0)</f>
        <v/>
      </c>
      <c r="G46" s="53">
        <f>IF(AND(C46&gt;='②提成标准-B-a-①-增加'!$G$3,F46&gt;='②提成标准-B-a-①-增加'!$H$3,E46&gt;='②提成标准-B-a-①-增加'!$I$3,B46='②提成标准-B-a-①-增加'!$F$3),'②提成标准-B-a-①-增加'!$J$3,IF(AND(C46&gt;='②提成标准-B-a-①-增加'!$G$4,F46&gt;='②提成标准-B-a-①-增加'!$H$4,E46&gt;='②提成标准-B-a-①-增加'!$I$4,B46='②提成标准-B-a-①-增加'!$F$4),'②提成标准-B-a-①-增加'!$J$4,0))</f>
        <v>0</v>
      </c>
      <c r="H46" s="53">
        <f t="shared" si="0"/>
        <v>0</v>
      </c>
    </row>
    <row r="47" spans="1:8" x14ac:dyDescent="0.15">
      <c r="A47" s="53" t="str">
        <v>荣华南路+赢销队</v>
      </c>
      <c r="B47" s="53">
        <f>SUMIFS(期初设置!$AB:$AB,期初设置!$F:$F,A47)</f>
        <v>3</v>
      </c>
      <c r="C47" s="53">
        <f>IF(B47&gt;1,SUMIFS(期初设置!S:S,期初设置!F:F,A47,期初设置!AB:AB,1),0)</f>
        <v>108313</v>
      </c>
      <c r="D47" s="59">
        <f>IF(B47=3,LOOKUP(C47,'②提成标准-B-a-①-增加'!$B$3:$B$8,'②提成标准-B-a-①-增加'!$D$3:$D$8),IF(B47=2,LOOKUP(C47,'②提成标准-B-a-①-增加'!$B$10:$B$14,'②提成标准-B-a-①-增加'!$D$10:$D$14),IF(B47=1,LOOKUP(C47,'②提成标准-B-a-①-增加'!$B$16:$B$20,'②提成标准-B-a-①-增加'!$D$16:$D$20),0)))</f>
        <v>0.05</v>
      </c>
      <c r="E47" s="53">
        <f>SUMIFS(期初设置!$W:$W,期初设置!$F:$F,A47)</f>
        <v>58475.64</v>
      </c>
      <c r="F47" s="59">
        <f>_xlfn.XLOOKUP(A47,期初设置!F:F,期初设置!AL:AL,0)</f>
        <v>0.70612761164403171</v>
      </c>
      <c r="G47" s="53">
        <f>IF(AND(C47&gt;='②提成标准-B-a-①-增加'!$G$3,F47&gt;='②提成标准-B-a-①-增加'!$H$3,E47&gt;='②提成标准-B-a-①-增加'!$I$3,B47='②提成标准-B-a-①-增加'!$F$3),'②提成标准-B-a-①-增加'!$J$3,IF(AND(C47&gt;='②提成标准-B-a-①-增加'!$G$4,F47&gt;='②提成标准-B-a-①-增加'!$H$4,E47&gt;='②提成标准-B-a-①-增加'!$I$4,B47='②提成标准-B-a-①-增加'!$F$4),'②提成标准-B-a-①-增加'!$J$4,0))</f>
        <v>0</v>
      </c>
      <c r="H47" s="53">
        <f t="shared" si="0"/>
        <v>0</v>
      </c>
    </row>
    <row r="48" spans="1:8" x14ac:dyDescent="0.15">
      <c r="A48" s="53" t="str">
        <v>荣华南路+门店T区</v>
      </c>
      <c r="B48" s="53">
        <f>SUMIFS(期初设置!$AB:$AB,期初设置!$F:$F,A48)</f>
        <v>0</v>
      </c>
      <c r="C48" s="53">
        <f>IF(B48&gt;1,SUMIFS(期初设置!S:S,期初设置!F:F,A48,期初设置!AB:AB,1),0)</f>
        <v>0</v>
      </c>
      <c r="D48" s="59">
        <f>IF(B48=3,LOOKUP(C48,'②提成标准-B-a-①-增加'!$B$3:$B$8,'②提成标准-B-a-①-增加'!$D$3:$D$8),IF(B48=2,LOOKUP(C48,'②提成标准-B-a-①-增加'!$B$10:$B$14,'②提成标准-B-a-①-增加'!$D$10:$D$14),IF(B48=1,LOOKUP(C48,'②提成标准-B-a-①-增加'!$B$16:$B$20,'②提成标准-B-a-①-增加'!$D$16:$D$20),0)))</f>
        <v>0</v>
      </c>
      <c r="E48" s="53">
        <f>SUMIFS(期初设置!$W:$W,期初设置!$F:$F,A48)</f>
        <v>0</v>
      </c>
      <c r="F48" s="59" t="str">
        <f>_xlfn.XLOOKUP(A48,期初设置!F:F,期初设置!AL:AL,0)</f>
        <v/>
      </c>
      <c r="G48" s="53">
        <f>IF(AND(C48&gt;='②提成标准-B-a-①-增加'!$G$3,F48&gt;='②提成标准-B-a-①-增加'!$H$3,E48&gt;='②提成标准-B-a-①-增加'!$I$3,B48='②提成标准-B-a-①-增加'!$F$3),'②提成标准-B-a-①-增加'!$J$3,IF(AND(C48&gt;='②提成标准-B-a-①-增加'!$G$4,F48&gt;='②提成标准-B-a-①-增加'!$H$4,E48&gt;='②提成标准-B-a-①-增加'!$I$4,B48='②提成标准-B-a-①-增加'!$F$4),'②提成标准-B-a-①-增加'!$J$4,0))</f>
        <v>0</v>
      </c>
      <c r="H48" s="53">
        <f t="shared" si="0"/>
        <v>0</v>
      </c>
    </row>
    <row r="49" spans="1:8" x14ac:dyDescent="0.15">
      <c r="A49" s="53" t="str">
        <v>融创+胜羽队</v>
      </c>
      <c r="B49" s="53">
        <f>SUMIFS(期初设置!$AB:$AB,期初设置!$F:$F,A49)</f>
        <v>3</v>
      </c>
      <c r="C49" s="53">
        <f>IF(B49&gt;1,SUMIFS(期初设置!S:S,期初设置!F:F,A49,期初设置!AB:AB,1),0)</f>
        <v>62166.7</v>
      </c>
      <c r="D49" s="59">
        <f>IF(B49=3,LOOKUP(C49,'②提成标准-B-a-①-增加'!$B$3:$B$8,'②提成标准-B-a-①-增加'!$D$3:$D$8),IF(B49=2,LOOKUP(C49,'②提成标准-B-a-①-增加'!$B$10:$B$14,'②提成标准-B-a-①-增加'!$D$10:$D$14),IF(B49=1,LOOKUP(C49,'②提成标准-B-a-①-增加'!$B$16:$B$20,'②提成标准-B-a-①-增加'!$D$16:$D$20),0)))</f>
        <v>0.04</v>
      </c>
      <c r="E49" s="53">
        <f>SUMIFS(期初设置!$W:$W,期初设置!$F:$F,A49)</f>
        <v>52920.39</v>
      </c>
      <c r="F49" s="59">
        <f>_xlfn.XLOOKUP(A49,期初设置!F:F,期初设置!AL:AL,0)</f>
        <v>0.50380670037174247</v>
      </c>
      <c r="G49" s="53">
        <f>IF(AND(C49&gt;='②提成标准-B-a-①-增加'!$G$3,F49&gt;='②提成标准-B-a-①-增加'!$H$3,E49&gt;='②提成标准-B-a-①-增加'!$I$3,B49='②提成标准-B-a-①-增加'!$F$3),'②提成标准-B-a-①-增加'!$J$3,IF(AND(C49&gt;='②提成标准-B-a-①-增加'!$G$4,F49&gt;='②提成标准-B-a-①-增加'!$H$4,E49&gt;='②提成标准-B-a-①-增加'!$I$4,B49='②提成标准-B-a-①-增加'!$F$4),'②提成标准-B-a-①-增加'!$J$4,0))</f>
        <v>0</v>
      </c>
      <c r="H49" s="53">
        <f t="shared" si="0"/>
        <v>0</v>
      </c>
    </row>
    <row r="50" spans="1:8" x14ac:dyDescent="0.15">
      <c r="A50" s="53" t="str">
        <v>融创+T区</v>
      </c>
      <c r="B50" s="53">
        <f>SUMIFS(期初设置!$AB:$AB,期初设置!$F:$F,A50)</f>
        <v>0</v>
      </c>
      <c r="C50" s="53">
        <f>IF(B50&gt;1,SUMIFS(期初设置!S:S,期初设置!F:F,A50,期初设置!AB:AB,1),0)</f>
        <v>0</v>
      </c>
      <c r="D50" s="59">
        <f>IF(B50=3,LOOKUP(C50,'②提成标准-B-a-①-增加'!$B$3:$B$8,'②提成标准-B-a-①-增加'!$D$3:$D$8),IF(B50=2,LOOKUP(C50,'②提成标准-B-a-①-增加'!$B$10:$B$14,'②提成标准-B-a-①-增加'!$D$10:$D$14),IF(B50=1,LOOKUP(C50,'②提成标准-B-a-①-增加'!$B$16:$B$20,'②提成标准-B-a-①-增加'!$D$16:$D$20),0)))</f>
        <v>0</v>
      </c>
      <c r="E50" s="53">
        <f>SUMIFS(期初设置!$W:$W,期初设置!$F:$F,A50)</f>
        <v>1320</v>
      </c>
      <c r="F50" s="59" t="str">
        <f>_xlfn.XLOOKUP(A50,期初设置!F:F,期初设置!AL:AL,0)</f>
        <v/>
      </c>
      <c r="G50" s="53">
        <f>IF(AND(C50&gt;='②提成标准-B-a-①-增加'!$G$3,F50&gt;='②提成标准-B-a-①-增加'!$H$3,E50&gt;='②提成标准-B-a-①-增加'!$I$3,B50='②提成标准-B-a-①-增加'!$F$3),'②提成标准-B-a-①-增加'!$J$3,IF(AND(C50&gt;='②提成标准-B-a-①-增加'!$G$4,F50&gt;='②提成标准-B-a-①-增加'!$H$4,E50&gt;='②提成标准-B-a-①-增加'!$I$4,B50='②提成标准-B-a-①-增加'!$F$4),'②提成标准-B-a-①-增加'!$J$4,0))</f>
        <v>0</v>
      </c>
      <c r="H50" s="53">
        <f t="shared" si="0"/>
        <v>0</v>
      </c>
    </row>
    <row r="51" spans="1:8" x14ac:dyDescent="0.15">
      <c r="A51" s="53" t="str">
        <v>融创+太阳队</v>
      </c>
      <c r="B51" s="53">
        <f>SUMIFS(期初设置!$AB:$AB,期初设置!$F:$F,A51)</f>
        <v>3</v>
      </c>
      <c r="C51" s="53">
        <f>IF(B51&gt;1,SUMIFS(期初设置!S:S,期初设置!F:F,A51,期初设置!AB:AB,1),0)</f>
        <v>90254.3</v>
      </c>
      <c r="D51" s="59">
        <f>IF(B51=3,LOOKUP(C51,'②提成标准-B-a-①-增加'!$B$3:$B$8,'②提成标准-B-a-①-增加'!$D$3:$D$8),IF(B51=2,LOOKUP(C51,'②提成标准-B-a-①-增加'!$B$10:$B$14,'②提成标准-B-a-①-增加'!$D$10:$D$14),IF(B51=1,LOOKUP(C51,'②提成标准-B-a-①-增加'!$B$16:$B$20,'②提成标准-B-a-①-增加'!$D$16:$D$20),0)))</f>
        <v>0.05</v>
      </c>
      <c r="E51" s="53">
        <f>SUMIFS(期初设置!$W:$W,期初设置!$F:$F,A51)</f>
        <v>64226.83</v>
      </c>
      <c r="F51" s="59">
        <f>_xlfn.XLOOKUP(A51,期初设置!F:F,期初设置!AL:AL,0)</f>
        <v>0.53522657646228489</v>
      </c>
      <c r="G51" s="53">
        <f>IF(AND(C51&gt;='②提成标准-B-a-①-增加'!$G$3,F51&gt;='②提成标准-B-a-①-增加'!$H$3,E51&gt;='②提成标准-B-a-①-增加'!$I$3,B51='②提成标准-B-a-①-增加'!$F$3),'②提成标准-B-a-①-增加'!$J$3,IF(AND(C51&gt;='②提成标准-B-a-①-增加'!$G$4,F51&gt;='②提成标准-B-a-①-增加'!$H$4,E51&gt;='②提成标准-B-a-①-增加'!$I$4,B51='②提成标准-B-a-①-增加'!$F$4),'②提成标准-B-a-①-增加'!$J$4,0))</f>
        <v>8.0000000000000002E-3</v>
      </c>
      <c r="H51" s="53">
        <f t="shared" si="0"/>
        <v>722.04</v>
      </c>
    </row>
    <row r="52" spans="1:8" x14ac:dyDescent="0.15">
      <c r="A52" s="53" t="str">
        <v>融创+门店T区</v>
      </c>
      <c r="B52" s="53">
        <f>SUMIFS(期初设置!$AB:$AB,期初设置!$F:$F,A52)</f>
        <v>0</v>
      </c>
      <c r="C52" s="53">
        <f>IF(B52&gt;1,SUMIFS(期初设置!S:S,期初设置!F:F,A52,期初设置!AB:AB,1),0)</f>
        <v>0</v>
      </c>
      <c r="D52" s="59">
        <f>IF(B52=3,LOOKUP(C52,'②提成标准-B-a-①-增加'!$B$3:$B$8,'②提成标准-B-a-①-增加'!$D$3:$D$8),IF(B52=2,LOOKUP(C52,'②提成标准-B-a-①-增加'!$B$10:$B$14,'②提成标准-B-a-①-增加'!$D$10:$D$14),IF(B52=1,LOOKUP(C52,'②提成标准-B-a-①-增加'!$B$16:$B$20,'②提成标准-B-a-①-增加'!$D$16:$D$20),0)))</f>
        <v>0</v>
      </c>
      <c r="E52" s="53">
        <f>SUMIFS(期初设置!$W:$W,期初设置!$F:$F,A52)</f>
        <v>0</v>
      </c>
      <c r="F52" s="59" t="str">
        <f>_xlfn.XLOOKUP(A52,期初设置!F:F,期初设置!AL:AL,0)</f>
        <v/>
      </c>
      <c r="G52" s="53">
        <f>IF(AND(C52&gt;='②提成标准-B-a-①-增加'!$G$3,F52&gt;='②提成标准-B-a-①-增加'!$H$3,E52&gt;='②提成标准-B-a-①-增加'!$I$3,B52='②提成标准-B-a-①-增加'!$F$3),'②提成标准-B-a-①-增加'!$J$3,IF(AND(C52&gt;='②提成标准-B-a-①-增加'!$G$4,F52&gt;='②提成标准-B-a-①-增加'!$H$4,E52&gt;='②提成标准-B-a-①-增加'!$I$4,B52='②提成标准-B-a-①-增加'!$F$4),'②提成标准-B-a-①-增加'!$J$4,0))</f>
        <v>0</v>
      </c>
      <c r="H52" s="53">
        <f t="shared" si="0"/>
        <v>0</v>
      </c>
    </row>
    <row r="53" spans="1:8" x14ac:dyDescent="0.15">
      <c r="A53" s="53" t="str">
        <v>沙河+奇迹队</v>
      </c>
      <c r="B53" s="53">
        <f>SUMIFS(期初设置!$AB:$AB,期初设置!$F:$F,A53)</f>
        <v>3</v>
      </c>
      <c r="C53" s="53">
        <f>IF(B53&gt;1,SUMIFS(期初设置!S:S,期初设置!F:F,A53,期初设置!AB:AB,1),0)</f>
        <v>92114.2</v>
      </c>
      <c r="D53" s="59">
        <f>IF(B53=3,LOOKUP(C53,'②提成标准-B-a-①-增加'!$B$3:$B$8,'②提成标准-B-a-①-增加'!$D$3:$D$8),IF(B53=2,LOOKUP(C53,'②提成标准-B-a-①-增加'!$B$10:$B$14,'②提成标准-B-a-①-增加'!$D$10:$D$14),IF(B53=1,LOOKUP(C53,'②提成标准-B-a-①-增加'!$B$16:$B$20,'②提成标准-B-a-①-增加'!$D$16:$D$20),0)))</f>
        <v>0.05</v>
      </c>
      <c r="E53" s="53">
        <f>SUMIFS(期初设置!$W:$W,期初设置!$F:$F,A53)</f>
        <v>83230.239999999991</v>
      </c>
      <c r="F53" s="59">
        <f>_xlfn.XLOOKUP(A53,期初设置!F:F,期初设置!AL:AL,0)</f>
        <v>0.44842814680038473</v>
      </c>
      <c r="G53" s="53">
        <f>IF(AND(C53&gt;='②提成标准-B-a-①-增加'!$G$3,F53&gt;='②提成标准-B-a-①-增加'!$H$3,E53&gt;='②提成标准-B-a-①-增加'!$I$3,B53='②提成标准-B-a-①-增加'!$F$3),'②提成标准-B-a-①-增加'!$J$3,IF(AND(C53&gt;='②提成标准-B-a-①-增加'!$G$4,F53&gt;='②提成标准-B-a-①-增加'!$H$4,E53&gt;='②提成标准-B-a-①-增加'!$I$4,B53='②提成标准-B-a-①-增加'!$F$4),'②提成标准-B-a-①-增加'!$J$4,0))</f>
        <v>8.0000000000000002E-3</v>
      </c>
      <c r="H53" s="53">
        <f t="shared" si="0"/>
        <v>736.92</v>
      </c>
    </row>
    <row r="54" spans="1:8" x14ac:dyDescent="0.15">
      <c r="A54" s="53" t="str">
        <v>沙河+T区</v>
      </c>
      <c r="B54" s="53">
        <f>SUMIFS(期初设置!$AB:$AB,期初设置!$F:$F,A54)</f>
        <v>0</v>
      </c>
      <c r="C54" s="53">
        <f>IF(B54&gt;1,SUMIFS(期初设置!S:S,期初设置!F:F,A54,期初设置!AB:AB,1),0)</f>
        <v>0</v>
      </c>
      <c r="D54" s="59">
        <f>IF(B54=3,LOOKUP(C54,'②提成标准-B-a-①-增加'!$B$3:$B$8,'②提成标准-B-a-①-增加'!$D$3:$D$8),IF(B54=2,LOOKUP(C54,'②提成标准-B-a-①-增加'!$B$10:$B$14,'②提成标准-B-a-①-增加'!$D$10:$D$14),IF(B54=1,LOOKUP(C54,'②提成标准-B-a-①-增加'!$B$16:$B$20,'②提成标准-B-a-①-增加'!$D$16:$D$20),0)))</f>
        <v>0</v>
      </c>
      <c r="E54" s="53">
        <f>SUMIFS(期初设置!$W:$W,期初设置!$F:$F,A54)</f>
        <v>10389</v>
      </c>
      <c r="F54" s="59" t="str">
        <f>_xlfn.XLOOKUP(A54,期初设置!F:F,期初设置!AL:AL,0)</f>
        <v/>
      </c>
      <c r="G54" s="53">
        <f>IF(AND(C54&gt;='②提成标准-B-a-①-增加'!$G$3,F54&gt;='②提成标准-B-a-①-增加'!$H$3,E54&gt;='②提成标准-B-a-①-增加'!$I$3,B54='②提成标准-B-a-①-增加'!$F$3),'②提成标准-B-a-①-增加'!$J$3,IF(AND(C54&gt;='②提成标准-B-a-①-增加'!$G$4,F54&gt;='②提成标准-B-a-①-增加'!$H$4,E54&gt;='②提成标准-B-a-①-增加'!$I$4,B54='②提成标准-B-a-①-增加'!$F$4),'②提成标准-B-a-①-增加'!$J$4,0))</f>
        <v>0</v>
      </c>
      <c r="H54" s="53">
        <f t="shared" si="0"/>
        <v>0</v>
      </c>
    </row>
    <row r="55" spans="1:8" x14ac:dyDescent="0.15">
      <c r="A55" s="53" t="str">
        <v>沙河+战胜队</v>
      </c>
      <c r="B55" s="53">
        <f>SUMIFS(期初设置!$AB:$AB,期初设置!$F:$F,A55)</f>
        <v>2</v>
      </c>
      <c r="C55" s="53">
        <f>IF(B55&gt;1,SUMIFS(期初设置!S:S,期初设置!F:F,A55,期初设置!AB:AB,1),0)</f>
        <v>60329.799999999996</v>
      </c>
      <c r="D55" s="59">
        <f>IF(B55=3,LOOKUP(C55,'②提成标准-B-a-①-增加'!$B$3:$B$8,'②提成标准-B-a-①-增加'!$D$3:$D$8),IF(B55=2,LOOKUP(C55,'②提成标准-B-a-①-增加'!$B$10:$B$14,'②提成标准-B-a-①-增加'!$D$10:$D$14),IF(B55=1,LOOKUP(C55,'②提成标准-B-a-①-增加'!$B$16:$B$20,'②提成标准-B-a-①-增加'!$D$16:$D$20),0)))</f>
        <v>0.05</v>
      </c>
      <c r="E55" s="53">
        <f>SUMIFS(期初设置!$W:$W,期初设置!$F:$F,A55)</f>
        <v>48834.600000000006</v>
      </c>
      <c r="F55" s="59">
        <f>_xlfn.XLOOKUP(A55,期初设置!F:F,期初设置!AL:AL,0)</f>
        <v>0.67384940775537128</v>
      </c>
      <c r="G55" s="53">
        <f>IF(AND(C55&gt;='②提成标准-B-a-①-增加'!$G$3,F55&gt;='②提成标准-B-a-①-增加'!$H$3,E55&gt;='②提成标准-B-a-①-增加'!$I$3,B55='②提成标准-B-a-①-增加'!$F$3),'②提成标准-B-a-①-增加'!$J$3,IF(AND(C55&gt;='②提成标准-B-a-①-增加'!$G$4,F55&gt;='②提成标准-B-a-①-增加'!$H$4,E55&gt;='②提成标准-B-a-①-增加'!$I$4,B55='②提成标准-B-a-①-增加'!$F$4),'②提成标准-B-a-①-增加'!$J$4,0))</f>
        <v>3.0000000000000001E-3</v>
      </c>
      <c r="H55" s="53">
        <f t="shared" si="0"/>
        <v>180.98999999999998</v>
      </c>
    </row>
    <row r="56" spans="1:8" x14ac:dyDescent="0.15">
      <c r="A56" s="53" t="str">
        <v>沙河+门店T区</v>
      </c>
      <c r="B56" s="53">
        <f>SUMIFS(期初设置!$AB:$AB,期初设置!$F:$F,A56)</f>
        <v>0</v>
      </c>
      <c r="C56" s="53">
        <f>IF(B56&gt;1,SUMIFS(期初设置!S:S,期初设置!F:F,A56,期初设置!AB:AB,1),0)</f>
        <v>0</v>
      </c>
      <c r="D56" s="59">
        <f>IF(B56=3,LOOKUP(C56,'②提成标准-B-a-①-增加'!$B$3:$B$8,'②提成标准-B-a-①-增加'!$D$3:$D$8),IF(B56=2,LOOKUP(C56,'②提成标准-B-a-①-增加'!$B$10:$B$14,'②提成标准-B-a-①-增加'!$D$10:$D$14),IF(B56=1,LOOKUP(C56,'②提成标准-B-a-①-增加'!$B$16:$B$20,'②提成标准-B-a-①-增加'!$D$16:$D$20),0)))</f>
        <v>0</v>
      </c>
      <c r="E56" s="53">
        <f>SUMIFS(期初设置!$W:$W,期初设置!$F:$F,A56)</f>
        <v>0</v>
      </c>
      <c r="F56" s="59" t="str">
        <f>_xlfn.XLOOKUP(A56,期初设置!F:F,期初设置!AL:AL,0)</f>
        <v/>
      </c>
      <c r="G56" s="53">
        <f>IF(AND(C56&gt;='②提成标准-B-a-①-增加'!$G$3,F56&gt;='②提成标准-B-a-①-增加'!$H$3,E56&gt;='②提成标准-B-a-①-增加'!$I$3,B56='②提成标准-B-a-①-增加'!$F$3),'②提成标准-B-a-①-增加'!$J$3,IF(AND(C56&gt;='②提成标准-B-a-①-增加'!$G$4,F56&gt;='②提成标准-B-a-①-增加'!$H$4,E56&gt;='②提成标准-B-a-①-增加'!$I$4,B56='②提成标准-B-a-①-增加'!$F$4),'②提成标准-B-a-①-增加'!$J$4,0))</f>
        <v>0</v>
      </c>
      <c r="H56" s="53">
        <f t="shared" si="0"/>
        <v>0</v>
      </c>
    </row>
    <row r="57" spans="1:8" x14ac:dyDescent="0.15">
      <c r="A57" s="53" t="str">
        <v>涌泉+冲刺队</v>
      </c>
      <c r="B57" s="53">
        <f>SUMIFS(期初设置!$AB:$AB,期初设置!$F:$F,A57)</f>
        <v>2</v>
      </c>
      <c r="C57" s="53">
        <f>IF(B57&gt;1,SUMIFS(期初设置!S:S,期初设置!F:F,A57,期初设置!AB:AB,1),0)</f>
        <v>106334.40000000001</v>
      </c>
      <c r="D57" s="59">
        <f>IF(B57=3,LOOKUP(C57,'②提成标准-B-a-①-增加'!$B$3:$B$8,'②提成标准-B-a-①-增加'!$D$3:$D$8),IF(B57=2,LOOKUP(C57,'②提成标准-B-a-①-增加'!$B$10:$B$14,'②提成标准-B-a-①-增加'!$D$10:$D$14),IF(B57=1,LOOKUP(C57,'②提成标准-B-a-①-增加'!$B$16:$B$20,'②提成标准-B-a-①-增加'!$D$16:$D$20),0)))</f>
        <v>0.06</v>
      </c>
      <c r="E57" s="53">
        <f>SUMIFS(期初设置!$W:$W,期初设置!$F:$F,A57)</f>
        <v>36807.46</v>
      </c>
      <c r="F57" s="59">
        <f>_xlfn.XLOOKUP(A57,期初设置!F:F,期初设置!AL:AL,0)</f>
        <v>0.34038655411607155</v>
      </c>
      <c r="G57" s="53">
        <f>IF(AND(C57&gt;='②提成标准-B-a-①-增加'!$G$3,F57&gt;='②提成标准-B-a-①-增加'!$H$3,E57&gt;='②提成标准-B-a-①-增加'!$I$3,B57='②提成标准-B-a-①-增加'!$F$3),'②提成标准-B-a-①-增加'!$J$3,IF(AND(C57&gt;='②提成标准-B-a-①-增加'!$G$4,F57&gt;='②提成标准-B-a-①-增加'!$H$4,E57&gt;='②提成标准-B-a-①-增加'!$I$4,B57='②提成标准-B-a-①-增加'!$F$4),'②提成标准-B-a-①-增加'!$J$4,0))</f>
        <v>0</v>
      </c>
      <c r="H57" s="53">
        <f t="shared" si="0"/>
        <v>0</v>
      </c>
    </row>
    <row r="58" spans="1:8" x14ac:dyDescent="0.15">
      <c r="A58" s="53" t="str">
        <v>涌泉+T区</v>
      </c>
      <c r="B58" s="53">
        <f>SUMIFS(期初设置!$AB:$AB,期初设置!$F:$F,A58)</f>
        <v>0</v>
      </c>
      <c r="C58" s="53">
        <f>IF(B58&gt;1,SUMIFS(期初设置!S:S,期初设置!F:F,A58,期初设置!AB:AB,1),0)</f>
        <v>0</v>
      </c>
      <c r="D58" s="59">
        <f>IF(B58=3,LOOKUP(C58,'②提成标准-B-a-①-增加'!$B$3:$B$8,'②提成标准-B-a-①-增加'!$D$3:$D$8),IF(B58=2,LOOKUP(C58,'②提成标准-B-a-①-增加'!$B$10:$B$14,'②提成标准-B-a-①-增加'!$D$10:$D$14),IF(B58=1,LOOKUP(C58,'②提成标准-B-a-①-增加'!$B$16:$B$20,'②提成标准-B-a-①-增加'!$D$16:$D$20),0)))</f>
        <v>0</v>
      </c>
      <c r="E58" s="53">
        <f>SUMIFS(期初设置!$W:$W,期初设置!$F:$F,A58)</f>
        <v>64770</v>
      </c>
      <c r="F58" s="59" t="str">
        <f>_xlfn.XLOOKUP(A58,期初设置!F:F,期初设置!AL:AL,0)</f>
        <v/>
      </c>
      <c r="G58" s="53">
        <f>IF(AND(C58&gt;='②提成标准-B-a-①-增加'!$G$3,F58&gt;='②提成标准-B-a-①-增加'!$H$3,E58&gt;='②提成标准-B-a-①-增加'!$I$3,B58='②提成标准-B-a-①-增加'!$F$3),'②提成标准-B-a-①-增加'!$J$3,IF(AND(C58&gt;='②提成标准-B-a-①-增加'!$G$4,F58&gt;='②提成标准-B-a-①-增加'!$H$4,E58&gt;='②提成标准-B-a-①-增加'!$I$4,B58='②提成标准-B-a-①-增加'!$F$4),'②提成标准-B-a-①-增加'!$J$4,0))</f>
        <v>0</v>
      </c>
      <c r="H58" s="53">
        <f t="shared" si="0"/>
        <v>0</v>
      </c>
    </row>
    <row r="59" spans="1:8" x14ac:dyDescent="0.15">
      <c r="A59" s="53" t="str">
        <v>涌泉+进钱队</v>
      </c>
      <c r="B59" s="53">
        <f>SUMIFS(期初设置!$AB:$AB,期初设置!$F:$F,A59)</f>
        <v>2</v>
      </c>
      <c r="C59" s="53">
        <f>IF(B59&gt;1,SUMIFS(期初设置!S:S,期初设置!F:F,A59,期初设置!AB:AB,1),0)</f>
        <v>61981.599999999999</v>
      </c>
      <c r="D59" s="59">
        <f>IF(B59=3,LOOKUP(C59,'②提成标准-B-a-①-增加'!$B$3:$B$8,'②提成标准-B-a-①-增加'!$D$3:$D$8),IF(B59=2,LOOKUP(C59,'②提成标准-B-a-①-增加'!$B$10:$B$14,'②提成标准-B-a-①-增加'!$D$10:$D$14),IF(B59=1,LOOKUP(C59,'②提成标准-B-a-①-增加'!$B$16:$B$20,'②提成标准-B-a-①-增加'!$D$16:$D$20),0)))</f>
        <v>0.05</v>
      </c>
      <c r="E59" s="53">
        <f>SUMIFS(期初设置!$W:$W,期初设置!$F:$F,A59)</f>
        <v>32190.43</v>
      </c>
      <c r="F59" s="59">
        <f>_xlfn.XLOOKUP(A59,期初设置!F:F,期初设置!AL:AL,0)</f>
        <v>0.14973798675736025</v>
      </c>
      <c r="G59" s="53">
        <f>IF(AND(C59&gt;='②提成标准-B-a-①-增加'!$G$3,F59&gt;='②提成标准-B-a-①-增加'!$H$3,E59&gt;='②提成标准-B-a-①-增加'!$I$3,B59='②提成标准-B-a-①-增加'!$F$3),'②提成标准-B-a-①-增加'!$J$3,IF(AND(C59&gt;='②提成标准-B-a-①-增加'!$G$4,F59&gt;='②提成标准-B-a-①-增加'!$H$4,E59&gt;='②提成标准-B-a-①-增加'!$I$4,B59='②提成标准-B-a-①-增加'!$F$4),'②提成标准-B-a-①-增加'!$J$4,0))</f>
        <v>0</v>
      </c>
      <c r="H59" s="53">
        <f t="shared" si="0"/>
        <v>0</v>
      </c>
    </row>
    <row r="60" spans="1:8" x14ac:dyDescent="0.15">
      <c r="A60" s="53" t="str">
        <v>涌泉+单人</v>
      </c>
      <c r="B60" s="53">
        <f>SUMIFS(期初设置!$AB:$AB,期初设置!$F:$F,A60)</f>
        <v>0</v>
      </c>
      <c r="C60" s="53">
        <f>IF(B60&gt;1,SUMIFS(期初设置!S:S,期初设置!F:F,A60,期初设置!AB:AB,1),0)</f>
        <v>0</v>
      </c>
      <c r="D60" s="59">
        <f>IF(B60=3,LOOKUP(C60,'②提成标准-B-a-①-增加'!$B$3:$B$8,'②提成标准-B-a-①-增加'!$D$3:$D$8),IF(B60=2,LOOKUP(C60,'②提成标准-B-a-①-增加'!$B$10:$B$14,'②提成标准-B-a-①-增加'!$D$10:$D$14),IF(B60=1,LOOKUP(C60,'②提成标准-B-a-①-增加'!$B$16:$B$20,'②提成标准-B-a-①-增加'!$D$16:$D$20),0)))</f>
        <v>0</v>
      </c>
      <c r="E60" s="53">
        <f>SUMIFS(期初设置!$W:$W,期初设置!$F:$F,A60)</f>
        <v>5032.04</v>
      </c>
      <c r="F60" s="59" t="str">
        <f>_xlfn.XLOOKUP(A60,期初设置!F:F,期初设置!AL:AL,0)</f>
        <v/>
      </c>
      <c r="G60" s="53">
        <f>IF(AND(C60&gt;='②提成标准-B-a-①-增加'!$G$3,F60&gt;='②提成标准-B-a-①-增加'!$H$3,E60&gt;='②提成标准-B-a-①-增加'!$I$3,B60='②提成标准-B-a-①-增加'!$F$3),'②提成标准-B-a-①-增加'!$J$3,IF(AND(C60&gt;='②提成标准-B-a-①-增加'!$G$4,F60&gt;='②提成标准-B-a-①-增加'!$H$4,E60&gt;='②提成标准-B-a-①-增加'!$I$4,B60='②提成标准-B-a-①-增加'!$F$4),'②提成标准-B-a-①-增加'!$J$4,0))</f>
        <v>0</v>
      </c>
      <c r="H60" s="53">
        <f t="shared" si="0"/>
        <v>0</v>
      </c>
    </row>
    <row r="61" spans="1:8" x14ac:dyDescent="0.15">
      <c r="A61" s="53" t="str">
        <v>涌泉+门店T区</v>
      </c>
      <c r="B61" s="53">
        <f>SUMIFS(期初设置!$AB:$AB,期初设置!$F:$F,A61)</f>
        <v>0</v>
      </c>
      <c r="C61" s="53">
        <f>IF(B61&gt;1,SUMIFS(期初设置!S:S,期初设置!F:F,A61,期初设置!AB:AB,1),0)</f>
        <v>0</v>
      </c>
      <c r="D61" s="59">
        <f>IF(B61=3,LOOKUP(C61,'②提成标准-B-a-①-增加'!$B$3:$B$8,'②提成标准-B-a-①-增加'!$D$3:$D$8),IF(B61=2,LOOKUP(C61,'②提成标准-B-a-①-增加'!$B$10:$B$14,'②提成标准-B-a-①-增加'!$D$10:$D$14),IF(B61=1,LOOKUP(C61,'②提成标准-B-a-①-增加'!$B$16:$B$20,'②提成标准-B-a-①-增加'!$D$16:$D$20),0)))</f>
        <v>0</v>
      </c>
      <c r="E61" s="53">
        <f>SUMIFS(期初设置!$W:$W,期初设置!$F:$F,A61)</f>
        <v>0</v>
      </c>
      <c r="F61" s="59" t="str">
        <f>_xlfn.XLOOKUP(A61,期初设置!F:F,期初设置!AL:AL,0)</f>
        <v/>
      </c>
      <c r="G61" s="53">
        <f>IF(AND(C61&gt;='②提成标准-B-a-①-增加'!$G$3,F61&gt;='②提成标准-B-a-①-增加'!$H$3,E61&gt;='②提成标准-B-a-①-增加'!$I$3,B61='②提成标准-B-a-①-增加'!$F$3),'②提成标准-B-a-①-增加'!$J$3,IF(AND(C61&gt;='②提成标准-B-a-①-增加'!$G$4,F61&gt;='②提成标准-B-a-①-增加'!$H$4,E61&gt;='②提成标准-B-a-①-增加'!$I$4,B61='②提成标准-B-a-①-增加'!$F$4),'②提成标准-B-a-①-增加'!$J$4,0))</f>
        <v>0</v>
      </c>
      <c r="H61" s="53">
        <f t="shared" si="0"/>
        <v>0</v>
      </c>
    </row>
    <row r="62" spans="1:8" x14ac:dyDescent="0.15">
      <c r="A62" s="53" t="str">
        <v>中和+无敌队</v>
      </c>
      <c r="B62" s="53">
        <f>SUMIFS(期初设置!$AB:$AB,期初设置!$F:$F,A62)</f>
        <v>2</v>
      </c>
      <c r="C62" s="53">
        <f>IF(B62&gt;1,SUMIFS(期初设置!S:S,期初设置!F:F,A62,期初设置!AB:AB,1),0)</f>
        <v>62123.4</v>
      </c>
      <c r="D62" s="59">
        <f>IF(B62=3,LOOKUP(C62,'②提成标准-B-a-①-增加'!$B$3:$B$8,'②提成标准-B-a-①-增加'!$D$3:$D$8),IF(B62=2,LOOKUP(C62,'②提成标准-B-a-①-增加'!$B$10:$B$14,'②提成标准-B-a-①-增加'!$D$10:$D$14),IF(B62=1,LOOKUP(C62,'②提成标准-B-a-①-增加'!$B$16:$B$20,'②提成标准-B-a-①-增加'!$D$16:$D$20),0)))</f>
        <v>0.05</v>
      </c>
      <c r="E62" s="53">
        <f>SUMIFS(期初设置!$W:$W,期初设置!$F:$F,A62)</f>
        <v>33160.97</v>
      </c>
      <c r="F62" s="59">
        <f>_xlfn.XLOOKUP(A62,期初设置!F:F,期初设置!AL:AL,0)</f>
        <v>0.26108680465009965</v>
      </c>
      <c r="G62" s="53">
        <f>IF(AND(C62&gt;='②提成标准-B-a-①-增加'!$G$3,F62&gt;='②提成标准-B-a-①-增加'!$H$3,E62&gt;='②提成标准-B-a-①-增加'!$I$3,B62='②提成标准-B-a-①-增加'!$F$3),'②提成标准-B-a-①-增加'!$J$3,IF(AND(C62&gt;='②提成标准-B-a-①-增加'!$G$4,F62&gt;='②提成标准-B-a-①-增加'!$H$4,E62&gt;='②提成标准-B-a-①-增加'!$I$4,B62='②提成标准-B-a-①-增加'!$F$4),'②提成标准-B-a-①-增加'!$J$4,0))</f>
        <v>0</v>
      </c>
      <c r="H62" s="53">
        <f t="shared" si="0"/>
        <v>0</v>
      </c>
    </row>
    <row r="63" spans="1:8" x14ac:dyDescent="0.15">
      <c r="A63" s="53" t="str">
        <v>中和+T区</v>
      </c>
      <c r="B63" s="53">
        <f>SUMIFS(期初设置!$AB:$AB,期初设置!$F:$F,A63)</f>
        <v>0</v>
      </c>
      <c r="C63" s="53">
        <f>IF(B63&gt;1,SUMIFS(期初设置!S:S,期初设置!F:F,A63,期初设置!AB:AB,1),0)</f>
        <v>0</v>
      </c>
      <c r="D63" s="59">
        <f>IF(B63=3,LOOKUP(C63,'②提成标准-B-a-①-增加'!$B$3:$B$8,'②提成标准-B-a-①-增加'!$D$3:$D$8),IF(B63=2,LOOKUP(C63,'②提成标准-B-a-①-增加'!$B$10:$B$14,'②提成标准-B-a-①-增加'!$D$10:$D$14),IF(B63=1,LOOKUP(C63,'②提成标准-B-a-①-增加'!$B$16:$B$20,'②提成标准-B-a-①-增加'!$D$16:$D$20),0)))</f>
        <v>0</v>
      </c>
      <c r="E63" s="53">
        <f>SUMIFS(期初设置!$W:$W,期初设置!$F:$F,A63)</f>
        <v>18360</v>
      </c>
      <c r="F63" s="59" t="str">
        <f>_xlfn.XLOOKUP(A63,期初设置!F:F,期初设置!AL:AL,0)</f>
        <v/>
      </c>
      <c r="G63" s="53">
        <f>IF(AND(C63&gt;='②提成标准-B-a-①-增加'!$G$3,F63&gt;='②提成标准-B-a-①-增加'!$H$3,E63&gt;='②提成标准-B-a-①-增加'!$I$3,B63='②提成标准-B-a-①-增加'!$F$3),'②提成标准-B-a-①-增加'!$J$3,IF(AND(C63&gt;='②提成标准-B-a-①-增加'!$G$4,F63&gt;='②提成标准-B-a-①-增加'!$H$4,E63&gt;='②提成标准-B-a-①-增加'!$I$4,B63='②提成标准-B-a-①-增加'!$F$4),'②提成标准-B-a-①-增加'!$J$4,0))</f>
        <v>0</v>
      </c>
      <c r="H63" s="53">
        <f t="shared" si="0"/>
        <v>0</v>
      </c>
    </row>
    <row r="64" spans="1:8" x14ac:dyDescent="0.15">
      <c r="A64" s="53" t="str">
        <v>中和+冠军队</v>
      </c>
      <c r="B64" s="53">
        <f>SUMIFS(期初设置!$AB:$AB,期初设置!$F:$F,A64)</f>
        <v>3</v>
      </c>
      <c r="C64" s="53">
        <f>IF(B64&gt;1,SUMIFS(期初设置!S:S,期初设置!F:F,A64,期初设置!AB:AB,1),0)</f>
        <v>88298.6</v>
      </c>
      <c r="D64" s="59">
        <f>IF(B64=3,LOOKUP(C64,'②提成标准-B-a-①-增加'!$B$3:$B$8,'②提成标准-B-a-①-增加'!$D$3:$D$8),IF(B64=2,LOOKUP(C64,'②提成标准-B-a-①-增加'!$B$10:$B$14,'②提成标准-B-a-①-增加'!$D$10:$D$14),IF(B64=1,LOOKUP(C64,'②提成标准-B-a-①-增加'!$B$16:$B$20,'②提成标准-B-a-①-增加'!$D$16:$D$20),0)))</f>
        <v>0.04</v>
      </c>
      <c r="E64" s="53">
        <f>SUMIFS(期初设置!$W:$W,期初设置!$F:$F,A64)</f>
        <v>51902.15</v>
      </c>
      <c r="F64" s="59">
        <f>_xlfn.XLOOKUP(A64,期初设置!F:F,期初设置!AL:AL,0)</f>
        <v>0.31973553374572189</v>
      </c>
      <c r="G64" s="53">
        <f>IF(AND(C64&gt;='②提成标准-B-a-①-增加'!$G$3,F64&gt;='②提成标准-B-a-①-增加'!$H$3,E64&gt;='②提成标准-B-a-①-增加'!$I$3,B64='②提成标准-B-a-①-增加'!$F$3),'②提成标准-B-a-①-增加'!$J$3,IF(AND(C64&gt;='②提成标准-B-a-①-增加'!$G$4,F64&gt;='②提成标准-B-a-①-增加'!$H$4,E64&gt;='②提成标准-B-a-①-增加'!$I$4,B64='②提成标准-B-a-①-增加'!$F$4),'②提成标准-B-a-①-增加'!$J$4,0))</f>
        <v>0</v>
      </c>
      <c r="H64" s="53">
        <f t="shared" si="0"/>
        <v>0</v>
      </c>
    </row>
    <row r="65" spans="1:8" x14ac:dyDescent="0.15">
      <c r="A65" s="53" t="str">
        <v>中和+门店T区</v>
      </c>
      <c r="B65" s="53">
        <f>SUMIFS(期初设置!$AB:$AB,期初设置!$F:$F,A65)</f>
        <v>0</v>
      </c>
      <c r="C65" s="53">
        <f>IF(B65&gt;1,SUMIFS(期初设置!S:S,期初设置!F:F,A65,期初设置!AB:AB,1),0)</f>
        <v>0</v>
      </c>
      <c r="D65" s="59">
        <f>IF(B65=3,LOOKUP(C65,'②提成标准-B-a-①-增加'!$B$3:$B$8,'②提成标准-B-a-①-增加'!$D$3:$D$8),IF(B65=2,LOOKUP(C65,'②提成标准-B-a-①-增加'!$B$10:$B$14,'②提成标准-B-a-①-增加'!$D$10:$D$14),IF(B65=1,LOOKUP(C65,'②提成标准-B-a-①-增加'!$B$16:$B$20,'②提成标准-B-a-①-增加'!$D$16:$D$20),0)))</f>
        <v>0</v>
      </c>
      <c r="E65" s="53">
        <f>SUMIFS(期初设置!$W:$W,期初设置!$F:$F,A65)</f>
        <v>0</v>
      </c>
      <c r="F65" s="59" t="str">
        <f>_xlfn.XLOOKUP(A65,期初设置!F:F,期初设置!AL:AL,0)</f>
        <v/>
      </c>
      <c r="G65" s="53">
        <f>IF(AND(C65&gt;='②提成标准-B-a-①-增加'!$G$3,F65&gt;='②提成标准-B-a-①-增加'!$H$3,E65&gt;='②提成标准-B-a-①-增加'!$I$3,B65='②提成标准-B-a-①-增加'!$F$3),'②提成标准-B-a-①-增加'!$J$3,IF(AND(C65&gt;='②提成标准-B-a-①-增加'!$G$4,F65&gt;='②提成标准-B-a-①-增加'!$H$4,E65&gt;='②提成标准-B-a-①-增加'!$I$4,B65='②提成标准-B-a-①-增加'!$F$4),'②提成标准-B-a-①-增加'!$J$4,0))</f>
        <v>0</v>
      </c>
      <c r="H65" s="53">
        <f t="shared" si="0"/>
        <v>0</v>
      </c>
    </row>
    <row r="66" spans="1:8" x14ac:dyDescent="0.15">
      <c r="A66" s="53" t="str">
        <v>川音+单人</v>
      </c>
      <c r="B66" s="53">
        <f>SUMIFS(期初设置!$AB:$AB,期初设置!$F:$F,A66)</f>
        <v>0</v>
      </c>
      <c r="C66" s="53">
        <f>IF(B66&gt;1,SUMIFS(期初设置!S:S,期初设置!F:F,A66,期初设置!AB:AB,1),0)</f>
        <v>0</v>
      </c>
      <c r="D66" s="59">
        <f>IF(B66=3,LOOKUP(C66,'②提成标准-B-a-①-增加'!$B$3:$B$8,'②提成标准-B-a-①-增加'!$D$3:$D$8),IF(B66=2,LOOKUP(C66,'②提成标准-B-a-①-增加'!$B$10:$B$14,'②提成标准-B-a-①-增加'!$D$10:$D$14),IF(B66=1,LOOKUP(C66,'②提成标准-B-a-①-增加'!$B$16:$B$20,'②提成标准-B-a-①-增加'!$D$16:$D$20),0)))</f>
        <v>0</v>
      </c>
      <c r="E66" s="53">
        <f>SUMIFS(期初设置!$W:$W,期初设置!$F:$F,A66)</f>
        <v>34264.6</v>
      </c>
      <c r="F66" s="59" t="str">
        <f>_xlfn.XLOOKUP(A66,期初设置!F:F,期初设置!AL:AL,0)</f>
        <v/>
      </c>
      <c r="G66" s="53">
        <f>IF(AND(C66&gt;='②提成标准-B-a-①-增加'!$G$3,F66&gt;='②提成标准-B-a-①-增加'!$H$3,E66&gt;='②提成标准-B-a-①-增加'!$I$3,B66='②提成标准-B-a-①-增加'!$F$3),'②提成标准-B-a-①-增加'!$J$3,IF(AND(C66&gt;='②提成标准-B-a-①-增加'!$G$4,F66&gt;='②提成标准-B-a-①-增加'!$H$4,E66&gt;='②提成标准-B-a-①-增加'!$I$4,B66='②提成标准-B-a-①-增加'!$F$4),'②提成标准-B-a-①-增加'!$J$4,0))</f>
        <v>0</v>
      </c>
      <c r="H66" s="53">
        <f t="shared" si="0"/>
        <v>0</v>
      </c>
    </row>
    <row r="67" spans="1:8" x14ac:dyDescent="0.15">
      <c r="A67" s="53" t="str">
        <v>川音+门店T区</v>
      </c>
      <c r="B67" s="53">
        <f>SUMIFS(期初设置!$AB:$AB,期初设置!$F:$F,A67)</f>
        <v>0</v>
      </c>
      <c r="C67" s="53">
        <f>IF(B67&gt;1,SUMIFS(期初设置!S:S,期初设置!F:F,A67,期初设置!AB:AB,1),0)</f>
        <v>0</v>
      </c>
      <c r="D67" s="59">
        <f>IF(B67=3,LOOKUP(C67,'②提成标准-B-a-①-增加'!$B$3:$B$8,'②提成标准-B-a-①-增加'!$D$3:$D$8),IF(B67=2,LOOKUP(C67,'②提成标准-B-a-①-增加'!$B$10:$B$14,'②提成标准-B-a-①-增加'!$D$10:$D$14),IF(B67=1,LOOKUP(C67,'②提成标准-B-a-①-增加'!$B$16:$B$20,'②提成标准-B-a-①-增加'!$D$16:$D$20),0)))</f>
        <v>0</v>
      </c>
      <c r="E67" s="53">
        <f>SUMIFS(期初设置!$W:$W,期初设置!$F:$F,A67)</f>
        <v>0</v>
      </c>
      <c r="F67" s="59" t="str">
        <f>_xlfn.XLOOKUP(A67,期初设置!F:F,期初设置!AL:AL,0)</f>
        <v/>
      </c>
      <c r="G67" s="53">
        <f>IF(AND(C67&gt;='②提成标准-B-a-①-增加'!$G$3,F67&gt;='②提成标准-B-a-①-增加'!$H$3,E67&gt;='②提成标准-B-a-①-增加'!$I$3,B67='②提成标准-B-a-①-增加'!$F$3),'②提成标准-B-a-①-增加'!$J$3,IF(AND(C67&gt;='②提成标准-B-a-①-增加'!$G$4,F67&gt;='②提成标准-B-a-①-增加'!$H$4,E67&gt;='②提成标准-B-a-①-增加'!$I$4,B67='②提成标准-B-a-①-增加'!$F$4),'②提成标准-B-a-①-增加'!$J$4,0))</f>
        <v>0</v>
      </c>
      <c r="H67" s="53">
        <f t="shared" si="0"/>
        <v>0</v>
      </c>
    </row>
    <row r="68" spans="1:8" x14ac:dyDescent="0.15">
      <c r="A68" s="53" t="str">
        <v>光华+天翊队</v>
      </c>
      <c r="B68" s="53">
        <f>SUMIFS(期初设置!$AB:$AB,期初设置!$F:$F,A68)</f>
        <v>2</v>
      </c>
      <c r="C68" s="53">
        <f>IF(B68&gt;1,SUMIFS(期初设置!S:S,期初设置!F:F,A68,期初设置!AB:AB,1),0)</f>
        <v>55077</v>
      </c>
      <c r="D68" s="59">
        <f>IF(B68=3,LOOKUP(C68,'②提成标准-B-a-①-增加'!$B$3:$B$8,'②提成标准-B-a-①-增加'!$D$3:$D$8),IF(B68=2,LOOKUP(C68,'②提成标准-B-a-①-增加'!$B$10:$B$14,'②提成标准-B-a-①-增加'!$D$10:$D$14),IF(B68=1,LOOKUP(C68,'②提成标准-B-a-①-增加'!$B$16:$B$20,'②提成标准-B-a-①-增加'!$D$16:$D$20),0)))</f>
        <v>0.04</v>
      </c>
      <c r="E68" s="53">
        <f>SUMIFS(期初设置!$W:$W,期初设置!$F:$F,A68)</f>
        <v>53248.43</v>
      </c>
      <c r="F68" s="59">
        <f>_xlfn.XLOOKUP(A68,期初设置!F:F,期初设置!AL:AL,0)</f>
        <v>0.17791455598525702</v>
      </c>
      <c r="G68" s="53">
        <f>IF(AND(C68&gt;='②提成标准-B-a-①-增加'!$G$3,F68&gt;='②提成标准-B-a-①-增加'!$H$3,E68&gt;='②提成标准-B-a-①-增加'!$I$3,B68='②提成标准-B-a-①-增加'!$F$3),'②提成标准-B-a-①-增加'!$J$3,IF(AND(C68&gt;='②提成标准-B-a-①-增加'!$G$4,F68&gt;='②提成标准-B-a-①-增加'!$H$4,E68&gt;='②提成标准-B-a-①-增加'!$I$4,B68='②提成标准-B-a-①-增加'!$F$4),'②提成标准-B-a-①-增加'!$J$4,0))</f>
        <v>0</v>
      </c>
      <c r="H68" s="53">
        <f t="shared" si="0"/>
        <v>0</v>
      </c>
    </row>
    <row r="69" spans="1:8" x14ac:dyDescent="0.15">
      <c r="A69" s="53" t="str">
        <v>光华+T区</v>
      </c>
      <c r="B69" s="53">
        <f>SUMIFS(期初设置!$AB:$AB,期初设置!$F:$F,A69)</f>
        <v>0</v>
      </c>
      <c r="C69" s="53">
        <f>IF(B69&gt;1,SUMIFS(期初设置!S:S,期初设置!F:F,A69,期初设置!AB:AB,1),0)</f>
        <v>0</v>
      </c>
      <c r="D69" s="59">
        <f>IF(B69=3,LOOKUP(C69,'②提成标准-B-a-①-增加'!$B$3:$B$8,'②提成标准-B-a-①-增加'!$D$3:$D$8),IF(B69=2,LOOKUP(C69,'②提成标准-B-a-①-增加'!$B$10:$B$14,'②提成标准-B-a-①-增加'!$D$10:$D$14),IF(B69=1,LOOKUP(C69,'②提成标准-B-a-①-增加'!$B$16:$B$20,'②提成标准-B-a-①-增加'!$D$16:$D$20),0)))</f>
        <v>0</v>
      </c>
      <c r="E69" s="53">
        <f>SUMIFS(期初设置!$W:$W,期初设置!$F:$F,A69)</f>
        <v>1789.33</v>
      </c>
      <c r="F69" s="59" t="str">
        <f>_xlfn.XLOOKUP(A69,期初设置!F:F,期初设置!AL:AL,0)</f>
        <v/>
      </c>
      <c r="G69" s="53">
        <f>IF(AND(C69&gt;='②提成标准-B-a-①-增加'!$G$3,F69&gt;='②提成标准-B-a-①-增加'!$H$3,E69&gt;='②提成标准-B-a-①-增加'!$I$3,B69='②提成标准-B-a-①-增加'!$F$3),'②提成标准-B-a-①-增加'!$J$3,IF(AND(C69&gt;='②提成标准-B-a-①-增加'!$G$4,F69&gt;='②提成标准-B-a-①-增加'!$H$4,E69&gt;='②提成标准-B-a-①-增加'!$I$4,B69='②提成标准-B-a-①-增加'!$F$4),'②提成标准-B-a-①-增加'!$J$4,0))</f>
        <v>0</v>
      </c>
      <c r="H69" s="53">
        <f t="shared" ref="H69:H132" si="1">ROUNDUP(G69*C69,2)</f>
        <v>0</v>
      </c>
    </row>
    <row r="70" spans="1:8" x14ac:dyDescent="0.15">
      <c r="A70" s="53" t="str">
        <v>光华+猛力队</v>
      </c>
      <c r="B70" s="53">
        <f>SUMIFS(期初设置!$AB:$AB,期初设置!$F:$F,A70)</f>
        <v>2</v>
      </c>
      <c r="C70" s="53">
        <f>IF(B70&gt;1,SUMIFS(期初设置!S:S,期初设置!F:F,A70,期初设置!AB:AB,1),0)</f>
        <v>80513</v>
      </c>
      <c r="D70" s="59">
        <f>IF(B70=3,LOOKUP(C70,'②提成标准-B-a-①-增加'!$B$3:$B$8,'②提成标准-B-a-①-增加'!$D$3:$D$8),IF(B70=2,LOOKUP(C70,'②提成标准-B-a-①-增加'!$B$10:$B$14,'②提成标准-B-a-①-增加'!$D$10:$D$14),IF(B70=1,LOOKUP(C70,'②提成标准-B-a-①-增加'!$B$16:$B$20,'②提成标准-B-a-①-增加'!$D$16:$D$20),0)))</f>
        <v>0.06</v>
      </c>
      <c r="E70" s="53">
        <f>SUMIFS(期初设置!$W:$W,期初设置!$F:$F,A70)</f>
        <v>67224.989999999991</v>
      </c>
      <c r="F70" s="59">
        <f>_xlfn.XLOOKUP(A70,期初设置!F:F,期初设置!AL:AL,0)</f>
        <v>0.42170829555475514</v>
      </c>
      <c r="G70" s="53">
        <f>IF(AND(C70&gt;='②提成标准-B-a-①-增加'!$G$3,F70&gt;='②提成标准-B-a-①-增加'!$H$3,E70&gt;='②提成标准-B-a-①-增加'!$I$3,B70='②提成标准-B-a-①-增加'!$F$3),'②提成标准-B-a-①-增加'!$J$3,IF(AND(C70&gt;='②提成标准-B-a-①-增加'!$G$4,F70&gt;='②提成标准-B-a-①-增加'!$H$4,E70&gt;='②提成标准-B-a-①-增加'!$I$4,B70='②提成标准-B-a-①-增加'!$F$4),'②提成标准-B-a-①-增加'!$J$4,0))</f>
        <v>3.0000000000000001E-3</v>
      </c>
      <c r="H70" s="53">
        <f t="shared" si="1"/>
        <v>241.54</v>
      </c>
    </row>
    <row r="71" spans="1:8" x14ac:dyDescent="0.15">
      <c r="A71" s="53" t="str">
        <v>光华+门店T区</v>
      </c>
      <c r="B71" s="53">
        <f>SUMIFS(期初设置!$AB:$AB,期初设置!$F:$F,A71)</f>
        <v>0</v>
      </c>
      <c r="C71" s="53">
        <f>IF(B71&gt;1,SUMIFS(期初设置!S:S,期初设置!F:F,A71,期初设置!AB:AB,1),0)</f>
        <v>0</v>
      </c>
      <c r="D71" s="59">
        <f>IF(B71=3,LOOKUP(C71,'②提成标准-B-a-①-增加'!$B$3:$B$8,'②提成标准-B-a-①-增加'!$D$3:$D$8),IF(B71=2,LOOKUP(C71,'②提成标准-B-a-①-增加'!$B$10:$B$14,'②提成标准-B-a-①-增加'!$D$10:$D$14),IF(B71=1,LOOKUP(C71,'②提成标准-B-a-①-增加'!$B$16:$B$20,'②提成标准-B-a-①-增加'!$D$16:$D$20),0)))</f>
        <v>0</v>
      </c>
      <c r="E71" s="53">
        <f>SUMIFS(期初设置!$W:$W,期初设置!$F:$F,A71)</f>
        <v>0</v>
      </c>
      <c r="F71" s="59" t="str">
        <f>_xlfn.XLOOKUP(A71,期初设置!F:F,期初设置!AL:AL,0)</f>
        <v/>
      </c>
      <c r="G71" s="53">
        <f>IF(AND(C71&gt;='②提成标准-B-a-①-增加'!$G$3,F71&gt;='②提成标准-B-a-①-增加'!$H$3,E71&gt;='②提成标准-B-a-①-增加'!$I$3,B71='②提成标准-B-a-①-增加'!$F$3),'②提成标准-B-a-①-增加'!$J$3,IF(AND(C71&gt;='②提成标准-B-a-①-增加'!$G$4,F71&gt;='②提成标准-B-a-①-增加'!$H$4,E71&gt;='②提成标准-B-a-①-增加'!$I$4,B71='②提成标准-B-a-①-增加'!$F$4),'②提成标准-B-a-①-增加'!$J$4,0))</f>
        <v>0</v>
      </c>
      <c r="H71" s="53">
        <f t="shared" si="1"/>
        <v>0</v>
      </c>
    </row>
    <row r="72" spans="1:8" x14ac:dyDescent="0.15">
      <c r="A72" s="53" t="str">
        <v>龙湖+必胜队</v>
      </c>
      <c r="B72" s="53">
        <f>SUMIFS(期初设置!$AB:$AB,期初设置!$F:$F,A72)</f>
        <v>2</v>
      </c>
      <c r="C72" s="53">
        <f>IF(B72&gt;1,SUMIFS(期初设置!S:S,期初设置!F:F,A72,期初设置!AB:AB,1),0)</f>
        <v>100368</v>
      </c>
      <c r="D72" s="59">
        <f>IF(B72=3,LOOKUP(C72,'②提成标准-B-a-①-增加'!$B$3:$B$8,'②提成标准-B-a-①-增加'!$D$3:$D$8),IF(B72=2,LOOKUP(C72,'②提成标准-B-a-①-增加'!$B$10:$B$14,'②提成标准-B-a-①-增加'!$D$10:$D$14),IF(B72=1,LOOKUP(C72,'②提成标准-B-a-①-增加'!$B$16:$B$20,'②提成标准-B-a-①-增加'!$D$16:$D$20),0)))</f>
        <v>0.06</v>
      </c>
      <c r="E72" s="53">
        <f>SUMIFS(期初设置!$W:$W,期初设置!$F:$F,A72)</f>
        <v>82931.240000000005</v>
      </c>
      <c r="F72" s="59">
        <f>_xlfn.XLOOKUP(A72,期初设置!F:F,期初设置!AL:AL,0)</f>
        <v>0.32103857803283914</v>
      </c>
      <c r="G72" s="53">
        <f>IF(AND(C72&gt;='②提成标准-B-a-①-增加'!$G$3,F72&gt;='②提成标准-B-a-①-增加'!$H$3,E72&gt;='②提成标准-B-a-①-增加'!$I$3,B72='②提成标准-B-a-①-增加'!$F$3),'②提成标准-B-a-①-增加'!$J$3,IF(AND(C72&gt;='②提成标准-B-a-①-增加'!$G$4,F72&gt;='②提成标准-B-a-①-增加'!$H$4,E72&gt;='②提成标准-B-a-①-增加'!$I$4,B72='②提成标准-B-a-①-增加'!$F$4),'②提成标准-B-a-①-增加'!$J$4,0))</f>
        <v>3.0000000000000001E-3</v>
      </c>
      <c r="H72" s="53">
        <f t="shared" si="1"/>
        <v>301.11</v>
      </c>
    </row>
    <row r="73" spans="1:8" x14ac:dyDescent="0.15">
      <c r="A73" s="53" t="str">
        <v>龙湖+T区</v>
      </c>
      <c r="B73" s="53">
        <f>SUMIFS(期初设置!$AB:$AB,期初设置!$F:$F,A73)</f>
        <v>0</v>
      </c>
      <c r="C73" s="53">
        <f>IF(B73&gt;1,SUMIFS(期初设置!S:S,期初设置!F:F,A73,期初设置!AB:AB,1),0)</f>
        <v>0</v>
      </c>
      <c r="D73" s="59">
        <f>IF(B73=3,LOOKUP(C73,'②提成标准-B-a-①-增加'!$B$3:$B$8,'②提成标准-B-a-①-增加'!$D$3:$D$8),IF(B73=2,LOOKUP(C73,'②提成标准-B-a-①-增加'!$B$10:$B$14,'②提成标准-B-a-①-增加'!$D$10:$D$14),IF(B73=1,LOOKUP(C73,'②提成标准-B-a-①-增加'!$B$16:$B$20,'②提成标准-B-a-①-增加'!$D$16:$D$20),0)))</f>
        <v>0</v>
      </c>
      <c r="E73" s="53">
        <f>SUMIFS(期初设置!$W:$W,期初设置!$F:$F,A73)</f>
        <v>32053.26</v>
      </c>
      <c r="F73" s="59" t="str">
        <f>_xlfn.XLOOKUP(A73,期初设置!F:F,期初设置!AL:AL,0)</f>
        <v/>
      </c>
      <c r="G73" s="53">
        <f>IF(AND(C73&gt;='②提成标准-B-a-①-增加'!$G$3,F73&gt;='②提成标准-B-a-①-增加'!$H$3,E73&gt;='②提成标准-B-a-①-增加'!$I$3,B73='②提成标准-B-a-①-增加'!$F$3),'②提成标准-B-a-①-增加'!$J$3,IF(AND(C73&gt;='②提成标准-B-a-①-增加'!$G$4,F73&gt;='②提成标准-B-a-①-增加'!$H$4,E73&gt;='②提成标准-B-a-①-增加'!$I$4,B73='②提成标准-B-a-①-增加'!$F$4),'②提成标准-B-a-①-增加'!$J$4,0))</f>
        <v>0</v>
      </c>
      <c r="H73" s="53">
        <f t="shared" si="1"/>
        <v>0</v>
      </c>
    </row>
    <row r="74" spans="1:8" x14ac:dyDescent="0.15">
      <c r="A74" s="53" t="str">
        <v>龙湖+突破队</v>
      </c>
      <c r="B74" s="53">
        <f>SUMIFS(期初设置!$AB:$AB,期初设置!$F:$F,A74)</f>
        <v>3</v>
      </c>
      <c r="C74" s="53">
        <f>IF(B74&gt;1,SUMIFS(期初设置!S:S,期初设置!F:F,A74,期初设置!AB:AB,1),0)</f>
        <v>112315</v>
      </c>
      <c r="D74" s="59">
        <f>IF(B74=3,LOOKUP(C74,'②提成标准-B-a-①-增加'!$B$3:$B$8,'②提成标准-B-a-①-增加'!$D$3:$D$8),IF(B74=2,LOOKUP(C74,'②提成标准-B-a-①-增加'!$B$10:$B$14,'②提成标准-B-a-①-增加'!$D$10:$D$14),IF(B74=1,LOOKUP(C74,'②提成标准-B-a-①-增加'!$B$16:$B$20,'②提成标准-B-a-①-增加'!$D$16:$D$20),0)))</f>
        <v>0.05</v>
      </c>
      <c r="E74" s="53">
        <f>SUMIFS(期初设置!$W:$W,期初设置!$F:$F,A74)</f>
        <v>92812.09</v>
      </c>
      <c r="F74" s="59">
        <f>_xlfn.XLOOKUP(A74,期初设置!F:F,期初设置!AL:AL,0)</f>
        <v>0.69476561456617547</v>
      </c>
      <c r="G74" s="53">
        <f>IF(AND(C74&gt;='②提成标准-B-a-①-增加'!$G$3,F74&gt;='②提成标准-B-a-①-增加'!$H$3,E74&gt;='②提成标准-B-a-①-增加'!$I$3,B74='②提成标准-B-a-①-增加'!$F$3),'②提成标准-B-a-①-增加'!$J$3,IF(AND(C74&gt;='②提成标准-B-a-①-增加'!$G$4,F74&gt;='②提成标准-B-a-①-增加'!$H$4,E74&gt;='②提成标准-B-a-①-增加'!$I$4,B74='②提成标准-B-a-①-增加'!$F$4),'②提成标准-B-a-①-增加'!$J$4,0))</f>
        <v>8.0000000000000002E-3</v>
      </c>
      <c r="H74" s="53">
        <f t="shared" si="1"/>
        <v>898.52</v>
      </c>
    </row>
    <row r="75" spans="1:8" x14ac:dyDescent="0.15">
      <c r="A75" s="53" t="str">
        <v>龙湖+单人</v>
      </c>
      <c r="B75" s="53">
        <f>SUMIFS(期初设置!$AB:$AB,期初设置!$F:$F,A75)</f>
        <v>0</v>
      </c>
      <c r="C75" s="53">
        <f>IF(B75&gt;1,SUMIFS(期初设置!S:S,期初设置!F:F,A75,期初设置!AB:AB,1),0)</f>
        <v>0</v>
      </c>
      <c r="D75" s="59">
        <f>IF(B75=3,LOOKUP(C75,'②提成标准-B-a-①-增加'!$B$3:$B$8,'②提成标准-B-a-①-增加'!$D$3:$D$8),IF(B75=2,LOOKUP(C75,'②提成标准-B-a-①-增加'!$B$10:$B$14,'②提成标准-B-a-①-增加'!$D$10:$D$14),IF(B75=1,LOOKUP(C75,'②提成标准-B-a-①-增加'!$B$16:$B$20,'②提成标准-B-a-①-增加'!$D$16:$D$20),0)))</f>
        <v>0</v>
      </c>
      <c r="E75" s="53">
        <f>SUMIFS(期初设置!$W:$W,期初设置!$F:$F,A75)</f>
        <v>1647.92</v>
      </c>
      <c r="F75" s="59" t="str">
        <f>_xlfn.XLOOKUP(A75,期初设置!F:F,期初设置!AL:AL,0)</f>
        <v/>
      </c>
      <c r="G75" s="53">
        <f>IF(AND(C75&gt;='②提成标准-B-a-①-增加'!$G$3,F75&gt;='②提成标准-B-a-①-增加'!$H$3,E75&gt;='②提成标准-B-a-①-增加'!$I$3,B75='②提成标准-B-a-①-增加'!$F$3),'②提成标准-B-a-①-增加'!$J$3,IF(AND(C75&gt;='②提成标准-B-a-①-增加'!$G$4,F75&gt;='②提成标准-B-a-①-增加'!$H$4,E75&gt;='②提成标准-B-a-①-增加'!$I$4,B75='②提成标准-B-a-①-增加'!$F$4),'②提成标准-B-a-①-增加'!$J$4,0))</f>
        <v>0</v>
      </c>
      <c r="H75" s="53">
        <f t="shared" si="1"/>
        <v>0</v>
      </c>
    </row>
    <row r="76" spans="1:8" x14ac:dyDescent="0.15">
      <c r="A76" s="53" t="str">
        <v>龙湖+门店T区</v>
      </c>
      <c r="B76" s="53">
        <f>SUMIFS(期初设置!$AB:$AB,期初设置!$F:$F,A76)</f>
        <v>0</v>
      </c>
      <c r="C76" s="53">
        <f>IF(B76&gt;1,SUMIFS(期初设置!S:S,期初设置!F:F,A76,期初设置!AB:AB,1),0)</f>
        <v>0</v>
      </c>
      <c r="D76" s="59">
        <f>IF(B76=3,LOOKUP(C76,'②提成标准-B-a-①-增加'!$B$3:$B$8,'②提成标准-B-a-①-增加'!$D$3:$D$8),IF(B76=2,LOOKUP(C76,'②提成标准-B-a-①-增加'!$B$10:$B$14,'②提成标准-B-a-①-增加'!$D$10:$D$14),IF(B76=1,LOOKUP(C76,'②提成标准-B-a-①-增加'!$B$16:$B$20,'②提成标准-B-a-①-增加'!$D$16:$D$20),0)))</f>
        <v>0</v>
      </c>
      <c r="E76" s="53">
        <f>SUMIFS(期初设置!$W:$W,期初设置!$F:$F,A76)</f>
        <v>0</v>
      </c>
      <c r="F76" s="59" t="str">
        <f>_xlfn.XLOOKUP(A76,期初设置!F:F,期初设置!AL:AL,0)</f>
        <v/>
      </c>
      <c r="G76" s="53">
        <f>IF(AND(C76&gt;='②提成标准-B-a-①-增加'!$G$3,F76&gt;='②提成标准-B-a-①-增加'!$H$3,E76&gt;='②提成标准-B-a-①-增加'!$I$3,B76='②提成标准-B-a-①-增加'!$F$3),'②提成标准-B-a-①-增加'!$J$3,IF(AND(C76&gt;='②提成标准-B-a-①-增加'!$G$4,F76&gt;='②提成标准-B-a-①-增加'!$H$4,E76&gt;='②提成标准-B-a-①-增加'!$I$4,B76='②提成标准-B-a-①-增加'!$F$4),'②提成标准-B-a-①-增加'!$J$4,0))</f>
        <v>0</v>
      </c>
      <c r="H76" s="53">
        <f t="shared" si="1"/>
        <v>0</v>
      </c>
    </row>
    <row r="77" spans="1:8" x14ac:dyDescent="0.15">
      <c r="A77" s="53" t="str">
        <v>鹭岛+无敌队</v>
      </c>
      <c r="B77" s="53">
        <f>SUMIFS(期初设置!$AB:$AB,期初设置!$F:$F,A77)</f>
        <v>2</v>
      </c>
      <c r="C77" s="53">
        <f>IF(B77&gt;1,SUMIFS(期初设置!S:S,期初设置!F:F,A77,期初设置!AB:AB,1),0)</f>
        <v>51727.899999999994</v>
      </c>
      <c r="D77" s="59">
        <f>IF(B77=3,LOOKUP(C77,'②提成标准-B-a-①-增加'!$B$3:$B$8,'②提成标准-B-a-①-增加'!$D$3:$D$8),IF(B77=2,LOOKUP(C77,'②提成标准-B-a-①-增加'!$B$10:$B$14,'②提成标准-B-a-①-增加'!$D$10:$D$14),IF(B77=1,LOOKUP(C77,'②提成标准-B-a-①-增加'!$B$16:$B$20,'②提成标准-B-a-①-增加'!$D$16:$D$20),0)))</f>
        <v>0.04</v>
      </c>
      <c r="E77" s="53">
        <f>SUMIFS(期初设置!$W:$W,期初设置!$F:$F,A77)</f>
        <v>34399.699999999997</v>
      </c>
      <c r="F77" s="59">
        <f>_xlfn.XLOOKUP(A77,期初设置!F:F,期初设置!AL:AL,0)</f>
        <v>0.60869086121802751</v>
      </c>
      <c r="G77" s="53">
        <f>IF(AND(C77&gt;='②提成标准-B-a-①-增加'!$G$3,F77&gt;='②提成标准-B-a-①-增加'!$H$3,E77&gt;='②提成标准-B-a-①-增加'!$I$3,B77='②提成标准-B-a-①-增加'!$F$3),'②提成标准-B-a-①-增加'!$J$3,IF(AND(C77&gt;='②提成标准-B-a-①-增加'!$G$4,F77&gt;='②提成标准-B-a-①-增加'!$H$4,E77&gt;='②提成标准-B-a-①-增加'!$I$4,B77='②提成标准-B-a-①-增加'!$F$4),'②提成标准-B-a-①-增加'!$J$4,0))</f>
        <v>0</v>
      </c>
      <c r="H77" s="53">
        <f t="shared" si="1"/>
        <v>0</v>
      </c>
    </row>
    <row r="78" spans="1:8" x14ac:dyDescent="0.15">
      <c r="A78" s="53" t="str">
        <v>鹭岛+T区</v>
      </c>
      <c r="B78" s="53">
        <f>SUMIFS(期初设置!$AB:$AB,期初设置!$F:$F,A78)</f>
        <v>0</v>
      </c>
      <c r="C78" s="53">
        <f>IF(B78&gt;1,SUMIFS(期初设置!S:S,期初设置!F:F,A78,期初设置!AB:AB,1),0)</f>
        <v>0</v>
      </c>
      <c r="D78" s="59">
        <f>IF(B78=3,LOOKUP(C78,'②提成标准-B-a-①-增加'!$B$3:$B$8,'②提成标准-B-a-①-增加'!$D$3:$D$8),IF(B78=2,LOOKUP(C78,'②提成标准-B-a-①-增加'!$B$10:$B$14,'②提成标准-B-a-①-增加'!$D$10:$D$14),IF(B78=1,LOOKUP(C78,'②提成标准-B-a-①-增加'!$B$16:$B$20,'②提成标准-B-a-①-增加'!$D$16:$D$20),0)))</f>
        <v>0</v>
      </c>
      <c r="E78" s="53">
        <f>SUMIFS(期初设置!$W:$W,期初设置!$F:$F,A78)</f>
        <v>11817.05</v>
      </c>
      <c r="F78" s="59" t="str">
        <f>_xlfn.XLOOKUP(A78,期初设置!F:F,期初设置!AL:AL,0)</f>
        <v/>
      </c>
      <c r="G78" s="53">
        <f>IF(AND(C78&gt;='②提成标准-B-a-①-增加'!$G$3,F78&gt;='②提成标准-B-a-①-增加'!$H$3,E78&gt;='②提成标准-B-a-①-增加'!$I$3,B78='②提成标准-B-a-①-增加'!$F$3),'②提成标准-B-a-①-增加'!$J$3,IF(AND(C78&gt;='②提成标准-B-a-①-增加'!$G$4,F78&gt;='②提成标准-B-a-①-增加'!$H$4,E78&gt;='②提成标准-B-a-①-增加'!$I$4,B78='②提成标准-B-a-①-增加'!$F$4),'②提成标准-B-a-①-增加'!$J$4,0))</f>
        <v>0</v>
      </c>
      <c r="H78" s="53">
        <f t="shared" si="1"/>
        <v>0</v>
      </c>
    </row>
    <row r="79" spans="1:8" x14ac:dyDescent="0.15">
      <c r="A79" s="53" t="str">
        <v>鹭岛+出单队</v>
      </c>
      <c r="B79" s="53">
        <f>SUMIFS(期初设置!$AB:$AB,期初设置!$F:$F,A79)</f>
        <v>2</v>
      </c>
      <c r="C79" s="53">
        <f>IF(B79&gt;1,SUMIFS(期初设置!S:S,期初设置!F:F,A79,期初设置!AB:AB,1),0)</f>
        <v>50946.6</v>
      </c>
      <c r="D79" s="59">
        <f>IF(B79=3,LOOKUP(C79,'②提成标准-B-a-①-增加'!$B$3:$B$8,'②提成标准-B-a-①-增加'!$D$3:$D$8),IF(B79=2,LOOKUP(C79,'②提成标准-B-a-①-增加'!$B$10:$B$14,'②提成标准-B-a-①-增加'!$D$10:$D$14),IF(B79=1,LOOKUP(C79,'②提成标准-B-a-①-增加'!$B$16:$B$20,'②提成标准-B-a-①-增加'!$D$16:$D$20),0)))</f>
        <v>0.04</v>
      </c>
      <c r="E79" s="53">
        <f>SUMIFS(期初设置!$W:$W,期初设置!$F:$F,A79)</f>
        <v>45740.29</v>
      </c>
      <c r="F79" s="59">
        <f>_xlfn.XLOOKUP(A79,期初设置!F:F,期初设置!AL:AL,0)</f>
        <v>0.48623656927056957</v>
      </c>
      <c r="G79" s="53">
        <f>IF(AND(C79&gt;='②提成标准-B-a-①-增加'!$G$3,F79&gt;='②提成标准-B-a-①-增加'!$H$3,E79&gt;='②提成标准-B-a-①-增加'!$I$3,B79='②提成标准-B-a-①-增加'!$F$3),'②提成标准-B-a-①-增加'!$J$3,IF(AND(C79&gt;='②提成标准-B-a-①-增加'!$G$4,F79&gt;='②提成标准-B-a-①-增加'!$H$4,E79&gt;='②提成标准-B-a-①-增加'!$I$4,B79='②提成标准-B-a-①-增加'!$F$4),'②提成标准-B-a-①-增加'!$J$4,0))</f>
        <v>3.0000000000000001E-3</v>
      </c>
      <c r="H79" s="53">
        <f t="shared" si="1"/>
        <v>152.84</v>
      </c>
    </row>
    <row r="80" spans="1:8" x14ac:dyDescent="0.15">
      <c r="A80" s="53" t="str">
        <v>鹭岛+单人</v>
      </c>
      <c r="B80" s="53">
        <f>SUMIFS(期初设置!$AB:$AB,期初设置!$F:$F,A80)</f>
        <v>0</v>
      </c>
      <c r="C80" s="53">
        <f>IF(B80&gt;1,SUMIFS(期初设置!S:S,期初设置!F:F,A80,期初设置!AB:AB,1),0)</f>
        <v>0</v>
      </c>
      <c r="D80" s="59">
        <f>IF(B80=3,LOOKUP(C80,'②提成标准-B-a-①-增加'!$B$3:$B$8,'②提成标准-B-a-①-增加'!$D$3:$D$8),IF(B80=2,LOOKUP(C80,'②提成标准-B-a-①-增加'!$B$10:$B$14,'②提成标准-B-a-①-增加'!$D$10:$D$14),IF(B80=1,LOOKUP(C80,'②提成标准-B-a-①-增加'!$B$16:$B$20,'②提成标准-B-a-①-增加'!$D$16:$D$20),0)))</f>
        <v>0</v>
      </c>
      <c r="E80" s="53">
        <f>SUMIFS(期初设置!$W:$W,期初设置!$F:$F,A80)</f>
        <v>2623.68</v>
      </c>
      <c r="F80" s="59" t="str">
        <f>_xlfn.XLOOKUP(A80,期初设置!F:F,期初设置!AL:AL,0)</f>
        <v/>
      </c>
      <c r="G80" s="53">
        <f>IF(AND(C80&gt;='②提成标准-B-a-①-增加'!$G$3,F80&gt;='②提成标准-B-a-①-增加'!$H$3,E80&gt;='②提成标准-B-a-①-增加'!$I$3,B80='②提成标准-B-a-①-增加'!$F$3),'②提成标准-B-a-①-增加'!$J$3,IF(AND(C80&gt;='②提成标准-B-a-①-增加'!$G$4,F80&gt;='②提成标准-B-a-①-增加'!$H$4,E80&gt;='②提成标准-B-a-①-增加'!$I$4,B80='②提成标准-B-a-①-增加'!$F$4),'②提成标准-B-a-①-增加'!$J$4,0))</f>
        <v>0</v>
      </c>
      <c r="H80" s="53">
        <f t="shared" si="1"/>
        <v>0</v>
      </c>
    </row>
    <row r="81" spans="1:8" x14ac:dyDescent="0.15">
      <c r="A81" s="53" t="str">
        <v>鹭岛+门店T区</v>
      </c>
      <c r="B81" s="53">
        <f>SUMIFS(期初设置!$AB:$AB,期初设置!$F:$F,A81)</f>
        <v>0</v>
      </c>
      <c r="C81" s="53">
        <f>IF(B81&gt;1,SUMIFS(期初设置!S:S,期初设置!F:F,A81,期初设置!AB:AB,1),0)</f>
        <v>0</v>
      </c>
      <c r="D81" s="59">
        <f>IF(B81=3,LOOKUP(C81,'②提成标准-B-a-①-增加'!$B$3:$B$8,'②提成标准-B-a-①-增加'!$D$3:$D$8),IF(B81=2,LOOKUP(C81,'②提成标准-B-a-①-增加'!$B$10:$B$14,'②提成标准-B-a-①-增加'!$D$10:$D$14),IF(B81=1,LOOKUP(C81,'②提成标准-B-a-①-增加'!$B$16:$B$20,'②提成标准-B-a-①-增加'!$D$16:$D$20),0)))</f>
        <v>0</v>
      </c>
      <c r="E81" s="53">
        <f>SUMIFS(期初设置!$W:$W,期初设置!$F:$F,A81)</f>
        <v>0</v>
      </c>
      <c r="F81" s="59" t="str">
        <f>_xlfn.XLOOKUP(A81,期初设置!F:F,期初设置!AL:AL,0)</f>
        <v/>
      </c>
      <c r="G81" s="53">
        <f>IF(AND(C81&gt;='②提成标准-B-a-①-增加'!$G$3,F81&gt;='②提成标准-B-a-①-增加'!$H$3,E81&gt;='②提成标准-B-a-①-增加'!$I$3,B81='②提成标准-B-a-①-增加'!$F$3),'②提成标准-B-a-①-增加'!$J$3,IF(AND(C81&gt;='②提成标准-B-a-①-增加'!$G$4,F81&gt;='②提成标准-B-a-①-增加'!$H$4,E81&gt;='②提成标准-B-a-①-增加'!$I$4,B81='②提成标准-B-a-①-增加'!$F$4),'②提成标准-B-a-①-增加'!$J$4,0))</f>
        <v>0</v>
      </c>
      <c r="H81" s="53">
        <f t="shared" si="1"/>
        <v>0</v>
      </c>
    </row>
    <row r="82" spans="1:8" x14ac:dyDescent="0.15">
      <c r="A82" s="53" t="str">
        <v>南湖+招财队</v>
      </c>
      <c r="B82" s="53">
        <f>SUMIFS(期初设置!$AB:$AB,期初设置!$F:$F,A82)</f>
        <v>2</v>
      </c>
      <c r="C82" s="53">
        <f>IF(B82&gt;1,SUMIFS(期初设置!S:S,期初设置!F:F,A82,期初设置!AB:AB,1),0)</f>
        <v>58080</v>
      </c>
      <c r="D82" s="59">
        <f>IF(B82=3,LOOKUP(C82,'②提成标准-B-a-①-增加'!$B$3:$B$8,'②提成标准-B-a-①-增加'!$D$3:$D$8),IF(B82=2,LOOKUP(C82,'②提成标准-B-a-①-增加'!$B$10:$B$14,'②提成标准-B-a-①-增加'!$D$10:$D$14),IF(B82=1,LOOKUP(C82,'②提成标准-B-a-①-增加'!$B$16:$B$20,'②提成标准-B-a-①-增加'!$D$16:$D$20),0)))</f>
        <v>0.04</v>
      </c>
      <c r="E82" s="53">
        <f>SUMIFS(期初设置!$W:$W,期初设置!$F:$F,A82)</f>
        <v>30156.489999999998</v>
      </c>
      <c r="F82" s="59">
        <f>_xlfn.XLOOKUP(A82,期初设置!F:F,期初设置!AL:AL,0)</f>
        <v>0.56955750688705231</v>
      </c>
      <c r="G82" s="53">
        <f>IF(AND(C82&gt;='②提成标准-B-a-①-增加'!$G$3,F82&gt;='②提成标准-B-a-①-增加'!$H$3,E82&gt;='②提成标准-B-a-①-增加'!$I$3,B82='②提成标准-B-a-①-增加'!$F$3),'②提成标准-B-a-①-增加'!$J$3,IF(AND(C82&gt;='②提成标准-B-a-①-增加'!$G$4,F82&gt;='②提成标准-B-a-①-增加'!$H$4,E82&gt;='②提成标准-B-a-①-增加'!$I$4,B82='②提成标准-B-a-①-增加'!$F$4),'②提成标准-B-a-①-增加'!$J$4,0))</f>
        <v>0</v>
      </c>
      <c r="H82" s="53">
        <f t="shared" si="1"/>
        <v>0</v>
      </c>
    </row>
    <row r="83" spans="1:8" x14ac:dyDescent="0.15">
      <c r="A83" s="53" t="str">
        <v>南湖+T区</v>
      </c>
      <c r="B83" s="53">
        <f>SUMIFS(期初设置!$AB:$AB,期初设置!$F:$F,A83)</f>
        <v>0</v>
      </c>
      <c r="C83" s="53">
        <f>IF(B83&gt;1,SUMIFS(期初设置!S:S,期初设置!F:F,A83,期初设置!AB:AB,1),0)</f>
        <v>0</v>
      </c>
      <c r="D83" s="59">
        <f>IF(B83=3,LOOKUP(C83,'②提成标准-B-a-①-增加'!$B$3:$B$8,'②提成标准-B-a-①-增加'!$D$3:$D$8),IF(B83=2,LOOKUP(C83,'②提成标准-B-a-①-增加'!$B$10:$B$14,'②提成标准-B-a-①-增加'!$D$10:$D$14),IF(B83=1,LOOKUP(C83,'②提成标准-B-a-①-增加'!$B$16:$B$20,'②提成标准-B-a-①-增加'!$D$16:$D$20),0)))</f>
        <v>0</v>
      </c>
      <c r="E83" s="53">
        <f>SUMIFS(期初设置!$W:$W,期初设置!$F:$F,A83)</f>
        <v>61499.07</v>
      </c>
      <c r="F83" s="59" t="str">
        <f>_xlfn.XLOOKUP(A83,期初设置!F:F,期初设置!AL:AL,0)</f>
        <v/>
      </c>
      <c r="G83" s="53">
        <f>IF(AND(C83&gt;='②提成标准-B-a-①-增加'!$G$3,F83&gt;='②提成标准-B-a-①-增加'!$H$3,E83&gt;='②提成标准-B-a-①-增加'!$I$3,B83='②提成标准-B-a-①-增加'!$F$3),'②提成标准-B-a-①-增加'!$J$3,IF(AND(C83&gt;='②提成标准-B-a-①-增加'!$G$4,F83&gt;='②提成标准-B-a-①-增加'!$H$4,E83&gt;='②提成标准-B-a-①-增加'!$I$4,B83='②提成标准-B-a-①-增加'!$F$4),'②提成标准-B-a-①-增加'!$J$4,0))</f>
        <v>0</v>
      </c>
      <c r="H83" s="53">
        <f t="shared" si="1"/>
        <v>0</v>
      </c>
    </row>
    <row r="84" spans="1:8" x14ac:dyDescent="0.15">
      <c r="A84" s="53" t="str">
        <v>南湖+进宝队</v>
      </c>
      <c r="B84" s="53">
        <f>SUMIFS(期初设置!$AB:$AB,期初设置!$F:$F,A84)</f>
        <v>3</v>
      </c>
      <c r="C84" s="53">
        <f>IF(B84&gt;1,SUMIFS(期初设置!S:S,期初设置!F:F,A84,期初设置!AB:AB,1),0)</f>
        <v>80444</v>
      </c>
      <c r="D84" s="59">
        <f>IF(B84=3,LOOKUP(C84,'②提成标准-B-a-①-增加'!$B$3:$B$8,'②提成标准-B-a-①-增加'!$D$3:$D$8),IF(B84=2,LOOKUP(C84,'②提成标准-B-a-①-增加'!$B$10:$B$14,'②提成标准-B-a-①-增加'!$D$10:$D$14),IF(B84=1,LOOKUP(C84,'②提成标准-B-a-①-增加'!$B$16:$B$20,'②提成标准-B-a-①-增加'!$D$16:$D$20),0)))</f>
        <v>0.04</v>
      </c>
      <c r="E84" s="53">
        <f>SUMIFS(期初设置!$W:$W,期初设置!$F:$F,A84)</f>
        <v>29883.620000000003</v>
      </c>
      <c r="F84" s="59">
        <f>_xlfn.XLOOKUP(A84,期初设置!F:F,期初设置!AL:AL,0)</f>
        <v>0.20683705434836658</v>
      </c>
      <c r="G84" s="53">
        <f>IF(AND(C84&gt;='②提成标准-B-a-①-增加'!$G$3,F84&gt;='②提成标准-B-a-①-增加'!$H$3,E84&gt;='②提成标准-B-a-①-增加'!$I$3,B84='②提成标准-B-a-①-增加'!$F$3),'②提成标准-B-a-①-增加'!$J$3,IF(AND(C84&gt;='②提成标准-B-a-①-增加'!$G$4,F84&gt;='②提成标准-B-a-①-增加'!$H$4,E84&gt;='②提成标准-B-a-①-增加'!$I$4,B84='②提成标准-B-a-①-增加'!$F$4),'②提成标准-B-a-①-增加'!$J$4,0))</f>
        <v>0</v>
      </c>
      <c r="H84" s="53">
        <f t="shared" si="1"/>
        <v>0</v>
      </c>
    </row>
    <row r="85" spans="1:8" x14ac:dyDescent="0.15">
      <c r="A85" s="53" t="str">
        <v>南湖+单人</v>
      </c>
      <c r="B85" s="53">
        <f>SUMIFS(期初设置!$AB:$AB,期初设置!$F:$F,A85)</f>
        <v>0</v>
      </c>
      <c r="C85" s="53">
        <f>IF(B85&gt;1,SUMIFS(期初设置!S:S,期初设置!F:F,A85,期初设置!AB:AB,1),0)</f>
        <v>0</v>
      </c>
      <c r="D85" s="59">
        <f>IF(B85=3,LOOKUP(C85,'②提成标准-B-a-①-增加'!$B$3:$B$8,'②提成标准-B-a-①-增加'!$D$3:$D$8),IF(B85=2,LOOKUP(C85,'②提成标准-B-a-①-增加'!$B$10:$B$14,'②提成标准-B-a-①-增加'!$D$10:$D$14),IF(B85=1,LOOKUP(C85,'②提成标准-B-a-①-增加'!$B$16:$B$20,'②提成标准-B-a-①-增加'!$D$16:$D$20),0)))</f>
        <v>0</v>
      </c>
      <c r="E85" s="53">
        <f>SUMIFS(期初设置!$W:$W,期初设置!$F:$F,A85)</f>
        <v>5287.65</v>
      </c>
      <c r="F85" s="59" t="str">
        <f>_xlfn.XLOOKUP(A85,期初设置!F:F,期初设置!AL:AL,0)</f>
        <v/>
      </c>
      <c r="G85" s="53">
        <f>IF(AND(C85&gt;='②提成标准-B-a-①-增加'!$G$3,F85&gt;='②提成标准-B-a-①-增加'!$H$3,E85&gt;='②提成标准-B-a-①-增加'!$I$3,B85='②提成标准-B-a-①-增加'!$F$3),'②提成标准-B-a-①-增加'!$J$3,IF(AND(C85&gt;='②提成标准-B-a-①-增加'!$G$4,F85&gt;='②提成标准-B-a-①-增加'!$H$4,E85&gt;='②提成标准-B-a-①-增加'!$I$4,B85='②提成标准-B-a-①-增加'!$F$4),'②提成标准-B-a-①-增加'!$J$4,0))</f>
        <v>0</v>
      </c>
      <c r="H85" s="53">
        <f t="shared" si="1"/>
        <v>0</v>
      </c>
    </row>
    <row r="86" spans="1:8" x14ac:dyDescent="0.15">
      <c r="A86" s="53" t="str">
        <v>南湖+门店T区</v>
      </c>
      <c r="B86" s="53">
        <f>SUMIFS(期初设置!$AB:$AB,期初设置!$F:$F,A86)</f>
        <v>0</v>
      </c>
      <c r="C86" s="53">
        <f>IF(B86&gt;1,SUMIFS(期初设置!S:S,期初设置!F:F,A86,期初设置!AB:AB,1),0)</f>
        <v>0</v>
      </c>
      <c r="D86" s="59">
        <f>IF(B86=3,LOOKUP(C86,'②提成标准-B-a-①-增加'!$B$3:$B$8,'②提成标准-B-a-①-增加'!$D$3:$D$8),IF(B86=2,LOOKUP(C86,'②提成标准-B-a-①-增加'!$B$10:$B$14,'②提成标准-B-a-①-增加'!$D$10:$D$14),IF(B86=1,LOOKUP(C86,'②提成标准-B-a-①-增加'!$B$16:$B$20,'②提成标准-B-a-①-增加'!$D$16:$D$20),0)))</f>
        <v>0</v>
      </c>
      <c r="E86" s="53">
        <f>SUMIFS(期初设置!$W:$W,期初设置!$F:$F,A86)</f>
        <v>0</v>
      </c>
      <c r="F86" s="59" t="str">
        <f>_xlfn.XLOOKUP(A86,期初设置!F:F,期初设置!AL:AL,0)</f>
        <v/>
      </c>
      <c r="G86" s="53">
        <f>IF(AND(C86&gt;='②提成标准-B-a-①-增加'!$G$3,F86&gt;='②提成标准-B-a-①-增加'!$H$3,E86&gt;='②提成标准-B-a-①-增加'!$I$3,B86='②提成标准-B-a-①-增加'!$F$3),'②提成标准-B-a-①-增加'!$J$3,IF(AND(C86&gt;='②提成标准-B-a-①-增加'!$G$4,F86&gt;='②提成标准-B-a-①-增加'!$H$4,E86&gt;='②提成标准-B-a-①-增加'!$I$4,B86='②提成标准-B-a-①-增加'!$F$4),'②提成标准-B-a-①-增加'!$J$4,0))</f>
        <v>0</v>
      </c>
      <c r="H86" s="53">
        <f t="shared" si="1"/>
        <v>0</v>
      </c>
    </row>
    <row r="87" spans="1:8" x14ac:dyDescent="0.15">
      <c r="A87" s="53" t="str">
        <v>荣华北路+飞跃队</v>
      </c>
      <c r="B87" s="53">
        <f>SUMIFS(期初设置!$AB:$AB,期初设置!$F:$F,A87)</f>
        <v>2</v>
      </c>
      <c r="C87" s="53">
        <f>IF(B87&gt;1,SUMIFS(期初设置!S:S,期初设置!F:F,A87,期初设置!AB:AB,1),0)</f>
        <v>56087.6</v>
      </c>
      <c r="D87" s="59">
        <f>IF(B87=3,LOOKUP(C87,'②提成标准-B-a-①-增加'!$B$3:$B$8,'②提成标准-B-a-①-增加'!$D$3:$D$8),IF(B87=2,LOOKUP(C87,'②提成标准-B-a-①-增加'!$B$10:$B$14,'②提成标准-B-a-①-增加'!$D$10:$D$14),IF(B87=1,LOOKUP(C87,'②提成标准-B-a-①-增加'!$B$16:$B$20,'②提成标准-B-a-①-增加'!$D$16:$D$20),0)))</f>
        <v>0.04</v>
      </c>
      <c r="E87" s="53">
        <f>SUMIFS(期初设置!$W:$W,期初设置!$F:$F,A87)</f>
        <v>48358.21</v>
      </c>
      <c r="F87" s="59">
        <f>_xlfn.XLOOKUP(A87,期初设置!F:F,期初设置!AL:AL,0)</f>
        <v>2.5556450980252322E-2</v>
      </c>
      <c r="G87" s="53">
        <f>IF(AND(C87&gt;='②提成标准-B-a-①-增加'!$G$3,F87&gt;='②提成标准-B-a-①-增加'!$H$3,E87&gt;='②提成标准-B-a-①-增加'!$I$3,B87='②提成标准-B-a-①-增加'!$F$3),'②提成标准-B-a-①-增加'!$J$3,IF(AND(C87&gt;='②提成标准-B-a-①-增加'!$G$4,F87&gt;='②提成标准-B-a-①-增加'!$H$4,E87&gt;='②提成标准-B-a-①-增加'!$I$4,B87='②提成标准-B-a-①-增加'!$F$4),'②提成标准-B-a-①-增加'!$J$4,0))</f>
        <v>0</v>
      </c>
      <c r="H87" s="53">
        <f t="shared" si="1"/>
        <v>0</v>
      </c>
    </row>
    <row r="88" spans="1:8" x14ac:dyDescent="0.15">
      <c r="A88" s="53" t="str">
        <v>荣华北路+T区</v>
      </c>
      <c r="B88" s="53">
        <f>SUMIFS(期初设置!$AB:$AB,期初设置!$F:$F,A88)</f>
        <v>0</v>
      </c>
      <c r="C88" s="53">
        <f>IF(B88&gt;1,SUMIFS(期初设置!S:S,期初设置!F:F,A88,期初设置!AB:AB,1),0)</f>
        <v>0</v>
      </c>
      <c r="D88" s="59">
        <f>IF(B88=3,LOOKUP(C88,'②提成标准-B-a-①-增加'!$B$3:$B$8,'②提成标准-B-a-①-增加'!$D$3:$D$8),IF(B88=2,LOOKUP(C88,'②提成标准-B-a-①-增加'!$B$10:$B$14,'②提成标准-B-a-①-增加'!$D$10:$D$14),IF(B88=1,LOOKUP(C88,'②提成标准-B-a-①-增加'!$B$16:$B$20,'②提成标准-B-a-①-增加'!$D$16:$D$20),0)))</f>
        <v>0</v>
      </c>
      <c r="E88" s="53">
        <f>SUMIFS(期初设置!$W:$W,期初设置!$F:$F,A88)</f>
        <v>15557</v>
      </c>
      <c r="F88" s="59" t="str">
        <f>_xlfn.XLOOKUP(A88,期初设置!F:F,期初设置!AL:AL,0)</f>
        <v/>
      </c>
      <c r="G88" s="53">
        <f>IF(AND(C88&gt;='②提成标准-B-a-①-增加'!$G$3,F88&gt;='②提成标准-B-a-①-增加'!$H$3,E88&gt;='②提成标准-B-a-①-增加'!$I$3,B88='②提成标准-B-a-①-增加'!$F$3),'②提成标准-B-a-①-增加'!$J$3,IF(AND(C88&gt;='②提成标准-B-a-①-增加'!$G$4,F88&gt;='②提成标准-B-a-①-增加'!$H$4,E88&gt;='②提成标准-B-a-①-增加'!$I$4,B88='②提成标准-B-a-①-增加'!$F$4),'②提成标准-B-a-①-增加'!$J$4,0))</f>
        <v>0</v>
      </c>
      <c r="H88" s="53">
        <f t="shared" si="1"/>
        <v>0</v>
      </c>
    </row>
    <row r="89" spans="1:8" x14ac:dyDescent="0.15">
      <c r="A89" s="53" t="str">
        <v>荣华北路+无敌队</v>
      </c>
      <c r="B89" s="53">
        <f>SUMIFS(期初设置!$AB:$AB,期初设置!$F:$F,A89)</f>
        <v>3</v>
      </c>
      <c r="C89" s="53">
        <f>IF(B89&gt;1,SUMIFS(期初设置!S:S,期初设置!F:F,A89,期初设置!AB:AB,1),0)</f>
        <v>96824.4</v>
      </c>
      <c r="D89" s="59">
        <f>IF(B89=3,LOOKUP(C89,'②提成标准-B-a-①-增加'!$B$3:$B$8,'②提成标准-B-a-①-增加'!$D$3:$D$8),IF(B89=2,LOOKUP(C89,'②提成标准-B-a-①-增加'!$B$10:$B$14,'②提成标准-B-a-①-增加'!$D$10:$D$14),IF(B89=1,LOOKUP(C89,'②提成标准-B-a-①-增加'!$B$16:$B$20,'②提成标准-B-a-①-增加'!$D$16:$D$20),0)))</f>
        <v>0.05</v>
      </c>
      <c r="E89" s="53">
        <f>SUMIFS(期初设置!$W:$W,期初设置!$F:$F,A89)</f>
        <v>77913.37</v>
      </c>
      <c r="F89" s="59">
        <f>_xlfn.XLOOKUP(A89,期初设置!F:F,期初设置!AL:AL,0)</f>
        <v>0.5828448201073283</v>
      </c>
      <c r="G89" s="53">
        <f>IF(AND(C89&gt;='②提成标准-B-a-①-增加'!$G$3,F89&gt;='②提成标准-B-a-①-增加'!$H$3,E89&gt;='②提成标准-B-a-①-增加'!$I$3,B89='②提成标准-B-a-①-增加'!$F$3),'②提成标准-B-a-①-增加'!$J$3,IF(AND(C89&gt;='②提成标准-B-a-①-增加'!$G$4,F89&gt;='②提成标准-B-a-①-增加'!$H$4,E89&gt;='②提成标准-B-a-①-增加'!$I$4,B89='②提成标准-B-a-①-增加'!$F$4),'②提成标准-B-a-①-增加'!$J$4,0))</f>
        <v>8.0000000000000002E-3</v>
      </c>
      <c r="H89" s="53">
        <f t="shared" si="1"/>
        <v>774.6</v>
      </c>
    </row>
    <row r="90" spans="1:8" x14ac:dyDescent="0.15">
      <c r="A90" s="53" t="str">
        <v>荣华北路+门店T区</v>
      </c>
      <c r="B90" s="53">
        <f>SUMIFS(期初设置!$AB:$AB,期初设置!$F:$F,A90)</f>
        <v>0</v>
      </c>
      <c r="C90" s="53">
        <f>IF(B90&gt;1,SUMIFS(期初设置!S:S,期初设置!F:F,A90,期初设置!AB:AB,1),0)</f>
        <v>0</v>
      </c>
      <c r="D90" s="59">
        <f>IF(B90=3,LOOKUP(C90,'②提成标准-B-a-①-增加'!$B$3:$B$8,'②提成标准-B-a-①-增加'!$D$3:$D$8),IF(B90=2,LOOKUP(C90,'②提成标准-B-a-①-增加'!$B$10:$B$14,'②提成标准-B-a-①-增加'!$D$10:$D$14),IF(B90=1,LOOKUP(C90,'②提成标准-B-a-①-增加'!$B$16:$B$20,'②提成标准-B-a-①-增加'!$D$16:$D$20),0)))</f>
        <v>0</v>
      </c>
      <c r="E90" s="53">
        <f>SUMIFS(期初设置!$W:$W,期初设置!$F:$F,A90)</f>
        <v>0</v>
      </c>
      <c r="F90" s="59" t="str">
        <f>_xlfn.XLOOKUP(A90,期初设置!F:F,期初设置!AL:AL,0)</f>
        <v/>
      </c>
      <c r="G90" s="53">
        <f>IF(AND(C90&gt;='②提成标准-B-a-①-增加'!$G$3,F90&gt;='②提成标准-B-a-①-增加'!$H$3,E90&gt;='②提成标准-B-a-①-增加'!$I$3,B90='②提成标准-B-a-①-增加'!$F$3),'②提成标准-B-a-①-增加'!$J$3,IF(AND(C90&gt;='②提成标准-B-a-①-增加'!$G$4,F90&gt;='②提成标准-B-a-①-增加'!$H$4,E90&gt;='②提成标准-B-a-①-增加'!$I$4,B90='②提成标准-B-a-①-增加'!$F$4),'②提成标准-B-a-①-增加'!$J$4,0))</f>
        <v>0</v>
      </c>
      <c r="H90" s="53">
        <f t="shared" si="1"/>
        <v>0</v>
      </c>
    </row>
    <row r="91" spans="1:8" x14ac:dyDescent="0.15">
      <c r="A91" s="53" t="str">
        <v>紫荆+雄鹰队</v>
      </c>
      <c r="B91" s="53">
        <f>SUMIFS(期初设置!$AB:$AB,期初设置!$F:$F,A91)</f>
        <v>3</v>
      </c>
      <c r="C91" s="53">
        <f>IF(B91&gt;1,SUMIFS(期初设置!S:S,期初设置!F:F,A91,期初设置!AB:AB,1),0)</f>
        <v>256268.4</v>
      </c>
      <c r="D91" s="59">
        <f>IF(B91=3,LOOKUP(C91,'②提成标准-B-a-①-增加'!$B$3:$B$8,'②提成标准-B-a-①-增加'!$D$3:$D$8),IF(B91=2,LOOKUP(C91,'②提成标准-B-a-①-增加'!$B$10:$B$14,'②提成标准-B-a-①-增加'!$D$10:$D$14),IF(B91=1,LOOKUP(C91,'②提成标准-B-a-①-增加'!$B$16:$B$20,'②提成标准-B-a-①-增加'!$D$16:$D$20),0)))</f>
        <v>7.0000000000000007E-2</v>
      </c>
      <c r="E91" s="53">
        <f>SUMIFS(期初设置!$W:$W,期初设置!$F:$F,A91)</f>
        <v>95049.98</v>
      </c>
      <c r="F91" s="59">
        <f>_xlfn.XLOOKUP(A91,期初设置!F:F,期初设置!AL:AL,0)</f>
        <v>0.58419024741247849</v>
      </c>
      <c r="G91" s="53">
        <f>IF(AND(C91&gt;='②提成标准-B-a-①-增加'!$G$3,F91&gt;='②提成标准-B-a-①-增加'!$H$3,E91&gt;='②提成标准-B-a-①-增加'!$I$3,B91='②提成标准-B-a-①-增加'!$F$3),'②提成标准-B-a-①-增加'!$J$3,IF(AND(C91&gt;='②提成标准-B-a-①-增加'!$G$4,F91&gt;='②提成标准-B-a-①-增加'!$H$4,E91&gt;='②提成标准-B-a-①-增加'!$I$4,B91='②提成标准-B-a-①-增加'!$F$4),'②提成标准-B-a-①-增加'!$J$4,0))</f>
        <v>8.0000000000000002E-3</v>
      </c>
      <c r="H91" s="53">
        <f t="shared" si="1"/>
        <v>2050.15</v>
      </c>
    </row>
    <row r="92" spans="1:8" x14ac:dyDescent="0.15">
      <c r="A92" s="53" t="str">
        <v>紫荆+T区</v>
      </c>
      <c r="B92" s="53">
        <f>SUMIFS(期初设置!$AB:$AB,期初设置!$F:$F,A92)</f>
        <v>0</v>
      </c>
      <c r="C92" s="53">
        <f>IF(B92&gt;1,SUMIFS(期初设置!S:S,期初设置!F:F,A92,期初设置!AB:AB,1),0)</f>
        <v>0</v>
      </c>
      <c r="D92" s="59">
        <f>IF(B92=3,LOOKUP(C92,'②提成标准-B-a-①-增加'!$B$3:$B$8,'②提成标准-B-a-①-增加'!$D$3:$D$8),IF(B92=2,LOOKUP(C92,'②提成标准-B-a-①-增加'!$B$10:$B$14,'②提成标准-B-a-①-增加'!$D$10:$D$14),IF(B92=1,LOOKUP(C92,'②提成标准-B-a-①-增加'!$B$16:$B$20,'②提成标准-B-a-①-增加'!$D$16:$D$20),0)))</f>
        <v>0</v>
      </c>
      <c r="E92" s="53">
        <f>SUMIFS(期初设置!$W:$W,期初设置!$F:$F,A92)</f>
        <v>105411</v>
      </c>
      <c r="F92" s="59" t="str">
        <f>_xlfn.XLOOKUP(A92,期初设置!F:F,期初设置!AL:AL,0)</f>
        <v/>
      </c>
      <c r="G92" s="53">
        <f>IF(AND(C92&gt;='②提成标准-B-a-①-增加'!$G$3,F92&gt;='②提成标准-B-a-①-增加'!$H$3,E92&gt;='②提成标准-B-a-①-增加'!$I$3,B92='②提成标准-B-a-①-增加'!$F$3),'②提成标准-B-a-①-增加'!$J$3,IF(AND(C92&gt;='②提成标准-B-a-①-增加'!$G$4,F92&gt;='②提成标准-B-a-①-增加'!$H$4,E92&gt;='②提成标准-B-a-①-增加'!$I$4,B92='②提成标准-B-a-①-增加'!$F$4),'②提成标准-B-a-①-增加'!$J$4,0))</f>
        <v>0</v>
      </c>
      <c r="H92" s="53">
        <f t="shared" si="1"/>
        <v>0</v>
      </c>
    </row>
    <row r="93" spans="1:8" x14ac:dyDescent="0.15">
      <c r="A93" s="53" t="str">
        <v>紫荆+团结队</v>
      </c>
      <c r="B93" s="53">
        <f>SUMIFS(期初设置!$AB:$AB,期初设置!$F:$F,A93)</f>
        <v>2</v>
      </c>
      <c r="C93" s="53">
        <f>IF(B93&gt;1,SUMIFS(期初设置!S:S,期初设置!F:F,A93,期初设置!AB:AB,1),0)</f>
        <v>176966.90000000002</v>
      </c>
      <c r="D93" s="59">
        <f>IF(B93=3,LOOKUP(C93,'②提成标准-B-a-①-增加'!$B$3:$B$8,'②提成标准-B-a-①-增加'!$D$3:$D$8),IF(B93=2,LOOKUP(C93,'②提成标准-B-a-①-增加'!$B$10:$B$14,'②提成标准-B-a-①-增加'!$D$10:$D$14),IF(B93=1,LOOKUP(C93,'②提成标准-B-a-①-增加'!$B$16:$B$20,'②提成标准-B-a-①-增加'!$D$16:$D$20),0)))</f>
        <v>0.06</v>
      </c>
      <c r="E93" s="53">
        <f>SUMIFS(期初设置!$W:$W,期初设置!$F:$F,A93)</f>
        <v>94389.61</v>
      </c>
      <c r="F93" s="59">
        <f>_xlfn.XLOOKUP(A93,期初设置!F:F,期初设置!AL:AL,0)</f>
        <v>0.38993647964675876</v>
      </c>
      <c r="G93" s="53">
        <f>IF(AND(C93&gt;='②提成标准-B-a-①-增加'!$G$3,F93&gt;='②提成标准-B-a-①-增加'!$H$3,E93&gt;='②提成标准-B-a-①-增加'!$I$3,B93='②提成标准-B-a-①-增加'!$F$3),'②提成标准-B-a-①-增加'!$J$3,IF(AND(C93&gt;='②提成标准-B-a-①-增加'!$G$4,F93&gt;='②提成标准-B-a-①-增加'!$H$4,E93&gt;='②提成标准-B-a-①-增加'!$I$4,B93='②提成标准-B-a-①-增加'!$F$4),'②提成标准-B-a-①-增加'!$J$4,0))</f>
        <v>3.0000000000000001E-3</v>
      </c>
      <c r="H93" s="53">
        <f t="shared" si="1"/>
        <v>530.91</v>
      </c>
    </row>
    <row r="94" spans="1:8" x14ac:dyDescent="0.15">
      <c r="A94" s="53" t="str">
        <v>紫荆+冲刺队</v>
      </c>
      <c r="B94" s="53">
        <f>SUMIFS(期初设置!$AB:$AB,期初设置!$F:$F,A94)</f>
        <v>3</v>
      </c>
      <c r="C94" s="53">
        <f>IF(B94&gt;1,SUMIFS(期初设置!S:S,期初设置!F:F,A94,期初设置!AB:AB,1),0)</f>
        <v>87520.7</v>
      </c>
      <c r="D94" s="59">
        <f>IF(B94=3,LOOKUP(C94,'②提成标准-B-a-①-增加'!$B$3:$B$8,'②提成标准-B-a-①-增加'!$D$3:$D$8),IF(B94=2,LOOKUP(C94,'②提成标准-B-a-①-增加'!$B$10:$B$14,'②提成标准-B-a-①-增加'!$D$10:$D$14),IF(B94=1,LOOKUP(C94,'②提成标准-B-a-①-增加'!$B$16:$B$20,'②提成标准-B-a-①-增加'!$D$16:$D$20),0)))</f>
        <v>0.04</v>
      </c>
      <c r="E94" s="53">
        <f>SUMIFS(期初设置!$W:$W,期初设置!$F:$F,A94)</f>
        <v>76713.39</v>
      </c>
      <c r="F94" s="59">
        <f>_xlfn.XLOOKUP(A94,期初设置!F:F,期初设置!AL:AL,0)</f>
        <v>0.4762404779669267</v>
      </c>
      <c r="G94" s="53">
        <f>IF(AND(C94&gt;='②提成标准-B-a-①-增加'!$G$3,F94&gt;='②提成标准-B-a-①-增加'!$H$3,E94&gt;='②提成标准-B-a-①-增加'!$I$3,B94='②提成标准-B-a-①-增加'!$F$3),'②提成标准-B-a-①-增加'!$J$3,IF(AND(C94&gt;='②提成标准-B-a-①-增加'!$G$4,F94&gt;='②提成标准-B-a-①-增加'!$H$4,E94&gt;='②提成标准-B-a-①-增加'!$I$4,B94='②提成标准-B-a-①-增加'!$F$4),'②提成标准-B-a-①-增加'!$J$4,0))</f>
        <v>8.0000000000000002E-3</v>
      </c>
      <c r="H94" s="53">
        <f t="shared" si="1"/>
        <v>700.17</v>
      </c>
    </row>
    <row r="95" spans="1:8" x14ac:dyDescent="0.15">
      <c r="A95" s="53" t="str">
        <v>紫荆+门店T区</v>
      </c>
      <c r="B95" s="53">
        <f>SUMIFS(期初设置!$AB:$AB,期初设置!$F:$F,A95)</f>
        <v>0</v>
      </c>
      <c r="C95" s="53">
        <f>IF(B95&gt;1,SUMIFS(期初设置!S:S,期初设置!F:F,A95,期初设置!AB:AB,1),0)</f>
        <v>0</v>
      </c>
      <c r="D95" s="59">
        <f>IF(B95=3,LOOKUP(C95,'②提成标准-B-a-①-增加'!$B$3:$B$8,'②提成标准-B-a-①-增加'!$D$3:$D$8),IF(B95=2,LOOKUP(C95,'②提成标准-B-a-①-增加'!$B$10:$B$14,'②提成标准-B-a-①-增加'!$D$10:$D$14),IF(B95=1,LOOKUP(C95,'②提成标准-B-a-①-增加'!$B$16:$B$20,'②提成标准-B-a-①-增加'!$D$16:$D$20),0)))</f>
        <v>0</v>
      </c>
      <c r="E95" s="53">
        <f>SUMIFS(期初设置!$W:$W,期初设置!$F:$F,A95)</f>
        <v>0</v>
      </c>
      <c r="F95" s="59" t="str">
        <f>_xlfn.XLOOKUP(A95,期初设置!F:F,期初设置!AL:AL,0)</f>
        <v/>
      </c>
      <c r="G95" s="53">
        <f>IF(AND(C95&gt;='②提成标准-B-a-①-增加'!$G$3,F95&gt;='②提成标准-B-a-①-增加'!$H$3,E95&gt;='②提成标准-B-a-①-增加'!$I$3,B95='②提成标准-B-a-①-增加'!$F$3),'②提成标准-B-a-①-增加'!$J$3,IF(AND(C95&gt;='②提成标准-B-a-①-增加'!$G$4,F95&gt;='②提成标准-B-a-①-增加'!$H$4,E95&gt;='②提成标准-B-a-①-增加'!$I$4,B95='②提成标准-B-a-①-增加'!$F$4),'②提成标准-B-a-①-增加'!$J$4,0))</f>
        <v>0</v>
      </c>
      <c r="H95" s="53">
        <f t="shared" si="1"/>
        <v>0</v>
      </c>
    </row>
    <row r="96" spans="1:8" x14ac:dyDescent="0.15">
      <c r="A96" s="53" t="str">
        <v>双流+超越队</v>
      </c>
      <c r="B96" s="53">
        <f>SUMIFS(期初设置!$AB:$AB,期初设置!$F:$F,A96)</f>
        <v>3</v>
      </c>
      <c r="C96" s="53">
        <f>IF(B96&gt;1,SUMIFS(期初设置!S:S,期初设置!F:F,A96,期初设置!AB:AB,1),0)</f>
        <v>172608.5</v>
      </c>
      <c r="D96" s="59">
        <f>IF(B96=3,LOOKUP(C96,'②提成标准-B-a-①-增加'!$B$3:$B$8,'②提成标准-B-a-①-增加'!$D$3:$D$8),IF(B96=2,LOOKUP(C96,'②提成标准-B-a-①-增加'!$B$10:$B$14,'②提成标准-B-a-①-增加'!$D$10:$D$14),IF(B96=1,LOOKUP(C96,'②提成标准-B-a-①-增加'!$B$16:$B$20,'②提成标准-B-a-①-增加'!$D$16:$D$20),0)))</f>
        <v>7.0000000000000007E-2</v>
      </c>
      <c r="E96" s="53">
        <f>SUMIFS(期初设置!$W:$W,期初设置!$F:$F,A96)</f>
        <v>57991.29</v>
      </c>
      <c r="F96" s="59">
        <f>_xlfn.XLOOKUP(A96,期初设置!F:F,期初设置!AL:AL,0)</f>
        <v>0.34277860012687672</v>
      </c>
      <c r="G96" s="53">
        <f>IF(AND(C96&gt;='②提成标准-B-a-①-增加'!$G$3,F96&gt;='②提成标准-B-a-①-增加'!$H$3,E96&gt;='②提成标准-B-a-①-增加'!$I$3,B96='②提成标准-B-a-①-增加'!$F$3),'②提成标准-B-a-①-增加'!$J$3,IF(AND(C96&gt;='②提成标准-B-a-①-增加'!$G$4,F96&gt;='②提成标准-B-a-①-增加'!$H$4,E96&gt;='②提成标准-B-a-①-增加'!$I$4,B96='②提成标准-B-a-①-增加'!$F$4),'②提成标准-B-a-①-增加'!$J$4,0))</f>
        <v>0</v>
      </c>
      <c r="H96" s="53">
        <f t="shared" si="1"/>
        <v>0</v>
      </c>
    </row>
    <row r="97" spans="1:8" x14ac:dyDescent="0.15">
      <c r="A97" s="53" t="str">
        <v>双流+T区</v>
      </c>
      <c r="B97" s="53">
        <f>SUMIFS(期初设置!$AB:$AB,期初设置!$F:$F,A97)</f>
        <v>0</v>
      </c>
      <c r="C97" s="53">
        <f>IF(B97&gt;1,SUMIFS(期初设置!S:S,期初设置!F:F,A97,期初设置!AB:AB,1),0)</f>
        <v>0</v>
      </c>
      <c r="D97" s="59">
        <f>IF(B97=3,LOOKUP(C97,'②提成标准-B-a-①-增加'!$B$3:$B$8,'②提成标准-B-a-①-增加'!$D$3:$D$8),IF(B97=2,LOOKUP(C97,'②提成标准-B-a-①-增加'!$B$10:$B$14,'②提成标准-B-a-①-增加'!$D$10:$D$14),IF(B97=1,LOOKUP(C97,'②提成标准-B-a-①-增加'!$B$16:$B$20,'②提成标准-B-a-①-增加'!$D$16:$D$20),0)))</f>
        <v>0</v>
      </c>
      <c r="E97" s="53">
        <f>SUMIFS(期初设置!$W:$W,期初设置!$F:$F,A97)</f>
        <v>186417</v>
      </c>
      <c r="F97" s="59" t="str">
        <f>_xlfn.XLOOKUP(A97,期初设置!F:F,期初设置!AL:AL,0)</f>
        <v/>
      </c>
      <c r="G97" s="53">
        <f>IF(AND(C97&gt;='②提成标准-B-a-①-增加'!$G$3,F97&gt;='②提成标准-B-a-①-增加'!$H$3,E97&gt;='②提成标准-B-a-①-增加'!$I$3,B97='②提成标准-B-a-①-增加'!$F$3),'②提成标准-B-a-①-增加'!$J$3,IF(AND(C97&gt;='②提成标准-B-a-①-增加'!$G$4,F97&gt;='②提成标准-B-a-①-增加'!$H$4,E97&gt;='②提成标准-B-a-①-增加'!$I$4,B97='②提成标准-B-a-①-增加'!$F$4),'②提成标准-B-a-①-增加'!$J$4,0))</f>
        <v>0</v>
      </c>
      <c r="H97" s="53">
        <f t="shared" si="1"/>
        <v>0</v>
      </c>
    </row>
    <row r="98" spans="1:8" x14ac:dyDescent="0.15">
      <c r="A98" s="53" t="str">
        <v>双流+星耀队</v>
      </c>
      <c r="B98" s="53">
        <f>SUMIFS(期初设置!$AB:$AB,期初设置!$F:$F,A98)</f>
        <v>2</v>
      </c>
      <c r="C98" s="53">
        <f>IF(B98&gt;1,SUMIFS(期初设置!S:S,期初设置!F:F,A98,期初设置!AB:AB,1),0)</f>
        <v>139419.5</v>
      </c>
      <c r="D98" s="59">
        <f>IF(B98=3,LOOKUP(C98,'②提成标准-B-a-①-增加'!$B$3:$B$8,'②提成标准-B-a-①-增加'!$D$3:$D$8),IF(B98=2,LOOKUP(C98,'②提成标准-B-a-①-增加'!$B$10:$B$14,'②提成标准-B-a-①-增加'!$D$10:$D$14),IF(B98=1,LOOKUP(C98,'②提成标准-B-a-①-增加'!$B$16:$B$20,'②提成标准-B-a-①-增加'!$D$16:$D$20),0)))</f>
        <v>0.06</v>
      </c>
      <c r="E98" s="53">
        <f>SUMIFS(期初设置!$W:$W,期初设置!$F:$F,A98)</f>
        <v>46709.7</v>
      </c>
      <c r="F98" s="59">
        <f>_xlfn.XLOOKUP(A98,期初设置!F:F,期初设置!AL:AL,0)</f>
        <v>0.30887716567625045</v>
      </c>
      <c r="G98" s="53">
        <f>IF(AND(C98&gt;='②提成标准-B-a-①-增加'!$G$3,F98&gt;='②提成标准-B-a-①-增加'!$H$3,E98&gt;='②提成标准-B-a-①-增加'!$I$3,B98='②提成标准-B-a-①-增加'!$F$3),'②提成标准-B-a-①-增加'!$J$3,IF(AND(C98&gt;='②提成标准-B-a-①-增加'!$G$4,F98&gt;='②提成标准-B-a-①-增加'!$H$4,E98&gt;='②提成标准-B-a-①-增加'!$I$4,B98='②提成标准-B-a-①-增加'!$F$4),'②提成标准-B-a-①-增加'!$J$4,0))</f>
        <v>3.0000000000000001E-3</v>
      </c>
      <c r="H98" s="53">
        <f t="shared" si="1"/>
        <v>418.26</v>
      </c>
    </row>
    <row r="99" spans="1:8" x14ac:dyDescent="0.15">
      <c r="A99" s="53" t="str">
        <v>双流+门店T区</v>
      </c>
      <c r="B99" s="53">
        <f>SUMIFS(期初设置!$AB:$AB,期初设置!$F:$F,A99)</f>
        <v>0</v>
      </c>
      <c r="C99" s="53">
        <f>IF(B99&gt;1,SUMIFS(期初设置!S:S,期初设置!F:F,A99,期初设置!AB:AB,1),0)</f>
        <v>0</v>
      </c>
      <c r="D99" s="59">
        <f>IF(B99=3,LOOKUP(C99,'②提成标准-B-a-①-增加'!$B$3:$B$8,'②提成标准-B-a-①-增加'!$D$3:$D$8),IF(B99=2,LOOKUP(C99,'②提成标准-B-a-①-增加'!$B$10:$B$14,'②提成标准-B-a-①-增加'!$D$10:$D$14),IF(B99=1,LOOKUP(C99,'②提成标准-B-a-①-增加'!$B$16:$B$20,'②提成标准-B-a-①-增加'!$D$16:$D$20),0)))</f>
        <v>0</v>
      </c>
      <c r="E99" s="53">
        <f>SUMIFS(期初设置!$W:$W,期初设置!$F:$F,A99)</f>
        <v>0</v>
      </c>
      <c r="F99" s="59" t="str">
        <f>_xlfn.XLOOKUP(A99,期初设置!F:F,期初设置!AL:AL,0)</f>
        <v/>
      </c>
      <c r="G99" s="53">
        <f>IF(AND(C99&gt;='②提成标准-B-a-①-增加'!$G$3,F99&gt;='②提成标准-B-a-①-增加'!$H$3,E99&gt;='②提成标准-B-a-①-增加'!$I$3,B99='②提成标准-B-a-①-增加'!$F$3),'②提成标准-B-a-①-增加'!$J$3,IF(AND(C99&gt;='②提成标准-B-a-①-增加'!$G$4,F99&gt;='②提成标准-B-a-①-增加'!$H$4,E99&gt;='②提成标准-B-a-①-增加'!$I$4,B99='②提成标准-B-a-①-增加'!$F$4),'②提成标准-B-a-①-增加'!$J$4,0))</f>
        <v>0</v>
      </c>
      <c r="H99" s="53">
        <f t="shared" si="1"/>
        <v>0</v>
      </c>
    </row>
    <row r="100" spans="1:8" x14ac:dyDescent="0.15">
      <c r="A100" s="53" t="str">
        <v>亚洲湾+钱进队</v>
      </c>
      <c r="B100" s="53">
        <f>SUMIFS(期初设置!$AB:$AB,期初设置!$F:$F,A100)</f>
        <v>3</v>
      </c>
      <c r="C100" s="53">
        <f>IF(B100&gt;1,SUMIFS(期初设置!S:S,期初设置!F:F,A100,期初设置!AB:AB,1),0)</f>
        <v>57554.1</v>
      </c>
      <c r="D100" s="59">
        <f>IF(B100=3,LOOKUP(C100,'②提成标准-B-a-①-增加'!$B$3:$B$8,'②提成标准-B-a-①-增加'!$D$3:$D$8),IF(B100=2,LOOKUP(C100,'②提成标准-B-a-①-增加'!$B$10:$B$14,'②提成标准-B-a-①-增加'!$D$10:$D$14),IF(B100=1,LOOKUP(C100,'②提成标准-B-a-①-增加'!$B$16:$B$20,'②提成标准-B-a-①-增加'!$D$16:$D$20),0)))</f>
        <v>0.03</v>
      </c>
      <c r="E100" s="53">
        <f>SUMIFS(期初设置!$W:$W,期初设置!$F:$F,A100)</f>
        <v>31291.49</v>
      </c>
      <c r="F100" s="59">
        <f>_xlfn.XLOOKUP(A100,期初设置!F:F,期初设置!AL:AL,0)</f>
        <v>0.69305748851949733</v>
      </c>
      <c r="G100" s="53">
        <f>IF(AND(C100&gt;='②提成标准-B-a-①-增加'!$G$3,F100&gt;='②提成标准-B-a-①-增加'!$H$3,E100&gt;='②提成标准-B-a-①-增加'!$I$3,B100='②提成标准-B-a-①-增加'!$F$3),'②提成标准-B-a-①-增加'!$J$3,IF(AND(C100&gt;='②提成标准-B-a-①-增加'!$G$4,F100&gt;='②提成标准-B-a-①-增加'!$H$4,E100&gt;='②提成标准-B-a-①-增加'!$I$4,B100='②提成标准-B-a-①-增加'!$F$4),'②提成标准-B-a-①-增加'!$J$4,0))</f>
        <v>0</v>
      </c>
      <c r="H100" s="53">
        <f t="shared" si="1"/>
        <v>0</v>
      </c>
    </row>
    <row r="101" spans="1:8" x14ac:dyDescent="0.15">
      <c r="A101" s="53" t="str">
        <v>亚洲湾+T区</v>
      </c>
      <c r="B101" s="53">
        <f>SUMIFS(期初设置!$AB:$AB,期初设置!$F:$F,A101)</f>
        <v>0</v>
      </c>
      <c r="C101" s="53">
        <f>IF(B101&gt;1,SUMIFS(期初设置!S:S,期初设置!F:F,A101,期初设置!AB:AB,1),0)</f>
        <v>0</v>
      </c>
      <c r="D101" s="59">
        <f>IF(B101=3,LOOKUP(C101,'②提成标准-B-a-①-增加'!$B$3:$B$8,'②提成标准-B-a-①-增加'!$D$3:$D$8),IF(B101=2,LOOKUP(C101,'②提成标准-B-a-①-增加'!$B$10:$B$14,'②提成标准-B-a-①-增加'!$D$10:$D$14),IF(B101=1,LOOKUP(C101,'②提成标准-B-a-①-增加'!$B$16:$B$20,'②提成标准-B-a-①-增加'!$D$16:$D$20),0)))</f>
        <v>0</v>
      </c>
      <c r="E101" s="53">
        <f>SUMIFS(期初设置!$W:$W,期初设置!$F:$F,A101)</f>
        <v>46218.71</v>
      </c>
      <c r="F101" s="59" t="str">
        <f>_xlfn.XLOOKUP(A101,期初设置!F:F,期初设置!AL:AL,0)</f>
        <v/>
      </c>
      <c r="G101" s="53">
        <f>IF(AND(C101&gt;='②提成标准-B-a-①-增加'!$G$3,F101&gt;='②提成标准-B-a-①-增加'!$H$3,E101&gt;='②提成标准-B-a-①-增加'!$I$3,B101='②提成标准-B-a-①-增加'!$F$3),'②提成标准-B-a-①-增加'!$J$3,IF(AND(C101&gt;='②提成标准-B-a-①-增加'!$G$4,F101&gt;='②提成标准-B-a-①-增加'!$H$4,E101&gt;='②提成标准-B-a-①-增加'!$I$4,B101='②提成标准-B-a-①-增加'!$F$4),'②提成标准-B-a-①-增加'!$J$4,0))</f>
        <v>0</v>
      </c>
      <c r="H101" s="53">
        <f t="shared" si="1"/>
        <v>0</v>
      </c>
    </row>
    <row r="102" spans="1:8" x14ac:dyDescent="0.15">
      <c r="A102" s="53" t="str">
        <v>亚洲湾+龙腾队</v>
      </c>
      <c r="B102" s="53">
        <f>SUMIFS(期初设置!$AB:$AB,期初设置!$F:$F,A102)</f>
        <v>2</v>
      </c>
      <c r="C102" s="53">
        <f>IF(B102&gt;1,SUMIFS(期初设置!S:S,期初设置!F:F,A102,期初设置!AB:AB,1),0)</f>
        <v>68681.2</v>
      </c>
      <c r="D102" s="59">
        <f>IF(B102=3,LOOKUP(C102,'②提成标准-B-a-①-增加'!$B$3:$B$8,'②提成标准-B-a-①-增加'!$D$3:$D$8),IF(B102=2,LOOKUP(C102,'②提成标准-B-a-①-增加'!$B$10:$B$14,'②提成标准-B-a-①-增加'!$D$10:$D$14),IF(B102=1,LOOKUP(C102,'②提成标准-B-a-①-增加'!$B$16:$B$20,'②提成标准-B-a-①-增加'!$D$16:$D$20),0)))</f>
        <v>0.05</v>
      </c>
      <c r="E102" s="53">
        <f>SUMIFS(期初设置!$W:$W,期初设置!$F:$F,A102)</f>
        <v>25562.420000000002</v>
      </c>
      <c r="F102" s="59">
        <f>_xlfn.XLOOKUP(A102,期初设置!F:F,期初设置!AL:AL,0)</f>
        <v>0.25088670553222719</v>
      </c>
      <c r="G102" s="53">
        <f>IF(AND(C102&gt;='②提成标准-B-a-①-增加'!$G$3,F102&gt;='②提成标准-B-a-①-增加'!$H$3,E102&gt;='②提成标准-B-a-①-增加'!$I$3,B102='②提成标准-B-a-①-增加'!$F$3),'②提成标准-B-a-①-增加'!$J$3,IF(AND(C102&gt;='②提成标准-B-a-①-增加'!$G$4,F102&gt;='②提成标准-B-a-①-增加'!$H$4,E102&gt;='②提成标准-B-a-①-增加'!$I$4,B102='②提成标准-B-a-①-增加'!$F$4),'②提成标准-B-a-①-增加'!$J$4,0))</f>
        <v>0</v>
      </c>
      <c r="H102" s="53">
        <f t="shared" si="1"/>
        <v>0</v>
      </c>
    </row>
    <row r="103" spans="1:8" x14ac:dyDescent="0.15">
      <c r="A103" s="53" t="str">
        <v>亚洲湾+门店T区</v>
      </c>
      <c r="B103" s="53">
        <f>SUMIFS(期初设置!$AB:$AB,期初设置!$F:$F,A103)</f>
        <v>0</v>
      </c>
      <c r="C103" s="53">
        <f>IF(B103&gt;1,SUMIFS(期初设置!S:S,期初设置!F:F,A103,期初设置!AB:AB,1),0)</f>
        <v>0</v>
      </c>
      <c r="D103" s="59">
        <f>IF(B103=3,LOOKUP(C103,'②提成标准-B-a-①-增加'!$B$3:$B$8,'②提成标准-B-a-①-增加'!$D$3:$D$8),IF(B103=2,LOOKUP(C103,'②提成标准-B-a-①-增加'!$B$10:$B$14,'②提成标准-B-a-①-增加'!$D$10:$D$14),IF(B103=1,LOOKUP(C103,'②提成标准-B-a-①-增加'!$B$16:$B$20,'②提成标准-B-a-①-增加'!$D$16:$D$20),0)))</f>
        <v>0</v>
      </c>
      <c r="E103" s="53">
        <f>SUMIFS(期初设置!$W:$W,期初设置!$F:$F,A103)</f>
        <v>0</v>
      </c>
      <c r="F103" s="59" t="str">
        <f>_xlfn.XLOOKUP(A103,期初设置!F:F,期初设置!AL:AL,0)</f>
        <v/>
      </c>
      <c r="G103" s="53">
        <f>IF(AND(C103&gt;='②提成标准-B-a-①-增加'!$G$3,F103&gt;='②提成标准-B-a-①-增加'!$H$3,E103&gt;='②提成标准-B-a-①-增加'!$I$3,B103='②提成标准-B-a-①-增加'!$F$3),'②提成标准-B-a-①-增加'!$J$3,IF(AND(C103&gt;='②提成标准-B-a-①-增加'!$G$4,F103&gt;='②提成标准-B-a-①-增加'!$H$4,E103&gt;='②提成标准-B-a-①-增加'!$I$4,B103='②提成标准-B-a-①-增加'!$F$4),'②提成标准-B-a-①-增加'!$J$4,0))</f>
        <v>0</v>
      </c>
      <c r="H103" s="53">
        <f t="shared" si="1"/>
        <v>0</v>
      </c>
    </row>
    <row r="104" spans="1:8" x14ac:dyDescent="0.15">
      <c r="A104" s="53" t="str">
        <v>川师+虎啸龙吟队</v>
      </c>
      <c r="B104" s="53">
        <f>SUMIFS(期初设置!$AB:$AB,期初设置!$F:$F,A104)</f>
        <v>3</v>
      </c>
      <c r="C104" s="53">
        <f>IF(B104&gt;1,SUMIFS(期初设置!S:S,期初设置!F:F,A104,期初设置!AB:AB,1),0)</f>
        <v>95443</v>
      </c>
      <c r="D104" s="59">
        <f>IF(B104=3,LOOKUP(C104,'②提成标准-B-a-①-增加'!$B$3:$B$8,'②提成标准-B-a-①-增加'!$D$3:$D$8),IF(B104=2,LOOKUP(C104,'②提成标准-B-a-①-增加'!$B$10:$B$14,'②提成标准-B-a-①-增加'!$D$10:$D$14),IF(B104=1,LOOKUP(C104,'②提成标准-B-a-①-增加'!$B$16:$B$20,'②提成标准-B-a-①-增加'!$D$16:$D$20),0)))</f>
        <v>0.05</v>
      </c>
      <c r="E104" s="53">
        <f>SUMIFS(期初设置!$W:$W,期初设置!$F:$F,A104)</f>
        <v>69931.09</v>
      </c>
      <c r="F104" s="59">
        <f>_xlfn.XLOOKUP(A104,期初设置!F:F,期初设置!AL:AL,0)</f>
        <v>0.42560481124859867</v>
      </c>
      <c r="G104" s="53">
        <f>IF(AND(C104&gt;='②提成标准-B-a-①-增加'!$G$3,F104&gt;='②提成标准-B-a-①-增加'!$H$3,E104&gt;='②提成标准-B-a-①-增加'!$I$3,B104='②提成标准-B-a-①-增加'!$F$3),'②提成标准-B-a-①-增加'!$J$3,IF(AND(C104&gt;='②提成标准-B-a-①-增加'!$G$4,F104&gt;='②提成标准-B-a-①-增加'!$H$4,E104&gt;='②提成标准-B-a-①-增加'!$I$4,B104='②提成标准-B-a-①-增加'!$F$4),'②提成标准-B-a-①-增加'!$J$4,0))</f>
        <v>8.0000000000000002E-3</v>
      </c>
      <c r="H104" s="53">
        <f t="shared" si="1"/>
        <v>763.55</v>
      </c>
    </row>
    <row r="105" spans="1:8" x14ac:dyDescent="0.15">
      <c r="A105" s="53" t="str">
        <v>川师+T区</v>
      </c>
      <c r="B105" s="53">
        <f>SUMIFS(期初设置!$AB:$AB,期初设置!$F:$F,A105)</f>
        <v>0</v>
      </c>
      <c r="C105" s="53">
        <f>IF(B105&gt;1,SUMIFS(期初设置!S:S,期初设置!F:F,A105,期初设置!AB:AB,1),0)</f>
        <v>0</v>
      </c>
      <c r="D105" s="59">
        <f>IF(B105=3,LOOKUP(C105,'②提成标准-B-a-①-增加'!$B$3:$B$8,'②提成标准-B-a-①-增加'!$D$3:$D$8),IF(B105=2,LOOKUP(C105,'②提成标准-B-a-①-增加'!$B$10:$B$14,'②提成标准-B-a-①-增加'!$D$10:$D$14),IF(B105=1,LOOKUP(C105,'②提成标准-B-a-①-增加'!$B$16:$B$20,'②提成标准-B-a-①-增加'!$D$16:$D$20),0)))</f>
        <v>0</v>
      </c>
      <c r="E105" s="53">
        <f>SUMIFS(期初设置!$W:$W,期初设置!$F:$F,A105)</f>
        <v>65106.42</v>
      </c>
      <c r="F105" s="59" t="str">
        <f>_xlfn.XLOOKUP(A105,期初设置!F:F,期初设置!AL:AL,0)</f>
        <v/>
      </c>
      <c r="G105" s="53">
        <f>IF(AND(C105&gt;='②提成标准-B-a-①-增加'!$G$3,F105&gt;='②提成标准-B-a-①-增加'!$H$3,E105&gt;='②提成标准-B-a-①-增加'!$I$3,B105='②提成标准-B-a-①-增加'!$F$3),'②提成标准-B-a-①-增加'!$J$3,IF(AND(C105&gt;='②提成标准-B-a-①-增加'!$G$4,F105&gt;='②提成标准-B-a-①-增加'!$H$4,E105&gt;='②提成标准-B-a-①-增加'!$I$4,B105='②提成标准-B-a-①-增加'!$F$4),'②提成标准-B-a-①-增加'!$J$4,0))</f>
        <v>0</v>
      </c>
      <c r="H105" s="53">
        <f t="shared" si="1"/>
        <v>0</v>
      </c>
    </row>
    <row r="106" spans="1:8" x14ac:dyDescent="0.15">
      <c r="A106" s="53" t="str">
        <v>川师+卧虎藏龙队</v>
      </c>
      <c r="B106" s="53">
        <f>SUMIFS(期初设置!$AB:$AB,期初设置!$F:$F,A106)</f>
        <v>2</v>
      </c>
      <c r="C106" s="53">
        <f>IF(B106&gt;1,SUMIFS(期初设置!S:S,期初设置!F:F,A106,期初设置!AB:AB,1),0)</f>
        <v>109797</v>
      </c>
      <c r="D106" s="59">
        <f>IF(B106=3,LOOKUP(C106,'②提成标准-B-a-①-增加'!$B$3:$B$8,'②提成标准-B-a-①-增加'!$D$3:$D$8),IF(B106=2,LOOKUP(C106,'②提成标准-B-a-①-增加'!$B$10:$B$14,'②提成标准-B-a-①-增加'!$D$10:$D$14),IF(B106=1,LOOKUP(C106,'②提成标准-B-a-①-增加'!$B$16:$B$20,'②提成标准-B-a-①-增加'!$D$16:$D$20),0)))</f>
        <v>0.06</v>
      </c>
      <c r="E106" s="53">
        <f>SUMIFS(期初设置!$W:$W,期初设置!$F:$F,A106)</f>
        <v>57652.869999999995</v>
      </c>
      <c r="F106" s="59">
        <f>_xlfn.XLOOKUP(A106,期初设置!F:F,期初设置!AL:AL,0)</f>
        <v>0.44350938550233615</v>
      </c>
      <c r="G106" s="53">
        <f>IF(AND(C106&gt;='②提成标准-B-a-①-增加'!$G$3,F106&gt;='②提成标准-B-a-①-增加'!$H$3,E106&gt;='②提成标准-B-a-①-增加'!$I$3,B106='②提成标准-B-a-①-增加'!$F$3),'②提成标准-B-a-①-增加'!$J$3,IF(AND(C106&gt;='②提成标准-B-a-①-增加'!$G$4,F106&gt;='②提成标准-B-a-①-增加'!$H$4,E106&gt;='②提成标准-B-a-①-增加'!$I$4,B106='②提成标准-B-a-①-增加'!$F$4),'②提成标准-B-a-①-增加'!$J$4,0))</f>
        <v>3.0000000000000001E-3</v>
      </c>
      <c r="H106" s="53">
        <f t="shared" si="1"/>
        <v>329.4</v>
      </c>
    </row>
    <row r="107" spans="1:8" x14ac:dyDescent="0.15">
      <c r="A107" s="53" t="str">
        <v>川师+门店T区</v>
      </c>
      <c r="B107" s="53">
        <f>SUMIFS(期初设置!$AB:$AB,期初设置!$F:$F,A107)</f>
        <v>0</v>
      </c>
      <c r="C107" s="53">
        <f>IF(B107&gt;1,SUMIFS(期初设置!S:S,期初设置!F:F,A107,期初设置!AB:AB,1),0)</f>
        <v>0</v>
      </c>
      <c r="D107" s="59">
        <f>IF(B107=3,LOOKUP(C107,'②提成标准-B-a-①-增加'!$B$3:$B$8,'②提成标准-B-a-①-增加'!$D$3:$D$8),IF(B107=2,LOOKUP(C107,'②提成标准-B-a-①-增加'!$B$10:$B$14,'②提成标准-B-a-①-增加'!$D$10:$D$14),IF(B107=1,LOOKUP(C107,'②提成标准-B-a-①-增加'!$B$16:$B$20,'②提成标准-B-a-①-增加'!$D$16:$D$20),0)))</f>
        <v>0</v>
      </c>
      <c r="E107" s="53">
        <f>SUMIFS(期初设置!$W:$W,期初设置!$F:$F,A107)</f>
        <v>0</v>
      </c>
      <c r="F107" s="59" t="str">
        <f>_xlfn.XLOOKUP(A107,期初设置!F:F,期初设置!AL:AL,0)</f>
        <v/>
      </c>
      <c r="G107" s="53">
        <f>IF(AND(C107&gt;='②提成标准-B-a-①-增加'!$G$3,F107&gt;='②提成标准-B-a-①-增加'!$H$3,E107&gt;='②提成标准-B-a-①-增加'!$I$3,B107='②提成标准-B-a-①-增加'!$F$3),'②提成标准-B-a-①-增加'!$J$3,IF(AND(C107&gt;='②提成标准-B-a-①-增加'!$G$4,F107&gt;='②提成标准-B-a-①-增加'!$H$4,E107&gt;='②提成标准-B-a-①-增加'!$I$4,B107='②提成标准-B-a-①-增加'!$F$4),'②提成标准-B-a-①-增加'!$J$4,0))</f>
        <v>0</v>
      </c>
      <c r="H107" s="53">
        <f t="shared" si="1"/>
        <v>0</v>
      </c>
    </row>
    <row r="108" spans="1:8" x14ac:dyDescent="0.15">
      <c r="A108" s="53" t="str">
        <v>明信+精英队</v>
      </c>
      <c r="B108" s="53">
        <f>SUMIFS(期初设置!$AB:$AB,期初设置!$F:$F,A108)</f>
        <v>2</v>
      </c>
      <c r="C108" s="53">
        <f>IF(B108&gt;1,SUMIFS(期初设置!S:S,期初设置!F:F,A108,期初设置!AB:AB,1),0)</f>
        <v>54294</v>
      </c>
      <c r="D108" s="59">
        <f>IF(B108=3,LOOKUP(C108,'②提成标准-B-a-①-增加'!$B$3:$B$8,'②提成标准-B-a-①-增加'!$D$3:$D$8),IF(B108=2,LOOKUP(C108,'②提成标准-B-a-①-增加'!$B$10:$B$14,'②提成标准-B-a-①-增加'!$D$10:$D$14),IF(B108=1,LOOKUP(C108,'②提成标准-B-a-①-增加'!$B$16:$B$20,'②提成标准-B-a-①-增加'!$D$16:$D$20),0)))</f>
        <v>0.04</v>
      </c>
      <c r="E108" s="53">
        <f>SUMIFS(期初设置!$W:$W,期初设置!$F:$F,A108)</f>
        <v>32404.069999999996</v>
      </c>
      <c r="F108" s="59">
        <f>_xlfn.XLOOKUP(A108,期初设置!F:F,期初设置!AL:AL,0)</f>
        <v>0.1881239179283162</v>
      </c>
      <c r="G108" s="53">
        <f>IF(AND(C108&gt;='②提成标准-B-a-①-增加'!$G$3,F108&gt;='②提成标准-B-a-①-增加'!$H$3,E108&gt;='②提成标准-B-a-①-增加'!$I$3,B108='②提成标准-B-a-①-增加'!$F$3),'②提成标准-B-a-①-增加'!$J$3,IF(AND(C108&gt;='②提成标准-B-a-①-增加'!$G$4,F108&gt;='②提成标准-B-a-①-增加'!$H$4,E108&gt;='②提成标准-B-a-①-增加'!$I$4,B108='②提成标准-B-a-①-增加'!$F$4),'②提成标准-B-a-①-增加'!$J$4,0))</f>
        <v>0</v>
      </c>
      <c r="H108" s="53">
        <f t="shared" si="1"/>
        <v>0</v>
      </c>
    </row>
    <row r="109" spans="1:8" x14ac:dyDescent="0.15">
      <c r="A109" s="53" t="str">
        <v>明信+T区</v>
      </c>
      <c r="B109" s="53">
        <f>SUMIFS(期初设置!$AB:$AB,期初设置!$F:$F,A109)</f>
        <v>0</v>
      </c>
      <c r="C109" s="53">
        <f>IF(B109&gt;1,SUMIFS(期初设置!S:S,期初设置!F:F,A109,期初设置!AB:AB,1),0)</f>
        <v>0</v>
      </c>
      <c r="D109" s="59">
        <f>IF(B109=3,LOOKUP(C109,'②提成标准-B-a-①-增加'!$B$3:$B$8,'②提成标准-B-a-①-增加'!$D$3:$D$8),IF(B109=2,LOOKUP(C109,'②提成标准-B-a-①-增加'!$B$10:$B$14,'②提成标准-B-a-①-增加'!$D$10:$D$14),IF(B109=1,LOOKUP(C109,'②提成标准-B-a-①-增加'!$B$16:$B$20,'②提成标准-B-a-①-增加'!$D$16:$D$20),0)))</f>
        <v>0</v>
      </c>
      <c r="E109" s="53">
        <f>SUMIFS(期初设置!$W:$W,期初设置!$F:$F,A109)</f>
        <v>4996.3</v>
      </c>
      <c r="F109" s="59" t="str">
        <f>_xlfn.XLOOKUP(A109,期初设置!F:F,期初设置!AL:AL,0)</f>
        <v/>
      </c>
      <c r="G109" s="53">
        <f>IF(AND(C109&gt;='②提成标准-B-a-①-增加'!$G$3,F109&gt;='②提成标准-B-a-①-增加'!$H$3,E109&gt;='②提成标准-B-a-①-增加'!$I$3,B109='②提成标准-B-a-①-增加'!$F$3),'②提成标准-B-a-①-增加'!$J$3,IF(AND(C109&gt;='②提成标准-B-a-①-增加'!$G$4,F109&gt;='②提成标准-B-a-①-增加'!$H$4,E109&gt;='②提成标准-B-a-①-增加'!$I$4,B109='②提成标准-B-a-①-增加'!$F$4),'②提成标准-B-a-①-增加'!$J$4,0))</f>
        <v>0</v>
      </c>
      <c r="H109" s="53">
        <f t="shared" si="1"/>
        <v>0</v>
      </c>
    </row>
    <row r="110" spans="1:8" x14ac:dyDescent="0.15">
      <c r="A110" s="53" t="str">
        <v>明信+单人</v>
      </c>
      <c r="B110" s="53">
        <f>SUMIFS(期初设置!$AB:$AB,期初设置!$F:$F,A110)</f>
        <v>0</v>
      </c>
      <c r="C110" s="53">
        <f>IF(B110&gt;1,SUMIFS(期初设置!S:S,期初设置!F:F,A110,期初设置!AB:AB,1),0)</f>
        <v>0</v>
      </c>
      <c r="D110" s="59">
        <f>IF(B110=3,LOOKUP(C110,'②提成标准-B-a-①-增加'!$B$3:$B$8,'②提成标准-B-a-①-增加'!$D$3:$D$8),IF(B110=2,LOOKUP(C110,'②提成标准-B-a-①-增加'!$B$10:$B$14,'②提成标准-B-a-①-增加'!$D$10:$D$14),IF(B110=1,LOOKUP(C110,'②提成标准-B-a-①-增加'!$B$16:$B$20,'②提成标准-B-a-①-增加'!$D$16:$D$20),0)))</f>
        <v>0</v>
      </c>
      <c r="E110" s="53">
        <f>SUMIFS(期初设置!$W:$W,期初设置!$F:$F,A110)</f>
        <v>20769.239999999998</v>
      </c>
      <c r="F110" s="59" t="str">
        <f>_xlfn.XLOOKUP(A110,期初设置!F:F,期初设置!AL:AL,0)</f>
        <v/>
      </c>
      <c r="G110" s="53">
        <f>IF(AND(C110&gt;='②提成标准-B-a-①-增加'!$G$3,F110&gt;='②提成标准-B-a-①-增加'!$H$3,E110&gt;='②提成标准-B-a-①-增加'!$I$3,B110='②提成标准-B-a-①-增加'!$F$3),'②提成标准-B-a-①-增加'!$J$3,IF(AND(C110&gt;='②提成标准-B-a-①-增加'!$G$4,F110&gt;='②提成标准-B-a-①-增加'!$H$4,E110&gt;='②提成标准-B-a-①-增加'!$I$4,B110='②提成标准-B-a-①-增加'!$F$4),'②提成标准-B-a-①-增加'!$J$4,0))</f>
        <v>0</v>
      </c>
      <c r="H110" s="53">
        <f t="shared" si="1"/>
        <v>0</v>
      </c>
    </row>
    <row r="111" spans="1:8" x14ac:dyDescent="0.15">
      <c r="A111" s="53" t="str">
        <v>明信+门店T区</v>
      </c>
      <c r="B111" s="53">
        <f>SUMIFS(期初设置!$AB:$AB,期初设置!$F:$F,A111)</f>
        <v>0</v>
      </c>
      <c r="C111" s="53">
        <f>IF(B111&gt;1,SUMIFS(期初设置!S:S,期初设置!F:F,A111,期初设置!AB:AB,1),0)</f>
        <v>0</v>
      </c>
      <c r="D111" s="59">
        <f>IF(B111=3,LOOKUP(C111,'②提成标准-B-a-①-增加'!$B$3:$B$8,'②提成标准-B-a-①-增加'!$D$3:$D$8),IF(B111=2,LOOKUP(C111,'②提成标准-B-a-①-增加'!$B$10:$B$14,'②提成标准-B-a-①-增加'!$D$10:$D$14),IF(B111=1,LOOKUP(C111,'②提成标准-B-a-①-增加'!$B$16:$B$20,'②提成标准-B-a-①-增加'!$D$16:$D$20),0)))</f>
        <v>0</v>
      </c>
      <c r="E111" s="53">
        <f>SUMIFS(期初设置!$W:$W,期初设置!$F:$F,A111)</f>
        <v>0</v>
      </c>
      <c r="F111" s="59" t="str">
        <f>_xlfn.XLOOKUP(A111,期初设置!F:F,期初设置!AL:AL,0)</f>
        <v/>
      </c>
      <c r="G111" s="53">
        <f>IF(AND(C111&gt;='②提成标准-B-a-①-增加'!$G$3,F111&gt;='②提成标准-B-a-①-增加'!$H$3,E111&gt;='②提成标准-B-a-①-增加'!$I$3,B111='②提成标准-B-a-①-增加'!$F$3),'②提成标准-B-a-①-增加'!$J$3,IF(AND(C111&gt;='②提成标准-B-a-①-增加'!$G$4,F111&gt;='②提成标准-B-a-①-增加'!$H$4,E111&gt;='②提成标准-B-a-①-增加'!$I$4,B111='②提成标准-B-a-①-增加'!$F$4),'②提成标准-B-a-①-增加'!$J$4,0))</f>
        <v>0</v>
      </c>
      <c r="H111" s="53">
        <f t="shared" si="1"/>
        <v>0</v>
      </c>
    </row>
    <row r="112" spans="1:8" x14ac:dyDescent="0.15">
      <c r="A112" s="53" t="str">
        <v>千禧+深藏不露队</v>
      </c>
      <c r="B112" s="53">
        <f>SUMIFS(期初设置!$AB:$AB,期初设置!$F:$F,A112)</f>
        <v>2</v>
      </c>
      <c r="C112" s="53">
        <f>IF(B112&gt;1,SUMIFS(期初设置!S:S,期初设置!F:F,A112,期初设置!AB:AB,1),0)</f>
        <v>61862.8</v>
      </c>
      <c r="D112" s="59">
        <f>IF(B112=3,LOOKUP(C112,'②提成标准-B-a-①-增加'!$B$3:$B$8,'②提成标准-B-a-①-增加'!$D$3:$D$8),IF(B112=2,LOOKUP(C112,'②提成标准-B-a-①-增加'!$B$10:$B$14,'②提成标准-B-a-①-增加'!$D$10:$D$14),IF(B112=1,LOOKUP(C112,'②提成标准-B-a-①-增加'!$B$16:$B$20,'②提成标准-B-a-①-增加'!$D$16:$D$20),0)))</f>
        <v>0.05</v>
      </c>
      <c r="E112" s="53">
        <f>SUMIFS(期初设置!$W:$W,期初设置!$F:$F,A112)</f>
        <v>32003.8</v>
      </c>
      <c r="F112" s="59">
        <f>_xlfn.XLOOKUP(A112,期初设置!F:F,期初设置!AL:AL,0)</f>
        <v>0.23126014341413581</v>
      </c>
      <c r="G112" s="53">
        <f>IF(AND(C112&gt;='②提成标准-B-a-①-增加'!$G$3,F112&gt;='②提成标准-B-a-①-增加'!$H$3,E112&gt;='②提成标准-B-a-①-增加'!$I$3,B112='②提成标准-B-a-①-增加'!$F$3),'②提成标准-B-a-①-增加'!$J$3,IF(AND(C112&gt;='②提成标准-B-a-①-增加'!$G$4,F112&gt;='②提成标准-B-a-①-增加'!$H$4,E112&gt;='②提成标准-B-a-①-增加'!$I$4,B112='②提成标准-B-a-①-增加'!$F$4),'②提成标准-B-a-①-增加'!$J$4,0))</f>
        <v>0</v>
      </c>
      <c r="H112" s="53">
        <f t="shared" si="1"/>
        <v>0</v>
      </c>
    </row>
    <row r="113" spans="1:8" x14ac:dyDescent="0.15">
      <c r="A113" s="53" t="str">
        <v>千禧+T区</v>
      </c>
      <c r="B113" s="53">
        <f>SUMIFS(期初设置!$AB:$AB,期初设置!$F:$F,A113)</f>
        <v>0</v>
      </c>
      <c r="C113" s="53">
        <f>IF(B113&gt;1,SUMIFS(期初设置!S:S,期初设置!F:F,A113,期初设置!AB:AB,1),0)</f>
        <v>0</v>
      </c>
      <c r="D113" s="59">
        <f>IF(B113=3,LOOKUP(C113,'②提成标准-B-a-①-增加'!$B$3:$B$8,'②提成标准-B-a-①-增加'!$D$3:$D$8),IF(B113=2,LOOKUP(C113,'②提成标准-B-a-①-增加'!$B$10:$B$14,'②提成标准-B-a-①-增加'!$D$10:$D$14),IF(B113=1,LOOKUP(C113,'②提成标准-B-a-①-增加'!$B$16:$B$20,'②提成标准-B-a-①-增加'!$D$16:$D$20),0)))</f>
        <v>0</v>
      </c>
      <c r="E113" s="53">
        <f>SUMIFS(期初设置!$W:$W,期初设置!$F:$F,A113)</f>
        <v>2797.5</v>
      </c>
      <c r="F113" s="59" t="str">
        <f>_xlfn.XLOOKUP(A113,期初设置!F:F,期初设置!AL:AL,0)</f>
        <v/>
      </c>
      <c r="G113" s="53">
        <f>IF(AND(C113&gt;='②提成标准-B-a-①-增加'!$G$3,F113&gt;='②提成标准-B-a-①-增加'!$H$3,E113&gt;='②提成标准-B-a-①-增加'!$I$3,B113='②提成标准-B-a-①-增加'!$F$3),'②提成标准-B-a-①-增加'!$J$3,IF(AND(C113&gt;='②提成标准-B-a-①-增加'!$G$4,F113&gt;='②提成标准-B-a-①-增加'!$H$4,E113&gt;='②提成标准-B-a-①-增加'!$I$4,B113='②提成标准-B-a-①-增加'!$F$4),'②提成标准-B-a-①-增加'!$J$4,0))</f>
        <v>0</v>
      </c>
      <c r="H113" s="53">
        <f t="shared" si="1"/>
        <v>0</v>
      </c>
    </row>
    <row r="114" spans="1:8" x14ac:dyDescent="0.15">
      <c r="A114" s="53" t="str">
        <v>千禧+无敌队</v>
      </c>
      <c r="B114" s="53">
        <f>SUMIFS(期初设置!$AB:$AB,期初设置!$F:$F,A114)</f>
        <v>3</v>
      </c>
      <c r="C114" s="53">
        <f>IF(B114&gt;1,SUMIFS(期初设置!S:S,期初设置!F:F,A114,期初设置!AB:AB,1),0)</f>
        <v>72216.2</v>
      </c>
      <c r="D114" s="59">
        <f>IF(B114=3,LOOKUP(C114,'②提成标准-B-a-①-增加'!$B$3:$B$8,'②提成标准-B-a-①-增加'!$D$3:$D$8),IF(B114=2,LOOKUP(C114,'②提成标准-B-a-①-增加'!$B$10:$B$14,'②提成标准-B-a-①-增加'!$D$10:$D$14),IF(B114=1,LOOKUP(C114,'②提成标准-B-a-①-增加'!$B$16:$B$20,'②提成标准-B-a-①-增加'!$D$16:$D$20),0)))</f>
        <v>0.04</v>
      </c>
      <c r="E114" s="53">
        <f>SUMIFS(期初设置!$W:$W,期初设置!$F:$F,A114)</f>
        <v>78094.679999999993</v>
      </c>
      <c r="F114" s="59">
        <f>_xlfn.XLOOKUP(A114,期初设置!F:F,期初设置!AL:AL,0)</f>
        <v>0</v>
      </c>
      <c r="G114" s="53">
        <f>IF(AND(C114&gt;='②提成标准-B-a-①-增加'!$G$3,F114&gt;='②提成标准-B-a-①-增加'!$H$3,E114&gt;='②提成标准-B-a-①-增加'!$I$3,B114='②提成标准-B-a-①-增加'!$F$3),'②提成标准-B-a-①-增加'!$J$3,IF(AND(C114&gt;='②提成标准-B-a-①-增加'!$G$4,F114&gt;='②提成标准-B-a-①-增加'!$H$4,E114&gt;='②提成标准-B-a-①-增加'!$I$4,B114='②提成标准-B-a-①-增加'!$F$4),'②提成标准-B-a-①-增加'!$J$4,0))</f>
        <v>0</v>
      </c>
      <c r="H114" s="53">
        <f t="shared" si="1"/>
        <v>0</v>
      </c>
    </row>
    <row r="115" spans="1:8" x14ac:dyDescent="0.15">
      <c r="A115" s="53" t="str">
        <v>千禧+门店T区</v>
      </c>
      <c r="B115" s="53">
        <f>SUMIFS(期初设置!$AB:$AB,期初设置!$F:$F,A115)</f>
        <v>0</v>
      </c>
      <c r="C115" s="53">
        <f>IF(B115&gt;1,SUMIFS(期初设置!S:S,期初设置!F:F,A115,期初设置!AB:AB,1),0)</f>
        <v>0</v>
      </c>
      <c r="D115" s="59">
        <f>IF(B115=3,LOOKUP(C115,'②提成标准-B-a-①-增加'!$B$3:$B$8,'②提成标准-B-a-①-增加'!$D$3:$D$8),IF(B115=2,LOOKUP(C115,'②提成标准-B-a-①-增加'!$B$10:$B$14,'②提成标准-B-a-①-增加'!$D$10:$D$14),IF(B115=1,LOOKUP(C115,'②提成标准-B-a-①-增加'!$B$16:$B$20,'②提成标准-B-a-①-增加'!$D$16:$D$20),0)))</f>
        <v>0</v>
      </c>
      <c r="E115" s="53">
        <f>SUMIFS(期初设置!$W:$W,期初设置!$F:$F,A115)</f>
        <v>0</v>
      </c>
      <c r="F115" s="59" t="str">
        <f>_xlfn.XLOOKUP(A115,期初设置!F:F,期初设置!AL:AL,0)</f>
        <v/>
      </c>
      <c r="G115" s="53">
        <f>IF(AND(C115&gt;='②提成标准-B-a-①-增加'!$G$3,F115&gt;='②提成标准-B-a-①-增加'!$H$3,E115&gt;='②提成标准-B-a-①-增加'!$I$3,B115='②提成标准-B-a-①-增加'!$F$3),'②提成标准-B-a-①-增加'!$J$3,IF(AND(C115&gt;='②提成标准-B-a-①-增加'!$G$4,F115&gt;='②提成标准-B-a-①-增加'!$H$4,E115&gt;='②提成标准-B-a-①-增加'!$I$4,B115='②提成标准-B-a-①-增加'!$F$4),'②提成标准-B-a-①-增加'!$J$4,0))</f>
        <v>0</v>
      </c>
      <c r="H115" s="53">
        <f t="shared" si="1"/>
        <v>0</v>
      </c>
    </row>
    <row r="116" spans="1:8" x14ac:dyDescent="0.15">
      <c r="A116" s="53" t="str">
        <v>大丰+冲锋队</v>
      </c>
      <c r="B116" s="53">
        <f>SUMIFS(期初设置!$AB:$AB,期初设置!$F:$F,A116)</f>
        <v>3</v>
      </c>
      <c r="C116" s="53">
        <f>IF(B116&gt;1,SUMIFS(期初设置!S:S,期初设置!F:F,A116,期初设置!AB:AB,1),0)</f>
        <v>144762.20000000001</v>
      </c>
      <c r="D116" s="59">
        <f>IF(B116=3,LOOKUP(C116,'②提成标准-B-a-①-增加'!$B$3:$B$8,'②提成标准-B-a-①-增加'!$D$3:$D$8),IF(B116=2,LOOKUP(C116,'②提成标准-B-a-①-增加'!$B$10:$B$14,'②提成标准-B-a-①-增加'!$D$10:$D$14),IF(B116=1,LOOKUP(C116,'②提成标准-B-a-①-增加'!$B$16:$B$20,'②提成标准-B-a-①-增加'!$D$16:$D$20),0)))</f>
        <v>0.06</v>
      </c>
      <c r="E116" s="53">
        <f>SUMIFS(期初设置!$W:$W,期初设置!$F:$F,A116)</f>
        <v>79439.03</v>
      </c>
      <c r="F116" s="59">
        <f>_xlfn.XLOOKUP(A116,期初设置!F:F,期初设置!AL:AL,0)</f>
        <v>0.44367479908429136</v>
      </c>
      <c r="G116" s="53">
        <f>IF(AND(C116&gt;='②提成标准-B-a-①-增加'!$G$3,F116&gt;='②提成标准-B-a-①-增加'!$H$3,E116&gt;='②提成标准-B-a-①-增加'!$I$3,B116='②提成标准-B-a-①-增加'!$F$3),'②提成标准-B-a-①-增加'!$J$3,IF(AND(C116&gt;='②提成标准-B-a-①-增加'!$G$4,F116&gt;='②提成标准-B-a-①-增加'!$H$4,E116&gt;='②提成标准-B-a-①-增加'!$I$4,B116='②提成标准-B-a-①-增加'!$F$4),'②提成标准-B-a-①-增加'!$J$4,0))</f>
        <v>8.0000000000000002E-3</v>
      </c>
      <c r="H116" s="53">
        <f t="shared" si="1"/>
        <v>1158.0999999999999</v>
      </c>
    </row>
    <row r="117" spans="1:8" x14ac:dyDescent="0.15">
      <c r="A117" s="53" t="str">
        <v>大丰+T区</v>
      </c>
      <c r="B117" s="53">
        <f>SUMIFS(期初设置!$AB:$AB,期初设置!$F:$F,A117)</f>
        <v>0</v>
      </c>
      <c r="C117" s="53">
        <f>IF(B117&gt;1,SUMIFS(期初设置!S:S,期初设置!F:F,A117,期初设置!AB:AB,1),0)</f>
        <v>0</v>
      </c>
      <c r="D117" s="59">
        <f>IF(B117=3,LOOKUP(C117,'②提成标准-B-a-①-增加'!$B$3:$B$8,'②提成标准-B-a-①-增加'!$D$3:$D$8),IF(B117=2,LOOKUP(C117,'②提成标准-B-a-①-增加'!$B$10:$B$14,'②提成标准-B-a-①-增加'!$D$10:$D$14),IF(B117=1,LOOKUP(C117,'②提成标准-B-a-①-增加'!$B$16:$B$20,'②提成标准-B-a-①-增加'!$D$16:$D$20),0)))</f>
        <v>0</v>
      </c>
      <c r="E117" s="53">
        <f>SUMIFS(期初设置!$W:$W,期初设置!$F:$F,A117)</f>
        <v>50751.5</v>
      </c>
      <c r="F117" s="59" t="str">
        <f>_xlfn.XLOOKUP(A117,期初设置!F:F,期初设置!AL:AL,0)</f>
        <v/>
      </c>
      <c r="G117" s="53">
        <f>IF(AND(C117&gt;='②提成标准-B-a-①-增加'!$G$3,F117&gt;='②提成标准-B-a-①-增加'!$H$3,E117&gt;='②提成标准-B-a-①-增加'!$I$3,B117='②提成标准-B-a-①-增加'!$F$3),'②提成标准-B-a-①-增加'!$J$3,IF(AND(C117&gt;='②提成标准-B-a-①-增加'!$G$4,F117&gt;='②提成标准-B-a-①-增加'!$H$4,E117&gt;='②提成标准-B-a-①-增加'!$I$4,B117='②提成标准-B-a-①-增加'!$F$4),'②提成标准-B-a-①-增加'!$J$4,0))</f>
        <v>0</v>
      </c>
      <c r="H117" s="53">
        <f t="shared" si="1"/>
        <v>0</v>
      </c>
    </row>
    <row r="118" spans="1:8" x14ac:dyDescent="0.15">
      <c r="A118" s="53" t="str">
        <v>大丰+精英队</v>
      </c>
      <c r="B118" s="53">
        <f>SUMIFS(期初设置!$AB:$AB,期初设置!$F:$F,A118)</f>
        <v>2</v>
      </c>
      <c r="C118" s="53">
        <f>IF(B118&gt;1,SUMIFS(期初设置!S:S,期初设置!F:F,A118,期初设置!AB:AB,1),0)</f>
        <v>51551.3</v>
      </c>
      <c r="D118" s="59">
        <f>IF(B118=3,LOOKUP(C118,'②提成标准-B-a-①-增加'!$B$3:$B$8,'②提成标准-B-a-①-增加'!$D$3:$D$8),IF(B118=2,LOOKUP(C118,'②提成标准-B-a-①-增加'!$B$10:$B$14,'②提成标准-B-a-①-增加'!$D$10:$D$14),IF(B118=1,LOOKUP(C118,'②提成标准-B-a-①-增加'!$B$16:$B$20,'②提成标准-B-a-①-增加'!$D$16:$D$20),0)))</f>
        <v>0.04</v>
      </c>
      <c r="E118" s="53">
        <f>SUMIFS(期初设置!$W:$W,期初设置!$F:$F,A118)</f>
        <v>63645.729999999996</v>
      </c>
      <c r="F118" s="59">
        <f>_xlfn.XLOOKUP(A118,期初设置!F:F,期初设置!AL:AL,0)</f>
        <v>0.26952569576324942</v>
      </c>
      <c r="G118" s="53">
        <f>IF(AND(C118&gt;='②提成标准-B-a-①-增加'!$G$3,F118&gt;='②提成标准-B-a-①-增加'!$H$3,E118&gt;='②提成标准-B-a-①-增加'!$I$3,B118='②提成标准-B-a-①-增加'!$F$3),'②提成标准-B-a-①-增加'!$J$3,IF(AND(C118&gt;='②提成标准-B-a-①-增加'!$G$4,F118&gt;='②提成标准-B-a-①-增加'!$H$4,E118&gt;='②提成标准-B-a-①-增加'!$I$4,B118='②提成标准-B-a-①-增加'!$F$4),'②提成标准-B-a-①-增加'!$J$4,0))</f>
        <v>0</v>
      </c>
      <c r="H118" s="53">
        <f t="shared" si="1"/>
        <v>0</v>
      </c>
    </row>
    <row r="119" spans="1:8" x14ac:dyDescent="0.15">
      <c r="A119" s="53" t="str">
        <v>大丰+门店T区</v>
      </c>
      <c r="B119" s="53">
        <f>SUMIFS(期初设置!$AB:$AB,期初设置!$F:$F,A119)</f>
        <v>0</v>
      </c>
      <c r="C119" s="53">
        <f>IF(B119&gt;1,SUMIFS(期初设置!S:S,期初设置!F:F,A119,期初设置!AB:AB,1),0)</f>
        <v>0</v>
      </c>
      <c r="D119" s="59">
        <f>IF(B119=3,LOOKUP(C119,'②提成标准-B-a-①-增加'!$B$3:$B$8,'②提成标准-B-a-①-增加'!$D$3:$D$8),IF(B119=2,LOOKUP(C119,'②提成标准-B-a-①-增加'!$B$10:$B$14,'②提成标准-B-a-①-增加'!$D$10:$D$14),IF(B119=1,LOOKUP(C119,'②提成标准-B-a-①-增加'!$B$16:$B$20,'②提成标准-B-a-①-增加'!$D$16:$D$20),0)))</f>
        <v>0</v>
      </c>
      <c r="E119" s="53">
        <f>SUMIFS(期初设置!$W:$W,期初设置!$F:$F,A119)</f>
        <v>0</v>
      </c>
      <c r="F119" s="59" t="str">
        <f>_xlfn.XLOOKUP(A119,期初设置!F:F,期初设置!AL:AL,0)</f>
        <v/>
      </c>
      <c r="G119" s="53">
        <f>IF(AND(C119&gt;='②提成标准-B-a-①-增加'!$G$3,F119&gt;='②提成标准-B-a-①-增加'!$H$3,E119&gt;='②提成标准-B-a-①-增加'!$I$3,B119='②提成标准-B-a-①-增加'!$F$3),'②提成标准-B-a-①-增加'!$J$3,IF(AND(C119&gt;='②提成标准-B-a-①-增加'!$G$4,F119&gt;='②提成标准-B-a-①-增加'!$H$4,E119&gt;='②提成标准-B-a-①-增加'!$I$4,B119='②提成标准-B-a-①-增加'!$F$4),'②提成标准-B-a-①-增加'!$J$4,0))</f>
        <v>0</v>
      </c>
      <c r="H119" s="53">
        <f t="shared" si="1"/>
        <v>0</v>
      </c>
    </row>
    <row r="120" spans="1:8" x14ac:dyDescent="0.15">
      <c r="A120" s="53" t="str">
        <v>凤凰山+冲锋队</v>
      </c>
      <c r="B120" s="53">
        <f>SUMIFS(期初设置!$AB:$AB,期初设置!$F:$F,A120)</f>
        <v>3</v>
      </c>
      <c r="C120" s="53">
        <f>IF(B120&gt;1,SUMIFS(期初设置!S:S,期初设置!F:F,A120,期初设置!AB:AB,1),0)</f>
        <v>106547</v>
      </c>
      <c r="D120" s="59">
        <f>IF(B120=3,LOOKUP(C120,'②提成标准-B-a-①-增加'!$B$3:$B$8,'②提成标准-B-a-①-增加'!$D$3:$D$8),IF(B120=2,LOOKUP(C120,'②提成标准-B-a-①-增加'!$B$10:$B$14,'②提成标准-B-a-①-增加'!$D$10:$D$14),IF(B120=1,LOOKUP(C120,'②提成标准-B-a-①-增加'!$B$16:$B$20,'②提成标准-B-a-①-增加'!$D$16:$D$20),0)))</f>
        <v>0.05</v>
      </c>
      <c r="E120" s="53">
        <f>SUMIFS(期初设置!$W:$W,期初设置!$F:$F,A120)</f>
        <v>37492.880000000005</v>
      </c>
      <c r="F120" s="59">
        <f>_xlfn.XLOOKUP(A120,期初设置!F:F,期初设置!AL:AL,0)</f>
        <v>0.22143936478737081</v>
      </c>
      <c r="G120" s="53">
        <f>IF(AND(C120&gt;='②提成标准-B-a-①-增加'!$G$3,F120&gt;='②提成标准-B-a-①-增加'!$H$3,E120&gt;='②提成标准-B-a-①-增加'!$I$3,B120='②提成标准-B-a-①-增加'!$F$3),'②提成标准-B-a-①-增加'!$J$3,IF(AND(C120&gt;='②提成标准-B-a-①-增加'!$G$4,F120&gt;='②提成标准-B-a-①-增加'!$H$4,E120&gt;='②提成标准-B-a-①-增加'!$I$4,B120='②提成标准-B-a-①-增加'!$F$4),'②提成标准-B-a-①-增加'!$J$4,0))</f>
        <v>0</v>
      </c>
      <c r="H120" s="53">
        <f t="shared" si="1"/>
        <v>0</v>
      </c>
    </row>
    <row r="121" spans="1:8" x14ac:dyDescent="0.15">
      <c r="A121" s="53" t="str">
        <v>凤凰山+T区</v>
      </c>
      <c r="B121" s="53">
        <f>SUMIFS(期初设置!$AB:$AB,期初设置!$F:$F,A121)</f>
        <v>0</v>
      </c>
      <c r="C121" s="53">
        <f>IF(B121&gt;1,SUMIFS(期初设置!S:S,期初设置!F:F,A121,期初设置!AB:AB,1),0)</f>
        <v>0</v>
      </c>
      <c r="D121" s="59">
        <f>IF(B121=3,LOOKUP(C121,'②提成标准-B-a-①-增加'!$B$3:$B$8,'②提成标准-B-a-①-增加'!$D$3:$D$8),IF(B121=2,LOOKUP(C121,'②提成标准-B-a-①-增加'!$B$10:$B$14,'②提成标准-B-a-①-增加'!$D$10:$D$14),IF(B121=1,LOOKUP(C121,'②提成标准-B-a-①-增加'!$B$16:$B$20,'②提成标准-B-a-①-增加'!$D$16:$D$20),0)))</f>
        <v>0</v>
      </c>
      <c r="E121" s="53">
        <f>SUMIFS(期初设置!$W:$W,期初设置!$F:$F,A121)</f>
        <v>15219</v>
      </c>
      <c r="F121" s="59" t="str">
        <f>_xlfn.XLOOKUP(A121,期初设置!F:F,期初设置!AL:AL,0)</f>
        <v/>
      </c>
      <c r="G121" s="53">
        <f>IF(AND(C121&gt;='②提成标准-B-a-①-增加'!$G$3,F121&gt;='②提成标准-B-a-①-增加'!$H$3,E121&gt;='②提成标准-B-a-①-增加'!$I$3,B121='②提成标准-B-a-①-增加'!$F$3),'②提成标准-B-a-①-增加'!$J$3,IF(AND(C121&gt;='②提成标准-B-a-①-增加'!$G$4,F121&gt;='②提成标准-B-a-①-增加'!$H$4,E121&gt;='②提成标准-B-a-①-增加'!$I$4,B121='②提成标准-B-a-①-增加'!$F$4),'②提成标准-B-a-①-增加'!$J$4,0))</f>
        <v>0</v>
      </c>
      <c r="H121" s="53">
        <f t="shared" si="1"/>
        <v>0</v>
      </c>
    </row>
    <row r="122" spans="1:8" x14ac:dyDescent="0.15">
      <c r="A122" s="53" t="str">
        <v>凤凰山+凤羽队</v>
      </c>
      <c r="B122" s="53">
        <f>SUMIFS(期初设置!$AB:$AB,期初设置!$F:$F,A122)</f>
        <v>2</v>
      </c>
      <c r="C122" s="53">
        <f>IF(B122&gt;1,SUMIFS(期初设置!S:S,期初设置!F:F,A122,期初设置!AB:AB,1),0)</f>
        <v>66307.8</v>
      </c>
      <c r="D122" s="59">
        <f>IF(B122=3,LOOKUP(C122,'②提成标准-B-a-①-增加'!$B$3:$B$8,'②提成标准-B-a-①-增加'!$D$3:$D$8),IF(B122=2,LOOKUP(C122,'②提成标准-B-a-①-增加'!$B$10:$B$14,'②提成标准-B-a-①-增加'!$D$10:$D$14),IF(B122=1,LOOKUP(C122,'②提成标准-B-a-①-增加'!$B$16:$B$20,'②提成标准-B-a-①-增加'!$D$16:$D$20),0)))</f>
        <v>0.05</v>
      </c>
      <c r="E122" s="53">
        <f>SUMIFS(期初设置!$W:$W,期初设置!$F:$F,A122)</f>
        <v>35984.69</v>
      </c>
      <c r="F122" s="59">
        <f>_xlfn.XLOOKUP(A122,期初设置!F:F,期初设置!AL:AL,0)</f>
        <v>0.13169943807515858</v>
      </c>
      <c r="G122" s="53">
        <f>IF(AND(C122&gt;='②提成标准-B-a-①-增加'!$G$3,F122&gt;='②提成标准-B-a-①-增加'!$H$3,E122&gt;='②提成标准-B-a-①-增加'!$I$3,B122='②提成标准-B-a-①-增加'!$F$3),'②提成标准-B-a-①-增加'!$J$3,IF(AND(C122&gt;='②提成标准-B-a-①-增加'!$G$4,F122&gt;='②提成标准-B-a-①-增加'!$H$4,E122&gt;='②提成标准-B-a-①-增加'!$I$4,B122='②提成标准-B-a-①-增加'!$F$4),'②提成标准-B-a-①-增加'!$J$4,0))</f>
        <v>0</v>
      </c>
      <c r="H122" s="53">
        <f t="shared" si="1"/>
        <v>0</v>
      </c>
    </row>
    <row r="123" spans="1:8" x14ac:dyDescent="0.15">
      <c r="A123" s="53" t="str">
        <v>凤凰山+门店T区</v>
      </c>
      <c r="B123" s="53">
        <f>SUMIFS(期初设置!$AB:$AB,期初设置!$F:$F,A123)</f>
        <v>0</v>
      </c>
      <c r="C123" s="53">
        <f>IF(B123&gt;1,SUMIFS(期初设置!S:S,期初设置!F:F,A123,期初设置!AB:AB,1),0)</f>
        <v>0</v>
      </c>
      <c r="D123" s="59">
        <f>IF(B123=3,LOOKUP(C123,'②提成标准-B-a-①-增加'!$B$3:$B$8,'②提成标准-B-a-①-增加'!$D$3:$D$8),IF(B123=2,LOOKUP(C123,'②提成标准-B-a-①-增加'!$B$10:$B$14,'②提成标准-B-a-①-增加'!$D$10:$D$14),IF(B123=1,LOOKUP(C123,'②提成标准-B-a-①-增加'!$B$16:$B$20,'②提成标准-B-a-①-增加'!$D$16:$D$20),0)))</f>
        <v>0</v>
      </c>
      <c r="E123" s="53">
        <f>SUMIFS(期初设置!$W:$W,期初设置!$F:$F,A123)</f>
        <v>0</v>
      </c>
      <c r="F123" s="59" t="str">
        <f>_xlfn.XLOOKUP(A123,期初设置!F:F,期初设置!AL:AL,0)</f>
        <v/>
      </c>
      <c r="G123" s="53">
        <f>IF(AND(C123&gt;='②提成标准-B-a-①-增加'!$G$3,F123&gt;='②提成标准-B-a-①-增加'!$H$3,E123&gt;='②提成标准-B-a-①-增加'!$I$3,B123='②提成标准-B-a-①-增加'!$F$3),'②提成标准-B-a-①-增加'!$J$3,IF(AND(C123&gt;='②提成标准-B-a-①-增加'!$G$4,F123&gt;='②提成标准-B-a-①-增加'!$H$4,E123&gt;='②提成标准-B-a-①-增加'!$I$4,B123='②提成标准-B-a-①-增加'!$F$4),'②提成标准-B-a-①-增加'!$J$4,0))</f>
        <v>0</v>
      </c>
      <c r="H123" s="53">
        <f t="shared" si="1"/>
        <v>0</v>
      </c>
    </row>
    <row r="124" spans="1:8" x14ac:dyDescent="0.15">
      <c r="A124" s="53" t="str">
        <v>川音+T区</v>
      </c>
      <c r="B124" s="53">
        <f>SUMIFS(期初设置!$AB:$AB,期初设置!$F:$F,A124)</f>
        <v>0</v>
      </c>
      <c r="C124" s="53">
        <f>IF(B124&gt;1,SUMIFS(期初设置!S:S,期初设置!F:F,A124,期初设置!AB:AB,1),0)</f>
        <v>0</v>
      </c>
      <c r="D124" s="59">
        <f>IF(B124=3,LOOKUP(C124,'②提成标准-B-a-①-增加'!$B$3:$B$8,'②提成标准-B-a-①-增加'!$D$3:$D$8),IF(B124=2,LOOKUP(C124,'②提成标准-B-a-①-增加'!$B$10:$B$14,'②提成标准-B-a-①-增加'!$D$10:$D$14),IF(B124=1,LOOKUP(C124,'②提成标准-B-a-①-增加'!$B$16:$B$20,'②提成标准-B-a-①-增加'!$D$16:$D$20),0)))</f>
        <v>0</v>
      </c>
      <c r="E124" s="53">
        <f>SUMIFS(期初设置!$W:$W,期初设置!$F:$F,A124)</f>
        <v>80699</v>
      </c>
      <c r="F124" s="59" t="str">
        <f>_xlfn.XLOOKUP(A124,期初设置!F:F,期初设置!AL:AL,0)</f>
        <v/>
      </c>
      <c r="G124" s="53">
        <f>IF(AND(C124&gt;='②提成标准-B-a-①-增加'!$G$3,F124&gt;='②提成标准-B-a-①-增加'!$H$3,E124&gt;='②提成标准-B-a-①-增加'!$I$3,B124='②提成标准-B-a-①-增加'!$F$3),'②提成标准-B-a-①-增加'!$J$3,IF(AND(C124&gt;='②提成标准-B-a-①-增加'!$G$4,F124&gt;='②提成标准-B-a-①-增加'!$H$4,E124&gt;='②提成标准-B-a-①-增加'!$I$4,B124='②提成标准-B-a-①-增加'!$F$4),'②提成标准-B-a-①-增加'!$J$4,0))</f>
        <v>0</v>
      </c>
      <c r="H124" s="53">
        <f t="shared" si="1"/>
        <v>0</v>
      </c>
    </row>
    <row r="125" spans="1:8" x14ac:dyDescent="0.15">
      <c r="A125" s="53" t="str">
        <v>龙城国际+T区</v>
      </c>
      <c r="B125" s="53">
        <f>SUMIFS(期初设置!$AB:$AB,期初设置!$F:$F,A125)</f>
        <v>0</v>
      </c>
      <c r="C125" s="53">
        <f>IF(B125&gt;1,SUMIFS(期初设置!S:S,期初设置!F:F,A125,期初设置!AB:AB,1),0)</f>
        <v>0</v>
      </c>
      <c r="D125" s="59">
        <f>IF(B125=3,LOOKUP(C125,'②提成标准-B-a-①-增加'!$B$3:$B$8,'②提成标准-B-a-①-增加'!$D$3:$D$8),IF(B125=2,LOOKUP(C125,'②提成标准-B-a-①-增加'!$B$10:$B$14,'②提成标准-B-a-①-增加'!$D$10:$D$14),IF(B125=1,LOOKUP(C125,'②提成标准-B-a-①-增加'!$B$16:$B$20,'②提成标准-B-a-①-增加'!$D$16:$D$20),0)))</f>
        <v>0</v>
      </c>
      <c r="E125" s="53">
        <f>SUMIFS(期初设置!$W:$W,期初设置!$F:$F,A125)</f>
        <v>68388</v>
      </c>
      <c r="F125" s="59" t="str">
        <f>_xlfn.XLOOKUP(A125,期初设置!F:F,期初设置!AL:AL,0)</f>
        <v/>
      </c>
      <c r="G125" s="53">
        <f>IF(AND(C125&gt;='②提成标准-B-a-①-增加'!$G$3,F125&gt;='②提成标准-B-a-①-增加'!$H$3,E125&gt;='②提成标准-B-a-①-增加'!$I$3,B125='②提成标准-B-a-①-增加'!$F$3),'②提成标准-B-a-①-增加'!$J$3,IF(AND(C125&gt;='②提成标准-B-a-①-增加'!$G$4,F125&gt;='②提成标准-B-a-①-增加'!$H$4,E125&gt;='②提成标准-B-a-①-增加'!$I$4,B125='②提成标准-B-a-①-增加'!$F$4),'②提成标准-B-a-①-增加'!$J$4,0))</f>
        <v>0</v>
      </c>
      <c r="H125" s="53">
        <f t="shared" si="1"/>
        <v>0</v>
      </c>
    </row>
    <row r="126" spans="1:8" x14ac:dyDescent="0.15">
      <c r="A126" s="53" t="str">
        <v>大源+单人</v>
      </c>
      <c r="B126" s="53">
        <f>SUMIFS(期初设置!$AB:$AB,期初设置!$F:$F,A126)</f>
        <v>0</v>
      </c>
      <c r="C126" s="53">
        <f>IF(B126&gt;1,SUMIFS(期初设置!S:S,期初设置!F:F,A126,期初设置!AB:AB,1),0)</f>
        <v>0</v>
      </c>
      <c r="D126" s="59">
        <f>IF(B126=3,LOOKUP(C126,'②提成标准-B-a-①-增加'!$B$3:$B$8,'②提成标准-B-a-①-增加'!$D$3:$D$8),IF(B126=2,LOOKUP(C126,'②提成标准-B-a-①-增加'!$B$10:$B$14,'②提成标准-B-a-①-增加'!$D$10:$D$14),IF(B126=1,LOOKUP(C126,'②提成标准-B-a-①-增加'!$B$16:$B$20,'②提成标准-B-a-①-增加'!$D$16:$D$20),0)))</f>
        <v>0</v>
      </c>
      <c r="E126" s="53">
        <f>SUMIFS(期初设置!$W:$W,期初设置!$F:$F,A126)</f>
        <v>81.13</v>
      </c>
      <c r="F126" s="59" t="str">
        <f>_xlfn.XLOOKUP(A126,期初设置!F:F,期初设置!AL:AL,0)</f>
        <v/>
      </c>
      <c r="G126" s="53">
        <f>IF(AND(C126&gt;='②提成标准-B-a-①-增加'!$G$3,F126&gt;='②提成标准-B-a-①-增加'!$H$3,E126&gt;='②提成标准-B-a-①-增加'!$I$3,B126='②提成标准-B-a-①-增加'!$F$3),'②提成标准-B-a-①-增加'!$J$3,IF(AND(C126&gt;='②提成标准-B-a-①-增加'!$G$4,F126&gt;='②提成标准-B-a-①-增加'!$H$4,E126&gt;='②提成标准-B-a-①-增加'!$I$4,B126='②提成标准-B-a-①-增加'!$F$4),'②提成标准-B-a-①-增加'!$J$4,0))</f>
        <v>0</v>
      </c>
      <c r="H126" s="53">
        <f t="shared" si="1"/>
        <v>0</v>
      </c>
    </row>
    <row r="127" spans="1:8" x14ac:dyDescent="0.15">
      <c r="B127" s="53">
        <f>SUMIFS(期初设置!$AB:$AB,期初设置!$F:$F,A127)</f>
        <v>0</v>
      </c>
      <c r="C127" s="53">
        <f>IF(B127&gt;1,SUMIFS(期初设置!S:S,期初设置!F:F,A127,期初设置!AB:AB,1),0)</f>
        <v>0</v>
      </c>
      <c r="D127" s="59">
        <f>IF(B127=3,LOOKUP(C127,'②提成标准-B-a-①-增加'!$B$3:$B$8,'②提成标准-B-a-①-增加'!$D$3:$D$8),IF(B127=2,LOOKUP(C127,'②提成标准-B-a-①-增加'!$B$10:$B$14,'②提成标准-B-a-①-增加'!$D$10:$D$14),IF(B127=1,LOOKUP(C127,'②提成标准-B-a-①-增加'!$B$16:$B$20,'②提成标准-B-a-①-增加'!$D$16:$D$20),0)))</f>
        <v>0</v>
      </c>
      <c r="E127" s="53">
        <f>SUMIFS(期初设置!$W:$W,期初设置!$F:$F,A127)</f>
        <v>0</v>
      </c>
      <c r="F127" s="59">
        <f>_xlfn.XLOOKUP(A127,期初设置!F:F,期初设置!AL:AL,0)</f>
        <v>0</v>
      </c>
      <c r="G127" s="53">
        <f>IF(AND(C127&gt;='②提成标准-B-a-①-增加'!$G$3,F127&gt;='②提成标准-B-a-①-增加'!$H$3,E127&gt;='②提成标准-B-a-①-增加'!$I$3,B127='②提成标准-B-a-①-增加'!$F$3),'②提成标准-B-a-①-增加'!$J$3,IF(AND(C127&gt;='②提成标准-B-a-①-增加'!$G$4,F127&gt;='②提成标准-B-a-①-增加'!$H$4,E127&gt;='②提成标准-B-a-①-增加'!$I$4,B127='②提成标准-B-a-①-增加'!$F$4),'②提成标准-B-a-①-增加'!$J$4,0))</f>
        <v>0</v>
      </c>
      <c r="H127" s="53">
        <f t="shared" si="1"/>
        <v>0</v>
      </c>
    </row>
    <row r="128" spans="1:8" x14ac:dyDescent="0.15">
      <c r="B128" s="53">
        <f>SUMIFS(期初设置!$AB:$AB,期初设置!$F:$F,A128)</f>
        <v>0</v>
      </c>
      <c r="C128" s="53">
        <f>IF(B128&gt;1,SUMIFS(期初设置!S:S,期初设置!F:F,A128,期初设置!AB:AB,1),0)</f>
        <v>0</v>
      </c>
      <c r="D128" s="59">
        <f>IF(B128=3,LOOKUP(C128,'②提成标准-B-a-①-增加'!$B$3:$B$8,'②提成标准-B-a-①-增加'!$D$3:$D$8),IF(B128=2,LOOKUP(C128,'②提成标准-B-a-①-增加'!$B$10:$B$14,'②提成标准-B-a-①-增加'!$D$10:$D$14),IF(B128=1,LOOKUP(C128,'②提成标准-B-a-①-增加'!$B$16:$B$20,'②提成标准-B-a-①-增加'!$D$16:$D$20),0)))</f>
        <v>0</v>
      </c>
      <c r="E128" s="53">
        <f>SUMIFS(期初设置!$W:$W,期初设置!$F:$F,A128)</f>
        <v>0</v>
      </c>
      <c r="F128" s="59">
        <f>_xlfn.XLOOKUP(A128,期初设置!F:F,期初设置!AL:AL,0)</f>
        <v>0</v>
      </c>
      <c r="G128" s="53">
        <f>IF(AND(C128&gt;='②提成标准-B-a-①-增加'!$G$3,F128&gt;='②提成标准-B-a-①-增加'!$H$3,E128&gt;='②提成标准-B-a-①-增加'!$I$3,B128='②提成标准-B-a-①-增加'!$F$3),'②提成标准-B-a-①-增加'!$J$3,IF(AND(C128&gt;='②提成标准-B-a-①-增加'!$G$4,F128&gt;='②提成标准-B-a-①-增加'!$H$4,E128&gt;='②提成标准-B-a-①-增加'!$I$4,B128='②提成标准-B-a-①-增加'!$F$4),'②提成标准-B-a-①-增加'!$J$4,0))</f>
        <v>0</v>
      </c>
      <c r="H128" s="53">
        <f t="shared" si="1"/>
        <v>0</v>
      </c>
    </row>
    <row r="129" spans="2:8" x14ac:dyDescent="0.15">
      <c r="B129" s="53">
        <f>SUMIFS(期初设置!$AB:$AB,期初设置!$F:$F,A129)</f>
        <v>0</v>
      </c>
      <c r="C129" s="53">
        <f>IF(B129&gt;1,SUMIFS(期初设置!S:S,期初设置!F:F,A129,期初设置!AB:AB,1),0)</f>
        <v>0</v>
      </c>
      <c r="D129" s="59">
        <f>IF(B129=3,LOOKUP(C129,'②提成标准-B-a-①-增加'!$B$3:$B$8,'②提成标准-B-a-①-增加'!$D$3:$D$8),IF(B129=2,LOOKUP(C129,'②提成标准-B-a-①-增加'!$B$10:$B$14,'②提成标准-B-a-①-增加'!$D$10:$D$14),IF(B129=1,LOOKUP(C129,'②提成标准-B-a-①-增加'!$B$16:$B$20,'②提成标准-B-a-①-增加'!$D$16:$D$20),0)))</f>
        <v>0</v>
      </c>
      <c r="E129" s="53">
        <f>SUMIFS(期初设置!$W:$W,期初设置!$F:$F,A129)</f>
        <v>0</v>
      </c>
      <c r="F129" s="59">
        <f>_xlfn.XLOOKUP(A129,期初设置!F:F,期初设置!AL:AL,0)</f>
        <v>0</v>
      </c>
      <c r="G129" s="53">
        <f>IF(AND(C129&gt;='②提成标准-B-a-①-增加'!$G$3,F129&gt;='②提成标准-B-a-①-增加'!$H$3,E129&gt;='②提成标准-B-a-①-增加'!$I$3,B129='②提成标准-B-a-①-增加'!$F$3),'②提成标准-B-a-①-增加'!$J$3,IF(AND(C129&gt;='②提成标准-B-a-①-增加'!$G$4,F129&gt;='②提成标准-B-a-①-增加'!$H$4,E129&gt;='②提成标准-B-a-①-增加'!$I$4,B129='②提成标准-B-a-①-增加'!$F$4),'②提成标准-B-a-①-增加'!$J$4,0))</f>
        <v>0</v>
      </c>
      <c r="H129" s="53">
        <f t="shared" si="1"/>
        <v>0</v>
      </c>
    </row>
    <row r="130" spans="2:8" x14ac:dyDescent="0.15">
      <c r="B130" s="53">
        <f>SUMIFS(期初设置!$AB:$AB,期初设置!$F:$F,A130)</f>
        <v>0</v>
      </c>
      <c r="C130" s="53">
        <f>IF(B130&gt;1,SUMIFS(期初设置!S:S,期初设置!F:F,A130,期初设置!AB:AB,1),0)</f>
        <v>0</v>
      </c>
      <c r="D130" s="59">
        <f>IF(B130=3,LOOKUP(C130,'②提成标准-B-a-①-增加'!$B$3:$B$8,'②提成标准-B-a-①-增加'!$D$3:$D$8),IF(B130=2,LOOKUP(C130,'②提成标准-B-a-①-增加'!$B$10:$B$14,'②提成标准-B-a-①-增加'!$D$10:$D$14),IF(B130=1,LOOKUP(C130,'②提成标准-B-a-①-增加'!$B$16:$B$20,'②提成标准-B-a-①-增加'!$D$16:$D$20),0)))</f>
        <v>0</v>
      </c>
      <c r="E130" s="53">
        <f>SUMIFS(期初设置!$W:$W,期初设置!$F:$F,A130)</f>
        <v>0</v>
      </c>
      <c r="F130" s="59">
        <f>_xlfn.XLOOKUP(A130,期初设置!F:F,期初设置!AL:AL,0)</f>
        <v>0</v>
      </c>
      <c r="G130" s="53">
        <f>IF(AND(C130&gt;='②提成标准-B-a-①-增加'!$G$3,F130&gt;='②提成标准-B-a-①-增加'!$H$3,E130&gt;='②提成标准-B-a-①-增加'!$I$3,B130='②提成标准-B-a-①-增加'!$F$3),'②提成标准-B-a-①-增加'!$J$3,IF(AND(C130&gt;='②提成标准-B-a-①-增加'!$G$4,F130&gt;='②提成标准-B-a-①-增加'!$H$4,E130&gt;='②提成标准-B-a-①-增加'!$I$4,B130='②提成标准-B-a-①-增加'!$F$4),'②提成标准-B-a-①-增加'!$J$4,0))</f>
        <v>0</v>
      </c>
      <c r="H130" s="53">
        <f t="shared" si="1"/>
        <v>0</v>
      </c>
    </row>
    <row r="131" spans="2:8" x14ac:dyDescent="0.15">
      <c r="B131" s="53">
        <f>SUMIFS(期初设置!$AB:$AB,期初设置!$F:$F,A131)</f>
        <v>0</v>
      </c>
      <c r="C131" s="53">
        <f>IF(B131&gt;1,SUMIFS(期初设置!S:S,期初设置!F:F,A131,期初设置!AB:AB,1),0)</f>
        <v>0</v>
      </c>
      <c r="D131" s="59">
        <f>IF(B131=3,LOOKUP(C131,'②提成标准-B-a-①-增加'!$B$3:$B$8,'②提成标准-B-a-①-增加'!$D$3:$D$8),IF(B131=2,LOOKUP(C131,'②提成标准-B-a-①-增加'!$B$10:$B$14,'②提成标准-B-a-①-增加'!$D$10:$D$14),IF(B131=1,LOOKUP(C131,'②提成标准-B-a-①-增加'!$B$16:$B$20,'②提成标准-B-a-①-增加'!$D$16:$D$20),0)))</f>
        <v>0</v>
      </c>
      <c r="E131" s="53">
        <f>SUMIFS(期初设置!$W:$W,期初设置!$F:$F,A131)</f>
        <v>0</v>
      </c>
      <c r="F131" s="59">
        <f>_xlfn.XLOOKUP(A131,期初设置!F:F,期初设置!AL:AL,0)</f>
        <v>0</v>
      </c>
      <c r="G131" s="53">
        <f>IF(AND(C131&gt;='②提成标准-B-a-①-增加'!$G$3,F131&gt;='②提成标准-B-a-①-增加'!$H$3,E131&gt;='②提成标准-B-a-①-增加'!$I$3,B131='②提成标准-B-a-①-增加'!$F$3),'②提成标准-B-a-①-增加'!$J$3,IF(AND(C131&gt;='②提成标准-B-a-①-增加'!$G$4,F131&gt;='②提成标准-B-a-①-增加'!$H$4,E131&gt;='②提成标准-B-a-①-增加'!$I$4,B131='②提成标准-B-a-①-增加'!$F$4),'②提成标准-B-a-①-增加'!$J$4,0))</f>
        <v>0</v>
      </c>
      <c r="H131" s="53">
        <f t="shared" si="1"/>
        <v>0</v>
      </c>
    </row>
    <row r="132" spans="2:8" x14ac:dyDescent="0.15">
      <c r="B132" s="53">
        <f>SUMIFS(期初设置!$AB:$AB,期初设置!$F:$F,A132)</f>
        <v>0</v>
      </c>
      <c r="C132" s="53">
        <f>IF(B132&gt;1,SUMIFS(期初设置!S:S,期初设置!F:F,A132,期初设置!AB:AB,1),0)</f>
        <v>0</v>
      </c>
      <c r="D132" s="59">
        <f>IF(B132=3,LOOKUP(C132,'②提成标准-B-a-①-增加'!$B$3:$B$8,'②提成标准-B-a-①-增加'!$D$3:$D$8),IF(B132=2,LOOKUP(C132,'②提成标准-B-a-①-增加'!$B$10:$B$14,'②提成标准-B-a-①-增加'!$D$10:$D$14),IF(B132=1,LOOKUP(C132,'②提成标准-B-a-①-增加'!$B$16:$B$20,'②提成标准-B-a-①-增加'!$D$16:$D$20),0)))</f>
        <v>0</v>
      </c>
      <c r="E132" s="53">
        <f>SUMIFS(期初设置!$W:$W,期初设置!$F:$F,A132)</f>
        <v>0</v>
      </c>
      <c r="F132" s="59">
        <f>_xlfn.XLOOKUP(A132,期初设置!F:F,期初设置!AL:AL,0)</f>
        <v>0</v>
      </c>
      <c r="G132" s="53">
        <f>IF(AND(C132&gt;='②提成标准-B-a-①-增加'!$G$3,F132&gt;='②提成标准-B-a-①-增加'!$H$3,E132&gt;='②提成标准-B-a-①-增加'!$I$3,B132='②提成标准-B-a-①-增加'!$F$3),'②提成标准-B-a-①-增加'!$J$3,IF(AND(C132&gt;='②提成标准-B-a-①-增加'!$G$4,F132&gt;='②提成标准-B-a-①-增加'!$H$4,E132&gt;='②提成标准-B-a-①-增加'!$I$4,B132='②提成标准-B-a-①-增加'!$F$4),'②提成标准-B-a-①-增加'!$J$4,0))</f>
        <v>0</v>
      </c>
      <c r="H132" s="53">
        <f t="shared" si="1"/>
        <v>0</v>
      </c>
    </row>
    <row r="133" spans="2:8" x14ac:dyDescent="0.15">
      <c r="B133" s="53">
        <f>SUMIFS(期初设置!$AB:$AB,期初设置!$F:$F,A133)</f>
        <v>0</v>
      </c>
      <c r="C133" s="53">
        <f>IF(B133&gt;1,SUMIFS(期初设置!S:S,期初设置!F:F,A133,期初设置!AB:AB,1),0)</f>
        <v>0</v>
      </c>
      <c r="D133" s="59">
        <f>IF(B133=3,LOOKUP(C133,'②提成标准-B-a-①-增加'!$B$3:$B$8,'②提成标准-B-a-①-增加'!$D$3:$D$8),IF(B133=2,LOOKUP(C133,'②提成标准-B-a-①-增加'!$B$10:$B$14,'②提成标准-B-a-①-增加'!$D$10:$D$14),IF(B133=1,LOOKUP(C133,'②提成标准-B-a-①-增加'!$B$16:$B$20,'②提成标准-B-a-①-增加'!$D$16:$D$20),0)))</f>
        <v>0</v>
      </c>
      <c r="E133" s="53">
        <f>SUMIFS(期初设置!$W:$W,期初设置!$F:$F,A133)</f>
        <v>0</v>
      </c>
      <c r="F133" s="59">
        <f>_xlfn.XLOOKUP(A133,期初设置!F:F,期初设置!AL:AL,0)</f>
        <v>0</v>
      </c>
      <c r="G133" s="53">
        <f>IF(AND(C133&gt;='②提成标准-B-a-①-增加'!$G$3,F133&gt;='②提成标准-B-a-①-增加'!$H$3,E133&gt;='②提成标准-B-a-①-增加'!$I$3,B133='②提成标准-B-a-①-增加'!$F$3),'②提成标准-B-a-①-增加'!$J$3,IF(AND(C133&gt;='②提成标准-B-a-①-增加'!$G$4,F133&gt;='②提成标准-B-a-①-增加'!$H$4,E133&gt;='②提成标准-B-a-①-增加'!$I$4,B133='②提成标准-B-a-①-增加'!$F$4),'②提成标准-B-a-①-增加'!$J$4,0))</f>
        <v>0</v>
      </c>
      <c r="H133" s="53">
        <f t="shared" ref="H133:H155" si="2">ROUNDUP(G133*C133,2)</f>
        <v>0</v>
      </c>
    </row>
    <row r="134" spans="2:8" x14ac:dyDescent="0.15">
      <c r="B134" s="53">
        <f>SUMIFS(期初设置!$AB:$AB,期初设置!$F:$F,A134)</f>
        <v>0</v>
      </c>
      <c r="C134" s="53">
        <f>IF(B134&gt;1,SUMIFS(期初设置!S:S,期初设置!F:F,A134,期初设置!AB:AB,1),0)</f>
        <v>0</v>
      </c>
      <c r="D134" s="59">
        <f>IF(B134=3,LOOKUP(C134,'②提成标准-B-a-①-增加'!$B$3:$B$8,'②提成标准-B-a-①-增加'!$D$3:$D$8),IF(B134=2,LOOKUP(C134,'②提成标准-B-a-①-增加'!$B$10:$B$14,'②提成标准-B-a-①-增加'!$D$10:$D$14),IF(B134=1,LOOKUP(C134,'②提成标准-B-a-①-增加'!$B$16:$B$20,'②提成标准-B-a-①-增加'!$D$16:$D$20),0)))</f>
        <v>0</v>
      </c>
      <c r="E134" s="53">
        <f>SUMIFS(期初设置!$W:$W,期初设置!$F:$F,A134)</f>
        <v>0</v>
      </c>
      <c r="F134" s="59">
        <f>_xlfn.XLOOKUP(A134,期初设置!F:F,期初设置!AL:AL,0)</f>
        <v>0</v>
      </c>
      <c r="G134" s="53">
        <f>IF(AND(C134&gt;='②提成标准-B-a-①-增加'!$G$3,F134&gt;='②提成标准-B-a-①-增加'!$H$3,E134&gt;='②提成标准-B-a-①-增加'!$I$3,B134='②提成标准-B-a-①-增加'!$F$3),'②提成标准-B-a-①-增加'!$J$3,IF(AND(C134&gt;='②提成标准-B-a-①-增加'!$G$4,F134&gt;='②提成标准-B-a-①-增加'!$H$4,E134&gt;='②提成标准-B-a-①-增加'!$I$4,B134='②提成标准-B-a-①-增加'!$F$4),'②提成标准-B-a-①-增加'!$J$4,0))</f>
        <v>0</v>
      </c>
      <c r="H134" s="53">
        <f t="shared" si="2"/>
        <v>0</v>
      </c>
    </row>
    <row r="135" spans="2:8" x14ac:dyDescent="0.15">
      <c r="B135" s="53">
        <f>SUMIFS(期初设置!$AB:$AB,期初设置!$F:$F,A135)</f>
        <v>0</v>
      </c>
      <c r="C135" s="53">
        <f>IF(B135&gt;1,SUMIFS(期初设置!S:S,期初设置!F:F,A135,期初设置!AB:AB,1),0)</f>
        <v>0</v>
      </c>
      <c r="D135" s="59">
        <f>IF(B135=3,LOOKUP(C135,'②提成标准-B-a-①-增加'!$B$3:$B$8,'②提成标准-B-a-①-增加'!$D$3:$D$8),IF(B135=2,LOOKUP(C135,'②提成标准-B-a-①-增加'!$B$10:$B$14,'②提成标准-B-a-①-增加'!$D$10:$D$14),IF(B135=1,LOOKUP(C135,'②提成标准-B-a-①-增加'!$B$16:$B$20,'②提成标准-B-a-①-增加'!$D$16:$D$20),0)))</f>
        <v>0</v>
      </c>
      <c r="E135" s="53">
        <f>SUMIFS(期初设置!$W:$W,期初设置!$F:$F,A135)</f>
        <v>0</v>
      </c>
      <c r="F135" s="59">
        <f>_xlfn.XLOOKUP(A135,期初设置!F:F,期初设置!AL:AL,0)</f>
        <v>0</v>
      </c>
      <c r="G135" s="53">
        <f>IF(AND(C135&gt;='②提成标准-B-a-①-增加'!$G$3,F135&gt;='②提成标准-B-a-①-增加'!$H$3,E135&gt;='②提成标准-B-a-①-增加'!$I$3,B135='②提成标准-B-a-①-增加'!$F$3),'②提成标准-B-a-①-增加'!$J$3,IF(AND(C135&gt;='②提成标准-B-a-①-增加'!$G$4,F135&gt;='②提成标准-B-a-①-增加'!$H$4,E135&gt;='②提成标准-B-a-①-增加'!$I$4,B135='②提成标准-B-a-①-增加'!$F$4),'②提成标准-B-a-①-增加'!$J$4,0))</f>
        <v>0</v>
      </c>
      <c r="H135" s="53">
        <f t="shared" si="2"/>
        <v>0</v>
      </c>
    </row>
    <row r="136" spans="2:8" x14ac:dyDescent="0.15">
      <c r="B136" s="53">
        <f>SUMIFS(期初设置!$AB:$AB,期初设置!$F:$F,A136)</f>
        <v>0</v>
      </c>
      <c r="C136" s="53">
        <f>IF(B136&gt;1,SUMIFS(期初设置!S:S,期初设置!F:F,A136,期初设置!AB:AB,1),0)</f>
        <v>0</v>
      </c>
      <c r="D136" s="59">
        <f>IF(B136=3,LOOKUP(C136,'②提成标准-B-a-①-增加'!$B$3:$B$8,'②提成标准-B-a-①-增加'!$D$3:$D$8),IF(B136=2,LOOKUP(C136,'②提成标准-B-a-①-增加'!$B$10:$B$14,'②提成标准-B-a-①-增加'!$D$10:$D$14),IF(B136=1,LOOKUP(C136,'②提成标准-B-a-①-增加'!$B$16:$B$20,'②提成标准-B-a-①-增加'!$D$16:$D$20),0)))</f>
        <v>0</v>
      </c>
      <c r="E136" s="53">
        <f>SUMIFS(期初设置!$W:$W,期初设置!$F:$F,A136)</f>
        <v>0</v>
      </c>
      <c r="F136" s="59">
        <f>_xlfn.XLOOKUP(A136,期初设置!F:F,期初设置!AL:AL,0)</f>
        <v>0</v>
      </c>
      <c r="G136" s="53">
        <f>IF(AND(C136&gt;='②提成标准-B-a-①-增加'!$G$3,F136&gt;='②提成标准-B-a-①-增加'!$H$3,E136&gt;='②提成标准-B-a-①-增加'!$I$3,B136='②提成标准-B-a-①-增加'!$F$3),'②提成标准-B-a-①-增加'!$J$3,IF(AND(C136&gt;='②提成标准-B-a-①-增加'!$G$4,F136&gt;='②提成标准-B-a-①-增加'!$H$4,E136&gt;='②提成标准-B-a-①-增加'!$I$4,B136='②提成标准-B-a-①-增加'!$F$4),'②提成标准-B-a-①-增加'!$J$4,0))</f>
        <v>0</v>
      </c>
      <c r="H136" s="53">
        <f t="shared" si="2"/>
        <v>0</v>
      </c>
    </row>
    <row r="137" spans="2:8" x14ac:dyDescent="0.15">
      <c r="B137" s="53">
        <f>SUMIFS(期初设置!$AB:$AB,期初设置!$F:$F,A137)</f>
        <v>0</v>
      </c>
      <c r="C137" s="53">
        <f>IF(B137&gt;1,SUMIFS(期初设置!S:S,期初设置!F:F,A137,期初设置!AB:AB,1),0)</f>
        <v>0</v>
      </c>
      <c r="D137" s="59">
        <f>IF(B137=3,LOOKUP(C137,'②提成标准-B-a-①-增加'!$B$3:$B$8,'②提成标准-B-a-①-增加'!$D$3:$D$8),IF(B137=2,LOOKUP(C137,'②提成标准-B-a-①-增加'!$B$10:$B$14,'②提成标准-B-a-①-增加'!$D$10:$D$14),IF(B137=1,LOOKUP(C137,'②提成标准-B-a-①-增加'!$B$16:$B$20,'②提成标准-B-a-①-增加'!$D$16:$D$20),0)))</f>
        <v>0</v>
      </c>
      <c r="E137" s="53">
        <f>SUMIFS(期初设置!$W:$W,期初设置!$F:$F,A137)</f>
        <v>0</v>
      </c>
      <c r="F137" s="59">
        <f>_xlfn.XLOOKUP(A137,期初设置!F:F,期初设置!AL:AL,0)</f>
        <v>0</v>
      </c>
      <c r="G137" s="53">
        <f>IF(AND(C137&gt;='②提成标准-B-a-①-增加'!$G$3,F137&gt;='②提成标准-B-a-①-增加'!$H$3,E137&gt;='②提成标准-B-a-①-增加'!$I$3,B137='②提成标准-B-a-①-增加'!$F$3),'②提成标准-B-a-①-增加'!$J$3,IF(AND(C137&gt;='②提成标准-B-a-①-增加'!$G$4,F137&gt;='②提成标准-B-a-①-增加'!$H$4,E137&gt;='②提成标准-B-a-①-增加'!$I$4,B137='②提成标准-B-a-①-增加'!$F$4),'②提成标准-B-a-①-增加'!$J$4,0))</f>
        <v>0</v>
      </c>
      <c r="H137" s="53">
        <f t="shared" si="2"/>
        <v>0</v>
      </c>
    </row>
    <row r="138" spans="2:8" x14ac:dyDescent="0.15">
      <c r="B138" s="53">
        <f>SUMIFS(期初设置!$AB:$AB,期初设置!$F:$F,A138)</f>
        <v>0</v>
      </c>
      <c r="C138" s="53">
        <f>IF(B138&gt;1,SUMIFS(期初设置!S:S,期初设置!F:F,A138,期初设置!AB:AB,1),0)</f>
        <v>0</v>
      </c>
      <c r="D138" s="59">
        <f>IF(B138=3,LOOKUP(C138,'②提成标准-B-a-①-增加'!$B$3:$B$8,'②提成标准-B-a-①-增加'!$D$3:$D$8),IF(B138=2,LOOKUP(C138,'②提成标准-B-a-①-增加'!$B$10:$B$14,'②提成标准-B-a-①-增加'!$D$10:$D$14),IF(B138=1,LOOKUP(C138,'②提成标准-B-a-①-增加'!$B$16:$B$20,'②提成标准-B-a-①-增加'!$D$16:$D$20),0)))</f>
        <v>0</v>
      </c>
      <c r="E138" s="53">
        <f>SUMIFS(期初设置!$W:$W,期初设置!$F:$F,A138)</f>
        <v>0</v>
      </c>
      <c r="F138" s="59">
        <f>_xlfn.XLOOKUP(A138,期初设置!F:F,期初设置!AL:AL,0)</f>
        <v>0</v>
      </c>
      <c r="G138" s="53">
        <f>IF(AND(C138&gt;='②提成标准-B-a-①-增加'!$G$3,F138&gt;='②提成标准-B-a-①-增加'!$H$3,E138&gt;='②提成标准-B-a-①-增加'!$I$3,B138='②提成标准-B-a-①-增加'!$F$3),'②提成标准-B-a-①-增加'!$J$3,IF(AND(C138&gt;='②提成标准-B-a-①-增加'!$G$4,F138&gt;='②提成标准-B-a-①-增加'!$H$4,E138&gt;='②提成标准-B-a-①-增加'!$I$4,B138='②提成标准-B-a-①-增加'!$F$4),'②提成标准-B-a-①-增加'!$J$4,0))</f>
        <v>0</v>
      </c>
      <c r="H138" s="53">
        <f t="shared" si="2"/>
        <v>0</v>
      </c>
    </row>
    <row r="139" spans="2:8" x14ac:dyDescent="0.15">
      <c r="B139" s="53">
        <f>SUMIFS(期初设置!$AB:$AB,期初设置!$F:$F,A139)</f>
        <v>0</v>
      </c>
      <c r="C139" s="53">
        <f>IF(B139&gt;1,SUMIFS(期初设置!S:S,期初设置!F:F,A139,期初设置!AB:AB,1),0)</f>
        <v>0</v>
      </c>
      <c r="D139" s="59">
        <f>IF(B139=3,LOOKUP(C139,'②提成标准-B-a-①-增加'!$B$3:$B$8,'②提成标准-B-a-①-增加'!$D$3:$D$8),IF(B139=2,LOOKUP(C139,'②提成标准-B-a-①-增加'!$B$10:$B$14,'②提成标准-B-a-①-增加'!$D$10:$D$14),IF(B139=1,LOOKUP(C139,'②提成标准-B-a-①-增加'!$B$16:$B$20,'②提成标准-B-a-①-增加'!$D$16:$D$20),0)))</f>
        <v>0</v>
      </c>
      <c r="E139" s="53">
        <f>SUMIFS(期初设置!$W:$W,期初设置!$F:$F,A139)</f>
        <v>0</v>
      </c>
      <c r="F139" s="59">
        <f>_xlfn.XLOOKUP(A139,期初设置!F:F,期初设置!AL:AL,0)</f>
        <v>0</v>
      </c>
      <c r="G139" s="53">
        <f>IF(AND(C139&gt;='②提成标准-B-a-①-增加'!$G$3,F139&gt;='②提成标准-B-a-①-增加'!$H$3,E139&gt;='②提成标准-B-a-①-增加'!$I$3,B139='②提成标准-B-a-①-增加'!$F$3),'②提成标准-B-a-①-增加'!$J$3,IF(AND(C139&gt;='②提成标准-B-a-①-增加'!$G$4,F139&gt;='②提成标准-B-a-①-增加'!$H$4,E139&gt;='②提成标准-B-a-①-增加'!$I$4,B139='②提成标准-B-a-①-增加'!$F$4),'②提成标准-B-a-①-增加'!$J$4,0))</f>
        <v>0</v>
      </c>
      <c r="H139" s="53">
        <f t="shared" si="2"/>
        <v>0</v>
      </c>
    </row>
    <row r="140" spans="2:8" x14ac:dyDescent="0.15">
      <c r="B140" s="53">
        <f>SUMIFS(期初设置!$AB:$AB,期初设置!$F:$F,A140)</f>
        <v>0</v>
      </c>
      <c r="C140" s="53">
        <f>IF(B140&gt;1,SUMIFS(期初设置!S:S,期初设置!F:F,A140,期初设置!AB:AB,1),0)</f>
        <v>0</v>
      </c>
      <c r="D140" s="59">
        <f>IF(B140=3,LOOKUP(C140,'②提成标准-B-a-①-增加'!$B$3:$B$8,'②提成标准-B-a-①-增加'!$D$3:$D$8),IF(B140=2,LOOKUP(C140,'②提成标准-B-a-①-增加'!$B$10:$B$14,'②提成标准-B-a-①-增加'!$D$10:$D$14),IF(B140=1,LOOKUP(C140,'②提成标准-B-a-①-增加'!$B$16:$B$20,'②提成标准-B-a-①-增加'!$D$16:$D$20),0)))</f>
        <v>0</v>
      </c>
      <c r="E140" s="53">
        <f>SUMIFS(期初设置!$W:$W,期初设置!$F:$F,A140)</f>
        <v>0</v>
      </c>
      <c r="F140" s="59">
        <f>_xlfn.XLOOKUP(A140,期初设置!F:F,期初设置!AL:AL,0)</f>
        <v>0</v>
      </c>
      <c r="G140" s="53">
        <f>IF(AND(C140&gt;='②提成标准-B-a-①-增加'!$G$3,F140&gt;='②提成标准-B-a-①-增加'!$H$3,E140&gt;='②提成标准-B-a-①-增加'!$I$3,B140='②提成标准-B-a-①-增加'!$F$3),'②提成标准-B-a-①-增加'!$J$3,IF(AND(C140&gt;='②提成标准-B-a-①-增加'!$G$4,F140&gt;='②提成标准-B-a-①-增加'!$H$4,E140&gt;='②提成标准-B-a-①-增加'!$I$4,B140='②提成标准-B-a-①-增加'!$F$4),'②提成标准-B-a-①-增加'!$J$4,0))</f>
        <v>0</v>
      </c>
      <c r="H140" s="53">
        <f t="shared" si="2"/>
        <v>0</v>
      </c>
    </row>
    <row r="141" spans="2:8" x14ac:dyDescent="0.15">
      <c r="B141" s="53">
        <f>SUMIFS(期初设置!$AB:$AB,期初设置!$F:$F,A141)</f>
        <v>0</v>
      </c>
      <c r="C141" s="53">
        <f>IF(B141&gt;1,SUMIFS(期初设置!S:S,期初设置!F:F,A141,期初设置!AB:AB,1),0)</f>
        <v>0</v>
      </c>
      <c r="D141" s="59">
        <f>IF(B141=3,LOOKUP(C141,'②提成标准-B-a-①-增加'!$B$3:$B$8,'②提成标准-B-a-①-增加'!$D$3:$D$8),IF(B141=2,LOOKUP(C141,'②提成标准-B-a-①-增加'!$B$10:$B$14,'②提成标准-B-a-①-增加'!$D$10:$D$14),IF(B141=1,LOOKUP(C141,'②提成标准-B-a-①-增加'!$B$16:$B$20,'②提成标准-B-a-①-增加'!$D$16:$D$20),0)))</f>
        <v>0</v>
      </c>
      <c r="E141" s="53">
        <f>SUMIFS(期初设置!$W:$W,期初设置!$F:$F,A141)</f>
        <v>0</v>
      </c>
      <c r="F141" s="59">
        <f>_xlfn.XLOOKUP(A141,期初设置!F:F,期初设置!AL:AL,0)</f>
        <v>0</v>
      </c>
      <c r="G141" s="53">
        <f>IF(AND(C141&gt;='②提成标准-B-a-①-增加'!$G$3,F141&gt;='②提成标准-B-a-①-增加'!$H$3,E141&gt;='②提成标准-B-a-①-增加'!$I$3,B141='②提成标准-B-a-①-增加'!$F$3),'②提成标准-B-a-①-增加'!$J$3,IF(AND(C141&gt;='②提成标准-B-a-①-增加'!$G$4,F141&gt;='②提成标准-B-a-①-增加'!$H$4,E141&gt;='②提成标准-B-a-①-增加'!$I$4,B141='②提成标准-B-a-①-增加'!$F$4),'②提成标准-B-a-①-增加'!$J$4,0))</f>
        <v>0</v>
      </c>
      <c r="H141" s="53">
        <f t="shared" si="2"/>
        <v>0</v>
      </c>
    </row>
    <row r="142" spans="2:8" x14ac:dyDescent="0.15">
      <c r="B142" s="53">
        <f>SUMIFS(期初设置!$AB:$AB,期初设置!$F:$F,A142)</f>
        <v>0</v>
      </c>
      <c r="C142" s="53">
        <f>IF(B142&gt;1,SUMIFS(期初设置!S:S,期初设置!F:F,A142,期初设置!AB:AB,1),0)</f>
        <v>0</v>
      </c>
      <c r="D142" s="59">
        <f>IF(B142=3,LOOKUP(C142,'②提成标准-B-a-①-增加'!$B$3:$B$8,'②提成标准-B-a-①-增加'!$D$3:$D$8),IF(B142=2,LOOKUP(C142,'②提成标准-B-a-①-增加'!$B$10:$B$14,'②提成标准-B-a-①-增加'!$D$10:$D$14),IF(B142=1,LOOKUP(C142,'②提成标准-B-a-①-增加'!$B$16:$B$20,'②提成标准-B-a-①-增加'!$D$16:$D$20),0)))</f>
        <v>0</v>
      </c>
      <c r="E142" s="53">
        <f>SUMIFS(期初设置!$W:$W,期初设置!$F:$F,A142)</f>
        <v>0</v>
      </c>
      <c r="F142" s="59">
        <f>_xlfn.XLOOKUP(A142,期初设置!F:F,期初设置!AL:AL,0)</f>
        <v>0</v>
      </c>
      <c r="G142" s="53">
        <f>IF(AND(C142&gt;='②提成标准-B-a-①-增加'!$G$3,F142&gt;='②提成标准-B-a-①-增加'!$H$3,E142&gt;='②提成标准-B-a-①-增加'!$I$3,B142='②提成标准-B-a-①-增加'!$F$3),'②提成标准-B-a-①-增加'!$J$3,IF(AND(C142&gt;='②提成标准-B-a-①-增加'!$G$4,F142&gt;='②提成标准-B-a-①-增加'!$H$4,E142&gt;='②提成标准-B-a-①-增加'!$I$4,B142='②提成标准-B-a-①-增加'!$F$4),'②提成标准-B-a-①-增加'!$J$4,0))</f>
        <v>0</v>
      </c>
      <c r="H142" s="53">
        <f t="shared" si="2"/>
        <v>0</v>
      </c>
    </row>
    <row r="143" spans="2:8" x14ac:dyDescent="0.15">
      <c r="B143" s="53">
        <f>SUMIFS(期初设置!$AB:$AB,期初设置!$F:$F,A143)</f>
        <v>0</v>
      </c>
      <c r="C143" s="53">
        <f>IF(B143&gt;1,SUMIFS(期初设置!S:S,期初设置!F:F,A143,期初设置!AB:AB,1),0)</f>
        <v>0</v>
      </c>
      <c r="D143" s="59">
        <f>IF(B143=3,LOOKUP(C143,'②提成标准-B-a-①-增加'!$B$3:$B$8,'②提成标准-B-a-①-增加'!$D$3:$D$8),IF(B143=2,LOOKUP(C143,'②提成标准-B-a-①-增加'!$B$10:$B$14,'②提成标准-B-a-①-增加'!$D$10:$D$14),IF(B143=1,LOOKUP(C143,'②提成标准-B-a-①-增加'!$B$16:$B$20,'②提成标准-B-a-①-增加'!$D$16:$D$20),0)))</f>
        <v>0</v>
      </c>
      <c r="E143" s="53">
        <f>SUMIFS(期初设置!$W:$W,期初设置!$F:$F,A143)</f>
        <v>0</v>
      </c>
      <c r="F143" s="59">
        <f>_xlfn.XLOOKUP(A143,期初设置!F:F,期初设置!AL:AL,0)</f>
        <v>0</v>
      </c>
      <c r="G143" s="53">
        <f>IF(AND(C143&gt;='②提成标准-B-a-①-增加'!$G$3,F143&gt;='②提成标准-B-a-①-增加'!$H$3,E143&gt;='②提成标准-B-a-①-增加'!$I$3,B143='②提成标准-B-a-①-增加'!$F$3),'②提成标准-B-a-①-增加'!$J$3,IF(AND(C143&gt;='②提成标准-B-a-①-增加'!$G$4,F143&gt;='②提成标准-B-a-①-增加'!$H$4,E143&gt;='②提成标准-B-a-①-增加'!$I$4,B143='②提成标准-B-a-①-增加'!$F$4),'②提成标准-B-a-①-增加'!$J$4,0))</f>
        <v>0</v>
      </c>
      <c r="H143" s="53">
        <f t="shared" si="2"/>
        <v>0</v>
      </c>
    </row>
    <row r="144" spans="2:8" x14ac:dyDescent="0.15">
      <c r="B144" s="53">
        <f>SUMIFS(期初设置!$AB:$AB,期初设置!$F:$F,A144)</f>
        <v>0</v>
      </c>
      <c r="C144" s="53">
        <f>IF(B144&gt;1,SUMIFS(期初设置!S:S,期初设置!F:F,A144,期初设置!AB:AB,1),0)</f>
        <v>0</v>
      </c>
      <c r="D144" s="59">
        <f>IF(B144=3,LOOKUP(C144,'②提成标准-B-a-①-增加'!$B$3:$B$8,'②提成标准-B-a-①-增加'!$D$3:$D$8),IF(B144=2,LOOKUP(C144,'②提成标准-B-a-①-增加'!$B$10:$B$14,'②提成标准-B-a-①-增加'!$D$10:$D$14),IF(B144=1,LOOKUP(C144,'②提成标准-B-a-①-增加'!$B$16:$B$20,'②提成标准-B-a-①-增加'!$D$16:$D$20),0)))</f>
        <v>0</v>
      </c>
      <c r="E144" s="53">
        <f>SUMIFS(期初设置!$W:$W,期初设置!$F:$F,A144)</f>
        <v>0</v>
      </c>
      <c r="F144" s="59">
        <f>_xlfn.XLOOKUP(A144,期初设置!F:F,期初设置!AL:AL,0)</f>
        <v>0</v>
      </c>
      <c r="G144" s="53">
        <f>IF(AND(C144&gt;='②提成标准-B-a-①-增加'!$G$3,F144&gt;='②提成标准-B-a-①-增加'!$H$3,E144&gt;='②提成标准-B-a-①-增加'!$I$3,B144='②提成标准-B-a-①-增加'!$F$3),'②提成标准-B-a-①-增加'!$J$3,IF(AND(C144&gt;='②提成标准-B-a-①-增加'!$G$4,F144&gt;='②提成标准-B-a-①-增加'!$H$4,E144&gt;='②提成标准-B-a-①-增加'!$I$4,B144='②提成标准-B-a-①-增加'!$F$4),'②提成标准-B-a-①-增加'!$J$4,0))</f>
        <v>0</v>
      </c>
      <c r="H144" s="53">
        <f t="shared" si="2"/>
        <v>0</v>
      </c>
    </row>
    <row r="145" spans="2:8" x14ac:dyDescent="0.15">
      <c r="B145" s="53">
        <f>SUMIFS(期初设置!$AB:$AB,期初设置!$F:$F,A145)</f>
        <v>0</v>
      </c>
      <c r="C145" s="53">
        <f>IF(B145&gt;1,SUMIFS(期初设置!S:S,期初设置!F:F,A145,期初设置!AB:AB,1),0)</f>
        <v>0</v>
      </c>
      <c r="D145" s="59">
        <f>IF(B145=3,LOOKUP(C145,'②提成标准-B-a-①-增加'!$B$3:$B$8,'②提成标准-B-a-①-增加'!$D$3:$D$8),IF(B145=2,LOOKUP(C145,'②提成标准-B-a-①-增加'!$B$10:$B$14,'②提成标准-B-a-①-增加'!$D$10:$D$14),IF(B145=1,LOOKUP(C145,'②提成标准-B-a-①-增加'!$B$16:$B$20,'②提成标准-B-a-①-增加'!$D$16:$D$20),0)))</f>
        <v>0</v>
      </c>
      <c r="E145" s="53">
        <f>SUMIFS(期初设置!$W:$W,期初设置!$F:$F,A145)</f>
        <v>0</v>
      </c>
      <c r="F145" s="59">
        <f>_xlfn.XLOOKUP(A145,期初设置!F:F,期初设置!AL:AL,0)</f>
        <v>0</v>
      </c>
      <c r="G145" s="53">
        <f>IF(AND(C145&gt;='②提成标准-B-a-①-增加'!$G$3,F145&gt;='②提成标准-B-a-①-增加'!$H$3,E145&gt;='②提成标准-B-a-①-增加'!$I$3,B145='②提成标准-B-a-①-增加'!$F$3),'②提成标准-B-a-①-增加'!$J$3,IF(AND(C145&gt;='②提成标准-B-a-①-增加'!$G$4,F145&gt;='②提成标准-B-a-①-增加'!$H$4,E145&gt;='②提成标准-B-a-①-增加'!$I$4,B145='②提成标准-B-a-①-增加'!$F$4),'②提成标准-B-a-①-增加'!$J$4,0))</f>
        <v>0</v>
      </c>
      <c r="H145" s="53">
        <f t="shared" si="2"/>
        <v>0</v>
      </c>
    </row>
    <row r="146" spans="2:8" x14ac:dyDescent="0.15">
      <c r="B146" s="53">
        <f>SUMIFS(期初设置!$AB:$AB,期初设置!$F:$F,A146)</f>
        <v>0</v>
      </c>
      <c r="C146" s="53">
        <f>IF(B146&gt;1,SUMIFS(期初设置!S:S,期初设置!F:F,A146,期初设置!AB:AB,1),0)</f>
        <v>0</v>
      </c>
      <c r="D146" s="59">
        <f>IF(B146=3,LOOKUP(C146,'②提成标准-B-a-①-增加'!$B$3:$B$8,'②提成标准-B-a-①-增加'!$D$3:$D$8),IF(B146=2,LOOKUP(C146,'②提成标准-B-a-①-增加'!$B$10:$B$14,'②提成标准-B-a-①-增加'!$D$10:$D$14),IF(B146=1,LOOKUP(C146,'②提成标准-B-a-①-增加'!$B$16:$B$20,'②提成标准-B-a-①-增加'!$D$16:$D$20),0)))</f>
        <v>0</v>
      </c>
      <c r="E146" s="53">
        <f>SUMIFS(期初设置!$W:$W,期初设置!$F:$F,A146)</f>
        <v>0</v>
      </c>
      <c r="F146" s="59">
        <f>_xlfn.XLOOKUP(A146,期初设置!F:F,期初设置!AL:AL,0)</f>
        <v>0</v>
      </c>
      <c r="G146" s="53">
        <f>IF(AND(C146&gt;='②提成标准-B-a-①-增加'!$G$3,F146&gt;='②提成标准-B-a-①-增加'!$H$3,E146&gt;='②提成标准-B-a-①-增加'!$I$3,B146='②提成标准-B-a-①-增加'!$F$3),'②提成标准-B-a-①-增加'!$J$3,IF(AND(C146&gt;='②提成标准-B-a-①-增加'!$G$4,F146&gt;='②提成标准-B-a-①-增加'!$H$4,E146&gt;='②提成标准-B-a-①-增加'!$I$4,B146='②提成标准-B-a-①-增加'!$F$4),'②提成标准-B-a-①-增加'!$J$4,0))</f>
        <v>0</v>
      </c>
      <c r="H146" s="53">
        <f t="shared" si="2"/>
        <v>0</v>
      </c>
    </row>
    <row r="147" spans="2:8" x14ac:dyDescent="0.15">
      <c r="B147" s="53">
        <f>SUMIFS(期初设置!$AB:$AB,期初设置!$F:$F,A147)</f>
        <v>0</v>
      </c>
      <c r="C147" s="53">
        <f>IF(B147&gt;1,SUMIFS(期初设置!S:S,期初设置!F:F,A147,期初设置!AB:AB,1),0)</f>
        <v>0</v>
      </c>
      <c r="D147" s="59">
        <f>IF(B147=3,LOOKUP(C147,'②提成标准-B-a-①-增加'!$B$3:$B$8,'②提成标准-B-a-①-增加'!$D$3:$D$8),IF(B147=2,LOOKUP(C147,'②提成标准-B-a-①-增加'!$B$10:$B$14,'②提成标准-B-a-①-增加'!$D$10:$D$14),IF(B147=1,LOOKUP(C147,'②提成标准-B-a-①-增加'!$B$16:$B$20,'②提成标准-B-a-①-增加'!$D$16:$D$20),0)))</f>
        <v>0</v>
      </c>
      <c r="E147" s="53">
        <f>SUMIFS(期初设置!$W:$W,期初设置!$F:$F,A147)</f>
        <v>0</v>
      </c>
      <c r="F147" s="59">
        <f>_xlfn.XLOOKUP(A147,期初设置!F:F,期初设置!AL:AL,0)</f>
        <v>0</v>
      </c>
      <c r="G147" s="53">
        <f>IF(AND(C147&gt;='②提成标准-B-a-①-增加'!$G$3,F147&gt;='②提成标准-B-a-①-增加'!$H$3,E147&gt;='②提成标准-B-a-①-增加'!$I$3,B147='②提成标准-B-a-①-增加'!$F$3),'②提成标准-B-a-①-增加'!$J$3,IF(AND(C147&gt;='②提成标准-B-a-①-增加'!$G$4,F147&gt;='②提成标准-B-a-①-增加'!$H$4,E147&gt;='②提成标准-B-a-①-增加'!$I$4,B147='②提成标准-B-a-①-增加'!$F$4),'②提成标准-B-a-①-增加'!$J$4,0))</f>
        <v>0</v>
      </c>
      <c r="H147" s="53">
        <f t="shared" si="2"/>
        <v>0</v>
      </c>
    </row>
    <row r="148" spans="2:8" x14ac:dyDescent="0.15">
      <c r="B148" s="53">
        <f>SUMIFS(期初设置!$AB:$AB,期初设置!$F:$F,A148)</f>
        <v>0</v>
      </c>
      <c r="C148" s="53">
        <f>IF(B148&gt;1,SUMIFS(期初设置!S:S,期初设置!F:F,A148,期初设置!AB:AB,1),0)</f>
        <v>0</v>
      </c>
      <c r="D148" s="59">
        <f>IF(B148=3,LOOKUP(C148,'②提成标准-B-a-①-增加'!$B$3:$B$8,'②提成标准-B-a-①-增加'!$D$3:$D$8),IF(B148=2,LOOKUP(C148,'②提成标准-B-a-①-增加'!$B$10:$B$14,'②提成标准-B-a-①-增加'!$D$10:$D$14),IF(B148=1,LOOKUP(C148,'②提成标准-B-a-①-增加'!$B$16:$B$20,'②提成标准-B-a-①-增加'!$D$16:$D$20),0)))</f>
        <v>0</v>
      </c>
      <c r="E148" s="53">
        <f>SUMIFS(期初设置!$W:$W,期初设置!$F:$F,A148)</f>
        <v>0</v>
      </c>
      <c r="F148" s="59">
        <f>_xlfn.XLOOKUP(A148,期初设置!F:F,期初设置!AL:AL,0)</f>
        <v>0</v>
      </c>
      <c r="G148" s="53">
        <f>IF(AND(C148&gt;='②提成标准-B-a-①-增加'!$G$3,F148&gt;='②提成标准-B-a-①-增加'!$H$3,E148&gt;='②提成标准-B-a-①-增加'!$I$3,B148='②提成标准-B-a-①-增加'!$F$3),'②提成标准-B-a-①-增加'!$J$3,IF(AND(C148&gt;='②提成标准-B-a-①-增加'!$G$4,F148&gt;='②提成标准-B-a-①-增加'!$H$4,E148&gt;='②提成标准-B-a-①-增加'!$I$4,B148='②提成标准-B-a-①-增加'!$F$4),'②提成标准-B-a-①-增加'!$J$4,0))</f>
        <v>0</v>
      </c>
      <c r="H148" s="53">
        <f t="shared" si="2"/>
        <v>0</v>
      </c>
    </row>
    <row r="149" spans="2:8" x14ac:dyDescent="0.15">
      <c r="B149" s="53">
        <f>SUMIFS(期初设置!$AB:$AB,期初设置!$F:$F,A149)</f>
        <v>0</v>
      </c>
      <c r="C149" s="53">
        <f>IF(B149&gt;1,SUMIFS(期初设置!S:S,期初设置!F:F,A149,期初设置!AB:AB,1),0)</f>
        <v>0</v>
      </c>
      <c r="D149" s="59">
        <f>IF(B149=3,LOOKUP(C149,'②提成标准-B-a-①-增加'!$B$3:$B$8,'②提成标准-B-a-①-增加'!$D$3:$D$8),IF(B149=2,LOOKUP(C149,'②提成标准-B-a-①-增加'!$B$10:$B$14,'②提成标准-B-a-①-增加'!$D$10:$D$14),IF(B149=1,LOOKUP(C149,'②提成标准-B-a-①-增加'!$B$16:$B$20,'②提成标准-B-a-①-增加'!$D$16:$D$20),0)))</f>
        <v>0</v>
      </c>
      <c r="E149" s="53">
        <f>SUMIFS(期初设置!$W:$W,期初设置!$F:$F,A149)</f>
        <v>0</v>
      </c>
      <c r="F149" s="59">
        <f>_xlfn.XLOOKUP(A149,期初设置!F:F,期初设置!AL:AL,0)</f>
        <v>0</v>
      </c>
      <c r="G149" s="53">
        <f>IF(AND(C149&gt;='②提成标准-B-a-①-增加'!$G$3,F149&gt;='②提成标准-B-a-①-增加'!$H$3,E149&gt;='②提成标准-B-a-①-增加'!$I$3,B149='②提成标准-B-a-①-增加'!$F$3),'②提成标准-B-a-①-增加'!$J$3,IF(AND(C149&gt;='②提成标准-B-a-①-增加'!$G$4,F149&gt;='②提成标准-B-a-①-增加'!$H$4,E149&gt;='②提成标准-B-a-①-增加'!$I$4,B149='②提成标准-B-a-①-增加'!$F$4),'②提成标准-B-a-①-增加'!$J$4,0))</f>
        <v>0</v>
      </c>
      <c r="H149" s="53">
        <f t="shared" si="2"/>
        <v>0</v>
      </c>
    </row>
    <row r="150" spans="2:8" x14ac:dyDescent="0.15">
      <c r="B150" s="53">
        <f>SUMIFS(期初设置!$AB:$AB,期初设置!$F:$F,A150)</f>
        <v>0</v>
      </c>
      <c r="C150" s="53">
        <f>IF(B150&gt;1,SUMIFS(期初设置!S:S,期初设置!F:F,A150,期初设置!AB:AB,1),0)</f>
        <v>0</v>
      </c>
      <c r="D150" s="59">
        <f>IF(B150=3,LOOKUP(C150,'②提成标准-B-a-①-增加'!$B$3:$B$8,'②提成标准-B-a-①-增加'!$D$3:$D$8),IF(B150=2,LOOKUP(C150,'②提成标准-B-a-①-增加'!$B$10:$B$14,'②提成标准-B-a-①-增加'!$D$10:$D$14),IF(B150=1,LOOKUP(C150,'②提成标准-B-a-①-增加'!$B$16:$B$20,'②提成标准-B-a-①-增加'!$D$16:$D$20),0)))</f>
        <v>0</v>
      </c>
      <c r="E150" s="53">
        <f>SUMIFS(期初设置!$W:$W,期初设置!$F:$F,A150)</f>
        <v>0</v>
      </c>
      <c r="F150" s="59">
        <f>_xlfn.XLOOKUP(A150,期初设置!F:F,期初设置!AL:AL,0)</f>
        <v>0</v>
      </c>
      <c r="G150" s="53">
        <f>IF(AND(C150&gt;='②提成标准-B-a-①-增加'!$G$3,F150&gt;='②提成标准-B-a-①-增加'!$H$3,E150&gt;='②提成标准-B-a-①-增加'!$I$3,B150='②提成标准-B-a-①-增加'!$F$3),'②提成标准-B-a-①-增加'!$J$3,IF(AND(C150&gt;='②提成标准-B-a-①-增加'!$G$4,F150&gt;='②提成标准-B-a-①-增加'!$H$4,E150&gt;='②提成标准-B-a-①-增加'!$I$4,B150='②提成标准-B-a-①-增加'!$F$4),'②提成标准-B-a-①-增加'!$J$4,0))</f>
        <v>0</v>
      </c>
      <c r="H150" s="53">
        <f t="shared" si="2"/>
        <v>0</v>
      </c>
    </row>
    <row r="151" spans="2:8" x14ac:dyDescent="0.15">
      <c r="B151" s="53">
        <f>SUMIFS(期初设置!$AB:$AB,期初设置!$F:$F,A151)</f>
        <v>0</v>
      </c>
      <c r="C151" s="53">
        <f>IF(B151&gt;1,SUMIFS(期初设置!S:S,期初设置!F:F,A151,期初设置!AB:AB,1),0)</f>
        <v>0</v>
      </c>
      <c r="D151" s="59">
        <f>IF(B151=3,LOOKUP(C151,'②提成标准-B-a-①-增加'!$B$3:$B$8,'②提成标准-B-a-①-增加'!$D$3:$D$8),IF(B151=2,LOOKUP(C151,'②提成标准-B-a-①-增加'!$B$10:$B$14,'②提成标准-B-a-①-增加'!$D$10:$D$14),IF(B151=1,LOOKUP(C151,'②提成标准-B-a-①-增加'!$B$16:$B$20,'②提成标准-B-a-①-增加'!$D$16:$D$20),0)))</f>
        <v>0</v>
      </c>
      <c r="E151" s="53">
        <f>SUMIFS(期初设置!$W:$W,期初设置!$F:$F,A151)</f>
        <v>0</v>
      </c>
      <c r="F151" s="59">
        <f>_xlfn.XLOOKUP(A151,期初设置!F:F,期初设置!AL:AL,0)</f>
        <v>0</v>
      </c>
      <c r="G151" s="53">
        <f>IF(AND(C151&gt;='②提成标准-B-a-①-增加'!$G$3,F151&gt;='②提成标准-B-a-①-增加'!$H$3,E151&gt;='②提成标准-B-a-①-增加'!$I$3,B151='②提成标准-B-a-①-增加'!$F$3),'②提成标准-B-a-①-增加'!$J$3,IF(AND(C151&gt;='②提成标准-B-a-①-增加'!$G$4,F151&gt;='②提成标准-B-a-①-增加'!$H$4,E151&gt;='②提成标准-B-a-①-增加'!$I$4,B151='②提成标准-B-a-①-增加'!$F$4),'②提成标准-B-a-①-增加'!$J$4,0))</f>
        <v>0</v>
      </c>
      <c r="H151" s="53">
        <f t="shared" si="2"/>
        <v>0</v>
      </c>
    </row>
    <row r="152" spans="2:8" x14ac:dyDescent="0.15">
      <c r="B152" s="53">
        <f>SUMIFS(期初设置!$AB:$AB,期初设置!$F:$F,A152)</f>
        <v>0</v>
      </c>
      <c r="C152" s="53">
        <f>IF(B152&gt;1,SUMIFS(期初设置!S:S,期初设置!F:F,A152,期初设置!AB:AB,1),0)</f>
        <v>0</v>
      </c>
      <c r="D152" s="59">
        <f>IF(B152=3,LOOKUP(C152,'②提成标准-B-a-①-增加'!$B$3:$B$8,'②提成标准-B-a-①-增加'!$D$3:$D$8),IF(B152=2,LOOKUP(C152,'②提成标准-B-a-①-增加'!$B$10:$B$14,'②提成标准-B-a-①-增加'!$D$10:$D$14),IF(B152=1,LOOKUP(C152,'②提成标准-B-a-①-增加'!$B$16:$B$20,'②提成标准-B-a-①-增加'!$D$16:$D$20),0)))</f>
        <v>0</v>
      </c>
      <c r="E152" s="53">
        <f>SUMIFS(期初设置!$W:$W,期初设置!$F:$F,A152)</f>
        <v>0</v>
      </c>
      <c r="F152" s="59">
        <f>_xlfn.XLOOKUP(A152,期初设置!F:F,期初设置!AL:AL,0)</f>
        <v>0</v>
      </c>
      <c r="G152" s="53">
        <f>IF(AND(C152&gt;='②提成标准-B-a-①-增加'!$G$3,F152&gt;='②提成标准-B-a-①-增加'!$H$3,E152&gt;='②提成标准-B-a-①-增加'!$I$3,B152='②提成标准-B-a-①-增加'!$F$3),'②提成标准-B-a-①-增加'!$J$3,IF(AND(C152&gt;='②提成标准-B-a-①-增加'!$G$4,F152&gt;='②提成标准-B-a-①-增加'!$H$4,E152&gt;='②提成标准-B-a-①-增加'!$I$4,B152='②提成标准-B-a-①-增加'!$F$4),'②提成标准-B-a-①-增加'!$J$4,0))</f>
        <v>0</v>
      </c>
      <c r="H152" s="53">
        <f t="shared" si="2"/>
        <v>0</v>
      </c>
    </row>
    <row r="153" spans="2:8" x14ac:dyDescent="0.15">
      <c r="B153" s="53">
        <f>SUMIFS(期初设置!$AB:$AB,期初设置!$F:$F,A153)</f>
        <v>0</v>
      </c>
      <c r="C153" s="53">
        <f>IF(B153&gt;1,SUMIFS(期初设置!S:S,期初设置!F:F,A153,期初设置!AB:AB,1),0)</f>
        <v>0</v>
      </c>
      <c r="D153" s="59">
        <f>IF(B153=3,LOOKUP(C153,'②提成标准-B-a-①-增加'!$B$3:$B$8,'②提成标准-B-a-①-增加'!$D$3:$D$8),IF(B153=2,LOOKUP(C153,'②提成标准-B-a-①-增加'!$B$10:$B$14,'②提成标准-B-a-①-增加'!$D$10:$D$14),IF(B153=1,LOOKUP(C153,'②提成标准-B-a-①-增加'!$B$16:$B$20,'②提成标准-B-a-①-增加'!$D$16:$D$20),0)))</f>
        <v>0</v>
      </c>
      <c r="E153" s="53">
        <f>SUMIFS(期初设置!$W:$W,期初设置!$F:$F,A153)</f>
        <v>0</v>
      </c>
      <c r="F153" s="59">
        <f>_xlfn.XLOOKUP(A153,期初设置!F:F,期初设置!AL:AL,0)</f>
        <v>0</v>
      </c>
      <c r="G153" s="53">
        <f>IF(AND(C153&gt;='②提成标准-B-a-①-增加'!$G$3,F153&gt;='②提成标准-B-a-①-增加'!$H$3,E153&gt;='②提成标准-B-a-①-增加'!$I$3,B153='②提成标准-B-a-①-增加'!$F$3),'②提成标准-B-a-①-增加'!$J$3,IF(AND(C153&gt;='②提成标准-B-a-①-增加'!$G$4,F153&gt;='②提成标准-B-a-①-增加'!$H$4,E153&gt;='②提成标准-B-a-①-增加'!$I$4,B153='②提成标准-B-a-①-增加'!$F$4),'②提成标准-B-a-①-增加'!$J$4,0))</f>
        <v>0</v>
      </c>
      <c r="H153" s="53">
        <f t="shared" si="2"/>
        <v>0</v>
      </c>
    </row>
    <row r="154" spans="2:8" x14ac:dyDescent="0.15">
      <c r="B154" s="53">
        <f>SUMIFS(期初设置!$AB:$AB,期初设置!$F:$F,A154)</f>
        <v>0</v>
      </c>
      <c r="C154" s="53">
        <f>IF(B154&gt;1,SUMIFS(期初设置!S:S,期初设置!F:F,A154,期初设置!AB:AB,1),0)</f>
        <v>0</v>
      </c>
      <c r="D154" s="59">
        <f>IF(B154=3,LOOKUP(C154,'②提成标准-B-a-①-增加'!$B$3:$B$8,'②提成标准-B-a-①-增加'!$D$3:$D$8),IF(B154=2,LOOKUP(C154,'②提成标准-B-a-①-增加'!$B$10:$B$14,'②提成标准-B-a-①-增加'!$D$10:$D$14),IF(B154=1,LOOKUP(C154,'②提成标准-B-a-①-增加'!$B$16:$B$20,'②提成标准-B-a-①-增加'!$D$16:$D$20),0)))</f>
        <v>0</v>
      </c>
      <c r="E154" s="53">
        <f>SUMIFS(期初设置!$W:$W,期初设置!$F:$F,A154)</f>
        <v>0</v>
      </c>
      <c r="F154" s="59">
        <f>_xlfn.XLOOKUP(A154,期初设置!F:F,期初设置!AL:AL,0)</f>
        <v>0</v>
      </c>
      <c r="G154" s="53">
        <f>IF(AND(C154&gt;='②提成标准-B-a-①-增加'!$G$3,F154&gt;='②提成标准-B-a-①-增加'!$H$3,E154&gt;='②提成标准-B-a-①-增加'!$I$3,B154='②提成标准-B-a-①-增加'!$F$3),'②提成标准-B-a-①-增加'!$J$3,IF(AND(C154&gt;='②提成标准-B-a-①-增加'!$G$4,F154&gt;='②提成标准-B-a-①-增加'!$H$4,E154&gt;='②提成标准-B-a-①-增加'!$I$4,B154='②提成标准-B-a-①-增加'!$F$4),'②提成标准-B-a-①-增加'!$J$4,0))</f>
        <v>0</v>
      </c>
      <c r="H154" s="53">
        <f t="shared" si="2"/>
        <v>0</v>
      </c>
    </row>
    <row r="155" spans="2:8" x14ac:dyDescent="0.15">
      <c r="B155" s="53">
        <f>SUMIFS(期初设置!$AB:$AB,期初设置!$F:$F,A155)</f>
        <v>0</v>
      </c>
      <c r="C155" s="53">
        <f>IF(B155&gt;1,SUMIFS(期初设置!S:S,期初设置!F:F,A155,期初设置!AB:AB,1),0)</f>
        <v>0</v>
      </c>
      <c r="D155" s="59">
        <f>IF(B155=3,LOOKUP(C155,'②提成标准-B-a-①-增加'!$B$3:$B$8,'②提成标准-B-a-①-增加'!$D$3:$D$8),IF(B155=2,LOOKUP(C155,'②提成标准-B-a-①-增加'!$B$10:$B$14,'②提成标准-B-a-①-增加'!$D$10:$D$14),IF(B155=1,LOOKUP(C155,'②提成标准-B-a-①-增加'!$B$16:$B$20,'②提成标准-B-a-①-增加'!$D$16:$D$20),0)))</f>
        <v>0</v>
      </c>
      <c r="E155" s="53">
        <f>SUMIFS(期初设置!$W:$W,期初设置!$F:$F,A155)</f>
        <v>0</v>
      </c>
      <c r="F155" s="59">
        <f>_xlfn.XLOOKUP(A155,期初设置!F:F,期初设置!AL:AL,0)</f>
        <v>0</v>
      </c>
      <c r="G155" s="53">
        <f>IF(AND(C155&gt;='②提成标准-B-a-①-增加'!$G$3,F155&gt;='②提成标准-B-a-①-增加'!$H$3,E155&gt;='②提成标准-B-a-①-增加'!$I$3,B155='②提成标准-B-a-①-增加'!$F$3),'②提成标准-B-a-①-增加'!$J$3,IF(AND(C155&gt;='②提成标准-B-a-①-增加'!$G$4,F155&gt;='②提成标准-B-a-①-增加'!$H$4,E155&gt;='②提成标准-B-a-①-增加'!$I$4,B155='②提成标准-B-a-①-增加'!$F$4),'②提成标准-B-a-①-增加'!$J$4,0))</f>
        <v>0</v>
      </c>
      <c r="H155" s="53">
        <f t="shared" si="2"/>
        <v>0</v>
      </c>
    </row>
  </sheetData>
  <phoneticPr fontId="9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33"/>
  <sheetViews>
    <sheetView workbookViewId="0">
      <selection activeCell="E39" sqref="E39"/>
    </sheetView>
  </sheetViews>
  <sheetFormatPr defaultColWidth="9" defaultRowHeight="13.5" x14ac:dyDescent="0.15"/>
  <cols>
    <col min="3" max="4" width="18.5" style="9" customWidth="1"/>
    <col min="5" max="5" width="11" bestFit="1" customWidth="1"/>
    <col min="6" max="6" width="23.5" bestFit="1" customWidth="1"/>
    <col min="9" max="9" width="23.75" bestFit="1" customWidth="1"/>
  </cols>
  <sheetData>
    <row r="1" spans="1:9" ht="15" x14ac:dyDescent="0.15">
      <c r="A1" s="10" t="s">
        <v>295</v>
      </c>
      <c r="B1" s="10" t="s">
        <v>3</v>
      </c>
      <c r="C1" s="11" t="s">
        <v>296</v>
      </c>
      <c r="D1" s="11" t="s">
        <v>297</v>
      </c>
      <c r="E1" t="s">
        <v>298</v>
      </c>
      <c r="F1" s="33" t="s">
        <v>378</v>
      </c>
      <c r="I1" s="16" t="s">
        <v>299</v>
      </c>
    </row>
    <row r="2" spans="1:9" x14ac:dyDescent="0.15">
      <c r="A2" s="12">
        <v>1</v>
      </c>
      <c r="B2" s="12" t="s">
        <v>51</v>
      </c>
      <c r="C2" s="13">
        <v>2010</v>
      </c>
      <c r="D2" s="13"/>
    </row>
    <row r="3" spans="1:9" x14ac:dyDescent="0.15">
      <c r="A3" s="12">
        <v>2</v>
      </c>
      <c r="B3" s="12" t="s">
        <v>198</v>
      </c>
      <c r="C3" s="13">
        <v>2012</v>
      </c>
      <c r="D3" s="13"/>
    </row>
    <row r="4" spans="1:9" x14ac:dyDescent="0.15">
      <c r="A4" s="12">
        <v>3</v>
      </c>
      <c r="B4" s="12" t="s">
        <v>169</v>
      </c>
      <c r="C4" s="13">
        <v>2013</v>
      </c>
      <c r="D4" s="13"/>
    </row>
    <row r="5" spans="1:9" x14ac:dyDescent="0.15">
      <c r="A5" s="12">
        <v>4</v>
      </c>
      <c r="B5" s="12" t="s">
        <v>41</v>
      </c>
      <c r="C5" s="13">
        <v>2017</v>
      </c>
      <c r="D5" s="13"/>
    </row>
    <row r="6" spans="1:9" x14ac:dyDescent="0.15">
      <c r="A6" s="12">
        <v>5</v>
      </c>
      <c r="B6" s="12" t="s">
        <v>300</v>
      </c>
      <c r="C6" s="13">
        <v>43525</v>
      </c>
      <c r="D6" s="13">
        <v>45077</v>
      </c>
    </row>
    <row r="7" spans="1:9" x14ac:dyDescent="0.15">
      <c r="A7" s="12">
        <v>6</v>
      </c>
      <c r="B7" s="12" t="s">
        <v>129</v>
      </c>
      <c r="C7" s="13">
        <v>43709</v>
      </c>
      <c r="D7" s="13"/>
    </row>
    <row r="8" spans="1:9" x14ac:dyDescent="0.15">
      <c r="A8" s="12">
        <v>7</v>
      </c>
      <c r="B8" s="12">
        <v>468</v>
      </c>
      <c r="C8" s="13">
        <v>44287</v>
      </c>
      <c r="D8" s="13"/>
    </row>
    <row r="9" spans="1:9" x14ac:dyDescent="0.15">
      <c r="A9" s="12">
        <v>8</v>
      </c>
      <c r="B9" s="12" t="s">
        <v>162</v>
      </c>
      <c r="C9" s="13">
        <v>44506</v>
      </c>
      <c r="D9" s="13"/>
    </row>
    <row r="10" spans="1:9" x14ac:dyDescent="0.15">
      <c r="A10" s="12">
        <v>9</v>
      </c>
      <c r="B10" s="12" t="s">
        <v>120</v>
      </c>
      <c r="C10" s="13">
        <v>44510</v>
      </c>
      <c r="D10" s="13"/>
    </row>
    <row r="11" spans="1:9" x14ac:dyDescent="0.15">
      <c r="A11" s="12">
        <v>10</v>
      </c>
      <c r="B11" s="12" t="s">
        <v>225</v>
      </c>
      <c r="C11" s="13">
        <v>44531</v>
      </c>
      <c r="D11" s="13"/>
    </row>
    <row r="12" spans="1:9" x14ac:dyDescent="0.15">
      <c r="A12" s="12">
        <v>11</v>
      </c>
      <c r="B12" s="12" t="s">
        <v>177</v>
      </c>
      <c r="C12" s="13">
        <v>44644</v>
      </c>
      <c r="D12" s="13"/>
    </row>
    <row r="13" spans="1:9" x14ac:dyDescent="0.15">
      <c r="A13" s="12">
        <v>12</v>
      </c>
      <c r="B13" s="12" t="s">
        <v>301</v>
      </c>
      <c r="C13" s="13">
        <v>44679</v>
      </c>
      <c r="D13" s="13">
        <v>45676</v>
      </c>
    </row>
    <row r="14" spans="1:9" x14ac:dyDescent="0.15">
      <c r="A14" s="12">
        <v>13</v>
      </c>
      <c r="B14" s="12" t="s">
        <v>112</v>
      </c>
      <c r="C14" s="13">
        <v>44701</v>
      </c>
      <c r="D14" s="13"/>
    </row>
    <row r="15" spans="1:9" x14ac:dyDescent="0.15">
      <c r="A15" s="12">
        <v>14</v>
      </c>
      <c r="B15" s="12" t="s">
        <v>193</v>
      </c>
      <c r="C15" s="13">
        <v>44707</v>
      </c>
      <c r="D15" s="13"/>
    </row>
    <row r="16" spans="1:9" x14ac:dyDescent="0.15">
      <c r="A16" s="12">
        <v>15</v>
      </c>
      <c r="B16" s="12" t="s">
        <v>302</v>
      </c>
      <c r="C16" s="13">
        <v>44770</v>
      </c>
      <c r="D16" s="13">
        <v>45412</v>
      </c>
    </row>
    <row r="17" spans="1:7" x14ac:dyDescent="0.15">
      <c r="A17" s="12">
        <v>16</v>
      </c>
      <c r="B17" s="12" t="s">
        <v>245</v>
      </c>
      <c r="C17" s="13">
        <v>44829</v>
      </c>
      <c r="D17" s="13"/>
    </row>
    <row r="18" spans="1:7" x14ac:dyDescent="0.15">
      <c r="A18" s="12">
        <v>17</v>
      </c>
      <c r="B18" s="12" t="s">
        <v>209</v>
      </c>
      <c r="C18" s="13">
        <v>44860</v>
      </c>
      <c r="D18" s="13"/>
    </row>
    <row r="19" spans="1:7" x14ac:dyDescent="0.15">
      <c r="A19" s="12">
        <v>18</v>
      </c>
      <c r="B19" s="12" t="s">
        <v>102</v>
      </c>
      <c r="C19" s="13">
        <v>45051</v>
      </c>
      <c r="D19" s="13"/>
    </row>
    <row r="20" spans="1:7" x14ac:dyDescent="0.15">
      <c r="A20" s="12">
        <v>19</v>
      </c>
      <c r="B20" s="12" t="s">
        <v>233</v>
      </c>
      <c r="C20" s="13">
        <v>45092</v>
      </c>
      <c r="D20" s="13"/>
    </row>
    <row r="21" spans="1:7" x14ac:dyDescent="0.15">
      <c r="A21" s="12">
        <v>20</v>
      </c>
      <c r="B21" s="12" t="s">
        <v>66</v>
      </c>
      <c r="C21" s="13">
        <v>45094</v>
      </c>
      <c r="D21" s="13"/>
    </row>
    <row r="22" spans="1:7" x14ac:dyDescent="0.15">
      <c r="A22" s="12">
        <v>21</v>
      </c>
      <c r="B22" s="12" t="s">
        <v>238</v>
      </c>
      <c r="C22" s="13">
        <v>45187</v>
      </c>
      <c r="D22" s="13"/>
    </row>
    <row r="23" spans="1:7" x14ac:dyDescent="0.15">
      <c r="A23" s="12">
        <v>22</v>
      </c>
      <c r="B23" s="12" t="s">
        <v>217</v>
      </c>
      <c r="C23" s="13">
        <v>45227</v>
      </c>
      <c r="D23" s="13"/>
    </row>
    <row r="24" spans="1:7" x14ac:dyDescent="0.15">
      <c r="A24" s="12">
        <v>23</v>
      </c>
      <c r="B24" s="12" t="s">
        <v>145</v>
      </c>
      <c r="C24" s="13">
        <v>45245</v>
      </c>
      <c r="D24" s="13"/>
    </row>
    <row r="25" spans="1:7" x14ac:dyDescent="0.15">
      <c r="A25" s="12">
        <v>24</v>
      </c>
      <c r="B25" s="12" t="s">
        <v>251</v>
      </c>
      <c r="C25" s="13">
        <v>45376</v>
      </c>
      <c r="D25" s="13"/>
    </row>
    <row r="26" spans="1:7" x14ac:dyDescent="0.15">
      <c r="A26" s="12">
        <v>25</v>
      </c>
      <c r="B26" s="12" t="s">
        <v>184</v>
      </c>
      <c r="C26" s="13">
        <v>45392</v>
      </c>
      <c r="D26" s="13"/>
    </row>
    <row r="27" spans="1:7" x14ac:dyDescent="0.15">
      <c r="A27" s="12">
        <v>26</v>
      </c>
      <c r="B27" s="12" t="s">
        <v>136</v>
      </c>
      <c r="C27" s="13">
        <v>45436</v>
      </c>
      <c r="D27" s="13"/>
    </row>
    <row r="28" spans="1:7" x14ac:dyDescent="0.15">
      <c r="A28" s="12">
        <v>27</v>
      </c>
      <c r="B28" s="12" t="s">
        <v>81</v>
      </c>
      <c r="C28" s="13">
        <v>45493</v>
      </c>
      <c r="D28" s="13"/>
      <c r="G28" s="33" t="s">
        <v>442</v>
      </c>
    </row>
    <row r="29" spans="1:7" x14ac:dyDescent="0.15">
      <c r="A29" s="12">
        <v>28</v>
      </c>
      <c r="B29" s="12" t="s">
        <v>90</v>
      </c>
      <c r="C29" s="13">
        <v>45585</v>
      </c>
      <c r="D29" s="13"/>
    </row>
    <row r="30" spans="1:7" x14ac:dyDescent="0.15">
      <c r="A30" s="12">
        <v>29</v>
      </c>
      <c r="B30" s="12" t="s">
        <v>60</v>
      </c>
      <c r="C30" s="13">
        <v>45712</v>
      </c>
      <c r="D30" s="13"/>
      <c r="E30" s="33"/>
      <c r="F30" s="33"/>
      <c r="G30" s="33" t="s">
        <v>380</v>
      </c>
    </row>
    <row r="31" spans="1:7" x14ac:dyDescent="0.15">
      <c r="A31" s="12">
        <v>30</v>
      </c>
      <c r="B31" s="12" t="s">
        <v>97</v>
      </c>
      <c r="C31" s="13">
        <v>45735</v>
      </c>
      <c r="D31" s="14"/>
      <c r="E31" s="33"/>
      <c r="F31" s="33"/>
      <c r="G31" s="33" t="s">
        <v>380</v>
      </c>
    </row>
    <row r="32" spans="1:7" x14ac:dyDescent="0.15">
      <c r="A32" s="15">
        <v>31</v>
      </c>
      <c r="B32" s="15" t="s">
        <v>75</v>
      </c>
      <c r="C32" s="9">
        <v>45750</v>
      </c>
      <c r="E32" s="33" t="s">
        <v>386</v>
      </c>
      <c r="F32" s="33" t="s">
        <v>379</v>
      </c>
      <c r="G32" s="33" t="s">
        <v>382</v>
      </c>
    </row>
    <row r="33" spans="1:7" x14ac:dyDescent="0.15">
      <c r="A33" s="15">
        <v>31</v>
      </c>
      <c r="B33" s="15" t="s">
        <v>153</v>
      </c>
      <c r="C33" s="9">
        <v>45775</v>
      </c>
      <c r="E33" s="33" t="s">
        <v>386</v>
      </c>
      <c r="F33" s="33" t="s">
        <v>379</v>
      </c>
      <c r="G33" s="33" t="s">
        <v>381</v>
      </c>
    </row>
  </sheetData>
  <phoneticPr fontId="9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P27"/>
  <sheetViews>
    <sheetView workbookViewId="0">
      <selection activeCell="C12" sqref="C12"/>
    </sheetView>
  </sheetViews>
  <sheetFormatPr defaultColWidth="9" defaultRowHeight="13.5" x14ac:dyDescent="0.15"/>
  <cols>
    <col min="1" max="1" width="13" customWidth="1"/>
    <col min="2" max="2" width="12" customWidth="1"/>
    <col min="3" max="3" width="10.75" customWidth="1"/>
    <col min="6" max="6" width="13.875" customWidth="1"/>
    <col min="15" max="15" width="12" style="6" customWidth="1"/>
  </cols>
  <sheetData>
    <row r="1" spans="1:16" x14ac:dyDescent="0.15">
      <c r="A1" t="s">
        <v>303</v>
      </c>
      <c r="F1" t="s">
        <v>304</v>
      </c>
      <c r="L1" s="34" t="s">
        <v>398</v>
      </c>
      <c r="M1" s="35">
        <v>0</v>
      </c>
      <c r="N1" s="35">
        <v>4</v>
      </c>
      <c r="O1" s="36" t="s">
        <v>400</v>
      </c>
      <c r="P1" s="37"/>
    </row>
    <row r="2" spans="1:16" x14ac:dyDescent="0.15">
      <c r="A2" t="s">
        <v>305</v>
      </c>
      <c r="B2" t="s">
        <v>306</v>
      </c>
      <c r="F2" t="s">
        <v>305</v>
      </c>
      <c r="G2" t="s">
        <v>307</v>
      </c>
      <c r="H2" t="s">
        <v>15</v>
      </c>
      <c r="I2" t="s">
        <v>308</v>
      </c>
      <c r="L2" s="38"/>
      <c r="M2">
        <v>4</v>
      </c>
      <c r="N2">
        <v>7</v>
      </c>
      <c r="O2" s="6">
        <v>7.0000000000000007E-2</v>
      </c>
      <c r="P2" s="39"/>
    </row>
    <row r="3" spans="1:16" ht="16.5" x14ac:dyDescent="0.15">
      <c r="A3">
        <v>3</v>
      </c>
      <c r="B3">
        <v>0</v>
      </c>
      <c r="C3">
        <v>30000</v>
      </c>
      <c r="D3">
        <v>0</v>
      </c>
      <c r="F3">
        <v>3</v>
      </c>
      <c r="G3">
        <v>60000</v>
      </c>
      <c r="H3" s="6">
        <v>0.4</v>
      </c>
      <c r="I3">
        <v>60000</v>
      </c>
      <c r="J3" s="8">
        <v>8.0000000000000002E-3</v>
      </c>
      <c r="L3" s="38"/>
      <c r="M3">
        <v>7</v>
      </c>
      <c r="N3">
        <v>10</v>
      </c>
      <c r="O3" s="6">
        <v>0.1</v>
      </c>
      <c r="P3" s="39"/>
    </row>
    <row r="4" spans="1:16" ht="16.5" x14ac:dyDescent="0.15">
      <c r="B4">
        <v>30000</v>
      </c>
      <c r="C4">
        <v>60000</v>
      </c>
      <c r="D4" s="7">
        <v>0.03</v>
      </c>
      <c r="F4">
        <v>2</v>
      </c>
      <c r="G4">
        <v>40000</v>
      </c>
      <c r="H4" s="6">
        <v>0.3</v>
      </c>
      <c r="I4">
        <v>40000</v>
      </c>
      <c r="J4" s="8">
        <v>3.0000000000000001E-3</v>
      </c>
      <c r="L4" s="38"/>
      <c r="M4">
        <v>10</v>
      </c>
      <c r="O4" s="6">
        <v>0.12</v>
      </c>
      <c r="P4" s="39"/>
    </row>
    <row r="5" spans="1:16" x14ac:dyDescent="0.15">
      <c r="B5">
        <v>60000</v>
      </c>
      <c r="C5">
        <v>90000</v>
      </c>
      <c r="D5" s="7">
        <v>0.04</v>
      </c>
      <c r="L5" s="38"/>
      <c r="P5" s="39"/>
    </row>
    <row r="6" spans="1:16" ht="14.25" thickBot="1" x14ac:dyDescent="0.2">
      <c r="B6">
        <v>90000</v>
      </c>
      <c r="C6">
        <v>120000</v>
      </c>
      <c r="D6" s="7">
        <v>0.05</v>
      </c>
      <c r="L6" s="40"/>
      <c r="M6" s="41"/>
      <c r="N6" s="41"/>
      <c r="O6" s="42"/>
      <c r="P6" s="43"/>
    </row>
    <row r="7" spans="1:16" x14ac:dyDescent="0.15">
      <c r="B7">
        <v>120000</v>
      </c>
      <c r="C7">
        <v>150000</v>
      </c>
      <c r="D7" s="7">
        <v>0.06</v>
      </c>
    </row>
    <row r="8" spans="1:16" x14ac:dyDescent="0.15">
      <c r="B8">
        <v>150000</v>
      </c>
      <c r="D8" s="7">
        <v>7.0000000000000007E-2</v>
      </c>
    </row>
    <row r="9" spans="1:16" x14ac:dyDescent="0.15">
      <c r="D9" s="7"/>
      <c r="M9">
        <v>0</v>
      </c>
      <c r="N9" s="7">
        <v>0.35</v>
      </c>
      <c r="O9" s="6">
        <v>0.06</v>
      </c>
    </row>
    <row r="10" spans="1:16" x14ac:dyDescent="0.15">
      <c r="A10">
        <v>2</v>
      </c>
      <c r="B10">
        <v>0</v>
      </c>
      <c r="C10">
        <v>20000</v>
      </c>
      <c r="D10" s="7">
        <v>0</v>
      </c>
      <c r="M10" s="7">
        <v>0.35</v>
      </c>
      <c r="N10" s="7">
        <v>0.45</v>
      </c>
      <c r="O10" s="6">
        <v>0.1</v>
      </c>
    </row>
    <row r="11" spans="1:16" x14ac:dyDescent="0.15">
      <c r="B11">
        <v>20000</v>
      </c>
      <c r="C11">
        <v>40000</v>
      </c>
      <c r="D11" s="7">
        <v>0.03</v>
      </c>
      <c r="M11" s="7">
        <v>0.45</v>
      </c>
      <c r="N11" s="7">
        <v>0.5</v>
      </c>
      <c r="O11" s="6">
        <v>0.15</v>
      </c>
    </row>
    <row r="12" spans="1:16" x14ac:dyDescent="0.15">
      <c r="B12">
        <v>40000</v>
      </c>
      <c r="C12">
        <v>60000</v>
      </c>
      <c r="D12" s="7">
        <v>0.04</v>
      </c>
      <c r="M12" s="7">
        <v>0.5</v>
      </c>
      <c r="O12" s="6">
        <v>0.2</v>
      </c>
    </row>
    <row r="13" spans="1:16" x14ac:dyDescent="0.15">
      <c r="B13">
        <v>60000</v>
      </c>
      <c r="C13">
        <v>80000</v>
      </c>
      <c r="D13" s="7">
        <v>0.05</v>
      </c>
    </row>
    <row r="14" spans="1:16" x14ac:dyDescent="0.15">
      <c r="B14">
        <v>80000</v>
      </c>
      <c r="D14" s="7">
        <v>0.06</v>
      </c>
    </row>
    <row r="15" spans="1:16" x14ac:dyDescent="0.15">
      <c r="D15" s="7"/>
    </row>
    <row r="16" spans="1:16" x14ac:dyDescent="0.15">
      <c r="A16">
        <v>1</v>
      </c>
      <c r="B16">
        <v>-100000</v>
      </c>
      <c r="C16">
        <v>10000</v>
      </c>
      <c r="D16" s="7">
        <v>0</v>
      </c>
    </row>
    <row r="17" spans="1:12" x14ac:dyDescent="0.15">
      <c r="B17">
        <v>10000</v>
      </c>
      <c r="C17">
        <v>20000</v>
      </c>
      <c r="D17" s="7">
        <v>0.03</v>
      </c>
    </row>
    <row r="18" spans="1:12" x14ac:dyDescent="0.15">
      <c r="B18">
        <v>20000</v>
      </c>
      <c r="C18">
        <v>40000</v>
      </c>
      <c r="D18" s="7">
        <v>0.04</v>
      </c>
    </row>
    <row r="19" spans="1:12" x14ac:dyDescent="0.15">
      <c r="B19">
        <v>40000</v>
      </c>
      <c r="C19">
        <v>60000</v>
      </c>
      <c r="D19" s="7">
        <v>0.05</v>
      </c>
    </row>
    <row r="20" spans="1:12" x14ac:dyDescent="0.15">
      <c r="B20">
        <v>60000</v>
      </c>
      <c r="D20" s="7">
        <v>0.06</v>
      </c>
    </row>
    <row r="22" spans="1:12" x14ac:dyDescent="0.15">
      <c r="A22" s="33" t="s">
        <v>786</v>
      </c>
    </row>
    <row r="23" spans="1:12" x14ac:dyDescent="0.15">
      <c r="A23" s="33" t="s">
        <v>442</v>
      </c>
      <c r="B23" s="156">
        <f>B16/$A$24</f>
        <v>-3225.8064516129034</v>
      </c>
      <c r="C23" s="156">
        <f>C16/$A$24</f>
        <v>322.58064516129031</v>
      </c>
      <c r="D23" s="7">
        <v>0</v>
      </c>
    </row>
    <row r="24" spans="1:12" x14ac:dyDescent="0.15">
      <c r="A24">
        <v>31</v>
      </c>
      <c r="B24" s="156">
        <f t="shared" ref="B24:C27" si="0">B17/$A$24</f>
        <v>322.58064516129031</v>
      </c>
      <c r="C24" s="156">
        <f t="shared" si="0"/>
        <v>645.16129032258061</v>
      </c>
      <c r="D24" s="7">
        <v>0.03</v>
      </c>
      <c r="K24" s="44" t="s">
        <v>422</v>
      </c>
      <c r="L24" s="45">
        <v>0.06</v>
      </c>
    </row>
    <row r="25" spans="1:12" x14ac:dyDescent="0.15">
      <c r="B25" s="156">
        <f t="shared" si="0"/>
        <v>645.16129032258061</v>
      </c>
      <c r="C25" s="156">
        <f t="shared" si="0"/>
        <v>1290.3225806451612</v>
      </c>
      <c r="D25" s="7">
        <v>0.04</v>
      </c>
      <c r="K25" s="44" t="s">
        <v>423</v>
      </c>
      <c r="L25" s="45">
        <v>0.1</v>
      </c>
    </row>
    <row r="26" spans="1:12" x14ac:dyDescent="0.15">
      <c r="B26" s="156">
        <f t="shared" si="0"/>
        <v>1290.3225806451612</v>
      </c>
      <c r="C26" s="156">
        <f t="shared" si="0"/>
        <v>1935.483870967742</v>
      </c>
      <c r="D26" s="7">
        <v>0.05</v>
      </c>
      <c r="K26" s="44" t="s">
        <v>424</v>
      </c>
      <c r="L26" s="44">
        <v>15</v>
      </c>
    </row>
    <row r="27" spans="1:12" x14ac:dyDescent="0.15">
      <c r="B27" s="156">
        <f t="shared" si="0"/>
        <v>1935.483870967742</v>
      </c>
      <c r="C27" s="156"/>
      <c r="D27" s="7">
        <v>0.06</v>
      </c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N70"/>
  <sheetViews>
    <sheetView topLeftCell="A43" workbookViewId="0">
      <selection activeCell="K63" sqref="K63"/>
    </sheetView>
  </sheetViews>
  <sheetFormatPr defaultColWidth="9" defaultRowHeight="16.5" x14ac:dyDescent="0.15"/>
  <cols>
    <col min="1" max="3" width="9" style="1"/>
    <col min="4" max="4" width="12.125" style="1" customWidth="1"/>
    <col min="5" max="5" width="9.5" style="1" customWidth="1"/>
    <col min="6" max="7" width="9" style="1"/>
    <col min="8" max="9" width="9" style="2"/>
    <col min="10" max="10" width="13" style="2" bestFit="1" customWidth="1"/>
    <col min="11" max="16384" width="9" style="2"/>
  </cols>
  <sheetData>
    <row r="1" spans="1:14" x14ac:dyDescent="0.15">
      <c r="A1" s="3" t="s">
        <v>309</v>
      </c>
      <c r="B1" s="3" t="s">
        <v>310</v>
      </c>
      <c r="C1" s="4" t="s">
        <v>3</v>
      </c>
      <c r="D1" s="3" t="s">
        <v>6</v>
      </c>
      <c r="E1" s="3" t="s">
        <v>311</v>
      </c>
      <c r="F1" s="3" t="s">
        <v>312</v>
      </c>
      <c r="G1" s="3" t="s">
        <v>313</v>
      </c>
      <c r="H1" s="3" t="s">
        <v>314</v>
      </c>
      <c r="J1" s="152" t="s">
        <v>783</v>
      </c>
      <c r="K1" s="2" t="str" cm="1">
        <f t="array" ref="K1:K53">_xlfn.UNIQUE(D:D)</f>
        <v>健康师</v>
      </c>
    </row>
    <row r="2" spans="1:14" x14ac:dyDescent="0.15">
      <c r="A2" s="5">
        <v>7</v>
      </c>
      <c r="B2" s="5">
        <v>1</v>
      </c>
      <c r="C2" s="5" t="s">
        <v>209</v>
      </c>
      <c r="D2" s="5" t="s">
        <v>211</v>
      </c>
      <c r="E2" s="5" t="s">
        <v>323</v>
      </c>
      <c r="F2" s="5" t="s">
        <v>722</v>
      </c>
      <c r="G2" s="5">
        <v>888</v>
      </c>
      <c r="H2" s="2" t="s">
        <v>322</v>
      </c>
      <c r="K2" s="2" t="str">
        <v>冉芳霞</v>
      </c>
      <c r="L2" s="2">
        <f t="shared" ref="L2:L53" si="0">SUMIFS(G:G,D:D,K2)</f>
        <v>1508</v>
      </c>
      <c r="M2" s="2">
        <f>_xlfn.XLOOKUP(K2,Sheet1!D:D,Sheet1!K:K,0)</f>
        <v>1508</v>
      </c>
      <c r="N2" s="2">
        <f>M2-L2</f>
        <v>0</v>
      </c>
    </row>
    <row r="3" spans="1:14" x14ac:dyDescent="0.15">
      <c r="A3" s="5">
        <v>7</v>
      </c>
      <c r="B3" s="5">
        <v>3</v>
      </c>
      <c r="C3" s="5" t="s">
        <v>153</v>
      </c>
      <c r="D3" s="5" t="s">
        <v>160</v>
      </c>
      <c r="E3" s="5" t="s">
        <v>323</v>
      </c>
      <c r="F3" s="5" t="s">
        <v>723</v>
      </c>
      <c r="G3" s="5">
        <v>888</v>
      </c>
      <c r="H3" s="2" t="s">
        <v>322</v>
      </c>
      <c r="K3" s="2" t="str">
        <v>彭羽佳</v>
      </c>
      <c r="L3" s="2">
        <f t="shared" si="0"/>
        <v>888</v>
      </c>
      <c r="M3" s="2">
        <f>_xlfn.XLOOKUP(K3,Sheet1!D:D,Sheet1!K:K,0)</f>
        <v>888</v>
      </c>
      <c r="N3" s="2">
        <f t="shared" ref="N3:N53" si="1">M3-L3</f>
        <v>0</v>
      </c>
    </row>
    <row r="4" spans="1:14" x14ac:dyDescent="0.15">
      <c r="A4" s="5">
        <v>7</v>
      </c>
      <c r="B4" s="5">
        <v>4</v>
      </c>
      <c r="C4" s="5" t="s">
        <v>145</v>
      </c>
      <c r="D4" s="5" t="s">
        <v>147</v>
      </c>
      <c r="E4" s="5" t="s">
        <v>323</v>
      </c>
      <c r="F4" s="5" t="s">
        <v>724</v>
      </c>
      <c r="G4" s="5">
        <v>888</v>
      </c>
      <c r="H4" s="2" t="s">
        <v>322</v>
      </c>
      <c r="K4" s="2" t="str">
        <v>唐尹</v>
      </c>
      <c r="L4" s="2">
        <f t="shared" si="0"/>
        <v>1776</v>
      </c>
      <c r="M4" s="2">
        <f>_xlfn.XLOOKUP(K4,Sheet1!D:D,Sheet1!K:K,0)</f>
        <v>1776</v>
      </c>
      <c r="N4" s="2">
        <f t="shared" si="1"/>
        <v>0</v>
      </c>
    </row>
    <row r="5" spans="1:14" x14ac:dyDescent="0.15">
      <c r="A5" s="5">
        <v>7</v>
      </c>
      <c r="B5" s="5">
        <v>6</v>
      </c>
      <c r="C5" s="5" t="s">
        <v>193</v>
      </c>
      <c r="D5" s="5" t="s">
        <v>195</v>
      </c>
      <c r="E5" s="5" t="s">
        <v>323</v>
      </c>
      <c r="F5" s="5" t="s">
        <v>324</v>
      </c>
      <c r="G5" s="5">
        <v>888</v>
      </c>
      <c r="H5" s="2" t="s">
        <v>322</v>
      </c>
      <c r="K5" s="2" t="str">
        <v>谢娟</v>
      </c>
      <c r="L5" s="2">
        <f t="shared" si="0"/>
        <v>2364</v>
      </c>
      <c r="M5" s="2">
        <f>_xlfn.XLOOKUP(K5,Sheet1!D:D,Sheet1!K:K,0)</f>
        <v>2364</v>
      </c>
      <c r="N5" s="2">
        <f t="shared" si="1"/>
        <v>0</v>
      </c>
    </row>
    <row r="6" spans="1:14" x14ac:dyDescent="0.15">
      <c r="A6" s="5">
        <v>7</v>
      </c>
      <c r="B6" s="5">
        <v>7</v>
      </c>
      <c r="C6" s="5" t="s">
        <v>193</v>
      </c>
      <c r="D6" s="5" t="s">
        <v>195</v>
      </c>
      <c r="E6" s="5" t="s">
        <v>323</v>
      </c>
      <c r="F6" s="5" t="s">
        <v>725</v>
      </c>
      <c r="G6" s="5">
        <v>888</v>
      </c>
      <c r="H6" s="2" t="s">
        <v>322</v>
      </c>
      <c r="K6" s="2" t="str">
        <v>刘恬恬</v>
      </c>
      <c r="L6" s="2">
        <f t="shared" si="0"/>
        <v>888</v>
      </c>
      <c r="M6" s="2">
        <f>_xlfn.XLOOKUP(K6,Sheet1!D:D,Sheet1!K:K,0)</f>
        <v>888</v>
      </c>
      <c r="N6" s="2">
        <f t="shared" si="1"/>
        <v>0</v>
      </c>
    </row>
    <row r="7" spans="1:14" x14ac:dyDescent="0.15">
      <c r="A7" s="5">
        <v>7</v>
      </c>
      <c r="B7" s="5">
        <v>8</v>
      </c>
      <c r="C7" s="5">
        <v>468</v>
      </c>
      <c r="D7" s="5" t="s">
        <v>34</v>
      </c>
      <c r="E7" s="5" t="s">
        <v>323</v>
      </c>
      <c r="F7" s="5" t="s">
        <v>726</v>
      </c>
      <c r="G7" s="5">
        <v>888</v>
      </c>
      <c r="H7" s="2" t="s">
        <v>322</v>
      </c>
      <c r="K7" s="2" t="str">
        <v>廖妍</v>
      </c>
      <c r="L7" s="2">
        <f t="shared" si="0"/>
        <v>888</v>
      </c>
      <c r="M7" s="2">
        <f>_xlfn.XLOOKUP(K7,Sheet1!D:D,Sheet1!K:K,0)</f>
        <v>888</v>
      </c>
      <c r="N7" s="2">
        <f t="shared" si="1"/>
        <v>0</v>
      </c>
    </row>
    <row r="8" spans="1:14" x14ac:dyDescent="0.15">
      <c r="A8" s="5">
        <v>7</v>
      </c>
      <c r="B8" s="5">
        <v>8</v>
      </c>
      <c r="C8" s="5" t="s">
        <v>184</v>
      </c>
      <c r="D8" s="5" t="s">
        <v>189</v>
      </c>
      <c r="E8" s="5" t="s">
        <v>323</v>
      </c>
      <c r="F8" s="5" t="s">
        <v>727</v>
      </c>
      <c r="G8" s="5">
        <v>888</v>
      </c>
      <c r="H8" s="2" t="s">
        <v>322</v>
      </c>
      <c r="K8" s="2" t="str">
        <v>郝中南</v>
      </c>
      <c r="L8" s="2">
        <f t="shared" si="0"/>
        <v>2296</v>
      </c>
      <c r="M8" s="2">
        <f>_xlfn.XLOOKUP(K8,Sheet1!D:D,Sheet1!K:K,0)</f>
        <v>2296</v>
      </c>
      <c r="N8" s="2">
        <f t="shared" si="1"/>
        <v>0</v>
      </c>
    </row>
    <row r="9" spans="1:14" x14ac:dyDescent="0.15">
      <c r="A9" s="5">
        <v>7</v>
      </c>
      <c r="B9" s="5">
        <v>9</v>
      </c>
      <c r="C9" s="5" t="s">
        <v>209</v>
      </c>
      <c r="D9" s="5" t="s">
        <v>214</v>
      </c>
      <c r="E9" s="5" t="s">
        <v>323</v>
      </c>
      <c r="F9" s="5" t="s">
        <v>728</v>
      </c>
      <c r="G9" s="5">
        <v>888</v>
      </c>
      <c r="H9" s="2" t="s">
        <v>322</v>
      </c>
      <c r="K9" s="2" t="str">
        <v>杜兰兰</v>
      </c>
      <c r="L9" s="2">
        <f t="shared" si="0"/>
        <v>888</v>
      </c>
      <c r="M9" s="2">
        <f>_xlfn.XLOOKUP(K9,Sheet1!D:D,Sheet1!K:K,0)</f>
        <v>888</v>
      </c>
      <c r="N9" s="2">
        <f t="shared" si="1"/>
        <v>0</v>
      </c>
    </row>
    <row r="10" spans="1:14" x14ac:dyDescent="0.15">
      <c r="A10" s="5">
        <v>7</v>
      </c>
      <c r="B10" s="5">
        <v>9</v>
      </c>
      <c r="C10" s="5" t="s">
        <v>209</v>
      </c>
      <c r="D10" s="5" t="s">
        <v>214</v>
      </c>
      <c r="E10" s="5" t="s">
        <v>323</v>
      </c>
      <c r="F10" s="5" t="s">
        <v>729</v>
      </c>
      <c r="G10" s="5">
        <v>888</v>
      </c>
      <c r="H10" s="2" t="s">
        <v>322</v>
      </c>
      <c r="K10" s="2" t="str">
        <v>董顺秀</v>
      </c>
      <c r="L10" s="2">
        <f t="shared" si="0"/>
        <v>888</v>
      </c>
      <c r="M10" s="2">
        <f>_xlfn.XLOOKUP(K10,Sheet1!D:D,Sheet1!K:K,0)</f>
        <v>888</v>
      </c>
      <c r="N10" s="2">
        <f t="shared" si="1"/>
        <v>0</v>
      </c>
    </row>
    <row r="11" spans="1:14" x14ac:dyDescent="0.15">
      <c r="A11" s="5">
        <v>7</v>
      </c>
      <c r="B11" s="5">
        <v>9</v>
      </c>
      <c r="C11" s="5" t="s">
        <v>238</v>
      </c>
      <c r="D11" s="5" t="s">
        <v>242</v>
      </c>
      <c r="E11" s="5" t="s">
        <v>323</v>
      </c>
      <c r="F11" s="5" t="s">
        <v>730</v>
      </c>
      <c r="G11" s="5">
        <v>888</v>
      </c>
      <c r="H11" s="2" t="s">
        <v>322</v>
      </c>
      <c r="K11" s="2" t="str">
        <v>李巧娇</v>
      </c>
      <c r="L11" s="2">
        <f t="shared" si="0"/>
        <v>1776</v>
      </c>
      <c r="M11" s="2">
        <f>_xlfn.XLOOKUP(K11,Sheet1!D:D,Sheet1!K:K,0)</f>
        <v>1776</v>
      </c>
      <c r="N11" s="2">
        <f t="shared" si="1"/>
        <v>0</v>
      </c>
    </row>
    <row r="12" spans="1:14" x14ac:dyDescent="0.15">
      <c r="A12" s="5">
        <v>7</v>
      </c>
      <c r="B12" s="5">
        <v>10</v>
      </c>
      <c r="C12" s="5" t="s">
        <v>51</v>
      </c>
      <c r="D12" s="5" t="s">
        <v>57</v>
      </c>
      <c r="E12" s="5" t="s">
        <v>323</v>
      </c>
      <c r="F12" s="5" t="s">
        <v>731</v>
      </c>
      <c r="G12" s="5">
        <v>888</v>
      </c>
      <c r="H12" s="2" t="s">
        <v>322</v>
      </c>
      <c r="K12" s="2" t="str">
        <v>谭言希</v>
      </c>
      <c r="L12" s="2">
        <f t="shared" si="0"/>
        <v>888</v>
      </c>
      <c r="M12" s="2">
        <f>_xlfn.XLOOKUP(K12,Sheet1!D:D,Sheet1!K:K,0)</f>
        <v>888</v>
      </c>
      <c r="N12" s="2">
        <f t="shared" si="1"/>
        <v>0</v>
      </c>
    </row>
    <row r="13" spans="1:14" x14ac:dyDescent="0.15">
      <c r="A13" s="5">
        <v>7</v>
      </c>
      <c r="B13" s="5">
        <v>10</v>
      </c>
      <c r="C13" s="5" t="s">
        <v>225</v>
      </c>
      <c r="D13" s="5" t="s">
        <v>227</v>
      </c>
      <c r="E13" s="5" t="s">
        <v>323</v>
      </c>
      <c r="F13" s="5" t="s">
        <v>732</v>
      </c>
      <c r="G13" s="5">
        <v>888</v>
      </c>
      <c r="H13" s="2" t="s">
        <v>322</v>
      </c>
      <c r="K13" s="2" t="str">
        <v>唐宇欣</v>
      </c>
      <c r="L13" s="2">
        <f t="shared" si="0"/>
        <v>888</v>
      </c>
      <c r="M13" s="2">
        <f>_xlfn.XLOOKUP(K13,Sheet1!D:D,Sheet1!K:K,0)</f>
        <v>888</v>
      </c>
      <c r="N13" s="2">
        <f t="shared" si="1"/>
        <v>0</v>
      </c>
    </row>
    <row r="14" spans="1:14" x14ac:dyDescent="0.15">
      <c r="A14" s="5">
        <v>7</v>
      </c>
      <c r="B14" s="5">
        <v>10</v>
      </c>
      <c r="C14" s="5" t="s">
        <v>97</v>
      </c>
      <c r="D14" s="5" t="s">
        <v>99</v>
      </c>
      <c r="E14" s="5" t="s">
        <v>323</v>
      </c>
      <c r="F14" s="5" t="s">
        <v>318</v>
      </c>
      <c r="G14" s="5">
        <v>888</v>
      </c>
      <c r="H14" s="2" t="s">
        <v>322</v>
      </c>
      <c r="K14" s="2" t="str">
        <v>罗雪</v>
      </c>
      <c r="L14" s="2">
        <f t="shared" si="0"/>
        <v>1087</v>
      </c>
      <c r="M14" s="2">
        <f>_xlfn.XLOOKUP(K14,Sheet1!D:D,Sheet1!K:K,0)</f>
        <v>1087</v>
      </c>
      <c r="N14" s="2">
        <f t="shared" si="1"/>
        <v>0</v>
      </c>
    </row>
    <row r="15" spans="1:14" x14ac:dyDescent="0.15">
      <c r="A15" s="5">
        <v>7</v>
      </c>
      <c r="B15" s="5">
        <v>10</v>
      </c>
      <c r="C15" s="5" t="s">
        <v>193</v>
      </c>
      <c r="D15" s="5" t="s">
        <v>195</v>
      </c>
      <c r="E15" s="5" t="s">
        <v>321</v>
      </c>
      <c r="F15" s="5" t="s">
        <v>733</v>
      </c>
      <c r="G15" s="5">
        <v>588</v>
      </c>
      <c r="H15" s="2" t="s">
        <v>322</v>
      </c>
      <c r="K15" s="2" t="str">
        <v>陈建蓉</v>
      </c>
      <c r="L15" s="2">
        <f t="shared" si="0"/>
        <v>888</v>
      </c>
      <c r="M15" s="2">
        <f>_xlfn.XLOOKUP(K15,Sheet1!D:D,Sheet1!K:K,0)</f>
        <v>888</v>
      </c>
      <c r="N15" s="2">
        <f t="shared" si="1"/>
        <v>0</v>
      </c>
    </row>
    <row r="16" spans="1:14" x14ac:dyDescent="0.15">
      <c r="A16" s="5">
        <v>7</v>
      </c>
      <c r="B16" s="5">
        <v>10</v>
      </c>
      <c r="C16" s="5" t="s">
        <v>225</v>
      </c>
      <c r="D16" s="5" t="s">
        <v>232</v>
      </c>
      <c r="E16" s="5" t="s">
        <v>323</v>
      </c>
      <c r="F16" s="5" t="s">
        <v>734</v>
      </c>
      <c r="G16" s="5">
        <v>888</v>
      </c>
      <c r="H16" s="2" t="s">
        <v>322</v>
      </c>
      <c r="K16" s="2" t="str">
        <v>杨金花</v>
      </c>
      <c r="L16" s="2">
        <f t="shared" si="0"/>
        <v>888</v>
      </c>
      <c r="M16" s="2">
        <f>_xlfn.XLOOKUP(K16,Sheet1!D:D,Sheet1!K:K,0)</f>
        <v>888</v>
      </c>
      <c r="N16" s="2">
        <f t="shared" si="1"/>
        <v>0</v>
      </c>
    </row>
    <row r="17" spans="1:14" x14ac:dyDescent="0.15">
      <c r="A17" s="5">
        <v>7</v>
      </c>
      <c r="B17" s="5">
        <v>10</v>
      </c>
      <c r="C17" s="5" t="s">
        <v>225</v>
      </c>
      <c r="D17" s="5" t="s">
        <v>231</v>
      </c>
      <c r="E17" s="5" t="s">
        <v>323</v>
      </c>
      <c r="F17" s="5" t="s">
        <v>735</v>
      </c>
      <c r="G17" s="5">
        <v>888</v>
      </c>
      <c r="H17" s="2" t="s">
        <v>322</v>
      </c>
      <c r="K17" s="2" t="str">
        <v>彭鑫</v>
      </c>
      <c r="L17" s="2">
        <f t="shared" si="0"/>
        <v>1776</v>
      </c>
      <c r="M17" s="2">
        <f>_xlfn.XLOOKUP(K17,Sheet1!D:D,Sheet1!K:K,0)</f>
        <v>1776</v>
      </c>
      <c r="N17" s="2">
        <f t="shared" si="1"/>
        <v>0</v>
      </c>
    </row>
    <row r="18" spans="1:14" x14ac:dyDescent="0.15">
      <c r="A18" s="5">
        <v>7</v>
      </c>
      <c r="B18" s="5">
        <v>11</v>
      </c>
      <c r="C18" s="5" t="s">
        <v>51</v>
      </c>
      <c r="D18" s="5" t="s">
        <v>55</v>
      </c>
      <c r="E18" s="5" t="s">
        <v>323</v>
      </c>
      <c r="F18" s="5" t="s">
        <v>736</v>
      </c>
      <c r="G18" s="5">
        <v>888</v>
      </c>
      <c r="H18" s="2" t="s">
        <v>322</v>
      </c>
      <c r="K18" s="2" t="str">
        <v>张霞</v>
      </c>
      <c r="L18" s="2">
        <f t="shared" si="0"/>
        <v>888</v>
      </c>
      <c r="M18" s="2">
        <f>_xlfn.XLOOKUP(K18,Sheet1!D:D,Sheet1!K:K,0)</f>
        <v>888</v>
      </c>
      <c r="N18" s="2">
        <f t="shared" si="1"/>
        <v>0</v>
      </c>
    </row>
    <row r="19" spans="1:14" x14ac:dyDescent="0.15">
      <c r="A19" s="5">
        <v>7</v>
      </c>
      <c r="B19" s="5">
        <v>11</v>
      </c>
      <c r="C19" s="5" t="s">
        <v>225</v>
      </c>
      <c r="D19" s="5" t="s">
        <v>227</v>
      </c>
      <c r="E19" s="5" t="s">
        <v>323</v>
      </c>
      <c r="F19" s="5" t="s">
        <v>737</v>
      </c>
      <c r="G19" s="5">
        <v>888</v>
      </c>
      <c r="H19" s="2" t="s">
        <v>322</v>
      </c>
      <c r="K19" s="2" t="str">
        <v>孙红梅</v>
      </c>
      <c r="L19" s="2">
        <f t="shared" si="0"/>
        <v>588</v>
      </c>
      <c r="M19" s="2">
        <f>_xlfn.XLOOKUP(K19,Sheet1!D:D,Sheet1!K:K,0)</f>
        <v>588</v>
      </c>
      <c r="N19" s="2">
        <f t="shared" si="1"/>
        <v>0</v>
      </c>
    </row>
    <row r="20" spans="1:14" x14ac:dyDescent="0.15">
      <c r="A20" s="5">
        <v>7</v>
      </c>
      <c r="B20" s="5">
        <v>11</v>
      </c>
      <c r="C20" s="5" t="s">
        <v>51</v>
      </c>
      <c r="D20" s="5" t="s">
        <v>58</v>
      </c>
      <c r="E20" s="5" t="s">
        <v>323</v>
      </c>
      <c r="F20" s="5" t="s">
        <v>738</v>
      </c>
      <c r="G20" s="5">
        <v>888</v>
      </c>
      <c r="H20" s="2" t="s">
        <v>322</v>
      </c>
      <c r="K20" s="2" t="str">
        <v>欧迎春</v>
      </c>
      <c r="L20" s="2">
        <f t="shared" si="0"/>
        <v>588</v>
      </c>
      <c r="M20" s="2">
        <f>_xlfn.XLOOKUP(K20,Sheet1!D:D,Sheet1!K:K,0)</f>
        <v>588</v>
      </c>
      <c r="N20" s="2">
        <f t="shared" si="1"/>
        <v>0</v>
      </c>
    </row>
    <row r="21" spans="1:14" x14ac:dyDescent="0.15">
      <c r="A21" s="5">
        <v>7</v>
      </c>
      <c r="B21" s="5">
        <v>12</v>
      </c>
      <c r="C21" s="5" t="s">
        <v>81</v>
      </c>
      <c r="D21" s="5" t="s">
        <v>88</v>
      </c>
      <c r="E21" s="5" t="s">
        <v>323</v>
      </c>
      <c r="F21" s="5" t="s">
        <v>739</v>
      </c>
      <c r="G21" s="5">
        <v>888</v>
      </c>
      <c r="H21" s="2" t="s">
        <v>322</v>
      </c>
      <c r="K21" s="2" t="str">
        <v>冷忠翠</v>
      </c>
      <c r="L21" s="2">
        <f t="shared" si="0"/>
        <v>888</v>
      </c>
      <c r="M21" s="2">
        <f>_xlfn.XLOOKUP(K21,Sheet1!D:D,Sheet1!K:K,0)</f>
        <v>888</v>
      </c>
      <c r="N21" s="2">
        <f t="shared" si="1"/>
        <v>0</v>
      </c>
    </row>
    <row r="22" spans="1:14" x14ac:dyDescent="0.15">
      <c r="A22" s="5">
        <v>7</v>
      </c>
      <c r="B22" s="5">
        <v>12</v>
      </c>
      <c r="C22" s="5" t="s">
        <v>81</v>
      </c>
      <c r="D22" s="5" t="s">
        <v>88</v>
      </c>
      <c r="E22" s="5" t="s">
        <v>323</v>
      </c>
      <c r="F22" s="5" t="s">
        <v>740</v>
      </c>
      <c r="G22" s="5">
        <v>888</v>
      </c>
      <c r="H22" s="2" t="s">
        <v>322</v>
      </c>
      <c r="K22" s="2" t="str">
        <v>熊艳</v>
      </c>
      <c r="L22" s="2">
        <f t="shared" si="0"/>
        <v>1444</v>
      </c>
      <c r="M22" s="2">
        <f>_xlfn.XLOOKUP(K22,Sheet1!D:D,Sheet1!K:K,0)</f>
        <v>1444</v>
      </c>
      <c r="N22" s="2">
        <f t="shared" si="1"/>
        <v>0</v>
      </c>
    </row>
    <row r="23" spans="1:14" x14ac:dyDescent="0.15">
      <c r="A23" s="5">
        <v>7</v>
      </c>
      <c r="B23" s="5">
        <v>14</v>
      </c>
      <c r="C23" s="5" t="s">
        <v>66</v>
      </c>
      <c r="D23" s="5" t="s">
        <v>62</v>
      </c>
      <c r="E23" s="5" t="s">
        <v>323</v>
      </c>
      <c r="F23" s="5" t="s">
        <v>741</v>
      </c>
      <c r="G23" s="5">
        <v>888</v>
      </c>
      <c r="H23" s="2" t="s">
        <v>322</v>
      </c>
      <c r="K23" s="2" t="str">
        <v>罗文文</v>
      </c>
      <c r="L23" s="2">
        <f t="shared" si="0"/>
        <v>1508</v>
      </c>
      <c r="M23" s="2">
        <f>_xlfn.XLOOKUP(K23,Sheet1!D:D,Sheet1!K:K,0)</f>
        <v>1508</v>
      </c>
      <c r="N23" s="2">
        <f t="shared" si="1"/>
        <v>0</v>
      </c>
    </row>
    <row r="24" spans="1:14" x14ac:dyDescent="0.15">
      <c r="A24" s="5">
        <v>7</v>
      </c>
      <c r="B24" s="5">
        <v>14</v>
      </c>
      <c r="C24" s="5" t="s">
        <v>245</v>
      </c>
      <c r="D24" s="5" t="s">
        <v>246</v>
      </c>
      <c r="E24" s="5" t="s">
        <v>321</v>
      </c>
      <c r="F24" s="5" t="s">
        <v>742</v>
      </c>
      <c r="G24" s="5">
        <v>588</v>
      </c>
      <c r="H24" s="2" t="s">
        <v>322</v>
      </c>
      <c r="K24" s="2" t="str">
        <v>邓笑</v>
      </c>
      <c r="L24" s="2">
        <f t="shared" si="0"/>
        <v>1088</v>
      </c>
      <c r="M24" s="2">
        <f>_xlfn.XLOOKUP(K24,Sheet1!D:D,Sheet1!K:K,0)</f>
        <v>1088</v>
      </c>
      <c r="N24" s="2">
        <f t="shared" si="1"/>
        <v>0</v>
      </c>
    </row>
    <row r="25" spans="1:14" x14ac:dyDescent="0.15">
      <c r="A25" s="5">
        <v>7</v>
      </c>
      <c r="B25" s="5">
        <v>14</v>
      </c>
      <c r="C25" s="5" t="s">
        <v>66</v>
      </c>
      <c r="D25" s="5" t="s">
        <v>68</v>
      </c>
      <c r="E25" s="5" t="s">
        <v>321</v>
      </c>
      <c r="F25" s="5" t="s">
        <v>743</v>
      </c>
      <c r="G25" s="5">
        <v>588</v>
      </c>
      <c r="H25" s="2" t="s">
        <v>322</v>
      </c>
      <c r="K25" s="2" t="str">
        <v>周文慧</v>
      </c>
      <c r="L25" s="2">
        <f t="shared" si="0"/>
        <v>588</v>
      </c>
      <c r="M25" s="2">
        <f>_xlfn.XLOOKUP(K25,Sheet1!D:D,Sheet1!K:K,0)</f>
        <v>588</v>
      </c>
      <c r="N25" s="2">
        <f t="shared" si="1"/>
        <v>0</v>
      </c>
    </row>
    <row r="26" spans="1:14" x14ac:dyDescent="0.15">
      <c r="A26" s="5">
        <v>7</v>
      </c>
      <c r="B26" s="5">
        <v>15</v>
      </c>
      <c r="C26" s="5" t="s">
        <v>233</v>
      </c>
      <c r="D26" s="5" t="s">
        <v>234</v>
      </c>
      <c r="E26" s="5" t="s">
        <v>323</v>
      </c>
      <c r="F26" s="5" t="s">
        <v>744</v>
      </c>
      <c r="G26" s="5">
        <v>888</v>
      </c>
      <c r="H26" s="2" t="s">
        <v>322</v>
      </c>
      <c r="K26" s="2" t="str">
        <v>王红</v>
      </c>
      <c r="L26" s="2">
        <f t="shared" si="0"/>
        <v>888</v>
      </c>
      <c r="M26" s="2">
        <f>_xlfn.XLOOKUP(K26,Sheet1!D:D,Sheet1!K:K,0)</f>
        <v>888</v>
      </c>
      <c r="N26" s="2">
        <f t="shared" si="1"/>
        <v>0</v>
      </c>
    </row>
    <row r="27" spans="1:14" x14ac:dyDescent="0.15">
      <c r="A27" s="5">
        <v>7</v>
      </c>
      <c r="B27" s="5">
        <v>15</v>
      </c>
      <c r="C27" s="5" t="s">
        <v>198</v>
      </c>
      <c r="D27" s="5" t="s">
        <v>206</v>
      </c>
      <c r="E27" s="5" t="s">
        <v>323</v>
      </c>
      <c r="F27" s="5" t="s">
        <v>745</v>
      </c>
      <c r="G27" s="5">
        <v>444</v>
      </c>
      <c r="H27" s="2" t="s">
        <v>322</v>
      </c>
      <c r="K27" s="2" t="str">
        <v>贾琳</v>
      </c>
      <c r="L27" s="2">
        <f t="shared" si="0"/>
        <v>200</v>
      </c>
      <c r="M27" s="2">
        <f>_xlfn.XLOOKUP(K27,Sheet1!D:D,Sheet1!K:K,0)</f>
        <v>200</v>
      </c>
      <c r="N27" s="2">
        <f t="shared" si="1"/>
        <v>0</v>
      </c>
    </row>
    <row r="28" spans="1:14" x14ac:dyDescent="0.15">
      <c r="A28" s="5">
        <v>7</v>
      </c>
      <c r="B28" s="5">
        <v>17</v>
      </c>
      <c r="C28" s="5" t="s">
        <v>75</v>
      </c>
      <c r="D28" s="5" t="s">
        <v>80</v>
      </c>
      <c r="E28" s="5" t="s">
        <v>323</v>
      </c>
      <c r="F28" s="5" t="s">
        <v>746</v>
      </c>
      <c r="G28" s="5">
        <v>888</v>
      </c>
      <c r="H28" s="2" t="s">
        <v>322</v>
      </c>
      <c r="K28" s="2" t="str">
        <v>李维</v>
      </c>
      <c r="L28" s="2">
        <f t="shared" si="0"/>
        <v>1200</v>
      </c>
      <c r="M28" s="2">
        <f>_xlfn.XLOOKUP(K28,Sheet1!D:D,Sheet1!K:K,0)</f>
        <v>1200</v>
      </c>
      <c r="N28" s="2">
        <f t="shared" si="1"/>
        <v>0</v>
      </c>
    </row>
    <row r="29" spans="1:14" x14ac:dyDescent="0.15">
      <c r="A29" s="5">
        <v>7</v>
      </c>
      <c r="B29" s="5">
        <v>17</v>
      </c>
      <c r="C29" s="5" t="s">
        <v>81</v>
      </c>
      <c r="D29" s="5" t="s">
        <v>84</v>
      </c>
      <c r="E29" s="5" t="s">
        <v>323</v>
      </c>
      <c r="F29" s="5" t="s">
        <v>747</v>
      </c>
      <c r="G29" s="5">
        <v>888</v>
      </c>
      <c r="H29" s="2" t="s">
        <v>322</v>
      </c>
      <c r="K29" s="2" t="str">
        <v>周林</v>
      </c>
      <c r="L29" s="2">
        <f t="shared" si="0"/>
        <v>1508</v>
      </c>
      <c r="M29" s="2">
        <f>_xlfn.XLOOKUP(K29,Sheet1!D:D,Sheet1!K:K,0)</f>
        <v>1508</v>
      </c>
      <c r="N29" s="2">
        <f t="shared" si="1"/>
        <v>0</v>
      </c>
    </row>
    <row r="30" spans="1:14" x14ac:dyDescent="0.15">
      <c r="A30" s="5">
        <v>7</v>
      </c>
      <c r="B30" s="5">
        <v>19</v>
      </c>
      <c r="C30" s="5" t="s">
        <v>251</v>
      </c>
      <c r="D30" s="5" t="s">
        <v>253</v>
      </c>
      <c r="E30" s="5" t="s">
        <v>321</v>
      </c>
      <c r="F30" s="5" t="s">
        <v>748</v>
      </c>
      <c r="G30" s="5">
        <v>588</v>
      </c>
      <c r="H30" s="2" t="s">
        <v>322</v>
      </c>
      <c r="K30" s="2" t="str">
        <v>黎红花</v>
      </c>
      <c r="L30" s="2">
        <f t="shared" si="0"/>
        <v>444</v>
      </c>
      <c r="M30" s="2">
        <f>_xlfn.XLOOKUP(K30,Sheet1!D:D,Sheet1!K:K,0)</f>
        <v>444</v>
      </c>
      <c r="N30" s="2">
        <f t="shared" si="1"/>
        <v>0</v>
      </c>
    </row>
    <row r="31" spans="1:14" x14ac:dyDescent="0.15">
      <c r="A31" s="5">
        <v>7</v>
      </c>
      <c r="B31" s="5">
        <v>23</v>
      </c>
      <c r="C31" s="5" t="s">
        <v>145</v>
      </c>
      <c r="D31" s="5" t="s">
        <v>147</v>
      </c>
      <c r="E31" s="5" t="s">
        <v>323</v>
      </c>
      <c r="F31" s="5" t="s">
        <v>749</v>
      </c>
      <c r="G31" s="5">
        <v>888</v>
      </c>
      <c r="H31" s="2" t="s">
        <v>322</v>
      </c>
      <c r="K31" s="2" t="str">
        <v>袁晓梅</v>
      </c>
      <c r="L31" s="2">
        <f t="shared" si="0"/>
        <v>444</v>
      </c>
      <c r="M31" s="2">
        <f>_xlfn.XLOOKUP(K31,Sheet1!D:D,Sheet1!K:K,0)</f>
        <v>444</v>
      </c>
      <c r="N31" s="2">
        <f t="shared" si="1"/>
        <v>0</v>
      </c>
    </row>
    <row r="32" spans="1:14" x14ac:dyDescent="0.15">
      <c r="A32" s="5">
        <v>7</v>
      </c>
      <c r="B32" s="5">
        <v>25</v>
      </c>
      <c r="C32" s="5" t="s">
        <v>233</v>
      </c>
      <c r="D32" s="5" t="s">
        <v>236</v>
      </c>
      <c r="E32" s="5" t="s">
        <v>323</v>
      </c>
      <c r="F32" s="5" t="s">
        <v>750</v>
      </c>
      <c r="G32" s="5">
        <v>888</v>
      </c>
      <c r="H32" s="2" t="s">
        <v>322</v>
      </c>
      <c r="K32" s="2" t="str">
        <v>郑丹</v>
      </c>
      <c r="L32" s="2">
        <f t="shared" si="0"/>
        <v>444</v>
      </c>
      <c r="M32" s="2">
        <f>_xlfn.XLOOKUP(K32,Sheet1!D:D,Sheet1!K:K,0)</f>
        <v>444</v>
      </c>
      <c r="N32" s="2">
        <f t="shared" si="1"/>
        <v>0</v>
      </c>
    </row>
    <row r="33" spans="1:14" x14ac:dyDescent="0.15">
      <c r="A33" s="5">
        <v>7</v>
      </c>
      <c r="B33" s="5">
        <v>26</v>
      </c>
      <c r="C33" s="5" t="s">
        <v>81</v>
      </c>
      <c r="D33" s="5" t="s">
        <v>87</v>
      </c>
      <c r="E33" s="5" t="s">
        <v>323</v>
      </c>
      <c r="F33" s="5" t="s">
        <v>751</v>
      </c>
      <c r="G33" s="5">
        <v>200</v>
      </c>
      <c r="H33" s="2" t="s">
        <v>322</v>
      </c>
      <c r="K33" s="2" t="str">
        <v>曾怡</v>
      </c>
      <c r="L33" s="2">
        <f t="shared" si="0"/>
        <v>444</v>
      </c>
      <c r="M33" s="2">
        <f>_xlfn.XLOOKUP(K33,Sheet1!D:D,Sheet1!K:K,0)</f>
        <v>444</v>
      </c>
      <c r="N33" s="2">
        <f t="shared" si="1"/>
        <v>0</v>
      </c>
    </row>
    <row r="34" spans="1:14" x14ac:dyDescent="0.15">
      <c r="A34" s="5">
        <v>7</v>
      </c>
      <c r="B34" s="5">
        <v>26</v>
      </c>
      <c r="C34" s="5" t="s">
        <v>81</v>
      </c>
      <c r="D34" s="5" t="s">
        <v>84</v>
      </c>
      <c r="E34" s="5" t="s">
        <v>323</v>
      </c>
      <c r="F34" s="5" t="s">
        <v>751</v>
      </c>
      <c r="G34" s="5">
        <v>200</v>
      </c>
      <c r="H34" s="2" t="s">
        <v>322</v>
      </c>
      <c r="K34" s="2" t="str">
        <v>贺丽</v>
      </c>
      <c r="L34" s="2">
        <f t="shared" si="0"/>
        <v>620</v>
      </c>
      <c r="M34" s="2">
        <f>_xlfn.XLOOKUP(K34,Sheet1!D:D,Sheet1!K:K,0)</f>
        <v>620</v>
      </c>
      <c r="N34" s="2">
        <f t="shared" si="1"/>
        <v>0</v>
      </c>
    </row>
    <row r="35" spans="1:14" x14ac:dyDescent="0.15">
      <c r="A35" s="5">
        <v>7</v>
      </c>
      <c r="B35" s="5">
        <v>26</v>
      </c>
      <c r="C35" s="5" t="s">
        <v>81</v>
      </c>
      <c r="D35" s="5" t="s">
        <v>83</v>
      </c>
      <c r="E35" s="5" t="s">
        <v>323</v>
      </c>
      <c r="F35" s="5" t="s">
        <v>751</v>
      </c>
      <c r="G35" s="5">
        <v>200</v>
      </c>
      <c r="H35" s="2" t="s">
        <v>322</v>
      </c>
      <c r="K35" s="2" t="str">
        <v>包竹梅</v>
      </c>
      <c r="L35" s="2">
        <f t="shared" si="0"/>
        <v>1240</v>
      </c>
      <c r="M35" s="2">
        <f>_xlfn.XLOOKUP(K35,Sheet1!D:D,Sheet1!K:K,0)</f>
        <v>1240</v>
      </c>
      <c r="N35" s="2">
        <f t="shared" si="1"/>
        <v>0</v>
      </c>
    </row>
    <row r="36" spans="1:14" x14ac:dyDescent="0.15">
      <c r="A36" s="5">
        <v>7</v>
      </c>
      <c r="B36" s="5">
        <v>26</v>
      </c>
      <c r="C36" s="5" t="s">
        <v>90</v>
      </c>
      <c r="D36" s="5" t="s">
        <v>95</v>
      </c>
      <c r="E36" s="5" t="s">
        <v>323</v>
      </c>
      <c r="F36" s="5" t="s">
        <v>320</v>
      </c>
      <c r="G36" s="5">
        <v>888</v>
      </c>
      <c r="H36" s="2" t="s">
        <v>322</v>
      </c>
      <c r="K36" s="2" t="str">
        <v>邓雪梅</v>
      </c>
      <c r="L36" s="2">
        <f t="shared" si="0"/>
        <v>620</v>
      </c>
      <c r="M36" s="2">
        <f>_xlfn.XLOOKUP(K36,Sheet1!D:D,Sheet1!K:K,0)</f>
        <v>620</v>
      </c>
      <c r="N36" s="2">
        <f t="shared" si="1"/>
        <v>0</v>
      </c>
    </row>
    <row r="37" spans="1:14" x14ac:dyDescent="0.15">
      <c r="A37" s="5">
        <v>7</v>
      </c>
      <c r="B37" s="5">
        <v>28</v>
      </c>
      <c r="C37" s="5" t="s">
        <v>245</v>
      </c>
      <c r="D37" s="5" t="s">
        <v>249</v>
      </c>
      <c r="E37" s="5" t="s">
        <v>323</v>
      </c>
      <c r="F37" s="5" t="s">
        <v>752</v>
      </c>
      <c r="G37" s="5">
        <v>444</v>
      </c>
      <c r="H37" s="2" t="s">
        <v>322</v>
      </c>
      <c r="K37" s="2" t="str">
        <v>刘帆</v>
      </c>
      <c r="L37" s="2">
        <f t="shared" si="0"/>
        <v>620</v>
      </c>
      <c r="M37" s="2">
        <f>_xlfn.XLOOKUP(K37,Sheet1!D:D,Sheet1!K:K,0)</f>
        <v>620</v>
      </c>
      <c r="N37" s="2">
        <f t="shared" si="1"/>
        <v>0</v>
      </c>
    </row>
    <row r="38" spans="1:14" x14ac:dyDescent="0.15">
      <c r="A38" s="5">
        <v>7</v>
      </c>
      <c r="B38" s="5">
        <v>28</v>
      </c>
      <c r="C38" s="5" t="s">
        <v>245</v>
      </c>
      <c r="D38" s="5" t="s">
        <v>441</v>
      </c>
      <c r="E38" s="5" t="s">
        <v>323</v>
      </c>
      <c r="F38" s="5" t="s">
        <v>752</v>
      </c>
      <c r="G38" s="5">
        <v>444</v>
      </c>
      <c r="H38" s="2" t="s">
        <v>322</v>
      </c>
      <c r="K38" s="2" t="str">
        <v>李彩华</v>
      </c>
      <c r="L38" s="2">
        <f t="shared" si="0"/>
        <v>666</v>
      </c>
      <c r="M38" s="2">
        <f>_xlfn.XLOOKUP(K38,Sheet1!D:D,Sheet1!K:K,0)</f>
        <v>666</v>
      </c>
      <c r="N38" s="2">
        <f t="shared" si="1"/>
        <v>0</v>
      </c>
    </row>
    <row r="39" spans="1:14" x14ac:dyDescent="0.15">
      <c r="A39" s="5">
        <v>7</v>
      </c>
      <c r="B39" s="5">
        <v>30</v>
      </c>
      <c r="C39" s="5" t="s">
        <v>136</v>
      </c>
      <c r="D39" s="5" t="s">
        <v>139</v>
      </c>
      <c r="E39" s="5" t="s">
        <v>323</v>
      </c>
      <c r="F39" s="5" t="s">
        <v>753</v>
      </c>
      <c r="G39" s="5">
        <v>444</v>
      </c>
      <c r="H39" s="2" t="s">
        <v>322</v>
      </c>
      <c r="K39" s="2" t="str">
        <v>李洪芳</v>
      </c>
      <c r="L39" s="2">
        <f t="shared" si="0"/>
        <v>1240</v>
      </c>
      <c r="M39" s="2">
        <f>_xlfn.XLOOKUP(K39,Sheet1!D:D,Sheet1!K:K,0)</f>
        <v>1240</v>
      </c>
      <c r="N39" s="2">
        <f t="shared" si="1"/>
        <v>0</v>
      </c>
    </row>
    <row r="40" spans="1:14" x14ac:dyDescent="0.15">
      <c r="A40" s="5">
        <v>7</v>
      </c>
      <c r="B40" s="5">
        <v>30</v>
      </c>
      <c r="C40" s="5" t="s">
        <v>136</v>
      </c>
      <c r="D40" s="5" t="s">
        <v>144</v>
      </c>
      <c r="E40" s="5" t="s">
        <v>323</v>
      </c>
      <c r="F40" s="5" t="s">
        <v>753</v>
      </c>
      <c r="G40" s="5">
        <v>444</v>
      </c>
      <c r="H40" s="2" t="s">
        <v>322</v>
      </c>
      <c r="K40" s="2" t="str">
        <v>蒲艳婷</v>
      </c>
      <c r="L40" s="2">
        <f t="shared" si="0"/>
        <v>620</v>
      </c>
      <c r="M40" s="2">
        <f>_xlfn.XLOOKUP(K40,Sheet1!D:D,Sheet1!K:K,0)</f>
        <v>620</v>
      </c>
      <c r="N40" s="2">
        <f t="shared" si="1"/>
        <v>0</v>
      </c>
    </row>
    <row r="41" spans="1:14" x14ac:dyDescent="0.15">
      <c r="A41" s="5">
        <v>7</v>
      </c>
      <c r="B41" s="5">
        <v>1</v>
      </c>
      <c r="C41" s="5" t="s">
        <v>153</v>
      </c>
      <c r="D41" s="5" t="s">
        <v>156</v>
      </c>
      <c r="E41" s="5" t="s">
        <v>315</v>
      </c>
      <c r="F41" s="5" t="s">
        <v>754</v>
      </c>
      <c r="G41" s="5">
        <v>620</v>
      </c>
      <c r="H41" s="2" t="s">
        <v>316</v>
      </c>
      <c r="K41" s="2" t="str">
        <v>陈丽</v>
      </c>
      <c r="L41" s="2">
        <f t="shared" si="0"/>
        <v>310</v>
      </c>
      <c r="M41" s="2">
        <f>_xlfn.XLOOKUP(K41,Sheet1!D:D,Sheet1!K:K,0)</f>
        <v>0</v>
      </c>
      <c r="N41" s="2">
        <f t="shared" si="1"/>
        <v>-310</v>
      </c>
    </row>
    <row r="42" spans="1:14" x14ac:dyDescent="0.15">
      <c r="A42" s="5">
        <v>7</v>
      </c>
      <c r="B42" s="5">
        <v>1</v>
      </c>
      <c r="C42" s="5" t="s">
        <v>60</v>
      </c>
      <c r="D42" s="5" t="s">
        <v>72</v>
      </c>
      <c r="E42" s="5" t="s">
        <v>315</v>
      </c>
      <c r="F42" s="5" t="s">
        <v>755</v>
      </c>
      <c r="G42" s="5">
        <v>620</v>
      </c>
      <c r="H42" s="2" t="s">
        <v>316</v>
      </c>
      <c r="K42" s="2" t="str">
        <v>谢金梅</v>
      </c>
      <c r="L42" s="2">
        <f t="shared" si="0"/>
        <v>310</v>
      </c>
      <c r="M42" s="2">
        <f>_xlfn.XLOOKUP(K42,Sheet1!D:D,Sheet1!K:K,0)</f>
        <v>310</v>
      </c>
      <c r="N42" s="2">
        <f t="shared" si="1"/>
        <v>0</v>
      </c>
    </row>
    <row r="43" spans="1:14" x14ac:dyDescent="0.15">
      <c r="A43" s="5">
        <v>7</v>
      </c>
      <c r="B43" s="5">
        <v>3</v>
      </c>
      <c r="C43" s="5" t="s">
        <v>209</v>
      </c>
      <c r="D43" s="5" t="s">
        <v>214</v>
      </c>
      <c r="E43" s="5" t="s">
        <v>315</v>
      </c>
      <c r="F43" s="5" t="s">
        <v>728</v>
      </c>
      <c r="G43" s="5">
        <v>520</v>
      </c>
      <c r="H43" s="2" t="s">
        <v>316</v>
      </c>
      <c r="K43" s="2" t="str">
        <v>王瑞琳</v>
      </c>
      <c r="L43" s="2">
        <f t="shared" si="0"/>
        <v>666</v>
      </c>
      <c r="M43" s="2">
        <f>_xlfn.XLOOKUP(K43,Sheet1!D:D,Sheet1!K:K,0)</f>
        <v>666</v>
      </c>
      <c r="N43" s="2">
        <f t="shared" si="1"/>
        <v>0</v>
      </c>
    </row>
    <row r="44" spans="1:14" x14ac:dyDescent="0.15">
      <c r="A44" s="5">
        <v>7</v>
      </c>
      <c r="B44" s="5">
        <v>5</v>
      </c>
      <c r="C44" s="5" t="s">
        <v>169</v>
      </c>
      <c r="D44" s="5" t="s">
        <v>171</v>
      </c>
      <c r="E44" s="5" t="s">
        <v>315</v>
      </c>
      <c r="F44" s="5" t="s">
        <v>756</v>
      </c>
      <c r="G44" s="5">
        <v>620</v>
      </c>
      <c r="H44" s="2" t="s">
        <v>316</v>
      </c>
      <c r="K44" s="2" t="str">
        <v>张白金</v>
      </c>
      <c r="L44" s="2">
        <f t="shared" si="0"/>
        <v>1240</v>
      </c>
      <c r="M44" s="2">
        <f>_xlfn.XLOOKUP(K44,Sheet1!D:D,Sheet1!K:K,0)</f>
        <v>1240</v>
      </c>
      <c r="N44" s="2">
        <f t="shared" si="1"/>
        <v>0</v>
      </c>
    </row>
    <row r="45" spans="1:14" x14ac:dyDescent="0.15">
      <c r="A45" s="5">
        <v>7</v>
      </c>
      <c r="B45" s="5">
        <v>6</v>
      </c>
      <c r="C45" s="5" t="s">
        <v>245</v>
      </c>
      <c r="D45" s="5" t="s">
        <v>250</v>
      </c>
      <c r="E45" s="5" t="s">
        <v>315</v>
      </c>
      <c r="F45" s="5" t="s">
        <v>757</v>
      </c>
      <c r="G45" s="5">
        <v>620</v>
      </c>
      <c r="H45" s="2" t="s">
        <v>316</v>
      </c>
      <c r="K45" s="2" t="str">
        <v>蒙亦锌</v>
      </c>
      <c r="L45" s="2">
        <f t="shared" si="0"/>
        <v>620</v>
      </c>
      <c r="M45" s="2">
        <f>_xlfn.XLOOKUP(K45,Sheet1!D:D,Sheet1!K:K,0)</f>
        <v>620</v>
      </c>
      <c r="N45" s="2">
        <f t="shared" si="1"/>
        <v>0</v>
      </c>
    </row>
    <row r="46" spans="1:14" x14ac:dyDescent="0.15">
      <c r="A46" s="5">
        <v>7</v>
      </c>
      <c r="B46" s="5">
        <v>13</v>
      </c>
      <c r="C46" s="5" t="s">
        <v>184</v>
      </c>
      <c r="D46" s="5" t="s">
        <v>187</v>
      </c>
      <c r="E46" s="5" t="s">
        <v>317</v>
      </c>
      <c r="F46" s="5" t="s">
        <v>758</v>
      </c>
      <c r="G46" s="5">
        <v>666</v>
      </c>
      <c r="H46" s="2" t="s">
        <v>316</v>
      </c>
      <c r="K46" s="2" t="str">
        <v>刘梦蓝</v>
      </c>
      <c r="L46" s="2">
        <f t="shared" si="0"/>
        <v>620</v>
      </c>
      <c r="M46" s="2">
        <f>_xlfn.XLOOKUP(K46,Sheet1!D:D,Sheet1!K:K,0)</f>
        <v>620</v>
      </c>
      <c r="N46" s="2">
        <f t="shared" si="1"/>
        <v>0</v>
      </c>
    </row>
    <row r="47" spans="1:14" x14ac:dyDescent="0.15">
      <c r="A47" s="5">
        <v>7</v>
      </c>
      <c r="B47" s="5">
        <v>14</v>
      </c>
      <c r="C47" s="5" t="s">
        <v>75</v>
      </c>
      <c r="D47" s="5" t="s">
        <v>77</v>
      </c>
      <c r="E47" s="5" t="s">
        <v>315</v>
      </c>
      <c r="F47" s="5" t="s">
        <v>759</v>
      </c>
      <c r="G47" s="5">
        <v>620</v>
      </c>
      <c r="H47" s="2" t="s">
        <v>316</v>
      </c>
      <c r="K47" s="2" t="str">
        <v>李萌</v>
      </c>
      <c r="L47" s="2">
        <f t="shared" si="0"/>
        <v>620</v>
      </c>
      <c r="M47" s="2">
        <f>_xlfn.XLOOKUP(K47,Sheet1!D:D,Sheet1!K:K,0)</f>
        <v>620</v>
      </c>
      <c r="N47" s="2">
        <f t="shared" si="1"/>
        <v>0</v>
      </c>
    </row>
    <row r="48" spans="1:14" x14ac:dyDescent="0.15">
      <c r="A48" s="5">
        <v>7</v>
      </c>
      <c r="B48" s="5">
        <v>16</v>
      </c>
      <c r="C48" s="5" t="s">
        <v>60</v>
      </c>
      <c r="D48" s="5" t="s">
        <v>72</v>
      </c>
      <c r="E48" s="5" t="s">
        <v>315</v>
      </c>
      <c r="F48" s="5" t="s">
        <v>760</v>
      </c>
      <c r="G48" s="5">
        <v>620</v>
      </c>
      <c r="H48" s="2" t="s">
        <v>316</v>
      </c>
      <c r="K48" s="2" t="str">
        <v>陈红霞</v>
      </c>
      <c r="L48" s="2">
        <f t="shared" si="0"/>
        <v>620</v>
      </c>
      <c r="M48" s="2">
        <f>_xlfn.XLOOKUP(K48,Sheet1!D:D,Sheet1!K:K,0)</f>
        <v>620</v>
      </c>
      <c r="N48" s="2">
        <f t="shared" si="1"/>
        <v>0</v>
      </c>
    </row>
    <row r="49" spans="1:14" x14ac:dyDescent="0.15">
      <c r="A49" s="5">
        <v>7</v>
      </c>
      <c r="B49" s="5">
        <v>16</v>
      </c>
      <c r="C49" s="5" t="s">
        <v>245</v>
      </c>
      <c r="D49" s="5" t="s">
        <v>247</v>
      </c>
      <c r="E49" s="5" t="s">
        <v>315</v>
      </c>
      <c r="F49" s="5" t="s">
        <v>761</v>
      </c>
      <c r="G49" s="5">
        <v>620</v>
      </c>
      <c r="H49" s="2" t="s">
        <v>316</v>
      </c>
      <c r="K49" s="2" t="str">
        <v>李燕1</v>
      </c>
      <c r="L49" s="2">
        <f t="shared" si="0"/>
        <v>1000</v>
      </c>
      <c r="M49" s="2">
        <f>_xlfn.XLOOKUP(K49,Sheet1!D:D,Sheet1!K:K,0)</f>
        <v>1000</v>
      </c>
      <c r="N49" s="2">
        <f t="shared" si="1"/>
        <v>0</v>
      </c>
    </row>
    <row r="50" spans="1:14" x14ac:dyDescent="0.15">
      <c r="A50" s="5">
        <v>7</v>
      </c>
      <c r="B50" s="5">
        <v>16</v>
      </c>
      <c r="C50" s="5" t="s">
        <v>75</v>
      </c>
      <c r="D50" s="5" t="s">
        <v>431</v>
      </c>
      <c r="E50" s="5" t="s">
        <v>315</v>
      </c>
      <c r="F50" s="5" t="s">
        <v>762</v>
      </c>
      <c r="G50" s="5">
        <v>310</v>
      </c>
      <c r="H50" s="2" t="s">
        <v>316</v>
      </c>
      <c r="K50" s="2" t="str">
        <v>王智慧</v>
      </c>
      <c r="L50" s="2">
        <f t="shared" si="0"/>
        <v>745</v>
      </c>
      <c r="M50" s="2">
        <f>_xlfn.XLOOKUP(K50,Sheet1!D:D,Sheet1!K:K,0)</f>
        <v>745</v>
      </c>
      <c r="N50" s="2">
        <f t="shared" si="1"/>
        <v>0</v>
      </c>
    </row>
    <row r="51" spans="1:14" x14ac:dyDescent="0.15">
      <c r="A51" s="5">
        <v>7</v>
      </c>
      <c r="B51" s="5">
        <v>16</v>
      </c>
      <c r="C51" s="5" t="s">
        <v>75</v>
      </c>
      <c r="D51" s="5" t="s">
        <v>79</v>
      </c>
      <c r="E51" s="5" t="s">
        <v>315</v>
      </c>
      <c r="F51" s="5" t="s">
        <v>762</v>
      </c>
      <c r="G51" s="5">
        <v>310</v>
      </c>
      <c r="H51" s="2" t="s">
        <v>316</v>
      </c>
      <c r="K51" s="2" t="str">
        <v>陈洁</v>
      </c>
      <c r="L51" s="2">
        <f t="shared" si="0"/>
        <v>1000</v>
      </c>
      <c r="M51" s="2">
        <f>_xlfn.XLOOKUP(K51,Sheet1!D:D,Sheet1!K:K,0)</f>
        <v>1000</v>
      </c>
      <c r="N51" s="2">
        <f t="shared" si="1"/>
        <v>0</v>
      </c>
    </row>
    <row r="52" spans="1:14" x14ac:dyDescent="0.15">
      <c r="A52" s="5">
        <v>7</v>
      </c>
      <c r="B52" s="5">
        <v>16</v>
      </c>
      <c r="C52" s="5" t="s">
        <v>41</v>
      </c>
      <c r="D52" s="5" t="s">
        <v>43</v>
      </c>
      <c r="E52" s="5" t="s">
        <v>317</v>
      </c>
      <c r="F52" s="5" t="s">
        <v>365</v>
      </c>
      <c r="G52" s="5">
        <v>666</v>
      </c>
      <c r="H52" s="2" t="s">
        <v>316</v>
      </c>
      <c r="K52" s="2" t="str">
        <v>石海力</v>
      </c>
      <c r="L52" s="2">
        <f t="shared" si="0"/>
        <v>1000</v>
      </c>
      <c r="M52" s="2">
        <f>_xlfn.XLOOKUP(K52,Sheet1!D:D,Sheet1!K:K,0)</f>
        <v>1000</v>
      </c>
      <c r="N52" s="2">
        <f t="shared" si="1"/>
        <v>0</v>
      </c>
    </row>
    <row r="53" spans="1:14" x14ac:dyDescent="0.15">
      <c r="A53" s="5">
        <v>7</v>
      </c>
      <c r="B53" s="5">
        <v>20</v>
      </c>
      <c r="C53" s="5" t="s">
        <v>251</v>
      </c>
      <c r="D53" s="5" t="s">
        <v>258</v>
      </c>
      <c r="E53" s="5" t="s">
        <v>315</v>
      </c>
      <c r="F53" s="5" t="s">
        <v>763</v>
      </c>
      <c r="G53" s="5">
        <v>620</v>
      </c>
      <c r="H53" s="2" t="s">
        <v>316</v>
      </c>
      <c r="K53" s="2">
        <v>0</v>
      </c>
      <c r="L53" s="2">
        <f t="shared" si="0"/>
        <v>0</v>
      </c>
      <c r="M53" s="2">
        <f>_xlfn.XLOOKUP(K53,Sheet1!D:D,Sheet1!K:K,0)</f>
        <v>0</v>
      </c>
      <c r="N53" s="2">
        <f t="shared" si="1"/>
        <v>0</v>
      </c>
    </row>
    <row r="54" spans="1:14" x14ac:dyDescent="0.15">
      <c r="A54" s="5">
        <v>7</v>
      </c>
      <c r="B54" s="5">
        <v>20</v>
      </c>
      <c r="C54" s="5" t="s">
        <v>75</v>
      </c>
      <c r="D54" s="5" t="s">
        <v>77</v>
      </c>
      <c r="E54" s="5" t="s">
        <v>315</v>
      </c>
      <c r="F54" s="5" t="s">
        <v>764</v>
      </c>
      <c r="G54" s="5">
        <v>620</v>
      </c>
      <c r="H54" s="2" t="s">
        <v>316</v>
      </c>
    </row>
    <row r="55" spans="1:14" x14ac:dyDescent="0.15">
      <c r="A55" s="5">
        <v>7</v>
      </c>
      <c r="B55" s="5">
        <v>26</v>
      </c>
      <c r="C55" s="5" t="s">
        <v>90</v>
      </c>
      <c r="D55" s="5" t="s">
        <v>95</v>
      </c>
      <c r="E55" s="5" t="s">
        <v>315</v>
      </c>
      <c r="F55" s="5" t="s">
        <v>320</v>
      </c>
      <c r="G55" s="5">
        <v>620</v>
      </c>
      <c r="H55" s="2" t="s">
        <v>316</v>
      </c>
    </row>
    <row r="56" spans="1:14" x14ac:dyDescent="0.15">
      <c r="A56" s="5">
        <v>7</v>
      </c>
      <c r="B56" s="5">
        <v>27</v>
      </c>
      <c r="C56" s="5" t="s">
        <v>60</v>
      </c>
      <c r="D56" s="5" t="s">
        <v>61</v>
      </c>
      <c r="E56" s="5" t="s">
        <v>315</v>
      </c>
      <c r="F56" s="5" t="s">
        <v>765</v>
      </c>
      <c r="G56" s="5">
        <v>620</v>
      </c>
      <c r="H56" s="2" t="s">
        <v>316</v>
      </c>
    </row>
    <row r="57" spans="1:14" x14ac:dyDescent="0.15">
      <c r="A57" s="5">
        <v>7</v>
      </c>
      <c r="B57" s="5">
        <v>27</v>
      </c>
      <c r="C57" s="5" t="s">
        <v>209</v>
      </c>
      <c r="D57" s="5" t="s">
        <v>211</v>
      </c>
      <c r="E57" s="5" t="s">
        <v>315</v>
      </c>
      <c r="F57" s="5" t="s">
        <v>766</v>
      </c>
      <c r="G57" s="5">
        <v>620</v>
      </c>
      <c r="H57" s="2" t="s">
        <v>316</v>
      </c>
    </row>
    <row r="58" spans="1:14" x14ac:dyDescent="0.15">
      <c r="A58" s="5">
        <v>7</v>
      </c>
      <c r="B58" s="5">
        <v>27</v>
      </c>
      <c r="C58" s="5" t="s">
        <v>60</v>
      </c>
      <c r="D58" s="5" t="s">
        <v>65</v>
      </c>
      <c r="E58" s="5" t="s">
        <v>315</v>
      </c>
      <c r="F58" s="5" t="s">
        <v>767</v>
      </c>
      <c r="G58" s="5">
        <v>620</v>
      </c>
      <c r="H58" s="2" t="s">
        <v>316</v>
      </c>
    </row>
    <row r="59" spans="1:14" x14ac:dyDescent="0.15">
      <c r="A59" s="5">
        <v>7</v>
      </c>
      <c r="B59" s="5">
        <v>29</v>
      </c>
      <c r="C59" s="5" t="s">
        <v>225</v>
      </c>
      <c r="D59" s="5" t="s">
        <v>228</v>
      </c>
      <c r="E59" s="5" t="s">
        <v>315</v>
      </c>
      <c r="F59" s="5" t="s">
        <v>768</v>
      </c>
      <c r="G59" s="5">
        <v>620</v>
      </c>
      <c r="H59" s="2" t="s">
        <v>316</v>
      </c>
    </row>
    <row r="60" spans="1:14" x14ac:dyDescent="0.15">
      <c r="A60" s="5">
        <v>7</v>
      </c>
      <c r="B60" s="5">
        <v>29</v>
      </c>
      <c r="C60" s="5" t="s">
        <v>251</v>
      </c>
      <c r="D60" s="5" t="s">
        <v>258</v>
      </c>
      <c r="E60" s="5" t="s">
        <v>315</v>
      </c>
      <c r="F60" s="5" t="s">
        <v>769</v>
      </c>
      <c r="G60" s="5">
        <v>620</v>
      </c>
      <c r="H60" s="2" t="s">
        <v>316</v>
      </c>
    </row>
    <row r="61" spans="1:14" x14ac:dyDescent="0.15">
      <c r="A61" s="5">
        <v>7</v>
      </c>
      <c r="B61" s="5">
        <v>29</v>
      </c>
      <c r="C61" s="5" t="s">
        <v>198</v>
      </c>
      <c r="D61" s="5" t="s">
        <v>202</v>
      </c>
      <c r="E61" s="5" t="s">
        <v>315</v>
      </c>
      <c r="F61" s="5" t="s">
        <v>770</v>
      </c>
      <c r="G61" s="5">
        <v>620</v>
      </c>
      <c r="H61" s="2" t="s">
        <v>316</v>
      </c>
    </row>
    <row r="62" spans="1:14" x14ac:dyDescent="0.15">
      <c r="A62" s="5">
        <v>7</v>
      </c>
      <c r="B62" s="5">
        <v>30</v>
      </c>
      <c r="C62" s="5" t="s">
        <v>75</v>
      </c>
      <c r="D62" s="5" t="s">
        <v>80</v>
      </c>
      <c r="E62" s="5" t="s">
        <v>315</v>
      </c>
      <c r="F62" s="5" t="s">
        <v>771</v>
      </c>
      <c r="G62" s="5">
        <v>620</v>
      </c>
      <c r="H62" s="2" t="s">
        <v>316</v>
      </c>
    </row>
    <row r="63" spans="1:14" x14ac:dyDescent="0.15">
      <c r="A63" s="5">
        <v>7</v>
      </c>
      <c r="B63" s="5"/>
      <c r="C63" s="5" t="s">
        <v>90</v>
      </c>
      <c r="D63" s="5" t="s">
        <v>92</v>
      </c>
      <c r="E63" s="5" t="s">
        <v>325</v>
      </c>
      <c r="F63" s="5" t="s">
        <v>772</v>
      </c>
      <c r="G63" s="5">
        <v>1000</v>
      </c>
      <c r="H63" s="2" t="s">
        <v>316</v>
      </c>
    </row>
    <row r="64" spans="1:14" x14ac:dyDescent="0.15">
      <c r="A64" s="5">
        <v>7</v>
      </c>
      <c r="B64" s="5"/>
      <c r="C64" s="5" t="s">
        <v>198</v>
      </c>
      <c r="D64" s="5" t="s">
        <v>206</v>
      </c>
      <c r="E64" s="5" t="s">
        <v>773</v>
      </c>
      <c r="F64" s="5" t="s">
        <v>774</v>
      </c>
      <c r="G64" s="5">
        <v>1000</v>
      </c>
      <c r="H64" s="2" t="s">
        <v>322</v>
      </c>
    </row>
    <row r="65" spans="1:8" x14ac:dyDescent="0.15">
      <c r="A65" s="5">
        <v>7</v>
      </c>
      <c r="B65" s="5"/>
      <c r="C65" s="5" t="s">
        <v>81</v>
      </c>
      <c r="D65" s="5" t="s">
        <v>83</v>
      </c>
      <c r="E65" s="5" t="s">
        <v>325</v>
      </c>
      <c r="F65" s="5" t="s">
        <v>775</v>
      </c>
      <c r="G65" s="5">
        <v>1000</v>
      </c>
      <c r="H65" s="2" t="s">
        <v>322</v>
      </c>
    </row>
    <row r="66" spans="1:8" x14ac:dyDescent="0.15">
      <c r="A66" s="5">
        <v>7</v>
      </c>
      <c r="B66" s="5"/>
      <c r="C66" s="5" t="s">
        <v>81</v>
      </c>
      <c r="D66" s="5" t="s">
        <v>89</v>
      </c>
      <c r="E66" s="5" t="s">
        <v>776</v>
      </c>
      <c r="F66" s="5" t="s">
        <v>777</v>
      </c>
      <c r="G66" s="5">
        <v>745</v>
      </c>
      <c r="H66" s="2" t="s">
        <v>322</v>
      </c>
    </row>
    <row r="67" spans="1:8" x14ac:dyDescent="0.15">
      <c r="A67" s="5">
        <v>7</v>
      </c>
      <c r="B67" s="5"/>
      <c r="C67" s="5" t="s">
        <v>225</v>
      </c>
      <c r="D67" s="5" t="s">
        <v>231</v>
      </c>
      <c r="E67" s="5" t="s">
        <v>778</v>
      </c>
      <c r="F67" s="5" t="s">
        <v>779</v>
      </c>
      <c r="G67" s="5">
        <v>199</v>
      </c>
      <c r="H67" s="2" t="s">
        <v>322</v>
      </c>
    </row>
    <row r="68" spans="1:8" x14ac:dyDescent="0.15">
      <c r="A68" s="5">
        <v>7</v>
      </c>
      <c r="B68" s="5"/>
      <c r="C68" s="5" t="s">
        <v>112</v>
      </c>
      <c r="D68" s="5" t="s">
        <v>118</v>
      </c>
      <c r="E68" s="5" t="s">
        <v>780</v>
      </c>
      <c r="F68" s="5" t="s">
        <v>781</v>
      </c>
      <c r="G68" s="5">
        <v>1000</v>
      </c>
      <c r="H68" s="2" t="s">
        <v>322</v>
      </c>
    </row>
    <row r="69" spans="1:8" x14ac:dyDescent="0.15">
      <c r="A69" s="5">
        <v>7</v>
      </c>
      <c r="B69" s="5"/>
      <c r="C69" s="5" t="s">
        <v>217</v>
      </c>
      <c r="D69" s="5" t="s">
        <v>220</v>
      </c>
      <c r="E69" s="5" t="s">
        <v>325</v>
      </c>
      <c r="F69" s="5" t="s">
        <v>782</v>
      </c>
      <c r="G69" s="5">
        <v>1000</v>
      </c>
      <c r="H69" s="2" t="s">
        <v>322</v>
      </c>
    </row>
    <row r="70" spans="1:8" x14ac:dyDescent="0.15">
      <c r="A70" s="5"/>
      <c r="B70" s="5"/>
      <c r="C70" s="5"/>
      <c r="D70" s="5"/>
      <c r="E70" s="5"/>
      <c r="F70" s="5"/>
      <c r="G70" s="5"/>
    </row>
  </sheetData>
  <phoneticPr fontId="9" type="noConversion"/>
  <conditionalFormatting sqref="D1:D1048576">
    <cfRule type="duplicateValues" dxfId="9" priority="1"/>
  </conditionalFormatting>
  <conditionalFormatting sqref="F62">
    <cfRule type="duplicateValues" dxfId="8" priority="10"/>
  </conditionalFormatting>
  <conditionalFormatting sqref="F63">
    <cfRule type="duplicateValues" dxfId="7" priority="9"/>
  </conditionalFormatting>
  <conditionalFormatting sqref="F64">
    <cfRule type="duplicateValues" dxfId="6" priority="8"/>
  </conditionalFormatting>
  <conditionalFormatting sqref="F65">
    <cfRule type="duplicateValues" dxfId="5" priority="7"/>
  </conditionalFormatting>
  <conditionalFormatting sqref="F66">
    <cfRule type="duplicateValues" dxfId="4" priority="6"/>
  </conditionalFormatting>
  <conditionalFormatting sqref="F67">
    <cfRule type="duplicateValues" dxfId="3" priority="5"/>
  </conditionalFormatting>
  <conditionalFormatting sqref="F68">
    <cfRule type="duplicateValues" dxfId="2" priority="4"/>
  </conditionalFormatting>
  <conditionalFormatting sqref="F69">
    <cfRule type="duplicateValues" dxfId="1" priority="3"/>
  </conditionalFormatting>
  <conditionalFormatting sqref="F70">
    <cfRule type="duplicateValues" dxfId="0" priority="2"/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C5AA-06CC-4F24-AEB7-7D6C936A782E}">
  <sheetPr>
    <tabColor rgb="FF92D050"/>
  </sheetPr>
  <dimension ref="A1:AP328"/>
  <sheetViews>
    <sheetView workbookViewId="0">
      <selection activeCell="I20" sqref="I20"/>
    </sheetView>
  </sheetViews>
  <sheetFormatPr defaultColWidth="9" defaultRowHeight="13.5" x14ac:dyDescent="0.15"/>
  <cols>
    <col min="1" max="1" width="8.25" style="26" customWidth="1"/>
    <col min="2" max="2" width="9.75" style="26" customWidth="1"/>
    <col min="3" max="3" width="11" style="26" customWidth="1"/>
    <col min="4" max="4" width="8.25" style="26" customWidth="1"/>
    <col min="5" max="5" width="11" style="26" customWidth="1"/>
    <col min="6" max="6" width="12.375" style="26" customWidth="1"/>
    <col min="7" max="7" width="11" style="26" bestFit="1" customWidth="1"/>
    <col min="8" max="8" width="11" style="26" customWidth="1"/>
    <col min="9" max="9" width="16.75" style="26" customWidth="1"/>
    <col min="10" max="10" width="9.625" style="119" customWidth="1"/>
    <col min="11" max="15" width="8.25" style="119" customWidth="1"/>
    <col min="16" max="16" width="8.25" style="116" customWidth="1"/>
    <col min="17" max="17" width="12" style="116" customWidth="1"/>
    <col min="18" max="18" width="8.25" style="116" customWidth="1"/>
    <col min="19" max="19" width="9.25" style="116" customWidth="1"/>
    <col min="20" max="23" width="11" style="116" customWidth="1"/>
    <col min="24" max="24" width="8.25" style="119" customWidth="1"/>
    <col min="25" max="25" width="8.875" style="119" customWidth="1"/>
    <col min="26" max="26" width="8.25" style="119" customWidth="1"/>
    <col min="27" max="27" width="11" style="119" customWidth="1"/>
    <col min="28" max="28" width="12.375" style="28" customWidth="1"/>
    <col min="29" max="29" width="8.25" style="28" customWidth="1"/>
    <col min="30" max="30" width="9.625" style="28" customWidth="1"/>
    <col min="31" max="31" width="11" style="28" customWidth="1"/>
    <col min="32" max="32" width="7" style="28" customWidth="1"/>
    <col min="33" max="33" width="7.75" style="28" customWidth="1"/>
    <col min="34" max="34" width="15.875" style="117" customWidth="1"/>
    <col min="35" max="36" width="8.25" style="116" customWidth="1"/>
    <col min="37" max="38" width="11" style="116" customWidth="1"/>
    <col min="39" max="40" width="11" style="118" customWidth="1"/>
    <col min="41" max="41" width="8.375" style="118" bestFit="1" customWidth="1"/>
    <col min="42" max="42" width="15.375" style="118" bestFit="1" customWidth="1"/>
    <col min="43" max="16384" width="9" style="28"/>
  </cols>
  <sheetData>
    <row r="1" spans="1:42" s="26" customFormat="1" x14ac:dyDescent="0.15">
      <c r="A1" s="26" t="s">
        <v>428</v>
      </c>
      <c r="B1" s="26">
        <v>2025</v>
      </c>
      <c r="C1" s="26">
        <v>7</v>
      </c>
      <c r="D1" s="27"/>
      <c r="G1" s="26" t="s">
        <v>680</v>
      </c>
      <c r="J1" s="116"/>
      <c r="K1" s="116"/>
      <c r="L1" s="116"/>
      <c r="M1" s="116"/>
      <c r="N1" s="116"/>
      <c r="O1" s="116"/>
      <c r="P1" s="116" t="s">
        <v>326</v>
      </c>
      <c r="Q1" s="116" t="s">
        <v>4</v>
      </c>
      <c r="R1" s="116"/>
      <c r="S1" s="32"/>
      <c r="T1" s="116"/>
      <c r="U1" s="116" t="s">
        <v>327</v>
      </c>
      <c r="V1" s="116" t="s">
        <v>328</v>
      </c>
      <c r="W1" s="116"/>
      <c r="AH1" s="117"/>
      <c r="AI1" s="116"/>
      <c r="AJ1" s="116"/>
      <c r="AK1" s="116"/>
      <c r="AL1" s="116"/>
      <c r="AM1" s="116"/>
      <c r="AN1" s="116"/>
      <c r="AO1" s="116"/>
      <c r="AP1" s="116"/>
    </row>
    <row r="2" spans="1:42" x14ac:dyDescent="0.15">
      <c r="J2" s="119" t="s">
        <v>329</v>
      </c>
      <c r="K2" s="119" t="s">
        <v>330</v>
      </c>
      <c r="P2" s="116" t="s">
        <v>331</v>
      </c>
      <c r="Q2" s="116" t="s">
        <v>332</v>
      </c>
      <c r="S2" s="32"/>
      <c r="V2" s="116" t="b">
        <v>0</v>
      </c>
      <c r="X2" s="28"/>
      <c r="Y2" s="28"/>
      <c r="Z2" s="28"/>
      <c r="AA2" s="28"/>
      <c r="AI2" s="116" t="s">
        <v>428</v>
      </c>
      <c r="AJ2" s="116" t="s">
        <v>428</v>
      </c>
      <c r="AK2" s="116" t="s">
        <v>30</v>
      </c>
      <c r="AL2" s="116" t="s">
        <v>681</v>
      </c>
      <c r="AM2" s="116" t="s">
        <v>428</v>
      </c>
      <c r="AN2" s="118" t="s">
        <v>681</v>
      </c>
      <c r="AO2" s="118" t="s">
        <v>30</v>
      </c>
      <c r="AP2" s="118" t="s">
        <v>428</v>
      </c>
    </row>
    <row r="3" spans="1:42" s="31" customFormat="1" x14ac:dyDescent="0.15">
      <c r="A3" s="29" t="s">
        <v>452</v>
      </c>
      <c r="B3" s="29" t="s">
        <v>453</v>
      </c>
      <c r="C3" s="29" t="s">
        <v>454</v>
      </c>
      <c r="D3" s="29" t="s">
        <v>455</v>
      </c>
      <c r="E3" s="29" t="s">
        <v>456</v>
      </c>
      <c r="F3" s="29" t="s">
        <v>457</v>
      </c>
      <c r="G3" s="29" t="s">
        <v>458</v>
      </c>
      <c r="H3" s="29" t="s">
        <v>333</v>
      </c>
      <c r="I3" s="29" t="s">
        <v>334</v>
      </c>
      <c r="J3" s="121" t="s">
        <v>335</v>
      </c>
      <c r="K3" s="122" t="s">
        <v>336</v>
      </c>
      <c r="L3" s="122" t="s">
        <v>337</v>
      </c>
      <c r="M3" s="122" t="s">
        <v>459</v>
      </c>
      <c r="N3" s="122" t="s">
        <v>338</v>
      </c>
      <c r="O3" s="122" t="s">
        <v>339</v>
      </c>
      <c r="P3" s="121" t="s">
        <v>340</v>
      </c>
      <c r="Q3" s="121" t="s">
        <v>341</v>
      </c>
      <c r="R3" s="121" t="s">
        <v>342</v>
      </c>
      <c r="S3" s="121" t="s">
        <v>460</v>
      </c>
      <c r="T3" s="121" t="s">
        <v>343</v>
      </c>
      <c r="U3" s="121" t="s">
        <v>344</v>
      </c>
      <c r="V3" s="121" t="s">
        <v>345</v>
      </c>
      <c r="W3" s="121" t="s">
        <v>461</v>
      </c>
      <c r="X3" s="122" t="s">
        <v>346</v>
      </c>
      <c r="Y3" s="122" t="s">
        <v>347</v>
      </c>
      <c r="Z3" s="122" t="s">
        <v>348</v>
      </c>
      <c r="AA3" s="122" t="s">
        <v>349</v>
      </c>
      <c r="AB3" s="122" t="s">
        <v>350</v>
      </c>
      <c r="AC3" s="122" t="s">
        <v>351</v>
      </c>
      <c r="AD3" s="122" t="s">
        <v>352</v>
      </c>
      <c r="AE3" s="122" t="s">
        <v>353</v>
      </c>
      <c r="AF3" s="122" t="s">
        <v>354</v>
      </c>
      <c r="AG3" s="122" t="s">
        <v>462</v>
      </c>
      <c r="AH3" s="123" t="s">
        <v>463</v>
      </c>
      <c r="AI3" s="121" t="s">
        <v>464</v>
      </c>
      <c r="AJ3" s="121" t="s">
        <v>465</v>
      </c>
      <c r="AK3" s="121" t="s">
        <v>682</v>
      </c>
      <c r="AL3" s="121" t="s">
        <v>683</v>
      </c>
      <c r="AM3" s="124" t="s">
        <v>466</v>
      </c>
      <c r="AN3" s="124" t="s">
        <v>467</v>
      </c>
      <c r="AO3" s="124" t="s">
        <v>468</v>
      </c>
      <c r="AP3" s="124" t="s">
        <v>469</v>
      </c>
    </row>
    <row r="4" spans="1:42" x14ac:dyDescent="0.15">
      <c r="A4" s="26" t="s">
        <v>41</v>
      </c>
      <c r="B4" s="26" t="s">
        <v>470</v>
      </c>
      <c r="C4" s="26" t="s">
        <v>471</v>
      </c>
      <c r="D4" s="26" t="s">
        <v>472</v>
      </c>
      <c r="E4" s="26" t="s">
        <v>473</v>
      </c>
      <c r="F4" s="26" t="s">
        <v>474</v>
      </c>
      <c r="G4" s="26">
        <v>0</v>
      </c>
      <c r="H4" s="26">
        <v>31</v>
      </c>
      <c r="I4" s="26">
        <v>4</v>
      </c>
      <c r="J4" s="119">
        <v>5</v>
      </c>
      <c r="K4" s="125">
        <v>4</v>
      </c>
      <c r="L4" s="125"/>
      <c r="M4" s="125">
        <v>1</v>
      </c>
      <c r="N4" s="125"/>
      <c r="O4" s="125"/>
      <c r="P4" s="116">
        <v>26</v>
      </c>
      <c r="Q4" s="116">
        <v>31</v>
      </c>
      <c r="R4" s="116">
        <v>4</v>
      </c>
      <c r="S4" s="116">
        <v>31</v>
      </c>
      <c r="T4" s="116">
        <v>0</v>
      </c>
      <c r="U4" s="116">
        <v>0</v>
      </c>
      <c r="V4" s="116">
        <v>0</v>
      </c>
      <c r="W4" s="116">
        <v>0</v>
      </c>
      <c r="X4" s="30">
        <v>20</v>
      </c>
      <c r="Y4" s="30"/>
      <c r="Z4" s="30"/>
      <c r="AA4" s="30"/>
      <c r="AB4" s="126"/>
      <c r="AC4" s="126"/>
      <c r="AD4" s="126"/>
      <c r="AE4" s="126"/>
      <c r="AF4" s="126"/>
      <c r="AG4" s="126"/>
      <c r="AH4" s="117">
        <v>0</v>
      </c>
      <c r="AI4" s="116">
        <v>0</v>
      </c>
      <c r="AJ4" s="116">
        <v>0</v>
      </c>
      <c r="AK4" s="116">
        <v>0</v>
      </c>
      <c r="AL4" s="116">
        <v>0</v>
      </c>
      <c r="AM4" s="118">
        <v>0</v>
      </c>
      <c r="AN4" s="118">
        <v>0</v>
      </c>
      <c r="AO4" s="118" t="s">
        <v>475</v>
      </c>
      <c r="AP4" s="118">
        <v>31</v>
      </c>
    </row>
    <row r="5" spans="1:42" x14ac:dyDescent="0.15">
      <c r="A5" s="26" t="s">
        <v>41</v>
      </c>
      <c r="B5" s="26" t="s">
        <v>476</v>
      </c>
      <c r="C5" s="26" t="s">
        <v>477</v>
      </c>
      <c r="D5" s="26" t="s">
        <v>478</v>
      </c>
      <c r="E5" s="26" t="s">
        <v>473</v>
      </c>
      <c r="F5" s="26" t="s">
        <v>474</v>
      </c>
      <c r="G5" s="26">
        <v>0</v>
      </c>
      <c r="H5" s="26">
        <v>31</v>
      </c>
      <c r="I5" s="26">
        <v>4</v>
      </c>
      <c r="J5" s="119">
        <v>5</v>
      </c>
      <c r="K5" s="122">
        <v>4</v>
      </c>
      <c r="L5" s="122"/>
      <c r="M5" s="122">
        <v>1</v>
      </c>
      <c r="N5" s="122"/>
      <c r="O5" s="122"/>
      <c r="P5" s="116">
        <v>26</v>
      </c>
      <c r="Q5" s="116">
        <v>31</v>
      </c>
      <c r="R5" s="116">
        <v>4</v>
      </c>
      <c r="S5" s="116">
        <v>31</v>
      </c>
      <c r="T5" s="116">
        <v>0</v>
      </c>
      <c r="U5" s="116">
        <v>0</v>
      </c>
      <c r="V5" s="116">
        <v>0</v>
      </c>
      <c r="W5" s="116">
        <v>0</v>
      </c>
      <c r="X5" s="30">
        <v>10</v>
      </c>
      <c r="Y5" s="30"/>
      <c r="Z5" s="30"/>
      <c r="AA5" s="30"/>
      <c r="AB5" s="126"/>
      <c r="AC5" s="126"/>
      <c r="AD5" s="126"/>
      <c r="AE5" s="126"/>
      <c r="AF5" s="126"/>
      <c r="AG5" s="126"/>
      <c r="AH5" s="117">
        <v>0</v>
      </c>
      <c r="AI5" s="116">
        <v>0</v>
      </c>
      <c r="AJ5" s="116">
        <v>0</v>
      </c>
      <c r="AK5" s="116">
        <v>0</v>
      </c>
      <c r="AL5" s="116">
        <v>0</v>
      </c>
      <c r="AM5" s="118">
        <v>0</v>
      </c>
      <c r="AN5" s="118">
        <v>0</v>
      </c>
      <c r="AO5" s="118" t="s">
        <v>475</v>
      </c>
      <c r="AP5" s="118">
        <v>31</v>
      </c>
    </row>
    <row r="6" spans="1:42" x14ac:dyDescent="0.15">
      <c r="A6" s="26" t="s">
        <v>41</v>
      </c>
      <c r="B6" s="26" t="s">
        <v>6</v>
      </c>
      <c r="C6" s="26" t="s">
        <v>477</v>
      </c>
      <c r="D6" s="26" t="s">
        <v>43</v>
      </c>
      <c r="E6" s="26" t="s">
        <v>473</v>
      </c>
      <c r="F6" s="26" t="s">
        <v>474</v>
      </c>
      <c r="G6" s="26">
        <v>0</v>
      </c>
      <c r="H6" s="26">
        <v>31</v>
      </c>
      <c r="I6" s="26">
        <v>4</v>
      </c>
      <c r="J6" s="119">
        <v>5</v>
      </c>
      <c r="K6" s="122">
        <v>4</v>
      </c>
      <c r="L6" s="122"/>
      <c r="M6" s="122">
        <v>1</v>
      </c>
      <c r="N6" s="122"/>
      <c r="O6" s="122"/>
      <c r="P6" s="116">
        <v>26</v>
      </c>
      <c r="Q6" s="116">
        <v>31</v>
      </c>
      <c r="R6" s="116">
        <v>4</v>
      </c>
      <c r="S6" s="116">
        <v>31</v>
      </c>
      <c r="T6" s="116">
        <v>0</v>
      </c>
      <c r="U6" s="116">
        <v>0</v>
      </c>
      <c r="V6" s="116">
        <v>0</v>
      </c>
      <c r="W6" s="116">
        <v>0</v>
      </c>
      <c r="X6" s="30">
        <v>20</v>
      </c>
      <c r="Y6" s="30"/>
      <c r="Z6" s="30"/>
      <c r="AA6" s="30"/>
      <c r="AB6" s="126"/>
      <c r="AC6" s="126"/>
      <c r="AD6" s="126"/>
      <c r="AE6" s="126"/>
      <c r="AF6" s="126"/>
      <c r="AG6" s="126"/>
      <c r="AH6" s="117">
        <v>0</v>
      </c>
      <c r="AI6" s="116">
        <v>0</v>
      </c>
      <c r="AJ6" s="116">
        <v>0</v>
      </c>
      <c r="AK6" s="116">
        <v>0</v>
      </c>
      <c r="AL6" s="116">
        <v>0</v>
      </c>
      <c r="AM6" s="118">
        <v>0</v>
      </c>
      <c r="AN6" s="118">
        <v>0</v>
      </c>
      <c r="AO6" s="118" t="s">
        <v>475</v>
      </c>
      <c r="AP6" s="118">
        <v>31</v>
      </c>
    </row>
    <row r="7" spans="1:42" x14ac:dyDescent="0.15">
      <c r="A7" s="26" t="s">
        <v>41</v>
      </c>
      <c r="B7" s="26" t="s">
        <v>6</v>
      </c>
      <c r="C7" s="26" t="s">
        <v>477</v>
      </c>
      <c r="D7" s="26" t="s">
        <v>47</v>
      </c>
      <c r="E7" s="26" t="s">
        <v>473</v>
      </c>
      <c r="F7" s="26" t="s">
        <v>474</v>
      </c>
      <c r="G7" s="26">
        <v>0</v>
      </c>
      <c r="H7" s="26">
        <v>31</v>
      </c>
      <c r="I7" s="26">
        <v>4</v>
      </c>
      <c r="J7" s="119">
        <v>4</v>
      </c>
      <c r="K7" s="122">
        <v>4</v>
      </c>
      <c r="L7" s="122"/>
      <c r="M7" s="122"/>
      <c r="N7" s="122"/>
      <c r="O7" s="122"/>
      <c r="P7" s="116">
        <v>27</v>
      </c>
      <c r="Q7" s="116">
        <v>31</v>
      </c>
      <c r="R7" s="116">
        <v>4</v>
      </c>
      <c r="S7" s="116">
        <v>31</v>
      </c>
      <c r="T7" s="116">
        <v>0</v>
      </c>
      <c r="U7" s="116">
        <v>0</v>
      </c>
      <c r="V7" s="116">
        <v>0</v>
      </c>
      <c r="W7" s="116">
        <v>0</v>
      </c>
      <c r="X7" s="30"/>
      <c r="Y7" s="30"/>
      <c r="Z7" s="30">
        <v>50</v>
      </c>
      <c r="AA7" s="30"/>
      <c r="AB7" s="126"/>
      <c r="AC7" s="126"/>
      <c r="AD7" s="126"/>
      <c r="AE7" s="126"/>
      <c r="AF7" s="126"/>
      <c r="AG7" s="126"/>
      <c r="AH7" s="117">
        <v>0</v>
      </c>
      <c r="AI7" s="116">
        <v>0</v>
      </c>
      <c r="AJ7" s="116">
        <v>0</v>
      </c>
      <c r="AK7" s="116">
        <v>0</v>
      </c>
      <c r="AL7" s="116">
        <v>0</v>
      </c>
      <c r="AM7" s="118">
        <v>0</v>
      </c>
      <c r="AN7" s="118">
        <v>0</v>
      </c>
      <c r="AO7" s="118" t="s">
        <v>475</v>
      </c>
      <c r="AP7" s="118">
        <v>31</v>
      </c>
    </row>
    <row r="8" spans="1:42" x14ac:dyDescent="0.15">
      <c r="A8" s="26" t="s">
        <v>41</v>
      </c>
      <c r="B8" s="26" t="s">
        <v>6</v>
      </c>
      <c r="C8" s="26" t="s">
        <v>477</v>
      </c>
      <c r="D8" s="26" t="s">
        <v>45</v>
      </c>
      <c r="E8" s="26" t="s">
        <v>473</v>
      </c>
      <c r="F8" s="26" t="s">
        <v>474</v>
      </c>
      <c r="G8" s="26">
        <v>0</v>
      </c>
      <c r="H8" s="26">
        <v>31</v>
      </c>
      <c r="I8" s="26">
        <v>4</v>
      </c>
      <c r="J8" s="119">
        <v>5</v>
      </c>
      <c r="K8" s="122">
        <v>4</v>
      </c>
      <c r="L8" s="122"/>
      <c r="M8" s="122">
        <v>1</v>
      </c>
      <c r="N8" s="122"/>
      <c r="O8" s="122"/>
      <c r="P8" s="116">
        <v>26</v>
      </c>
      <c r="Q8" s="116">
        <v>31</v>
      </c>
      <c r="R8" s="116">
        <v>4</v>
      </c>
      <c r="S8" s="116">
        <v>31</v>
      </c>
      <c r="T8" s="116">
        <v>0</v>
      </c>
      <c r="U8" s="116">
        <v>0</v>
      </c>
      <c r="V8" s="116">
        <v>0</v>
      </c>
      <c r="W8" s="116">
        <v>0</v>
      </c>
      <c r="X8" s="30"/>
      <c r="Y8" s="30"/>
      <c r="Z8" s="30"/>
      <c r="AA8" s="30"/>
      <c r="AB8" s="126"/>
      <c r="AC8" s="126"/>
      <c r="AD8" s="126"/>
      <c r="AE8" s="126"/>
      <c r="AF8" s="126"/>
      <c r="AG8" s="126"/>
      <c r="AH8" s="117">
        <v>0</v>
      </c>
      <c r="AI8" s="116">
        <v>0</v>
      </c>
      <c r="AJ8" s="116">
        <v>0</v>
      </c>
      <c r="AK8" s="116">
        <v>0</v>
      </c>
      <c r="AL8" s="116">
        <v>0</v>
      </c>
      <c r="AM8" s="118">
        <v>0</v>
      </c>
      <c r="AN8" s="118">
        <v>0</v>
      </c>
      <c r="AO8" s="118" t="s">
        <v>475</v>
      </c>
      <c r="AP8" s="118">
        <v>31</v>
      </c>
    </row>
    <row r="9" spans="1:42" x14ac:dyDescent="0.15">
      <c r="A9" s="26" t="s">
        <v>41</v>
      </c>
      <c r="B9" s="26" t="s">
        <v>6</v>
      </c>
      <c r="C9" s="26" t="s">
        <v>477</v>
      </c>
      <c r="D9" s="26" t="s">
        <v>44</v>
      </c>
      <c r="E9" s="26" t="s">
        <v>473</v>
      </c>
      <c r="F9" s="26" t="s">
        <v>474</v>
      </c>
      <c r="G9" s="26">
        <v>0</v>
      </c>
      <c r="H9" s="26">
        <v>31</v>
      </c>
      <c r="I9" s="26">
        <v>4</v>
      </c>
      <c r="J9" s="119">
        <v>4</v>
      </c>
      <c r="K9" s="122">
        <v>4</v>
      </c>
      <c r="L9" s="122"/>
      <c r="M9" s="122"/>
      <c r="N9" s="122"/>
      <c r="O9" s="122"/>
      <c r="P9" s="116">
        <v>27</v>
      </c>
      <c r="Q9" s="116">
        <v>31</v>
      </c>
      <c r="R9" s="116">
        <v>4</v>
      </c>
      <c r="S9" s="116">
        <v>31</v>
      </c>
      <c r="T9" s="116">
        <v>0</v>
      </c>
      <c r="U9" s="116">
        <v>0</v>
      </c>
      <c r="V9" s="116">
        <v>0</v>
      </c>
      <c r="W9" s="116">
        <v>0</v>
      </c>
      <c r="X9" s="30"/>
      <c r="Y9" s="30"/>
      <c r="Z9" s="30"/>
      <c r="AA9" s="30"/>
      <c r="AB9" s="126"/>
      <c r="AC9" s="126">
        <v>100</v>
      </c>
      <c r="AD9" s="126"/>
      <c r="AE9" s="126"/>
      <c r="AF9" s="126"/>
      <c r="AG9" s="126"/>
      <c r="AH9" s="117">
        <v>4000</v>
      </c>
      <c r="AI9" s="116">
        <v>0</v>
      </c>
      <c r="AJ9" s="116">
        <v>0</v>
      </c>
      <c r="AK9" s="116">
        <v>0</v>
      </c>
      <c r="AL9" s="116">
        <v>0</v>
      </c>
      <c r="AM9" s="118">
        <v>0</v>
      </c>
      <c r="AN9" s="118">
        <v>0</v>
      </c>
      <c r="AO9" s="118" t="s">
        <v>475</v>
      </c>
      <c r="AP9" s="118">
        <v>31</v>
      </c>
    </row>
    <row r="10" spans="1:42" x14ac:dyDescent="0.15">
      <c r="A10" s="26" t="s">
        <v>41</v>
      </c>
      <c r="B10" s="26" t="s">
        <v>6</v>
      </c>
      <c r="C10" s="26" t="s">
        <v>477</v>
      </c>
      <c r="D10" s="26" t="s">
        <v>49</v>
      </c>
      <c r="E10" s="26" t="s">
        <v>473</v>
      </c>
      <c r="F10" s="26" t="s">
        <v>474</v>
      </c>
      <c r="G10" s="26">
        <v>0</v>
      </c>
      <c r="H10" s="26">
        <v>31</v>
      </c>
      <c r="I10" s="26">
        <v>4</v>
      </c>
      <c r="J10" s="119">
        <v>4</v>
      </c>
      <c r="K10" s="122">
        <v>4</v>
      </c>
      <c r="L10" s="122"/>
      <c r="M10" s="122"/>
      <c r="N10" s="122"/>
      <c r="O10" s="122"/>
      <c r="P10" s="116">
        <v>27</v>
      </c>
      <c r="Q10" s="116">
        <v>31</v>
      </c>
      <c r="R10" s="116">
        <v>4</v>
      </c>
      <c r="S10" s="116">
        <v>31</v>
      </c>
      <c r="T10" s="116">
        <v>0</v>
      </c>
      <c r="U10" s="116">
        <v>0</v>
      </c>
      <c r="V10" s="116">
        <v>0</v>
      </c>
      <c r="W10" s="116">
        <v>0</v>
      </c>
      <c r="X10" s="30"/>
      <c r="Y10" s="30"/>
      <c r="Z10" s="30"/>
      <c r="AA10" s="30"/>
      <c r="AB10" s="126"/>
      <c r="AC10" s="126"/>
      <c r="AD10" s="126">
        <v>130</v>
      </c>
      <c r="AE10" s="126"/>
      <c r="AF10" s="126"/>
      <c r="AG10" s="126"/>
      <c r="AH10" s="117">
        <v>5000</v>
      </c>
      <c r="AI10" s="116">
        <v>0</v>
      </c>
      <c r="AJ10" s="116">
        <v>0</v>
      </c>
      <c r="AK10" s="116">
        <v>778</v>
      </c>
      <c r="AL10" s="116">
        <v>0</v>
      </c>
      <c r="AM10" s="118">
        <v>0</v>
      </c>
      <c r="AN10" s="118">
        <v>0</v>
      </c>
      <c r="AO10" s="118" t="s">
        <v>475</v>
      </c>
      <c r="AP10" s="118">
        <v>31</v>
      </c>
    </row>
    <row r="11" spans="1:42" x14ac:dyDescent="0.15">
      <c r="A11" s="26" t="s">
        <v>355</v>
      </c>
      <c r="B11" s="26" t="s">
        <v>479</v>
      </c>
      <c r="C11" s="26" t="s">
        <v>471</v>
      </c>
      <c r="D11" s="26" t="s">
        <v>480</v>
      </c>
      <c r="E11" s="26" t="s">
        <v>473</v>
      </c>
      <c r="F11" s="26" t="s">
        <v>474</v>
      </c>
      <c r="G11" s="26">
        <v>0</v>
      </c>
      <c r="H11" s="26">
        <v>31</v>
      </c>
      <c r="I11" s="26">
        <v>4</v>
      </c>
      <c r="J11" s="119">
        <v>6</v>
      </c>
      <c r="K11" s="122">
        <v>4</v>
      </c>
      <c r="L11" s="122"/>
      <c r="M11" s="122">
        <v>1</v>
      </c>
      <c r="N11" s="122"/>
      <c r="O11" s="122">
        <v>1</v>
      </c>
      <c r="P11" s="116">
        <v>25</v>
      </c>
      <c r="Q11" s="116">
        <v>31</v>
      </c>
      <c r="R11" s="116">
        <v>4</v>
      </c>
      <c r="S11" s="116">
        <v>31</v>
      </c>
      <c r="T11" s="116">
        <v>0</v>
      </c>
      <c r="U11" s="116">
        <v>0</v>
      </c>
      <c r="V11" s="116">
        <v>0</v>
      </c>
      <c r="W11" s="116">
        <v>0</v>
      </c>
      <c r="X11" s="30">
        <v>10</v>
      </c>
      <c r="Y11" s="30"/>
      <c r="Z11" s="30"/>
      <c r="AA11" s="30"/>
      <c r="AB11" s="126"/>
      <c r="AC11" s="126"/>
      <c r="AD11" s="126"/>
      <c r="AE11" s="126"/>
      <c r="AF11" s="126"/>
      <c r="AG11" s="126"/>
      <c r="AH11" s="117">
        <v>0</v>
      </c>
      <c r="AI11" s="116">
        <v>0</v>
      </c>
      <c r="AJ11" s="116">
        <v>0</v>
      </c>
      <c r="AK11" s="116">
        <v>0</v>
      </c>
      <c r="AL11" s="116">
        <v>0</v>
      </c>
      <c r="AM11" s="118">
        <v>0</v>
      </c>
      <c r="AN11" s="118">
        <v>0</v>
      </c>
      <c r="AO11" s="118" t="s">
        <v>475</v>
      </c>
      <c r="AP11" s="118">
        <v>31</v>
      </c>
    </row>
    <row r="12" spans="1:42" x14ac:dyDescent="0.15">
      <c r="A12" s="26" t="s">
        <v>198</v>
      </c>
      <c r="B12" s="26" t="s">
        <v>470</v>
      </c>
      <c r="C12" s="26" t="s">
        <v>471</v>
      </c>
      <c r="D12" s="26" t="s">
        <v>481</v>
      </c>
      <c r="E12" s="26" t="s">
        <v>473</v>
      </c>
      <c r="F12" s="26" t="s">
        <v>474</v>
      </c>
      <c r="G12" s="26">
        <v>0</v>
      </c>
      <c r="H12" s="26">
        <v>31</v>
      </c>
      <c r="I12" s="26">
        <v>4</v>
      </c>
      <c r="J12" s="119">
        <v>4</v>
      </c>
      <c r="K12" s="122">
        <v>4</v>
      </c>
      <c r="L12" s="122"/>
      <c r="M12" s="122"/>
      <c r="N12" s="122"/>
      <c r="O12" s="122"/>
      <c r="P12" s="116">
        <v>27</v>
      </c>
      <c r="Q12" s="116">
        <v>31</v>
      </c>
      <c r="R12" s="116">
        <v>4</v>
      </c>
      <c r="S12" s="116">
        <v>31</v>
      </c>
      <c r="T12" s="116">
        <v>0</v>
      </c>
      <c r="U12" s="116">
        <v>0</v>
      </c>
      <c r="V12" s="116">
        <v>0</v>
      </c>
      <c r="W12" s="116">
        <v>0</v>
      </c>
      <c r="X12" s="30"/>
      <c r="Y12" s="30"/>
      <c r="Z12" s="30"/>
      <c r="AA12" s="30"/>
      <c r="AB12" s="126"/>
      <c r="AC12" s="126"/>
      <c r="AD12" s="126"/>
      <c r="AE12" s="126"/>
      <c r="AF12" s="126"/>
      <c r="AG12" s="126"/>
      <c r="AH12" s="117">
        <v>0</v>
      </c>
      <c r="AI12" s="116">
        <v>0</v>
      </c>
      <c r="AJ12" s="116">
        <v>0</v>
      </c>
      <c r="AK12" s="116">
        <v>0</v>
      </c>
      <c r="AL12" s="116">
        <v>0</v>
      </c>
      <c r="AM12" s="118">
        <v>0</v>
      </c>
      <c r="AN12" s="118">
        <v>0</v>
      </c>
      <c r="AO12" s="118" t="s">
        <v>475</v>
      </c>
      <c r="AP12" s="118">
        <v>31</v>
      </c>
    </row>
    <row r="13" spans="1:42" x14ac:dyDescent="0.15">
      <c r="A13" s="26" t="s">
        <v>198</v>
      </c>
      <c r="B13" s="26" t="s">
        <v>6</v>
      </c>
      <c r="C13" s="26" t="s">
        <v>477</v>
      </c>
      <c r="D13" s="26" t="s">
        <v>204</v>
      </c>
      <c r="E13" s="26" t="s">
        <v>473</v>
      </c>
      <c r="F13" s="26" t="s">
        <v>474</v>
      </c>
      <c r="G13" s="26">
        <v>0</v>
      </c>
      <c r="H13" s="26">
        <v>31</v>
      </c>
      <c r="I13" s="26">
        <v>4</v>
      </c>
      <c r="J13" s="119">
        <v>4</v>
      </c>
      <c r="K13" s="122">
        <v>4</v>
      </c>
      <c r="L13" s="122"/>
      <c r="M13" s="122"/>
      <c r="N13" s="122"/>
      <c r="O13" s="122"/>
      <c r="P13" s="116">
        <v>27</v>
      </c>
      <c r="Q13" s="116">
        <v>31</v>
      </c>
      <c r="R13" s="116">
        <v>4</v>
      </c>
      <c r="S13" s="116">
        <v>31</v>
      </c>
      <c r="T13" s="116">
        <v>0</v>
      </c>
      <c r="U13" s="116">
        <v>0</v>
      </c>
      <c r="V13" s="116">
        <v>0</v>
      </c>
      <c r="W13" s="116">
        <v>0</v>
      </c>
      <c r="X13" s="30"/>
      <c r="Y13" s="30"/>
      <c r="Z13" s="30"/>
      <c r="AA13" s="30"/>
      <c r="AB13" s="126"/>
      <c r="AC13" s="126"/>
      <c r="AD13" s="126"/>
      <c r="AE13" s="126"/>
      <c r="AF13" s="126"/>
      <c r="AG13" s="126"/>
      <c r="AH13" s="117">
        <v>0</v>
      </c>
      <c r="AI13" s="116">
        <v>0</v>
      </c>
      <c r="AJ13" s="116">
        <v>0</v>
      </c>
      <c r="AK13" s="116">
        <v>0</v>
      </c>
      <c r="AL13" s="116">
        <v>0</v>
      </c>
      <c r="AM13" s="118">
        <v>0</v>
      </c>
      <c r="AN13" s="118">
        <v>0</v>
      </c>
      <c r="AO13" s="118" t="s">
        <v>475</v>
      </c>
      <c r="AP13" s="118">
        <v>31</v>
      </c>
    </row>
    <row r="14" spans="1:42" x14ac:dyDescent="0.15">
      <c r="A14" s="26" t="s">
        <v>198</v>
      </c>
      <c r="B14" s="26" t="s">
        <v>6</v>
      </c>
      <c r="C14" s="26" t="s">
        <v>477</v>
      </c>
      <c r="D14" s="26" t="s">
        <v>200</v>
      </c>
      <c r="E14" s="26" t="s">
        <v>473</v>
      </c>
      <c r="F14" s="26" t="s">
        <v>474</v>
      </c>
      <c r="G14" s="26">
        <v>0</v>
      </c>
      <c r="H14" s="26">
        <v>31</v>
      </c>
      <c r="I14" s="26">
        <v>4</v>
      </c>
      <c r="J14" s="119">
        <v>4</v>
      </c>
      <c r="K14" s="122">
        <v>4</v>
      </c>
      <c r="L14" s="122"/>
      <c r="M14" s="122"/>
      <c r="N14" s="122"/>
      <c r="O14" s="122"/>
      <c r="P14" s="116">
        <v>27</v>
      </c>
      <c r="Q14" s="116">
        <v>31</v>
      </c>
      <c r="R14" s="116">
        <v>4</v>
      </c>
      <c r="S14" s="116">
        <v>31</v>
      </c>
      <c r="T14" s="116">
        <v>0</v>
      </c>
      <c r="U14" s="116">
        <v>0</v>
      </c>
      <c r="V14" s="116">
        <v>0</v>
      </c>
      <c r="W14" s="116">
        <v>0</v>
      </c>
      <c r="X14" s="30"/>
      <c r="Y14" s="30">
        <v>10</v>
      </c>
      <c r="Z14" s="30"/>
      <c r="AA14" s="30"/>
      <c r="AB14" s="126"/>
      <c r="AC14" s="126"/>
      <c r="AD14" s="126"/>
      <c r="AE14" s="126"/>
      <c r="AF14" s="126"/>
      <c r="AG14" s="126"/>
      <c r="AH14" s="117">
        <v>0</v>
      </c>
      <c r="AI14" s="116">
        <v>0</v>
      </c>
      <c r="AJ14" s="116">
        <v>0</v>
      </c>
      <c r="AK14" s="116">
        <v>0</v>
      </c>
      <c r="AL14" s="116">
        <v>0</v>
      </c>
      <c r="AM14" s="118">
        <v>0</v>
      </c>
      <c r="AN14" s="118">
        <v>0</v>
      </c>
      <c r="AO14" s="118" t="s">
        <v>475</v>
      </c>
      <c r="AP14" s="118">
        <v>31</v>
      </c>
    </row>
    <row r="15" spans="1:42" x14ac:dyDescent="0.15">
      <c r="A15" s="26" t="s">
        <v>198</v>
      </c>
      <c r="B15" s="26" t="s">
        <v>6</v>
      </c>
      <c r="C15" s="26" t="s">
        <v>477</v>
      </c>
      <c r="D15" s="26" t="s">
        <v>201</v>
      </c>
      <c r="E15" s="26" t="s">
        <v>473</v>
      </c>
      <c r="F15" s="26" t="s">
        <v>474</v>
      </c>
      <c r="G15" s="26">
        <v>0</v>
      </c>
      <c r="H15" s="26">
        <v>31</v>
      </c>
      <c r="I15" s="26">
        <v>4</v>
      </c>
      <c r="J15" s="119">
        <v>5</v>
      </c>
      <c r="K15" s="122">
        <v>4</v>
      </c>
      <c r="L15" s="122"/>
      <c r="M15" s="122">
        <v>1</v>
      </c>
      <c r="N15" s="122"/>
      <c r="O15" s="122"/>
      <c r="P15" s="116">
        <v>26</v>
      </c>
      <c r="Q15" s="116">
        <v>31</v>
      </c>
      <c r="R15" s="116">
        <v>4</v>
      </c>
      <c r="S15" s="116">
        <v>31</v>
      </c>
      <c r="T15" s="116">
        <v>0</v>
      </c>
      <c r="U15" s="116">
        <v>0</v>
      </c>
      <c r="V15" s="116">
        <v>0</v>
      </c>
      <c r="W15" s="116">
        <v>0</v>
      </c>
      <c r="X15" s="30"/>
      <c r="Y15" s="30">
        <v>10</v>
      </c>
      <c r="Z15" s="30"/>
      <c r="AA15" s="30"/>
      <c r="AB15" s="126"/>
      <c r="AC15" s="126"/>
      <c r="AD15" s="126"/>
      <c r="AE15" s="126"/>
      <c r="AF15" s="126"/>
      <c r="AG15" s="126"/>
      <c r="AH15" s="117">
        <v>0</v>
      </c>
      <c r="AI15" s="116">
        <v>0</v>
      </c>
      <c r="AJ15" s="116">
        <v>0</v>
      </c>
      <c r="AK15" s="116">
        <v>0</v>
      </c>
      <c r="AL15" s="116">
        <v>0</v>
      </c>
      <c r="AM15" s="118">
        <v>0</v>
      </c>
      <c r="AN15" s="118">
        <v>0</v>
      </c>
      <c r="AO15" s="118" t="s">
        <v>475</v>
      </c>
      <c r="AP15" s="118">
        <v>31</v>
      </c>
    </row>
    <row r="16" spans="1:42" x14ac:dyDescent="0.15">
      <c r="A16" s="26" t="s">
        <v>198</v>
      </c>
      <c r="B16" s="26" t="s">
        <v>6</v>
      </c>
      <c r="C16" s="26" t="s">
        <v>477</v>
      </c>
      <c r="D16" s="26" t="s">
        <v>205</v>
      </c>
      <c r="E16" s="26" t="s">
        <v>473</v>
      </c>
      <c r="F16" s="26" t="s">
        <v>474</v>
      </c>
      <c r="G16" s="26">
        <v>0</v>
      </c>
      <c r="H16" s="26">
        <v>31</v>
      </c>
      <c r="I16" s="26">
        <v>4</v>
      </c>
      <c r="J16" s="119">
        <v>4</v>
      </c>
      <c r="K16" s="122">
        <v>4</v>
      </c>
      <c r="L16" s="122"/>
      <c r="M16" s="122"/>
      <c r="N16" s="122"/>
      <c r="O16" s="122"/>
      <c r="P16" s="116">
        <v>27</v>
      </c>
      <c r="Q16" s="116">
        <v>31</v>
      </c>
      <c r="R16" s="116">
        <v>4</v>
      </c>
      <c r="S16" s="116">
        <v>31</v>
      </c>
      <c r="T16" s="116">
        <v>0</v>
      </c>
      <c r="U16" s="116">
        <v>0</v>
      </c>
      <c r="V16" s="116">
        <v>0</v>
      </c>
      <c r="W16" s="116">
        <v>0</v>
      </c>
      <c r="X16" s="30">
        <v>10</v>
      </c>
      <c r="Y16" s="30">
        <v>10</v>
      </c>
      <c r="Z16" s="30"/>
      <c r="AA16" s="30"/>
      <c r="AB16" s="126"/>
      <c r="AC16" s="126"/>
      <c r="AD16" s="126"/>
      <c r="AE16" s="126"/>
      <c r="AF16" s="126"/>
      <c r="AG16" s="126"/>
      <c r="AH16" s="117">
        <v>0</v>
      </c>
      <c r="AI16" s="116">
        <v>0</v>
      </c>
      <c r="AJ16" s="116">
        <v>0</v>
      </c>
      <c r="AK16" s="116">
        <v>0</v>
      </c>
      <c r="AL16" s="116">
        <v>0</v>
      </c>
      <c r="AM16" s="118">
        <v>0</v>
      </c>
      <c r="AN16" s="118">
        <v>0</v>
      </c>
      <c r="AO16" s="118" t="s">
        <v>475</v>
      </c>
      <c r="AP16" s="118">
        <v>31</v>
      </c>
    </row>
    <row r="17" spans="1:42" x14ac:dyDescent="0.15">
      <c r="A17" s="26" t="s">
        <v>198</v>
      </c>
      <c r="B17" s="26" t="s">
        <v>6</v>
      </c>
      <c r="C17" s="26" t="s">
        <v>477</v>
      </c>
      <c r="D17" s="26" t="s">
        <v>206</v>
      </c>
      <c r="E17" s="26" t="s">
        <v>473</v>
      </c>
      <c r="F17" s="26" t="s">
        <v>474</v>
      </c>
      <c r="G17" s="26">
        <v>0</v>
      </c>
      <c r="H17" s="26">
        <v>31</v>
      </c>
      <c r="I17" s="26">
        <v>4</v>
      </c>
      <c r="J17" s="119">
        <v>4</v>
      </c>
      <c r="K17" s="122">
        <v>4</v>
      </c>
      <c r="L17" s="122"/>
      <c r="M17" s="122"/>
      <c r="N17" s="122"/>
      <c r="O17" s="122"/>
      <c r="P17" s="116">
        <v>27</v>
      </c>
      <c r="Q17" s="116">
        <v>31</v>
      </c>
      <c r="R17" s="116">
        <v>4</v>
      </c>
      <c r="S17" s="116">
        <v>31</v>
      </c>
      <c r="T17" s="116">
        <v>0</v>
      </c>
      <c r="U17" s="116">
        <v>0</v>
      </c>
      <c r="V17" s="116">
        <v>0</v>
      </c>
      <c r="W17" s="116">
        <v>0</v>
      </c>
      <c r="X17" s="30"/>
      <c r="Y17" s="30"/>
      <c r="Z17" s="30">
        <v>50</v>
      </c>
      <c r="AA17" s="30"/>
      <c r="AB17" s="126"/>
      <c r="AC17" s="126"/>
      <c r="AD17" s="126"/>
      <c r="AE17" s="126"/>
      <c r="AF17" s="126"/>
      <c r="AG17" s="126"/>
      <c r="AH17" s="117">
        <v>0</v>
      </c>
      <c r="AI17" s="116">
        <v>0</v>
      </c>
      <c r="AJ17" s="116">
        <v>0</v>
      </c>
      <c r="AK17" s="116">
        <v>0</v>
      </c>
      <c r="AL17" s="116">
        <v>0</v>
      </c>
      <c r="AM17" s="118">
        <v>0</v>
      </c>
      <c r="AN17" s="118">
        <v>0</v>
      </c>
      <c r="AO17" s="118" t="s">
        <v>475</v>
      </c>
      <c r="AP17" s="118">
        <v>31</v>
      </c>
    </row>
    <row r="18" spans="1:42" x14ac:dyDescent="0.15">
      <c r="A18" s="26" t="s">
        <v>198</v>
      </c>
      <c r="B18" s="26" t="s">
        <v>6</v>
      </c>
      <c r="C18" s="26" t="s">
        <v>477</v>
      </c>
      <c r="D18" s="26" t="s">
        <v>207</v>
      </c>
      <c r="E18" s="26" t="s">
        <v>473</v>
      </c>
      <c r="F18" s="26" t="s">
        <v>474</v>
      </c>
      <c r="G18" s="26">
        <v>0</v>
      </c>
      <c r="H18" s="26">
        <v>31</v>
      </c>
      <c r="I18" s="26">
        <v>4</v>
      </c>
      <c r="J18" s="119">
        <v>5</v>
      </c>
      <c r="K18" s="122">
        <v>4</v>
      </c>
      <c r="L18" s="122"/>
      <c r="M18" s="122">
        <v>1</v>
      </c>
      <c r="N18" s="122"/>
      <c r="O18" s="122"/>
      <c r="P18" s="116">
        <v>26</v>
      </c>
      <c r="Q18" s="116">
        <v>31</v>
      </c>
      <c r="R18" s="116">
        <v>4</v>
      </c>
      <c r="S18" s="116">
        <v>31</v>
      </c>
      <c r="T18" s="116">
        <v>0</v>
      </c>
      <c r="U18" s="116">
        <v>0</v>
      </c>
      <c r="V18" s="116">
        <v>0</v>
      </c>
      <c r="W18" s="116">
        <v>0</v>
      </c>
      <c r="X18" s="30"/>
      <c r="Y18" s="30">
        <v>10</v>
      </c>
      <c r="Z18" s="30"/>
      <c r="AA18" s="30"/>
      <c r="AB18" s="126"/>
      <c r="AC18" s="126">
        <v>100</v>
      </c>
      <c r="AD18" s="126"/>
      <c r="AE18" s="126"/>
      <c r="AF18" s="126"/>
      <c r="AG18" s="126"/>
      <c r="AH18" s="117">
        <v>0</v>
      </c>
      <c r="AI18" s="116">
        <v>0</v>
      </c>
      <c r="AJ18" s="116">
        <v>0</v>
      </c>
      <c r="AK18" s="116">
        <v>0</v>
      </c>
      <c r="AL18" s="116">
        <v>0</v>
      </c>
      <c r="AM18" s="118">
        <v>0</v>
      </c>
      <c r="AN18" s="118">
        <v>0</v>
      </c>
      <c r="AO18" s="118" t="s">
        <v>475</v>
      </c>
      <c r="AP18" s="118">
        <v>31</v>
      </c>
    </row>
    <row r="19" spans="1:42" x14ac:dyDescent="0.15">
      <c r="A19" s="26" t="s">
        <v>198</v>
      </c>
      <c r="B19" s="26" t="s">
        <v>476</v>
      </c>
      <c r="C19" s="26" t="s">
        <v>477</v>
      </c>
      <c r="D19" s="26" t="s">
        <v>482</v>
      </c>
      <c r="E19" s="26" t="s">
        <v>473</v>
      </c>
      <c r="F19" s="26" t="s">
        <v>474</v>
      </c>
      <c r="G19" s="26">
        <v>0</v>
      </c>
      <c r="H19" s="26">
        <v>31</v>
      </c>
      <c r="I19" s="26">
        <v>4</v>
      </c>
      <c r="J19" s="119">
        <v>5</v>
      </c>
      <c r="K19" s="122">
        <v>4</v>
      </c>
      <c r="L19" s="122"/>
      <c r="M19" s="122">
        <v>1</v>
      </c>
      <c r="N19" s="122"/>
      <c r="O19" s="122"/>
      <c r="P19" s="116">
        <v>26</v>
      </c>
      <c r="Q19" s="116">
        <v>31</v>
      </c>
      <c r="R19" s="116">
        <v>4</v>
      </c>
      <c r="S19" s="116">
        <v>31</v>
      </c>
      <c r="T19" s="116">
        <v>0</v>
      </c>
      <c r="U19" s="116">
        <v>0</v>
      </c>
      <c r="V19" s="116">
        <v>0</v>
      </c>
      <c r="W19" s="116">
        <v>0</v>
      </c>
      <c r="X19" s="30"/>
      <c r="Y19" s="30"/>
      <c r="Z19" s="30"/>
      <c r="AA19" s="30"/>
      <c r="AB19" s="126"/>
      <c r="AC19" s="126"/>
      <c r="AD19" s="126"/>
      <c r="AE19" s="126"/>
      <c r="AF19" s="126"/>
      <c r="AG19" s="126"/>
      <c r="AH19" s="117">
        <v>0</v>
      </c>
      <c r="AI19" s="116">
        <v>0</v>
      </c>
      <c r="AJ19" s="116">
        <v>0</v>
      </c>
      <c r="AK19" s="116">
        <v>0</v>
      </c>
      <c r="AL19" s="116">
        <v>0</v>
      </c>
      <c r="AM19" s="118">
        <v>0</v>
      </c>
      <c r="AN19" s="118">
        <v>0</v>
      </c>
      <c r="AO19" s="118" t="s">
        <v>475</v>
      </c>
      <c r="AP19" s="118">
        <v>31</v>
      </c>
    </row>
    <row r="20" spans="1:42" x14ac:dyDescent="0.15">
      <c r="A20" s="26" t="s">
        <v>198</v>
      </c>
      <c r="B20" s="26" t="s">
        <v>6</v>
      </c>
      <c r="C20" s="26" t="s">
        <v>477</v>
      </c>
      <c r="D20" s="26" t="s">
        <v>202</v>
      </c>
      <c r="E20" s="26" t="s">
        <v>473</v>
      </c>
      <c r="F20" s="26" t="s">
        <v>474</v>
      </c>
      <c r="G20" s="26">
        <v>0</v>
      </c>
      <c r="H20" s="26">
        <v>31</v>
      </c>
      <c r="I20" s="26">
        <v>4</v>
      </c>
      <c r="J20" s="119">
        <v>4</v>
      </c>
      <c r="K20" s="122">
        <v>4</v>
      </c>
      <c r="L20" s="122"/>
      <c r="M20" s="122"/>
      <c r="N20" s="122"/>
      <c r="O20" s="122"/>
      <c r="P20" s="116">
        <v>27</v>
      </c>
      <c r="Q20" s="116">
        <v>31</v>
      </c>
      <c r="R20" s="116">
        <v>4</v>
      </c>
      <c r="S20" s="116">
        <v>31</v>
      </c>
      <c r="T20" s="116">
        <v>0</v>
      </c>
      <c r="U20" s="116">
        <v>0</v>
      </c>
      <c r="V20" s="116">
        <v>0</v>
      </c>
      <c r="W20" s="116">
        <v>0</v>
      </c>
      <c r="X20" s="30"/>
      <c r="Y20" s="30">
        <v>10</v>
      </c>
      <c r="Z20" s="30"/>
      <c r="AA20" s="30"/>
      <c r="AB20" s="126"/>
      <c r="AC20" s="126"/>
      <c r="AD20" s="126"/>
      <c r="AE20" s="126"/>
      <c r="AF20" s="126"/>
      <c r="AG20" s="126"/>
      <c r="AH20" s="117">
        <v>0</v>
      </c>
      <c r="AI20" s="116">
        <v>0</v>
      </c>
      <c r="AJ20" s="116">
        <v>0</v>
      </c>
      <c r="AK20" s="116">
        <v>0</v>
      </c>
      <c r="AL20" s="116">
        <v>0</v>
      </c>
      <c r="AM20" s="118">
        <v>0</v>
      </c>
      <c r="AN20" s="118">
        <v>0</v>
      </c>
      <c r="AO20" s="118" t="s">
        <v>475</v>
      </c>
      <c r="AP20" s="118">
        <v>31</v>
      </c>
    </row>
    <row r="21" spans="1:42" x14ac:dyDescent="0.15">
      <c r="A21" s="26" t="s">
        <v>198</v>
      </c>
      <c r="B21" s="26" t="s">
        <v>6</v>
      </c>
      <c r="C21" s="26" t="s">
        <v>477</v>
      </c>
      <c r="D21" s="26" t="s">
        <v>208</v>
      </c>
      <c r="E21" s="26" t="s">
        <v>473</v>
      </c>
      <c r="F21" s="26" t="s">
        <v>474</v>
      </c>
      <c r="G21" s="26">
        <v>0</v>
      </c>
      <c r="H21" s="26">
        <v>26</v>
      </c>
      <c r="I21" s="26">
        <v>3</v>
      </c>
      <c r="J21" s="119">
        <v>3</v>
      </c>
      <c r="K21" s="122">
        <v>3</v>
      </c>
      <c r="L21" s="122"/>
      <c r="M21" s="122"/>
      <c r="N21" s="122"/>
      <c r="O21" s="122"/>
      <c r="P21" s="116">
        <v>23</v>
      </c>
      <c r="Q21" s="116">
        <v>26</v>
      </c>
      <c r="R21" s="116">
        <v>3</v>
      </c>
      <c r="S21" s="116">
        <v>26</v>
      </c>
      <c r="T21" s="116">
        <v>0</v>
      </c>
      <c r="U21" s="116">
        <v>0</v>
      </c>
      <c r="V21" s="116">
        <v>0</v>
      </c>
      <c r="W21" s="116">
        <v>0</v>
      </c>
      <c r="X21" s="30"/>
      <c r="Y21" s="30"/>
      <c r="Z21" s="30"/>
      <c r="AA21" s="30"/>
      <c r="AB21" s="126">
        <v>1211</v>
      </c>
      <c r="AC21" s="126"/>
      <c r="AD21" s="126"/>
      <c r="AE21" s="126">
        <v>300</v>
      </c>
      <c r="AF21" s="126"/>
      <c r="AG21" s="126"/>
      <c r="AH21" s="117">
        <v>0</v>
      </c>
      <c r="AI21" s="116">
        <v>0</v>
      </c>
      <c r="AJ21" s="116">
        <v>0</v>
      </c>
      <c r="AK21" s="116">
        <v>0</v>
      </c>
      <c r="AL21" s="116">
        <v>0</v>
      </c>
      <c r="AM21" s="118">
        <v>0</v>
      </c>
      <c r="AN21" s="118">
        <v>0</v>
      </c>
      <c r="AO21" s="118" t="s">
        <v>475</v>
      </c>
      <c r="AP21" s="118">
        <v>26</v>
      </c>
    </row>
    <row r="22" spans="1:42" x14ac:dyDescent="0.15">
      <c r="A22" s="26" t="s">
        <v>198</v>
      </c>
      <c r="B22" s="26" t="s">
        <v>483</v>
      </c>
      <c r="C22" s="26" t="s">
        <v>471</v>
      </c>
      <c r="D22" s="26" t="s">
        <v>484</v>
      </c>
      <c r="E22" s="26" t="s">
        <v>473</v>
      </c>
      <c r="F22" s="26" t="s">
        <v>474</v>
      </c>
      <c r="G22" s="26">
        <v>0</v>
      </c>
      <c r="H22" s="26">
        <v>31</v>
      </c>
      <c r="I22" s="26">
        <v>4</v>
      </c>
      <c r="J22" s="119">
        <v>4</v>
      </c>
      <c r="K22" s="122">
        <v>4</v>
      </c>
      <c r="L22" s="122"/>
      <c r="M22" s="122"/>
      <c r="N22" s="122"/>
      <c r="O22" s="122"/>
      <c r="P22" s="116">
        <v>27</v>
      </c>
      <c r="Q22" s="116">
        <v>31</v>
      </c>
      <c r="R22" s="116">
        <v>4</v>
      </c>
      <c r="S22" s="116">
        <v>31</v>
      </c>
      <c r="T22" s="116">
        <v>0</v>
      </c>
      <c r="U22" s="116">
        <v>0</v>
      </c>
      <c r="V22" s="116">
        <v>0</v>
      </c>
      <c r="W22" s="116">
        <v>0</v>
      </c>
      <c r="X22" s="30"/>
      <c r="Y22" s="30"/>
      <c r="Z22" s="30">
        <v>50</v>
      </c>
      <c r="AA22" s="30"/>
      <c r="AB22" s="126"/>
      <c r="AC22" s="126"/>
      <c r="AD22" s="126"/>
      <c r="AE22" s="126"/>
      <c r="AF22" s="126"/>
      <c r="AG22" s="126"/>
      <c r="AH22" s="117">
        <v>0</v>
      </c>
      <c r="AI22" s="116">
        <v>0</v>
      </c>
      <c r="AJ22" s="116">
        <v>0</v>
      </c>
      <c r="AK22" s="116">
        <v>0</v>
      </c>
      <c r="AL22" s="116">
        <v>0</v>
      </c>
      <c r="AM22" s="118">
        <v>0</v>
      </c>
      <c r="AN22" s="118">
        <v>0</v>
      </c>
      <c r="AO22" s="118" t="s">
        <v>475</v>
      </c>
      <c r="AP22" s="118">
        <v>31</v>
      </c>
    </row>
    <row r="23" spans="1:42" x14ac:dyDescent="0.15">
      <c r="A23" s="26" t="s">
        <v>169</v>
      </c>
      <c r="B23" s="26" t="s">
        <v>6</v>
      </c>
      <c r="C23" s="26" t="s">
        <v>477</v>
      </c>
      <c r="D23" s="26" t="s">
        <v>174</v>
      </c>
      <c r="E23" s="26" t="s">
        <v>473</v>
      </c>
      <c r="F23" s="26" t="s">
        <v>474</v>
      </c>
      <c r="G23" s="26">
        <v>0</v>
      </c>
      <c r="H23" s="26">
        <v>31</v>
      </c>
      <c r="I23" s="26">
        <v>4</v>
      </c>
      <c r="J23" s="116">
        <v>4</v>
      </c>
      <c r="K23" s="122">
        <v>4</v>
      </c>
      <c r="L23" s="122"/>
      <c r="M23" s="122"/>
      <c r="N23" s="122"/>
      <c r="O23" s="122"/>
      <c r="P23" s="116">
        <v>27</v>
      </c>
      <c r="Q23" s="116">
        <v>31</v>
      </c>
      <c r="R23" s="116">
        <v>4</v>
      </c>
      <c r="S23" s="116">
        <v>31</v>
      </c>
      <c r="T23" s="116">
        <v>0</v>
      </c>
      <c r="U23" s="116">
        <v>0</v>
      </c>
      <c r="V23" s="116">
        <v>0</v>
      </c>
      <c r="W23" s="116">
        <v>0</v>
      </c>
      <c r="X23" s="30"/>
      <c r="Y23" s="30"/>
      <c r="Z23" s="30">
        <v>50</v>
      </c>
      <c r="AA23" s="30"/>
      <c r="AB23" s="127"/>
      <c r="AC23" s="127"/>
      <c r="AD23" s="127"/>
      <c r="AE23" s="127"/>
      <c r="AF23" s="127"/>
      <c r="AG23" s="127"/>
      <c r="AH23" s="117">
        <v>0</v>
      </c>
      <c r="AI23" s="116">
        <v>0</v>
      </c>
      <c r="AJ23" s="116">
        <v>0</v>
      </c>
      <c r="AK23" s="116">
        <v>0</v>
      </c>
      <c r="AL23" s="116">
        <v>0</v>
      </c>
      <c r="AM23" s="118">
        <v>0</v>
      </c>
      <c r="AN23" s="118">
        <v>0</v>
      </c>
      <c r="AO23" s="118" t="s">
        <v>475</v>
      </c>
      <c r="AP23" s="118">
        <v>31</v>
      </c>
    </row>
    <row r="24" spans="1:42" x14ac:dyDescent="0.15">
      <c r="A24" s="26" t="s">
        <v>169</v>
      </c>
      <c r="B24" s="26" t="s">
        <v>476</v>
      </c>
      <c r="C24" s="26" t="s">
        <v>477</v>
      </c>
      <c r="D24" s="26" t="s">
        <v>485</v>
      </c>
      <c r="E24" s="26" t="s">
        <v>473</v>
      </c>
      <c r="F24" s="26" t="s">
        <v>474</v>
      </c>
      <c r="G24" s="26">
        <v>0</v>
      </c>
      <c r="H24" s="26">
        <v>31</v>
      </c>
      <c r="I24" s="26">
        <v>4</v>
      </c>
      <c r="J24" s="119">
        <v>5</v>
      </c>
      <c r="K24" s="122">
        <v>4</v>
      </c>
      <c r="L24" s="122"/>
      <c r="M24" s="122">
        <v>1</v>
      </c>
      <c r="N24" s="122"/>
      <c r="O24" s="122"/>
      <c r="P24" s="116">
        <v>26</v>
      </c>
      <c r="Q24" s="116">
        <v>31</v>
      </c>
      <c r="R24" s="116">
        <v>4</v>
      </c>
      <c r="S24" s="116">
        <v>31</v>
      </c>
      <c r="T24" s="116">
        <v>0</v>
      </c>
      <c r="U24" s="116">
        <v>0</v>
      </c>
      <c r="V24" s="116">
        <v>0</v>
      </c>
      <c r="W24" s="116">
        <v>0</v>
      </c>
      <c r="X24" s="30">
        <v>10</v>
      </c>
      <c r="Y24" s="30"/>
      <c r="Z24" s="30"/>
      <c r="AA24" s="30"/>
      <c r="AB24" s="126"/>
      <c r="AC24" s="126"/>
      <c r="AD24" s="126"/>
      <c r="AE24" s="126"/>
      <c r="AF24" s="126"/>
      <c r="AG24" s="126"/>
      <c r="AH24" s="117">
        <v>0</v>
      </c>
      <c r="AI24" s="116">
        <v>0</v>
      </c>
      <c r="AJ24" s="116">
        <v>0</v>
      </c>
      <c r="AK24" s="116">
        <v>0</v>
      </c>
      <c r="AL24" s="116">
        <v>0</v>
      </c>
      <c r="AM24" s="118">
        <v>0</v>
      </c>
      <c r="AN24" s="118">
        <v>0</v>
      </c>
      <c r="AO24" s="118" t="s">
        <v>475</v>
      </c>
      <c r="AP24" s="118">
        <v>31</v>
      </c>
    </row>
    <row r="25" spans="1:42" x14ac:dyDescent="0.15">
      <c r="A25" s="26" t="s">
        <v>169</v>
      </c>
      <c r="B25" s="26" t="s">
        <v>470</v>
      </c>
      <c r="C25" s="26" t="s">
        <v>471</v>
      </c>
      <c r="D25" s="26" t="s">
        <v>486</v>
      </c>
      <c r="E25" s="26" t="s">
        <v>473</v>
      </c>
      <c r="F25" s="26" t="s">
        <v>474</v>
      </c>
      <c r="G25" s="26">
        <v>0</v>
      </c>
      <c r="H25" s="26">
        <v>31</v>
      </c>
      <c r="I25" s="26">
        <v>4</v>
      </c>
      <c r="J25" s="119">
        <v>4</v>
      </c>
      <c r="K25" s="122">
        <v>4</v>
      </c>
      <c r="L25" s="122"/>
      <c r="M25" s="122"/>
      <c r="N25" s="122"/>
      <c r="O25" s="122"/>
      <c r="P25" s="116">
        <v>27</v>
      </c>
      <c r="Q25" s="116">
        <v>31</v>
      </c>
      <c r="R25" s="116">
        <v>4</v>
      </c>
      <c r="S25" s="116">
        <v>31</v>
      </c>
      <c r="T25" s="116">
        <v>0</v>
      </c>
      <c r="U25" s="116">
        <v>0</v>
      </c>
      <c r="V25" s="116">
        <v>0</v>
      </c>
      <c r="W25" s="116">
        <v>0</v>
      </c>
      <c r="X25" s="30"/>
      <c r="Y25" s="30"/>
      <c r="Z25" s="30"/>
      <c r="AA25" s="30"/>
      <c r="AB25" s="126"/>
      <c r="AC25" s="126"/>
      <c r="AD25" s="126"/>
      <c r="AE25" s="126"/>
      <c r="AF25" s="126"/>
      <c r="AG25" s="126"/>
      <c r="AH25" s="117">
        <v>0</v>
      </c>
      <c r="AI25" s="116">
        <v>0</v>
      </c>
      <c r="AJ25" s="116">
        <v>0</v>
      </c>
      <c r="AK25" s="116">
        <v>0</v>
      </c>
      <c r="AL25" s="116">
        <v>0</v>
      </c>
      <c r="AM25" s="118">
        <v>0</v>
      </c>
      <c r="AN25" s="118">
        <v>0</v>
      </c>
      <c r="AO25" s="118" t="s">
        <v>475</v>
      </c>
      <c r="AP25" s="118">
        <v>31</v>
      </c>
    </row>
    <row r="26" spans="1:42" x14ac:dyDescent="0.15">
      <c r="A26" s="26" t="s">
        <v>169</v>
      </c>
      <c r="B26" s="26" t="s">
        <v>6</v>
      </c>
      <c r="C26" s="26" t="s">
        <v>477</v>
      </c>
      <c r="D26" s="26" t="s">
        <v>171</v>
      </c>
      <c r="E26" s="26" t="s">
        <v>473</v>
      </c>
      <c r="F26" s="26" t="s">
        <v>474</v>
      </c>
      <c r="G26" s="26">
        <v>0</v>
      </c>
      <c r="H26" s="26">
        <v>31</v>
      </c>
      <c r="I26" s="26">
        <v>4</v>
      </c>
      <c r="J26" s="119">
        <v>5</v>
      </c>
      <c r="K26" s="122">
        <v>4</v>
      </c>
      <c r="L26" s="122"/>
      <c r="M26" s="122">
        <v>1</v>
      </c>
      <c r="N26" s="122"/>
      <c r="O26" s="122"/>
      <c r="P26" s="116">
        <v>26</v>
      </c>
      <c r="Q26" s="116">
        <v>31</v>
      </c>
      <c r="R26" s="116">
        <v>4</v>
      </c>
      <c r="S26" s="116">
        <v>31</v>
      </c>
      <c r="T26" s="116">
        <v>0</v>
      </c>
      <c r="U26" s="116">
        <v>0</v>
      </c>
      <c r="V26" s="116">
        <v>0</v>
      </c>
      <c r="W26" s="116">
        <v>0</v>
      </c>
      <c r="X26" s="30"/>
      <c r="Y26" s="30"/>
      <c r="Z26" s="30"/>
      <c r="AA26" s="30"/>
      <c r="AB26" s="126"/>
      <c r="AC26" s="126"/>
      <c r="AD26" s="126"/>
      <c r="AE26" s="126"/>
      <c r="AF26" s="126"/>
      <c r="AG26" s="126"/>
      <c r="AH26" s="117">
        <v>0</v>
      </c>
      <c r="AI26" s="116">
        <v>0</v>
      </c>
      <c r="AJ26" s="116">
        <v>0</v>
      </c>
      <c r="AK26" s="116">
        <v>0</v>
      </c>
      <c r="AL26" s="116">
        <v>0</v>
      </c>
      <c r="AM26" s="118">
        <v>0</v>
      </c>
      <c r="AN26" s="118">
        <v>0</v>
      </c>
      <c r="AO26" s="118" t="s">
        <v>475</v>
      </c>
      <c r="AP26" s="118">
        <v>31</v>
      </c>
    </row>
    <row r="27" spans="1:42" x14ac:dyDescent="0.15">
      <c r="A27" s="26" t="s">
        <v>169</v>
      </c>
      <c r="B27" s="26" t="s">
        <v>6</v>
      </c>
      <c r="C27" s="26" t="s">
        <v>477</v>
      </c>
      <c r="D27" s="26" t="s">
        <v>175</v>
      </c>
      <c r="E27" s="26" t="s">
        <v>473</v>
      </c>
      <c r="F27" s="26" t="s">
        <v>474</v>
      </c>
      <c r="G27" s="26">
        <v>0</v>
      </c>
      <c r="H27" s="26">
        <v>31</v>
      </c>
      <c r="I27" s="26">
        <v>4</v>
      </c>
      <c r="J27" s="119">
        <v>5</v>
      </c>
      <c r="K27" s="122">
        <v>4</v>
      </c>
      <c r="L27" s="122"/>
      <c r="M27" s="122">
        <v>1</v>
      </c>
      <c r="N27" s="122"/>
      <c r="O27" s="122"/>
      <c r="P27" s="116">
        <v>26</v>
      </c>
      <c r="Q27" s="116">
        <v>31</v>
      </c>
      <c r="R27" s="116">
        <v>4</v>
      </c>
      <c r="S27" s="116">
        <v>31</v>
      </c>
      <c r="T27" s="116">
        <v>0</v>
      </c>
      <c r="U27" s="116">
        <v>0</v>
      </c>
      <c r="V27" s="116">
        <v>0</v>
      </c>
      <c r="W27" s="116">
        <v>0</v>
      </c>
      <c r="X27" s="30"/>
      <c r="Y27" s="30"/>
      <c r="Z27" s="30"/>
      <c r="AA27" s="30"/>
      <c r="AB27" s="126"/>
      <c r="AC27" s="126"/>
      <c r="AD27" s="126"/>
      <c r="AE27" s="126"/>
      <c r="AF27" s="126"/>
      <c r="AG27" s="126"/>
      <c r="AH27" s="117">
        <v>0</v>
      </c>
      <c r="AI27" s="116">
        <v>0</v>
      </c>
      <c r="AJ27" s="116">
        <v>0</v>
      </c>
      <c r="AK27" s="116">
        <v>0</v>
      </c>
      <c r="AL27" s="116">
        <v>0</v>
      </c>
      <c r="AM27" s="118">
        <v>0</v>
      </c>
      <c r="AN27" s="118">
        <v>0</v>
      </c>
      <c r="AO27" s="118" t="s">
        <v>475</v>
      </c>
      <c r="AP27" s="118">
        <v>31</v>
      </c>
    </row>
    <row r="28" spans="1:42" x14ac:dyDescent="0.15">
      <c r="A28" s="26" t="s">
        <v>169</v>
      </c>
      <c r="B28" s="26" t="s">
        <v>6</v>
      </c>
      <c r="C28" s="26" t="s">
        <v>477</v>
      </c>
      <c r="D28" s="26" t="s">
        <v>172</v>
      </c>
      <c r="E28" s="26" t="s">
        <v>473</v>
      </c>
      <c r="F28" s="26" t="s">
        <v>474</v>
      </c>
      <c r="G28" s="26">
        <v>0</v>
      </c>
      <c r="H28" s="26">
        <v>31</v>
      </c>
      <c r="I28" s="26">
        <v>4</v>
      </c>
      <c r="J28" s="119">
        <v>4</v>
      </c>
      <c r="K28" s="122">
        <v>4</v>
      </c>
      <c r="L28" s="122"/>
      <c r="M28" s="122"/>
      <c r="N28" s="122"/>
      <c r="O28" s="122"/>
      <c r="P28" s="116">
        <v>27</v>
      </c>
      <c r="Q28" s="116">
        <v>31</v>
      </c>
      <c r="R28" s="116">
        <v>4</v>
      </c>
      <c r="S28" s="116">
        <v>31</v>
      </c>
      <c r="T28" s="116">
        <v>0</v>
      </c>
      <c r="U28" s="116">
        <v>0</v>
      </c>
      <c r="V28" s="116">
        <v>0</v>
      </c>
      <c r="W28" s="116">
        <v>0</v>
      </c>
      <c r="X28" s="30">
        <v>10</v>
      </c>
      <c r="Y28" s="30"/>
      <c r="Z28" s="30"/>
      <c r="AA28" s="30"/>
      <c r="AB28" s="126"/>
      <c r="AC28" s="126"/>
      <c r="AD28" s="126"/>
      <c r="AE28" s="126"/>
      <c r="AF28" s="126"/>
      <c r="AG28" s="126"/>
      <c r="AH28" s="117">
        <v>0</v>
      </c>
      <c r="AI28" s="116">
        <v>0</v>
      </c>
      <c r="AJ28" s="116">
        <v>0</v>
      </c>
      <c r="AK28" s="116">
        <v>0</v>
      </c>
      <c r="AL28" s="116">
        <v>0</v>
      </c>
      <c r="AM28" s="118">
        <v>0</v>
      </c>
      <c r="AN28" s="118">
        <v>0</v>
      </c>
      <c r="AO28" s="118" t="s">
        <v>475</v>
      </c>
      <c r="AP28" s="118">
        <v>31</v>
      </c>
    </row>
    <row r="29" spans="1:42" x14ac:dyDescent="0.15">
      <c r="A29" s="26" t="s">
        <v>169</v>
      </c>
      <c r="B29" s="26" t="s">
        <v>6</v>
      </c>
      <c r="C29" s="26" t="s">
        <v>477</v>
      </c>
      <c r="D29" s="26" t="s">
        <v>176</v>
      </c>
      <c r="E29" s="26" t="s">
        <v>473</v>
      </c>
      <c r="F29" s="26" t="s">
        <v>474</v>
      </c>
      <c r="G29" s="26">
        <v>0</v>
      </c>
      <c r="H29" s="26">
        <v>31</v>
      </c>
      <c r="I29" s="26">
        <v>4</v>
      </c>
      <c r="J29" s="119">
        <v>4</v>
      </c>
      <c r="K29" s="122">
        <v>4</v>
      </c>
      <c r="L29" s="122"/>
      <c r="M29" s="122"/>
      <c r="N29" s="122"/>
      <c r="O29" s="122"/>
      <c r="P29" s="116">
        <v>27</v>
      </c>
      <c r="Q29" s="116">
        <v>31</v>
      </c>
      <c r="R29" s="116">
        <v>4</v>
      </c>
      <c r="S29" s="116">
        <v>31</v>
      </c>
      <c r="T29" s="116">
        <v>0</v>
      </c>
      <c r="U29" s="116">
        <v>0</v>
      </c>
      <c r="V29" s="116">
        <v>0</v>
      </c>
      <c r="W29" s="116">
        <v>0</v>
      </c>
      <c r="X29" s="30">
        <v>20</v>
      </c>
      <c r="Y29" s="30"/>
      <c r="Z29" s="30"/>
      <c r="AA29" s="30"/>
      <c r="AB29" s="126"/>
      <c r="AC29" s="126"/>
      <c r="AD29" s="126"/>
      <c r="AE29" s="126"/>
      <c r="AF29" s="126"/>
      <c r="AG29" s="126"/>
      <c r="AH29" s="117">
        <v>0</v>
      </c>
      <c r="AI29" s="116">
        <v>0</v>
      </c>
      <c r="AJ29" s="116">
        <v>0</v>
      </c>
      <c r="AK29" s="116">
        <v>0</v>
      </c>
      <c r="AL29" s="116">
        <v>0</v>
      </c>
      <c r="AM29" s="118">
        <v>0</v>
      </c>
      <c r="AN29" s="118">
        <v>0</v>
      </c>
      <c r="AO29" s="118" t="s">
        <v>475</v>
      </c>
      <c r="AP29" s="118">
        <v>31</v>
      </c>
    </row>
    <row r="30" spans="1:42" x14ac:dyDescent="0.15">
      <c r="A30" s="26" t="s">
        <v>356</v>
      </c>
      <c r="B30" s="26" t="s">
        <v>479</v>
      </c>
      <c r="C30" s="26" t="s">
        <v>471</v>
      </c>
      <c r="D30" s="26" t="s">
        <v>487</v>
      </c>
      <c r="E30" s="26" t="s">
        <v>473</v>
      </c>
      <c r="F30" s="26" t="s">
        <v>474</v>
      </c>
      <c r="G30" s="26">
        <v>0</v>
      </c>
      <c r="H30" s="26">
        <v>31</v>
      </c>
      <c r="I30" s="26">
        <v>4</v>
      </c>
      <c r="J30" s="119">
        <v>6</v>
      </c>
      <c r="K30" s="122">
        <v>4</v>
      </c>
      <c r="L30" s="122"/>
      <c r="M30" s="122">
        <v>2</v>
      </c>
      <c r="N30" s="122"/>
      <c r="O30" s="122"/>
      <c r="P30" s="116">
        <v>25</v>
      </c>
      <c r="Q30" s="116">
        <v>31</v>
      </c>
      <c r="R30" s="116">
        <v>4</v>
      </c>
      <c r="S30" s="116">
        <v>31</v>
      </c>
      <c r="T30" s="116">
        <v>0</v>
      </c>
      <c r="U30" s="116">
        <v>0</v>
      </c>
      <c r="V30" s="116">
        <v>0</v>
      </c>
      <c r="W30" s="116">
        <v>0</v>
      </c>
      <c r="X30" s="30">
        <v>20</v>
      </c>
      <c r="Y30" s="30"/>
      <c r="Z30" s="30"/>
      <c r="AA30" s="30"/>
      <c r="AB30" s="126"/>
      <c r="AC30" s="126"/>
      <c r="AD30" s="126"/>
      <c r="AE30" s="126"/>
      <c r="AF30" s="126"/>
      <c r="AG30" s="126"/>
      <c r="AH30" s="117">
        <v>0</v>
      </c>
      <c r="AI30" s="116">
        <v>0</v>
      </c>
      <c r="AJ30" s="116">
        <v>0</v>
      </c>
      <c r="AK30" s="116">
        <v>0</v>
      </c>
      <c r="AL30" s="116">
        <v>0</v>
      </c>
      <c r="AM30" s="118">
        <v>0</v>
      </c>
      <c r="AN30" s="118">
        <v>0</v>
      </c>
      <c r="AO30" s="118" t="s">
        <v>475</v>
      </c>
      <c r="AP30" s="118">
        <v>31</v>
      </c>
    </row>
    <row r="31" spans="1:42" x14ac:dyDescent="0.15">
      <c r="A31" s="26" t="s">
        <v>129</v>
      </c>
      <c r="B31" s="26" t="s">
        <v>476</v>
      </c>
      <c r="C31" s="26" t="s">
        <v>477</v>
      </c>
      <c r="D31" s="26" t="s">
        <v>488</v>
      </c>
      <c r="E31" s="26" t="s">
        <v>473</v>
      </c>
      <c r="F31" s="26" t="s">
        <v>474</v>
      </c>
      <c r="G31" s="26">
        <v>0</v>
      </c>
      <c r="H31" s="26">
        <v>31</v>
      </c>
      <c r="I31" s="26">
        <v>4</v>
      </c>
      <c r="J31" s="119">
        <v>4</v>
      </c>
      <c r="K31" s="122">
        <v>4</v>
      </c>
      <c r="L31" s="122"/>
      <c r="M31" s="122"/>
      <c r="N31" s="122"/>
      <c r="O31" s="122"/>
      <c r="P31" s="116">
        <v>27</v>
      </c>
      <c r="Q31" s="116">
        <v>31</v>
      </c>
      <c r="R31" s="116">
        <v>4</v>
      </c>
      <c r="S31" s="116">
        <v>31</v>
      </c>
      <c r="T31" s="116">
        <v>0</v>
      </c>
      <c r="U31" s="116">
        <v>0</v>
      </c>
      <c r="V31" s="116">
        <v>0</v>
      </c>
      <c r="W31" s="116">
        <v>0</v>
      </c>
      <c r="X31" s="30"/>
      <c r="Y31" s="30"/>
      <c r="Z31" s="30">
        <v>50</v>
      </c>
      <c r="AA31" s="30"/>
      <c r="AB31" s="126"/>
      <c r="AC31" s="126"/>
      <c r="AD31" s="126"/>
      <c r="AE31" s="126"/>
      <c r="AF31" s="126"/>
      <c r="AG31" s="126"/>
      <c r="AH31" s="117">
        <v>0</v>
      </c>
      <c r="AI31" s="116">
        <v>0</v>
      </c>
      <c r="AJ31" s="116">
        <v>0</v>
      </c>
      <c r="AK31" s="116">
        <v>0</v>
      </c>
      <c r="AL31" s="116">
        <v>0</v>
      </c>
      <c r="AM31" s="118">
        <v>0</v>
      </c>
      <c r="AN31" s="118">
        <v>0</v>
      </c>
      <c r="AO31" s="118" t="s">
        <v>475</v>
      </c>
      <c r="AP31" s="118">
        <v>31</v>
      </c>
    </row>
    <row r="32" spans="1:42" x14ac:dyDescent="0.15">
      <c r="A32" s="26" t="s">
        <v>129</v>
      </c>
      <c r="B32" s="26" t="s">
        <v>6</v>
      </c>
      <c r="C32" s="26" t="s">
        <v>477</v>
      </c>
      <c r="D32" s="26" t="s">
        <v>131</v>
      </c>
      <c r="E32" s="26" t="s">
        <v>473</v>
      </c>
      <c r="F32" s="26" t="s">
        <v>474</v>
      </c>
      <c r="G32" s="26">
        <v>0</v>
      </c>
      <c r="H32" s="26">
        <v>31</v>
      </c>
      <c r="I32" s="26">
        <v>4</v>
      </c>
      <c r="J32" s="119">
        <v>4</v>
      </c>
      <c r="K32" s="122">
        <v>4</v>
      </c>
      <c r="L32" s="122"/>
      <c r="M32" s="122"/>
      <c r="N32" s="122"/>
      <c r="O32" s="122"/>
      <c r="P32" s="116">
        <v>27</v>
      </c>
      <c r="Q32" s="116">
        <v>31</v>
      </c>
      <c r="R32" s="116">
        <v>4</v>
      </c>
      <c r="S32" s="116">
        <v>31</v>
      </c>
      <c r="T32" s="116">
        <v>0</v>
      </c>
      <c r="U32" s="116">
        <v>0</v>
      </c>
      <c r="V32" s="116">
        <v>0</v>
      </c>
      <c r="W32" s="116">
        <v>0</v>
      </c>
      <c r="X32" s="30"/>
      <c r="Y32" s="30"/>
      <c r="Z32" s="30">
        <v>50</v>
      </c>
      <c r="AA32" s="30"/>
      <c r="AB32" s="126"/>
      <c r="AC32" s="126"/>
      <c r="AD32" s="126"/>
      <c r="AE32" s="126"/>
      <c r="AF32" s="126"/>
      <c r="AG32" s="126"/>
      <c r="AH32" s="117">
        <v>0</v>
      </c>
      <c r="AI32" s="116">
        <v>0</v>
      </c>
      <c r="AJ32" s="116">
        <v>0</v>
      </c>
      <c r="AK32" s="116">
        <v>0</v>
      </c>
      <c r="AL32" s="116">
        <v>0</v>
      </c>
      <c r="AM32" s="118">
        <v>0</v>
      </c>
      <c r="AN32" s="118">
        <v>0</v>
      </c>
      <c r="AO32" s="118" t="s">
        <v>475</v>
      </c>
      <c r="AP32" s="118">
        <v>31</v>
      </c>
    </row>
    <row r="33" spans="1:42" x14ac:dyDescent="0.15">
      <c r="A33" s="26" t="s">
        <v>129</v>
      </c>
      <c r="B33" s="26" t="s">
        <v>6</v>
      </c>
      <c r="C33" s="26" t="s">
        <v>477</v>
      </c>
      <c r="D33" s="26" t="s">
        <v>135</v>
      </c>
      <c r="E33" s="26" t="s">
        <v>473</v>
      </c>
      <c r="F33" s="26" t="s">
        <v>474</v>
      </c>
      <c r="G33" s="26">
        <v>0</v>
      </c>
      <c r="H33" s="26">
        <v>31</v>
      </c>
      <c r="I33" s="26">
        <v>4</v>
      </c>
      <c r="J33" s="119">
        <v>4</v>
      </c>
      <c r="K33" s="122">
        <v>4</v>
      </c>
      <c r="L33" s="122"/>
      <c r="M33" s="122"/>
      <c r="N33" s="122"/>
      <c r="O33" s="122"/>
      <c r="P33" s="116">
        <v>27</v>
      </c>
      <c r="Q33" s="116">
        <v>31</v>
      </c>
      <c r="R33" s="116">
        <v>4</v>
      </c>
      <c r="S33" s="116">
        <v>31</v>
      </c>
      <c r="T33" s="116">
        <v>0</v>
      </c>
      <c r="U33" s="116">
        <v>0</v>
      </c>
      <c r="V33" s="116">
        <v>0</v>
      </c>
      <c r="W33" s="116">
        <v>0</v>
      </c>
      <c r="X33" s="30"/>
      <c r="Y33" s="30"/>
      <c r="Z33" s="30">
        <v>50</v>
      </c>
      <c r="AA33" s="30"/>
      <c r="AB33" s="126"/>
      <c r="AC33" s="126"/>
      <c r="AD33" s="126"/>
      <c r="AE33" s="126"/>
      <c r="AF33" s="126"/>
      <c r="AG33" s="126"/>
      <c r="AH33" s="117">
        <v>0</v>
      </c>
      <c r="AI33" s="116">
        <v>0</v>
      </c>
      <c r="AJ33" s="116">
        <v>0</v>
      </c>
      <c r="AK33" s="116">
        <v>0</v>
      </c>
      <c r="AL33" s="116">
        <v>0</v>
      </c>
      <c r="AM33" s="118">
        <v>0</v>
      </c>
      <c r="AN33" s="118">
        <v>0</v>
      </c>
      <c r="AO33" s="118" t="s">
        <v>475</v>
      </c>
      <c r="AP33" s="118">
        <v>31</v>
      </c>
    </row>
    <row r="34" spans="1:42" x14ac:dyDescent="0.15">
      <c r="A34" s="26" t="s">
        <v>129</v>
      </c>
      <c r="B34" s="26" t="s">
        <v>6</v>
      </c>
      <c r="C34" s="26" t="s">
        <v>477</v>
      </c>
      <c r="D34" s="26" t="s">
        <v>134</v>
      </c>
      <c r="E34" s="26" t="s">
        <v>473</v>
      </c>
      <c r="F34" s="26" t="s">
        <v>474</v>
      </c>
      <c r="G34" s="26">
        <v>0</v>
      </c>
      <c r="H34" s="26">
        <v>25</v>
      </c>
      <c r="I34" s="26">
        <v>3</v>
      </c>
      <c r="J34" s="119">
        <v>3</v>
      </c>
      <c r="K34" s="122">
        <v>3</v>
      </c>
      <c r="L34" s="122"/>
      <c r="M34" s="122"/>
      <c r="N34" s="122"/>
      <c r="O34" s="122"/>
      <c r="P34" s="116">
        <v>22</v>
      </c>
      <c r="Q34" s="116">
        <v>25</v>
      </c>
      <c r="R34" s="116">
        <v>3</v>
      </c>
      <c r="S34" s="116">
        <v>25</v>
      </c>
      <c r="T34" s="116">
        <v>0</v>
      </c>
      <c r="U34" s="116">
        <v>0</v>
      </c>
      <c r="V34" s="116">
        <v>0</v>
      </c>
      <c r="W34" s="116">
        <v>0</v>
      </c>
      <c r="X34" s="30">
        <v>10</v>
      </c>
      <c r="Y34" s="30"/>
      <c r="Z34" s="30"/>
      <c r="AA34" s="30"/>
      <c r="AB34" s="126"/>
      <c r="AC34" s="126"/>
      <c r="AD34" s="126"/>
      <c r="AE34" s="126"/>
      <c r="AF34" s="126"/>
      <c r="AG34" s="126"/>
      <c r="AH34" s="117">
        <v>0</v>
      </c>
      <c r="AI34" s="116">
        <v>0</v>
      </c>
      <c r="AJ34" s="116">
        <v>0</v>
      </c>
      <c r="AK34" s="116">
        <v>0</v>
      </c>
      <c r="AL34" s="116">
        <v>0</v>
      </c>
      <c r="AM34" s="118">
        <v>0</v>
      </c>
      <c r="AN34" s="118">
        <v>0</v>
      </c>
      <c r="AO34" s="118" t="s">
        <v>475</v>
      </c>
      <c r="AP34" s="118">
        <v>25</v>
      </c>
    </row>
    <row r="35" spans="1:42" x14ac:dyDescent="0.15">
      <c r="A35" s="26" t="s">
        <v>129</v>
      </c>
      <c r="B35" s="26" t="s">
        <v>470</v>
      </c>
      <c r="C35" s="26" t="s">
        <v>471</v>
      </c>
      <c r="D35" s="26" t="s">
        <v>489</v>
      </c>
      <c r="E35" s="26" t="s">
        <v>473</v>
      </c>
      <c r="F35" s="26" t="s">
        <v>474</v>
      </c>
      <c r="G35" s="26">
        <v>0</v>
      </c>
      <c r="H35" s="26">
        <v>31</v>
      </c>
      <c r="I35" s="26">
        <v>4</v>
      </c>
      <c r="J35" s="119">
        <v>4</v>
      </c>
      <c r="K35" s="122">
        <v>4</v>
      </c>
      <c r="L35" s="122"/>
      <c r="M35" s="122"/>
      <c r="N35" s="122"/>
      <c r="O35" s="122"/>
      <c r="P35" s="116">
        <v>27</v>
      </c>
      <c r="Q35" s="116">
        <v>31</v>
      </c>
      <c r="R35" s="116">
        <v>4</v>
      </c>
      <c r="S35" s="116">
        <v>31</v>
      </c>
      <c r="T35" s="116">
        <v>0</v>
      </c>
      <c r="U35" s="116">
        <v>0</v>
      </c>
      <c r="V35" s="116">
        <v>0</v>
      </c>
      <c r="W35" s="116">
        <v>0</v>
      </c>
      <c r="X35" s="30">
        <v>120</v>
      </c>
      <c r="Y35" s="30"/>
      <c r="Z35" s="30"/>
      <c r="AA35" s="30"/>
      <c r="AB35" s="126"/>
      <c r="AC35" s="126"/>
      <c r="AD35" s="126"/>
      <c r="AE35" s="126"/>
      <c r="AF35" s="126"/>
      <c r="AG35" s="126"/>
      <c r="AH35" s="117">
        <v>0</v>
      </c>
      <c r="AI35" s="116">
        <v>0</v>
      </c>
      <c r="AJ35" s="116">
        <v>0</v>
      </c>
      <c r="AK35" s="116">
        <v>0</v>
      </c>
      <c r="AL35" s="116">
        <v>0</v>
      </c>
      <c r="AM35" s="118">
        <v>0</v>
      </c>
      <c r="AN35" s="118">
        <v>0</v>
      </c>
      <c r="AO35" s="118" t="s">
        <v>475</v>
      </c>
      <c r="AP35" s="118">
        <v>31</v>
      </c>
    </row>
    <row r="36" spans="1:42" x14ac:dyDescent="0.15">
      <c r="A36" s="26" t="s">
        <v>129</v>
      </c>
      <c r="B36" s="26" t="s">
        <v>6</v>
      </c>
      <c r="C36" s="26" t="s">
        <v>477</v>
      </c>
      <c r="D36" s="26" t="s">
        <v>133</v>
      </c>
      <c r="E36" s="26" t="s">
        <v>473</v>
      </c>
      <c r="F36" s="26" t="s">
        <v>474</v>
      </c>
      <c r="G36" s="26">
        <v>0</v>
      </c>
      <c r="H36" s="26">
        <v>31</v>
      </c>
      <c r="I36" s="26">
        <v>4</v>
      </c>
      <c r="J36" s="119">
        <v>4</v>
      </c>
      <c r="K36" s="122">
        <v>4</v>
      </c>
      <c r="L36" s="122"/>
      <c r="M36" s="122"/>
      <c r="N36" s="122"/>
      <c r="O36" s="122"/>
      <c r="P36" s="116">
        <v>27</v>
      </c>
      <c r="Q36" s="116">
        <v>31</v>
      </c>
      <c r="R36" s="116">
        <v>4</v>
      </c>
      <c r="S36" s="116">
        <v>31</v>
      </c>
      <c r="T36" s="116">
        <v>0</v>
      </c>
      <c r="U36" s="116">
        <v>0</v>
      </c>
      <c r="V36" s="116">
        <v>0</v>
      </c>
      <c r="W36" s="116">
        <v>0</v>
      </c>
      <c r="X36" s="30"/>
      <c r="Y36" s="30"/>
      <c r="Z36" s="30"/>
      <c r="AA36" s="30"/>
      <c r="AB36" s="126"/>
      <c r="AC36" s="126"/>
      <c r="AD36" s="126"/>
      <c r="AE36" s="126"/>
      <c r="AF36" s="126"/>
      <c r="AG36" s="126"/>
      <c r="AH36" s="117">
        <v>0</v>
      </c>
      <c r="AI36" s="116">
        <v>0</v>
      </c>
      <c r="AJ36" s="116">
        <v>0</v>
      </c>
      <c r="AK36" s="116">
        <v>0</v>
      </c>
      <c r="AL36" s="116">
        <v>0</v>
      </c>
      <c r="AM36" s="118">
        <v>0</v>
      </c>
      <c r="AN36" s="118">
        <v>0</v>
      </c>
      <c r="AO36" s="118" t="s">
        <v>475</v>
      </c>
      <c r="AP36" s="118">
        <v>31</v>
      </c>
    </row>
    <row r="37" spans="1:42" x14ac:dyDescent="0.15">
      <c r="A37" s="26" t="s">
        <v>129</v>
      </c>
      <c r="B37" s="26" t="s">
        <v>6</v>
      </c>
      <c r="C37" s="26" t="s">
        <v>477</v>
      </c>
      <c r="D37" s="26" t="s">
        <v>132</v>
      </c>
      <c r="E37" s="26" t="s">
        <v>473</v>
      </c>
      <c r="F37" s="26" t="s">
        <v>474</v>
      </c>
      <c r="G37" s="26">
        <v>0</v>
      </c>
      <c r="H37" s="26">
        <v>31</v>
      </c>
      <c r="I37" s="26">
        <v>4</v>
      </c>
      <c r="J37" s="119">
        <v>4</v>
      </c>
      <c r="K37" s="122">
        <v>4</v>
      </c>
      <c r="L37" s="122"/>
      <c r="M37" s="122"/>
      <c r="N37" s="122"/>
      <c r="O37" s="122"/>
      <c r="P37" s="116">
        <v>27</v>
      </c>
      <c r="Q37" s="116">
        <v>31</v>
      </c>
      <c r="R37" s="116">
        <v>4</v>
      </c>
      <c r="S37" s="116">
        <v>31</v>
      </c>
      <c r="T37" s="116">
        <v>0</v>
      </c>
      <c r="U37" s="116">
        <v>0</v>
      </c>
      <c r="V37" s="116">
        <v>0</v>
      </c>
      <c r="W37" s="116">
        <v>0</v>
      </c>
      <c r="X37" s="30">
        <v>150</v>
      </c>
      <c r="Y37" s="30"/>
      <c r="Z37" s="30"/>
      <c r="AA37" s="30"/>
      <c r="AB37" s="126"/>
      <c r="AC37" s="126"/>
      <c r="AD37" s="126"/>
      <c r="AE37" s="126"/>
      <c r="AF37" s="126"/>
      <c r="AG37" s="126"/>
      <c r="AH37" s="117">
        <v>0</v>
      </c>
      <c r="AI37" s="116">
        <v>0</v>
      </c>
      <c r="AJ37" s="116">
        <v>0</v>
      </c>
      <c r="AK37" s="116">
        <v>0</v>
      </c>
      <c r="AL37" s="116">
        <v>0</v>
      </c>
      <c r="AM37" s="118">
        <v>0</v>
      </c>
      <c r="AN37" s="118">
        <v>0</v>
      </c>
      <c r="AO37" s="118" t="s">
        <v>475</v>
      </c>
      <c r="AP37" s="118">
        <v>31</v>
      </c>
    </row>
    <row r="38" spans="1:42" x14ac:dyDescent="0.15">
      <c r="A38" s="26" t="s">
        <v>357</v>
      </c>
      <c r="B38" s="26" t="s">
        <v>479</v>
      </c>
      <c r="C38" s="26" t="s">
        <v>471</v>
      </c>
      <c r="D38" s="26" t="s">
        <v>490</v>
      </c>
      <c r="E38" s="26" t="s">
        <v>473</v>
      </c>
      <c r="F38" s="26" t="s">
        <v>474</v>
      </c>
      <c r="G38" s="26">
        <v>0</v>
      </c>
      <c r="H38" s="26">
        <v>31</v>
      </c>
      <c r="I38" s="26">
        <v>4</v>
      </c>
      <c r="J38" s="119">
        <v>4</v>
      </c>
      <c r="K38" s="122">
        <v>4</v>
      </c>
      <c r="L38" s="122"/>
      <c r="M38" s="122"/>
      <c r="N38" s="122"/>
      <c r="O38" s="122"/>
      <c r="P38" s="116">
        <v>27</v>
      </c>
      <c r="Q38" s="116">
        <v>31</v>
      </c>
      <c r="R38" s="116">
        <v>4</v>
      </c>
      <c r="S38" s="116">
        <v>31</v>
      </c>
      <c r="T38" s="116">
        <v>0</v>
      </c>
      <c r="U38" s="116">
        <v>0</v>
      </c>
      <c r="V38" s="116">
        <v>0</v>
      </c>
      <c r="W38" s="116">
        <v>0</v>
      </c>
      <c r="X38" s="30">
        <v>10</v>
      </c>
      <c r="Y38" s="30"/>
      <c r="Z38" s="30"/>
      <c r="AA38" s="30"/>
      <c r="AB38" s="126"/>
      <c r="AC38" s="126"/>
      <c r="AD38" s="126"/>
      <c r="AE38" s="126"/>
      <c r="AF38" s="126"/>
      <c r="AG38" s="126"/>
      <c r="AH38" s="117">
        <v>0</v>
      </c>
      <c r="AI38" s="116">
        <v>0</v>
      </c>
      <c r="AJ38" s="116">
        <v>0</v>
      </c>
      <c r="AK38" s="116">
        <v>0</v>
      </c>
      <c r="AL38" s="116">
        <v>0</v>
      </c>
      <c r="AM38" s="118">
        <v>0</v>
      </c>
      <c r="AN38" s="118">
        <v>0</v>
      </c>
      <c r="AO38" s="118" t="s">
        <v>475</v>
      </c>
      <c r="AP38" s="118">
        <v>31</v>
      </c>
    </row>
    <row r="39" spans="1:42" x14ac:dyDescent="0.15">
      <c r="A39" s="26" t="s">
        <v>51</v>
      </c>
      <c r="B39" s="26" t="s">
        <v>470</v>
      </c>
      <c r="C39" s="26" t="s">
        <v>471</v>
      </c>
      <c r="D39" s="26" t="s">
        <v>491</v>
      </c>
      <c r="E39" s="26" t="s">
        <v>473</v>
      </c>
      <c r="F39" s="26" t="s">
        <v>474</v>
      </c>
      <c r="G39" s="26">
        <v>0</v>
      </c>
      <c r="H39" s="26">
        <v>31</v>
      </c>
      <c r="I39" s="26">
        <v>4</v>
      </c>
      <c r="J39" s="119">
        <v>5</v>
      </c>
      <c r="K39" s="122">
        <v>4</v>
      </c>
      <c r="L39" s="122"/>
      <c r="M39" s="122">
        <v>1</v>
      </c>
      <c r="N39" s="122"/>
      <c r="O39" s="122"/>
      <c r="P39" s="116">
        <v>26</v>
      </c>
      <c r="Q39" s="116">
        <v>31</v>
      </c>
      <c r="R39" s="116">
        <v>4</v>
      </c>
      <c r="S39" s="116">
        <v>31</v>
      </c>
      <c r="T39" s="116">
        <v>0</v>
      </c>
      <c r="U39" s="116">
        <v>0</v>
      </c>
      <c r="V39" s="116">
        <v>0</v>
      </c>
      <c r="W39" s="116">
        <v>0</v>
      </c>
      <c r="X39" s="30"/>
      <c r="Y39" s="30">
        <v>10</v>
      </c>
      <c r="Z39" s="30"/>
      <c r="AA39" s="30"/>
      <c r="AB39" s="126"/>
      <c r="AC39" s="126"/>
      <c r="AD39" s="126"/>
      <c r="AE39" s="126"/>
      <c r="AF39" s="126"/>
      <c r="AG39" s="126"/>
      <c r="AH39" s="117">
        <v>0</v>
      </c>
      <c r="AI39" s="116">
        <v>0</v>
      </c>
      <c r="AJ39" s="116">
        <v>0</v>
      </c>
      <c r="AK39" s="116">
        <v>0</v>
      </c>
      <c r="AL39" s="116">
        <v>0</v>
      </c>
      <c r="AM39" s="118">
        <v>0</v>
      </c>
      <c r="AN39" s="118">
        <v>0</v>
      </c>
      <c r="AO39" s="118" t="s">
        <v>475</v>
      </c>
      <c r="AP39" s="118">
        <v>31</v>
      </c>
    </row>
    <row r="40" spans="1:42" x14ac:dyDescent="0.15">
      <c r="A40" s="26" t="s">
        <v>51</v>
      </c>
      <c r="B40" s="26" t="s">
        <v>6</v>
      </c>
      <c r="C40" s="26" t="s">
        <v>477</v>
      </c>
      <c r="D40" s="26" t="s">
        <v>53</v>
      </c>
      <c r="E40" s="26" t="s">
        <v>473</v>
      </c>
      <c r="F40" s="26" t="s">
        <v>474</v>
      </c>
      <c r="G40" s="26">
        <v>0</v>
      </c>
      <c r="H40" s="26">
        <v>31</v>
      </c>
      <c r="I40" s="26">
        <v>4</v>
      </c>
      <c r="J40" s="119">
        <v>5</v>
      </c>
      <c r="K40" s="122">
        <v>4</v>
      </c>
      <c r="L40" s="122"/>
      <c r="M40" s="122">
        <v>1</v>
      </c>
      <c r="N40" s="122"/>
      <c r="O40" s="122"/>
      <c r="P40" s="116">
        <v>26</v>
      </c>
      <c r="Q40" s="116">
        <v>31</v>
      </c>
      <c r="R40" s="116">
        <v>4</v>
      </c>
      <c r="S40" s="116">
        <v>31</v>
      </c>
      <c r="T40" s="116">
        <v>0</v>
      </c>
      <c r="U40" s="116">
        <v>0</v>
      </c>
      <c r="V40" s="116">
        <v>0</v>
      </c>
      <c r="W40" s="116">
        <v>0</v>
      </c>
      <c r="X40" s="30"/>
      <c r="Y40" s="30"/>
      <c r="Z40" s="30"/>
      <c r="AA40" s="30"/>
      <c r="AB40" s="126"/>
      <c r="AC40" s="126"/>
      <c r="AD40" s="126"/>
      <c r="AE40" s="126"/>
      <c r="AF40" s="126"/>
      <c r="AG40" s="126"/>
      <c r="AH40" s="117">
        <v>0</v>
      </c>
      <c r="AI40" s="116">
        <v>0</v>
      </c>
      <c r="AJ40" s="116">
        <v>0</v>
      </c>
      <c r="AK40" s="116">
        <v>0</v>
      </c>
      <c r="AL40" s="116">
        <v>0</v>
      </c>
      <c r="AM40" s="118">
        <v>0</v>
      </c>
      <c r="AN40" s="118">
        <v>0</v>
      </c>
      <c r="AO40" s="118" t="s">
        <v>475</v>
      </c>
      <c r="AP40" s="118">
        <v>31</v>
      </c>
    </row>
    <row r="41" spans="1:42" x14ac:dyDescent="0.15">
      <c r="A41" s="26" t="s">
        <v>51</v>
      </c>
      <c r="B41" s="26" t="s">
        <v>6</v>
      </c>
      <c r="C41" s="26" t="s">
        <v>477</v>
      </c>
      <c r="D41" s="26" t="s">
        <v>58</v>
      </c>
      <c r="E41" s="26" t="s">
        <v>473</v>
      </c>
      <c r="F41" s="26" t="s">
        <v>474</v>
      </c>
      <c r="G41" s="26">
        <v>0</v>
      </c>
      <c r="H41" s="26">
        <v>31</v>
      </c>
      <c r="I41" s="26">
        <v>4</v>
      </c>
      <c r="J41" s="119">
        <v>4</v>
      </c>
      <c r="K41" s="122">
        <v>4</v>
      </c>
      <c r="L41" s="122"/>
      <c r="M41" s="122"/>
      <c r="N41" s="122"/>
      <c r="O41" s="122"/>
      <c r="P41" s="116">
        <v>27</v>
      </c>
      <c r="Q41" s="116">
        <v>31</v>
      </c>
      <c r="R41" s="116">
        <v>4</v>
      </c>
      <c r="S41" s="116">
        <v>31</v>
      </c>
      <c r="T41" s="116">
        <v>0</v>
      </c>
      <c r="U41" s="116">
        <v>0</v>
      </c>
      <c r="V41" s="116">
        <v>0</v>
      </c>
      <c r="W41" s="116">
        <v>0</v>
      </c>
      <c r="X41" s="30"/>
      <c r="Y41" s="30"/>
      <c r="Z41" s="30">
        <v>50</v>
      </c>
      <c r="AA41" s="30"/>
      <c r="AB41" s="126"/>
      <c r="AC41" s="126"/>
      <c r="AD41" s="126"/>
      <c r="AE41" s="126"/>
      <c r="AF41" s="126"/>
      <c r="AG41" s="126"/>
      <c r="AH41" s="117">
        <v>0</v>
      </c>
      <c r="AI41" s="116">
        <v>0</v>
      </c>
      <c r="AJ41" s="116">
        <v>0</v>
      </c>
      <c r="AK41" s="116">
        <v>0</v>
      </c>
      <c r="AL41" s="116">
        <v>0</v>
      </c>
      <c r="AM41" s="118">
        <v>0</v>
      </c>
      <c r="AN41" s="118">
        <v>0</v>
      </c>
      <c r="AO41" s="118" t="s">
        <v>475</v>
      </c>
      <c r="AP41" s="118">
        <v>31</v>
      </c>
    </row>
    <row r="42" spans="1:42" x14ac:dyDescent="0.15">
      <c r="A42" s="26" t="s">
        <v>51</v>
      </c>
      <c r="B42" s="26" t="s">
        <v>492</v>
      </c>
      <c r="C42" s="26" t="s">
        <v>471</v>
      </c>
      <c r="D42" s="26" t="s">
        <v>493</v>
      </c>
      <c r="E42" s="26" t="s">
        <v>473</v>
      </c>
      <c r="F42" s="26" t="s">
        <v>474</v>
      </c>
      <c r="G42" s="26">
        <v>0</v>
      </c>
      <c r="H42" s="26">
        <v>31</v>
      </c>
      <c r="I42" s="26">
        <v>4</v>
      </c>
      <c r="J42" s="116">
        <v>5</v>
      </c>
      <c r="K42" s="122">
        <v>4</v>
      </c>
      <c r="L42" s="122"/>
      <c r="M42" s="122">
        <v>1</v>
      </c>
      <c r="N42" s="122"/>
      <c r="O42" s="122"/>
      <c r="P42" s="116">
        <v>26</v>
      </c>
      <c r="Q42" s="116">
        <v>31</v>
      </c>
      <c r="R42" s="116">
        <v>4</v>
      </c>
      <c r="S42" s="116">
        <v>31</v>
      </c>
      <c r="T42" s="116">
        <v>0</v>
      </c>
      <c r="U42" s="116">
        <v>0</v>
      </c>
      <c r="V42" s="116">
        <v>0</v>
      </c>
      <c r="W42" s="116">
        <v>0</v>
      </c>
      <c r="X42" s="30">
        <v>10</v>
      </c>
      <c r="Y42" s="30"/>
      <c r="Z42" s="30"/>
      <c r="AA42" s="30"/>
      <c r="AB42" s="127"/>
      <c r="AC42" s="127"/>
      <c r="AD42" s="127"/>
      <c r="AE42" s="127"/>
      <c r="AF42" s="127"/>
      <c r="AG42" s="127"/>
      <c r="AH42" s="117">
        <v>0</v>
      </c>
      <c r="AI42" s="116">
        <v>0</v>
      </c>
      <c r="AJ42" s="116">
        <v>0</v>
      </c>
      <c r="AK42" s="116">
        <v>0</v>
      </c>
      <c r="AL42" s="116">
        <v>0</v>
      </c>
      <c r="AM42" s="118">
        <v>0</v>
      </c>
      <c r="AN42" s="118">
        <v>0</v>
      </c>
      <c r="AO42" s="118" t="s">
        <v>475</v>
      </c>
      <c r="AP42" s="118">
        <v>31</v>
      </c>
    </row>
    <row r="43" spans="1:42" x14ac:dyDescent="0.15">
      <c r="A43" s="26" t="s">
        <v>51</v>
      </c>
      <c r="B43" s="26" t="s">
        <v>6</v>
      </c>
      <c r="C43" s="26" t="s">
        <v>477</v>
      </c>
      <c r="D43" s="26" t="s">
        <v>57</v>
      </c>
      <c r="E43" s="26" t="s">
        <v>473</v>
      </c>
      <c r="F43" s="26" t="s">
        <v>474</v>
      </c>
      <c r="G43" s="26">
        <v>0</v>
      </c>
      <c r="H43" s="26">
        <v>31</v>
      </c>
      <c r="I43" s="26">
        <v>4</v>
      </c>
      <c r="J43" s="119">
        <v>5</v>
      </c>
      <c r="K43" s="122">
        <v>4</v>
      </c>
      <c r="L43" s="122"/>
      <c r="M43" s="122">
        <v>1</v>
      </c>
      <c r="N43" s="122"/>
      <c r="O43" s="122"/>
      <c r="P43" s="116">
        <v>26</v>
      </c>
      <c r="Q43" s="116">
        <v>31</v>
      </c>
      <c r="R43" s="116">
        <v>4</v>
      </c>
      <c r="S43" s="116">
        <v>31</v>
      </c>
      <c r="T43" s="116">
        <v>0</v>
      </c>
      <c r="U43" s="116">
        <v>0</v>
      </c>
      <c r="V43" s="116">
        <v>0</v>
      </c>
      <c r="W43" s="116">
        <v>0</v>
      </c>
      <c r="X43" s="30">
        <v>10</v>
      </c>
      <c r="Y43" s="30"/>
      <c r="Z43" s="30"/>
      <c r="AA43" s="30"/>
      <c r="AB43" s="126"/>
      <c r="AC43" s="126"/>
      <c r="AD43" s="126"/>
      <c r="AE43" s="126"/>
      <c r="AF43" s="126"/>
      <c r="AG43" s="126"/>
      <c r="AH43" s="117">
        <v>0</v>
      </c>
      <c r="AI43" s="116">
        <v>0</v>
      </c>
      <c r="AJ43" s="116">
        <v>0</v>
      </c>
      <c r="AK43" s="116">
        <v>0</v>
      </c>
      <c r="AL43" s="116">
        <v>0</v>
      </c>
      <c r="AM43" s="118">
        <v>0</v>
      </c>
      <c r="AN43" s="118">
        <v>0</v>
      </c>
      <c r="AO43" s="118" t="s">
        <v>475</v>
      </c>
      <c r="AP43" s="118">
        <v>31</v>
      </c>
    </row>
    <row r="44" spans="1:42" x14ac:dyDescent="0.15">
      <c r="A44" s="26" t="s">
        <v>51</v>
      </c>
      <c r="B44" s="26" t="s">
        <v>6</v>
      </c>
      <c r="C44" s="26" t="s">
        <v>477</v>
      </c>
      <c r="D44" s="26" t="s">
        <v>55</v>
      </c>
      <c r="E44" s="26" t="s">
        <v>473</v>
      </c>
      <c r="F44" s="26" t="s">
        <v>474</v>
      </c>
      <c r="G44" s="26">
        <v>0</v>
      </c>
      <c r="H44" s="26">
        <v>31</v>
      </c>
      <c r="I44" s="26">
        <v>4</v>
      </c>
      <c r="J44" s="119">
        <v>4</v>
      </c>
      <c r="K44" s="122">
        <v>4</v>
      </c>
      <c r="L44" s="122"/>
      <c r="M44" s="122"/>
      <c r="N44" s="122"/>
      <c r="O44" s="122"/>
      <c r="P44" s="116">
        <v>27</v>
      </c>
      <c r="Q44" s="116">
        <v>31</v>
      </c>
      <c r="R44" s="116">
        <v>4</v>
      </c>
      <c r="S44" s="116">
        <v>31</v>
      </c>
      <c r="T44" s="116">
        <v>0</v>
      </c>
      <c r="U44" s="116">
        <v>0</v>
      </c>
      <c r="V44" s="116">
        <v>0</v>
      </c>
      <c r="W44" s="116">
        <v>0</v>
      </c>
      <c r="X44" s="30">
        <v>10</v>
      </c>
      <c r="Y44" s="30"/>
      <c r="Z44" s="30"/>
      <c r="AA44" s="30"/>
      <c r="AB44" s="126"/>
      <c r="AC44" s="126"/>
      <c r="AD44" s="126"/>
      <c r="AE44" s="126"/>
      <c r="AF44" s="126"/>
      <c r="AG44" s="126"/>
      <c r="AH44" s="117">
        <v>0</v>
      </c>
      <c r="AI44" s="116">
        <v>0</v>
      </c>
      <c r="AJ44" s="116">
        <v>0</v>
      </c>
      <c r="AK44" s="116">
        <v>0</v>
      </c>
      <c r="AL44" s="116">
        <v>0</v>
      </c>
      <c r="AM44" s="118">
        <v>0</v>
      </c>
      <c r="AN44" s="118">
        <v>0</v>
      </c>
      <c r="AO44" s="118" t="s">
        <v>475</v>
      </c>
      <c r="AP44" s="118">
        <v>31</v>
      </c>
    </row>
    <row r="45" spans="1:42" x14ac:dyDescent="0.15">
      <c r="A45" s="26" t="s">
        <v>51</v>
      </c>
      <c r="B45" s="26" t="s">
        <v>6</v>
      </c>
      <c r="C45" s="26" t="s">
        <v>477</v>
      </c>
      <c r="D45" s="26" t="s">
        <v>54</v>
      </c>
      <c r="E45" s="26" t="s">
        <v>473</v>
      </c>
      <c r="F45" s="26" t="s">
        <v>474</v>
      </c>
      <c r="G45" s="26">
        <v>0</v>
      </c>
      <c r="H45" s="26">
        <v>31</v>
      </c>
      <c r="I45" s="26">
        <v>4</v>
      </c>
      <c r="J45" s="119">
        <v>4</v>
      </c>
      <c r="K45" s="122">
        <v>4</v>
      </c>
      <c r="L45" s="122"/>
      <c r="M45" s="122"/>
      <c r="N45" s="122"/>
      <c r="O45" s="122"/>
      <c r="P45" s="116">
        <v>27</v>
      </c>
      <c r="Q45" s="116">
        <v>31</v>
      </c>
      <c r="R45" s="116">
        <v>4</v>
      </c>
      <c r="S45" s="116">
        <v>31</v>
      </c>
      <c r="T45" s="116">
        <v>0</v>
      </c>
      <c r="U45" s="116">
        <v>0</v>
      </c>
      <c r="V45" s="116">
        <v>0</v>
      </c>
      <c r="W45" s="116">
        <v>0</v>
      </c>
      <c r="X45" s="30"/>
      <c r="Y45" s="30"/>
      <c r="Z45" s="30">
        <v>50</v>
      </c>
      <c r="AA45" s="30"/>
      <c r="AB45" s="126"/>
      <c r="AC45" s="126">
        <v>100</v>
      </c>
      <c r="AD45" s="126"/>
      <c r="AE45" s="126"/>
      <c r="AF45" s="126"/>
      <c r="AG45" s="126"/>
      <c r="AH45" s="117">
        <v>0</v>
      </c>
      <c r="AI45" s="116">
        <v>0</v>
      </c>
      <c r="AJ45" s="116">
        <v>0</v>
      </c>
      <c r="AK45" s="116">
        <v>0</v>
      </c>
      <c r="AL45" s="116">
        <v>0</v>
      </c>
      <c r="AM45" s="118">
        <v>0</v>
      </c>
      <c r="AN45" s="118">
        <v>0</v>
      </c>
      <c r="AO45" s="118" t="s">
        <v>475</v>
      </c>
      <c r="AP45" s="118">
        <v>31</v>
      </c>
    </row>
    <row r="46" spans="1:42" x14ac:dyDescent="0.15">
      <c r="A46" s="26" t="s">
        <v>51</v>
      </c>
      <c r="B46" s="26" t="s">
        <v>6</v>
      </c>
      <c r="C46" s="26" t="s">
        <v>477</v>
      </c>
      <c r="D46" s="26" t="s">
        <v>59</v>
      </c>
      <c r="E46" s="26" t="s">
        <v>473</v>
      </c>
      <c r="F46" s="26" t="s">
        <v>474</v>
      </c>
      <c r="G46" s="26">
        <v>0</v>
      </c>
      <c r="H46" s="26">
        <v>31</v>
      </c>
      <c r="I46" s="26">
        <v>4</v>
      </c>
      <c r="J46" s="119">
        <v>4</v>
      </c>
      <c r="K46" s="122">
        <v>4</v>
      </c>
      <c r="L46" s="122"/>
      <c r="M46" s="122"/>
      <c r="N46" s="122"/>
      <c r="O46" s="122"/>
      <c r="P46" s="116">
        <v>27</v>
      </c>
      <c r="Q46" s="116">
        <v>31</v>
      </c>
      <c r="R46" s="116">
        <v>4</v>
      </c>
      <c r="S46" s="116">
        <v>31</v>
      </c>
      <c r="T46" s="116">
        <v>0</v>
      </c>
      <c r="U46" s="116">
        <v>0</v>
      </c>
      <c r="V46" s="116">
        <v>0</v>
      </c>
      <c r="W46" s="116">
        <v>0</v>
      </c>
      <c r="X46" s="30"/>
      <c r="Y46" s="30"/>
      <c r="Z46" s="30">
        <v>50</v>
      </c>
      <c r="AA46" s="30"/>
      <c r="AB46" s="126"/>
      <c r="AC46" s="126"/>
      <c r="AD46" s="126"/>
      <c r="AE46" s="126"/>
      <c r="AF46" s="126"/>
      <c r="AG46" s="126"/>
      <c r="AH46" s="117">
        <v>0</v>
      </c>
      <c r="AI46" s="116">
        <v>0</v>
      </c>
      <c r="AJ46" s="116">
        <v>0</v>
      </c>
      <c r="AK46" s="116">
        <v>0</v>
      </c>
      <c r="AL46" s="116">
        <v>0</v>
      </c>
      <c r="AM46" s="118">
        <v>0</v>
      </c>
      <c r="AN46" s="118">
        <v>0</v>
      </c>
      <c r="AO46" s="118" t="s">
        <v>475</v>
      </c>
      <c r="AP46" s="118">
        <v>31</v>
      </c>
    </row>
    <row r="47" spans="1:42" x14ac:dyDescent="0.15">
      <c r="A47" s="26" t="s">
        <v>358</v>
      </c>
      <c r="B47" s="26" t="s">
        <v>479</v>
      </c>
      <c r="C47" s="26" t="s">
        <v>471</v>
      </c>
      <c r="D47" s="26" t="s">
        <v>494</v>
      </c>
      <c r="E47" s="26" t="s">
        <v>473</v>
      </c>
      <c r="F47" s="26" t="s">
        <v>474</v>
      </c>
      <c r="G47" s="26">
        <v>0</v>
      </c>
      <c r="H47" s="26">
        <v>31</v>
      </c>
      <c r="I47" s="26">
        <v>4</v>
      </c>
      <c r="J47" s="119">
        <v>3</v>
      </c>
      <c r="K47" s="122">
        <v>3</v>
      </c>
      <c r="L47" s="122"/>
      <c r="M47" s="122"/>
      <c r="N47" s="122"/>
      <c r="O47" s="122"/>
      <c r="P47" s="116">
        <v>28</v>
      </c>
      <c r="Q47" s="116">
        <v>31</v>
      </c>
      <c r="R47" s="116">
        <v>4</v>
      </c>
      <c r="S47" s="116">
        <v>31</v>
      </c>
      <c r="T47" s="116">
        <v>0</v>
      </c>
      <c r="U47" s="116">
        <v>0</v>
      </c>
      <c r="V47" s="116">
        <v>0</v>
      </c>
      <c r="W47" s="116">
        <v>0</v>
      </c>
      <c r="X47" s="30">
        <v>120</v>
      </c>
      <c r="Y47" s="30">
        <v>30</v>
      </c>
      <c r="Z47" s="30"/>
      <c r="AA47" s="30"/>
      <c r="AB47" s="126"/>
      <c r="AC47" s="126"/>
      <c r="AD47" s="126"/>
      <c r="AE47" s="126"/>
      <c r="AF47" s="126"/>
      <c r="AG47" s="126"/>
      <c r="AH47" s="117">
        <v>0</v>
      </c>
      <c r="AI47" s="116">
        <v>0</v>
      </c>
      <c r="AJ47" s="116">
        <v>0</v>
      </c>
      <c r="AK47" s="116">
        <v>0</v>
      </c>
      <c r="AL47" s="116">
        <v>0</v>
      </c>
      <c r="AM47" s="118">
        <v>0</v>
      </c>
      <c r="AN47" s="118">
        <v>0</v>
      </c>
      <c r="AO47" s="118" t="s">
        <v>475</v>
      </c>
      <c r="AP47" s="118">
        <v>31</v>
      </c>
    </row>
    <row r="48" spans="1:42" x14ac:dyDescent="0.15">
      <c r="A48" s="26">
        <v>468</v>
      </c>
      <c r="B48" s="26" t="s">
        <v>6</v>
      </c>
      <c r="C48" s="26" t="s">
        <v>477</v>
      </c>
      <c r="D48" s="26" t="s">
        <v>38</v>
      </c>
      <c r="E48" s="26" t="s">
        <v>473</v>
      </c>
      <c r="F48" s="26" t="s">
        <v>474</v>
      </c>
      <c r="G48" s="26">
        <v>0</v>
      </c>
      <c r="H48" s="26">
        <v>31</v>
      </c>
      <c r="I48" s="26">
        <v>4</v>
      </c>
      <c r="J48" s="119">
        <v>4</v>
      </c>
      <c r="K48" s="122">
        <v>4</v>
      </c>
      <c r="L48" s="122"/>
      <c r="M48" s="122"/>
      <c r="N48" s="122"/>
      <c r="O48" s="122"/>
      <c r="P48" s="116">
        <v>27</v>
      </c>
      <c r="Q48" s="116">
        <v>31</v>
      </c>
      <c r="R48" s="116">
        <v>4</v>
      </c>
      <c r="S48" s="116">
        <v>31</v>
      </c>
      <c r="T48" s="116">
        <v>0</v>
      </c>
      <c r="U48" s="116">
        <v>0</v>
      </c>
      <c r="V48" s="116">
        <v>0</v>
      </c>
      <c r="W48" s="116">
        <v>0</v>
      </c>
      <c r="X48" s="30">
        <v>10</v>
      </c>
      <c r="Y48" s="30"/>
      <c r="Z48" s="30"/>
      <c r="AA48" s="30"/>
      <c r="AB48" s="126"/>
      <c r="AC48" s="126"/>
      <c r="AD48" s="126"/>
      <c r="AE48" s="126"/>
      <c r="AF48" s="126"/>
      <c r="AG48" s="126"/>
      <c r="AH48" s="117">
        <v>0</v>
      </c>
      <c r="AI48" s="116">
        <v>0</v>
      </c>
      <c r="AJ48" s="116">
        <v>0</v>
      </c>
      <c r="AK48" s="116">
        <v>0</v>
      </c>
      <c r="AL48" s="116">
        <v>0</v>
      </c>
      <c r="AM48" s="118">
        <v>0</v>
      </c>
      <c r="AN48" s="118">
        <v>0</v>
      </c>
      <c r="AO48" s="118" t="s">
        <v>475</v>
      </c>
      <c r="AP48" s="118">
        <v>31</v>
      </c>
    </row>
    <row r="49" spans="1:42" x14ac:dyDescent="0.15">
      <c r="A49" s="26">
        <v>468</v>
      </c>
      <c r="B49" s="26" t="s">
        <v>6</v>
      </c>
      <c r="C49" s="26" t="s">
        <v>477</v>
      </c>
      <c r="D49" s="26" t="s">
        <v>34</v>
      </c>
      <c r="E49" s="26" t="s">
        <v>473</v>
      </c>
      <c r="F49" s="26" t="s">
        <v>474</v>
      </c>
      <c r="G49" s="26">
        <v>0</v>
      </c>
      <c r="H49" s="26">
        <v>31</v>
      </c>
      <c r="I49" s="26">
        <v>4</v>
      </c>
      <c r="J49" s="119">
        <v>4</v>
      </c>
      <c r="K49" s="122">
        <v>4</v>
      </c>
      <c r="L49" s="122"/>
      <c r="M49" s="122"/>
      <c r="N49" s="122"/>
      <c r="O49" s="122"/>
      <c r="P49" s="116">
        <v>27</v>
      </c>
      <c r="Q49" s="116">
        <v>31</v>
      </c>
      <c r="R49" s="116">
        <v>4</v>
      </c>
      <c r="S49" s="116">
        <v>31</v>
      </c>
      <c r="T49" s="116">
        <v>0</v>
      </c>
      <c r="U49" s="116">
        <v>0</v>
      </c>
      <c r="V49" s="116">
        <v>0</v>
      </c>
      <c r="W49" s="116">
        <v>0</v>
      </c>
      <c r="X49" s="30"/>
      <c r="Y49" s="30"/>
      <c r="Z49" s="30"/>
      <c r="AA49" s="30"/>
      <c r="AB49" s="126"/>
      <c r="AC49" s="126"/>
      <c r="AD49" s="126"/>
      <c r="AE49" s="126"/>
      <c r="AF49" s="126"/>
      <c r="AG49" s="126"/>
      <c r="AH49" s="117">
        <v>0</v>
      </c>
      <c r="AI49" s="116">
        <v>0</v>
      </c>
      <c r="AJ49" s="116">
        <v>0</v>
      </c>
      <c r="AK49" s="116">
        <v>0</v>
      </c>
      <c r="AL49" s="116">
        <v>0</v>
      </c>
      <c r="AM49" s="118">
        <v>0</v>
      </c>
      <c r="AN49" s="118">
        <v>0</v>
      </c>
      <c r="AO49" s="118" t="s">
        <v>475</v>
      </c>
      <c r="AP49" s="118">
        <v>31</v>
      </c>
    </row>
    <row r="50" spans="1:42" x14ac:dyDescent="0.15">
      <c r="A50" s="26">
        <v>468</v>
      </c>
      <c r="B50" s="26" t="s">
        <v>6</v>
      </c>
      <c r="C50" s="26" t="s">
        <v>477</v>
      </c>
      <c r="D50" s="26" t="s">
        <v>39</v>
      </c>
      <c r="E50" s="26" t="s">
        <v>473</v>
      </c>
      <c r="F50" s="26" t="s">
        <v>474</v>
      </c>
      <c r="G50" s="26">
        <v>0</v>
      </c>
      <c r="H50" s="26">
        <v>31</v>
      </c>
      <c r="I50" s="26">
        <v>4</v>
      </c>
      <c r="J50" s="119">
        <v>4</v>
      </c>
      <c r="K50" s="122">
        <v>4</v>
      </c>
      <c r="L50" s="122"/>
      <c r="M50" s="122"/>
      <c r="N50" s="122"/>
      <c r="O50" s="122"/>
      <c r="P50" s="116">
        <v>27</v>
      </c>
      <c r="Q50" s="116">
        <v>31</v>
      </c>
      <c r="R50" s="116">
        <v>4</v>
      </c>
      <c r="S50" s="116">
        <v>31</v>
      </c>
      <c r="T50" s="116">
        <v>0</v>
      </c>
      <c r="U50" s="116">
        <v>0</v>
      </c>
      <c r="V50" s="116">
        <v>0</v>
      </c>
      <c r="W50" s="116">
        <v>0</v>
      </c>
      <c r="X50" s="30">
        <v>10</v>
      </c>
      <c r="Y50" s="30"/>
      <c r="Z50" s="30"/>
      <c r="AA50" s="30"/>
      <c r="AB50" s="126"/>
      <c r="AC50" s="126"/>
      <c r="AD50" s="126"/>
      <c r="AE50" s="126"/>
      <c r="AF50" s="126"/>
      <c r="AG50" s="126"/>
      <c r="AH50" s="117">
        <v>0</v>
      </c>
      <c r="AI50" s="116">
        <v>0</v>
      </c>
      <c r="AJ50" s="116">
        <v>0</v>
      </c>
      <c r="AK50" s="116">
        <v>0</v>
      </c>
      <c r="AL50" s="116">
        <v>0</v>
      </c>
      <c r="AM50" s="118">
        <v>0</v>
      </c>
      <c r="AN50" s="118">
        <v>0</v>
      </c>
      <c r="AO50" s="118" t="s">
        <v>475</v>
      </c>
      <c r="AP50" s="118">
        <v>31</v>
      </c>
    </row>
    <row r="51" spans="1:42" x14ac:dyDescent="0.15">
      <c r="A51" s="26">
        <v>468</v>
      </c>
      <c r="B51" s="26" t="s">
        <v>6</v>
      </c>
      <c r="C51" s="26" t="s">
        <v>477</v>
      </c>
      <c r="D51" s="26" t="s">
        <v>33</v>
      </c>
      <c r="E51" s="26" t="s">
        <v>473</v>
      </c>
      <c r="F51" s="26" t="s">
        <v>474</v>
      </c>
      <c r="G51" s="26">
        <v>0</v>
      </c>
      <c r="H51" s="26">
        <v>31</v>
      </c>
      <c r="I51" s="26">
        <v>4</v>
      </c>
      <c r="J51" s="119">
        <v>4</v>
      </c>
      <c r="K51" s="122">
        <v>4</v>
      </c>
      <c r="L51" s="122"/>
      <c r="M51" s="122"/>
      <c r="N51" s="122"/>
      <c r="O51" s="122"/>
      <c r="P51" s="116">
        <v>27</v>
      </c>
      <c r="Q51" s="116">
        <v>31</v>
      </c>
      <c r="R51" s="116">
        <v>4</v>
      </c>
      <c r="S51" s="116">
        <v>31</v>
      </c>
      <c r="T51" s="116">
        <v>0</v>
      </c>
      <c r="U51" s="116">
        <v>0</v>
      </c>
      <c r="V51" s="116">
        <v>0</v>
      </c>
      <c r="W51" s="116">
        <v>0</v>
      </c>
      <c r="X51" s="30"/>
      <c r="Y51" s="30"/>
      <c r="Z51" s="30">
        <v>50</v>
      </c>
      <c r="AA51" s="30"/>
      <c r="AB51" s="126"/>
      <c r="AC51" s="126"/>
      <c r="AD51" s="126"/>
      <c r="AE51" s="126"/>
      <c r="AF51" s="126"/>
      <c r="AG51" s="126"/>
      <c r="AH51" s="117">
        <v>0</v>
      </c>
      <c r="AI51" s="116">
        <v>0</v>
      </c>
      <c r="AJ51" s="116">
        <v>0</v>
      </c>
      <c r="AK51" s="116">
        <v>0</v>
      </c>
      <c r="AL51" s="116">
        <v>0</v>
      </c>
      <c r="AM51" s="118">
        <v>0</v>
      </c>
      <c r="AN51" s="118">
        <v>0</v>
      </c>
      <c r="AO51" s="118" t="s">
        <v>475</v>
      </c>
      <c r="AP51" s="118">
        <v>31</v>
      </c>
    </row>
    <row r="52" spans="1:42" x14ac:dyDescent="0.15">
      <c r="A52" s="26">
        <v>468</v>
      </c>
      <c r="B52" s="26" t="s">
        <v>470</v>
      </c>
      <c r="C52" s="26" t="s">
        <v>471</v>
      </c>
      <c r="D52" s="26" t="s">
        <v>495</v>
      </c>
      <c r="E52" s="26" t="s">
        <v>473</v>
      </c>
      <c r="F52" s="26" t="s">
        <v>474</v>
      </c>
      <c r="G52" s="26">
        <v>0</v>
      </c>
      <c r="H52" s="26">
        <v>31</v>
      </c>
      <c r="I52" s="26">
        <v>4</v>
      </c>
      <c r="J52" s="119">
        <v>4</v>
      </c>
      <c r="K52" s="122">
        <v>4</v>
      </c>
      <c r="L52" s="122"/>
      <c r="M52" s="122"/>
      <c r="N52" s="122"/>
      <c r="O52" s="122"/>
      <c r="P52" s="116">
        <v>27</v>
      </c>
      <c r="Q52" s="116">
        <v>31</v>
      </c>
      <c r="R52" s="116">
        <v>4</v>
      </c>
      <c r="S52" s="116">
        <v>31</v>
      </c>
      <c r="T52" s="116">
        <v>0</v>
      </c>
      <c r="U52" s="116">
        <v>0</v>
      </c>
      <c r="V52" s="116">
        <v>0</v>
      </c>
      <c r="W52" s="116">
        <v>0</v>
      </c>
      <c r="X52" s="30">
        <v>10</v>
      </c>
      <c r="Y52" s="30"/>
      <c r="Z52" s="30"/>
      <c r="AA52" s="30"/>
      <c r="AB52" s="126"/>
      <c r="AC52" s="126"/>
      <c r="AD52" s="126"/>
      <c r="AE52" s="126"/>
      <c r="AF52" s="126"/>
      <c r="AG52" s="126"/>
      <c r="AH52" s="117">
        <v>0</v>
      </c>
      <c r="AI52" s="116">
        <v>0</v>
      </c>
      <c r="AJ52" s="116">
        <v>0</v>
      </c>
      <c r="AK52" s="116">
        <v>0</v>
      </c>
      <c r="AL52" s="116">
        <v>0</v>
      </c>
      <c r="AM52" s="118">
        <v>0</v>
      </c>
      <c r="AN52" s="118">
        <v>0</v>
      </c>
      <c r="AO52" s="118" t="s">
        <v>475</v>
      </c>
      <c r="AP52" s="118">
        <v>31</v>
      </c>
    </row>
    <row r="53" spans="1:42" x14ac:dyDescent="0.15">
      <c r="A53" s="26">
        <v>468</v>
      </c>
      <c r="B53" s="26" t="s">
        <v>476</v>
      </c>
      <c r="C53" s="26" t="s">
        <v>477</v>
      </c>
      <c r="D53" s="26" t="s">
        <v>496</v>
      </c>
      <c r="E53" s="26" t="s">
        <v>473</v>
      </c>
      <c r="F53" s="26" t="s">
        <v>474</v>
      </c>
      <c r="G53" s="26">
        <v>0</v>
      </c>
      <c r="H53" s="26">
        <v>31</v>
      </c>
      <c r="I53" s="26">
        <v>4</v>
      </c>
      <c r="J53" s="119">
        <v>4</v>
      </c>
      <c r="K53" s="122">
        <v>4</v>
      </c>
      <c r="L53" s="122"/>
      <c r="M53" s="122"/>
      <c r="N53" s="122"/>
      <c r="O53" s="122"/>
      <c r="P53" s="116">
        <v>27</v>
      </c>
      <c r="Q53" s="116">
        <v>31</v>
      </c>
      <c r="R53" s="116">
        <v>4</v>
      </c>
      <c r="S53" s="116">
        <v>31</v>
      </c>
      <c r="T53" s="116">
        <v>0</v>
      </c>
      <c r="U53" s="116">
        <v>0</v>
      </c>
      <c r="V53" s="116">
        <v>0</v>
      </c>
      <c r="W53" s="116">
        <v>0</v>
      </c>
      <c r="X53" s="30"/>
      <c r="Y53" s="30"/>
      <c r="Z53" s="30"/>
      <c r="AA53" s="30"/>
      <c r="AB53" s="126"/>
      <c r="AC53" s="126"/>
      <c r="AD53" s="126"/>
      <c r="AE53" s="126"/>
      <c r="AF53" s="126"/>
      <c r="AG53" s="126"/>
      <c r="AH53" s="117">
        <v>0</v>
      </c>
      <c r="AI53" s="116">
        <v>0</v>
      </c>
      <c r="AJ53" s="116">
        <v>0</v>
      </c>
      <c r="AK53" s="116">
        <v>0</v>
      </c>
      <c r="AL53" s="116">
        <v>0</v>
      </c>
      <c r="AM53" s="118">
        <v>0</v>
      </c>
      <c r="AN53" s="118">
        <v>0</v>
      </c>
      <c r="AO53" s="118" t="s">
        <v>475</v>
      </c>
      <c r="AP53" s="118">
        <v>31</v>
      </c>
    </row>
    <row r="54" spans="1:42" x14ac:dyDescent="0.15">
      <c r="A54" s="26">
        <v>468</v>
      </c>
      <c r="B54" s="26" t="s">
        <v>6</v>
      </c>
      <c r="C54" s="26" t="s">
        <v>477</v>
      </c>
      <c r="D54" s="26" t="s">
        <v>35</v>
      </c>
      <c r="E54" s="26" t="s">
        <v>473</v>
      </c>
      <c r="F54" s="26" t="s">
        <v>474</v>
      </c>
      <c r="G54" s="26">
        <v>0</v>
      </c>
      <c r="H54" s="26">
        <v>31</v>
      </c>
      <c r="I54" s="26">
        <v>4</v>
      </c>
      <c r="J54" s="119">
        <v>4</v>
      </c>
      <c r="K54" s="122">
        <v>4</v>
      </c>
      <c r="L54" s="122"/>
      <c r="M54" s="122"/>
      <c r="N54" s="122"/>
      <c r="O54" s="122"/>
      <c r="P54" s="116">
        <v>27</v>
      </c>
      <c r="Q54" s="116">
        <v>31</v>
      </c>
      <c r="R54" s="116">
        <v>4</v>
      </c>
      <c r="S54" s="116">
        <v>31</v>
      </c>
      <c r="T54" s="116">
        <v>0</v>
      </c>
      <c r="U54" s="116">
        <v>0</v>
      </c>
      <c r="V54" s="116">
        <v>0</v>
      </c>
      <c r="W54" s="116">
        <v>0</v>
      </c>
      <c r="X54" s="30"/>
      <c r="Y54" s="30"/>
      <c r="Z54" s="30">
        <v>50</v>
      </c>
      <c r="AA54" s="30"/>
      <c r="AB54" s="126"/>
      <c r="AC54" s="126"/>
      <c r="AD54" s="126"/>
      <c r="AE54" s="126"/>
      <c r="AF54" s="126"/>
      <c r="AG54" s="126"/>
      <c r="AH54" s="117">
        <v>4000</v>
      </c>
      <c r="AI54" s="116">
        <v>0</v>
      </c>
      <c r="AJ54" s="116">
        <v>0</v>
      </c>
      <c r="AK54" s="116">
        <v>0</v>
      </c>
      <c r="AL54" s="116">
        <v>0</v>
      </c>
      <c r="AM54" s="118">
        <v>0</v>
      </c>
      <c r="AN54" s="118">
        <v>0</v>
      </c>
      <c r="AO54" s="118" t="s">
        <v>475</v>
      </c>
      <c r="AP54" s="118">
        <v>31</v>
      </c>
    </row>
    <row r="55" spans="1:42" x14ac:dyDescent="0.15">
      <c r="A55" s="26">
        <v>468</v>
      </c>
      <c r="B55" s="26" t="s">
        <v>483</v>
      </c>
      <c r="C55" s="26" t="s">
        <v>471</v>
      </c>
      <c r="D55" s="26" t="s">
        <v>497</v>
      </c>
      <c r="E55" s="26" t="s">
        <v>473</v>
      </c>
      <c r="F55" s="26" t="s">
        <v>474</v>
      </c>
      <c r="G55" s="26">
        <v>0</v>
      </c>
      <c r="H55" s="26">
        <v>31</v>
      </c>
      <c r="I55" s="26">
        <v>4</v>
      </c>
      <c r="J55" s="119">
        <v>4</v>
      </c>
      <c r="K55" s="122">
        <v>4</v>
      </c>
      <c r="L55" s="122"/>
      <c r="M55" s="122"/>
      <c r="N55" s="122"/>
      <c r="O55" s="122"/>
      <c r="P55" s="116">
        <v>27</v>
      </c>
      <c r="Q55" s="116">
        <v>31</v>
      </c>
      <c r="R55" s="116">
        <v>4</v>
      </c>
      <c r="S55" s="116">
        <v>31</v>
      </c>
      <c r="T55" s="116">
        <v>0</v>
      </c>
      <c r="U55" s="116">
        <v>0</v>
      </c>
      <c r="V55" s="116">
        <v>0</v>
      </c>
      <c r="W55" s="116">
        <v>0</v>
      </c>
      <c r="X55" s="30"/>
      <c r="Y55" s="30"/>
      <c r="Z55" s="30"/>
      <c r="AA55" s="30"/>
      <c r="AB55" s="126"/>
      <c r="AC55" s="126"/>
      <c r="AD55" s="126">
        <v>1060</v>
      </c>
      <c r="AE55" s="126"/>
      <c r="AF55" s="126"/>
      <c r="AG55" s="126"/>
      <c r="AH55" s="117">
        <v>7000</v>
      </c>
      <c r="AI55" s="116">
        <v>0</v>
      </c>
      <c r="AJ55" s="116">
        <v>0</v>
      </c>
      <c r="AK55" s="116">
        <v>0</v>
      </c>
      <c r="AL55" s="116">
        <v>0</v>
      </c>
      <c r="AM55" s="118">
        <v>0</v>
      </c>
      <c r="AN55" s="118">
        <v>0</v>
      </c>
      <c r="AO55" s="118" t="s">
        <v>475</v>
      </c>
      <c r="AP55" s="118">
        <v>31</v>
      </c>
    </row>
    <row r="56" spans="1:42" x14ac:dyDescent="0.15">
      <c r="A56" s="26" t="s">
        <v>162</v>
      </c>
      <c r="B56" s="26" t="s">
        <v>476</v>
      </c>
      <c r="C56" s="26" t="s">
        <v>477</v>
      </c>
      <c r="D56" s="26" t="s">
        <v>498</v>
      </c>
      <c r="E56" s="26" t="s">
        <v>473</v>
      </c>
      <c r="F56" s="26" t="s">
        <v>474</v>
      </c>
      <c r="G56" s="26">
        <v>0</v>
      </c>
      <c r="H56" s="26">
        <v>31</v>
      </c>
      <c r="I56" s="26">
        <v>4</v>
      </c>
      <c r="J56" s="119">
        <v>4</v>
      </c>
      <c r="K56" s="122">
        <v>4</v>
      </c>
      <c r="L56" s="122"/>
      <c r="M56" s="122"/>
      <c r="N56" s="122"/>
      <c r="O56" s="122"/>
      <c r="P56" s="116">
        <v>27</v>
      </c>
      <c r="Q56" s="116">
        <v>31</v>
      </c>
      <c r="R56" s="116">
        <v>4</v>
      </c>
      <c r="S56" s="116">
        <v>31</v>
      </c>
      <c r="T56" s="116">
        <v>0</v>
      </c>
      <c r="U56" s="116">
        <v>0</v>
      </c>
      <c r="V56" s="116">
        <v>0</v>
      </c>
      <c r="W56" s="116">
        <v>0</v>
      </c>
      <c r="X56" s="30"/>
      <c r="Y56" s="30"/>
      <c r="Z56" s="30"/>
      <c r="AA56" s="30"/>
      <c r="AB56" s="126"/>
      <c r="AC56" s="126"/>
      <c r="AD56" s="126"/>
      <c r="AE56" s="126"/>
      <c r="AF56" s="126"/>
      <c r="AG56" s="126"/>
      <c r="AH56" s="117">
        <v>0</v>
      </c>
      <c r="AI56" s="116">
        <v>0</v>
      </c>
      <c r="AJ56" s="116">
        <v>0</v>
      </c>
      <c r="AK56" s="116">
        <v>0</v>
      </c>
      <c r="AL56" s="116">
        <v>0</v>
      </c>
      <c r="AM56" s="118">
        <v>0</v>
      </c>
      <c r="AN56" s="118">
        <v>0</v>
      </c>
      <c r="AO56" s="118" t="s">
        <v>475</v>
      </c>
      <c r="AP56" s="118">
        <v>31</v>
      </c>
    </row>
    <row r="57" spans="1:42" x14ac:dyDescent="0.15">
      <c r="A57" s="26" t="s">
        <v>162</v>
      </c>
      <c r="B57" s="26" t="s">
        <v>6</v>
      </c>
      <c r="C57" s="26" t="s">
        <v>477</v>
      </c>
      <c r="D57" s="26" t="s">
        <v>164</v>
      </c>
      <c r="E57" s="26" t="s">
        <v>473</v>
      </c>
      <c r="F57" s="26" t="s">
        <v>474</v>
      </c>
      <c r="G57" s="26">
        <v>0</v>
      </c>
      <c r="H57" s="26">
        <v>31</v>
      </c>
      <c r="I57" s="26">
        <v>4</v>
      </c>
      <c r="J57" s="119">
        <v>4</v>
      </c>
      <c r="K57" s="122">
        <v>4</v>
      </c>
      <c r="L57" s="122"/>
      <c r="M57" s="122"/>
      <c r="N57" s="122"/>
      <c r="O57" s="122"/>
      <c r="P57" s="116">
        <v>27</v>
      </c>
      <c r="Q57" s="116">
        <v>31</v>
      </c>
      <c r="R57" s="116">
        <v>4</v>
      </c>
      <c r="S57" s="116">
        <v>31</v>
      </c>
      <c r="T57" s="116">
        <v>0</v>
      </c>
      <c r="U57" s="116">
        <v>0</v>
      </c>
      <c r="V57" s="116">
        <v>0</v>
      </c>
      <c r="W57" s="116">
        <v>0</v>
      </c>
      <c r="X57" s="30">
        <v>20</v>
      </c>
      <c r="Y57" s="30"/>
      <c r="Z57" s="30"/>
      <c r="AA57" s="30"/>
      <c r="AB57" s="126"/>
      <c r="AC57" s="126"/>
      <c r="AD57" s="126"/>
      <c r="AE57" s="126"/>
      <c r="AF57" s="126"/>
      <c r="AG57" s="126"/>
      <c r="AH57" s="117">
        <v>0</v>
      </c>
      <c r="AI57" s="116">
        <v>0</v>
      </c>
      <c r="AJ57" s="116">
        <v>0</v>
      </c>
      <c r="AK57" s="116">
        <v>0</v>
      </c>
      <c r="AL57" s="116">
        <v>0</v>
      </c>
      <c r="AM57" s="118">
        <v>0</v>
      </c>
      <c r="AN57" s="118">
        <v>0</v>
      </c>
      <c r="AO57" s="118" t="s">
        <v>475</v>
      </c>
      <c r="AP57" s="118">
        <v>31</v>
      </c>
    </row>
    <row r="58" spans="1:42" x14ac:dyDescent="0.15">
      <c r="A58" s="26" t="s">
        <v>162</v>
      </c>
      <c r="B58" s="26" t="s">
        <v>6</v>
      </c>
      <c r="C58" s="26" t="s">
        <v>477</v>
      </c>
      <c r="D58" s="26" t="s">
        <v>167</v>
      </c>
      <c r="E58" s="26" t="s">
        <v>473</v>
      </c>
      <c r="F58" s="26" t="s">
        <v>474</v>
      </c>
      <c r="G58" s="26">
        <v>0</v>
      </c>
      <c r="H58" s="26">
        <v>31</v>
      </c>
      <c r="I58" s="26">
        <v>4</v>
      </c>
      <c r="J58" s="119">
        <v>4</v>
      </c>
      <c r="K58" s="122">
        <v>4</v>
      </c>
      <c r="L58" s="122"/>
      <c r="M58" s="122"/>
      <c r="N58" s="122"/>
      <c r="O58" s="122"/>
      <c r="P58" s="116">
        <v>27</v>
      </c>
      <c r="Q58" s="116">
        <v>31</v>
      </c>
      <c r="R58" s="116">
        <v>4</v>
      </c>
      <c r="S58" s="116">
        <v>31</v>
      </c>
      <c r="T58" s="116">
        <v>0</v>
      </c>
      <c r="U58" s="116">
        <v>0</v>
      </c>
      <c r="V58" s="116">
        <v>0</v>
      </c>
      <c r="W58" s="116">
        <v>0</v>
      </c>
      <c r="X58" s="30"/>
      <c r="Y58" s="30"/>
      <c r="Z58" s="30">
        <v>50</v>
      </c>
      <c r="AA58" s="30"/>
      <c r="AB58" s="126"/>
      <c r="AC58" s="126"/>
      <c r="AD58" s="126"/>
      <c r="AE58" s="126"/>
      <c r="AF58" s="126"/>
      <c r="AG58" s="126"/>
      <c r="AH58" s="117">
        <v>0</v>
      </c>
      <c r="AI58" s="116">
        <v>0</v>
      </c>
      <c r="AJ58" s="116">
        <v>0</v>
      </c>
      <c r="AK58" s="116">
        <v>0</v>
      </c>
      <c r="AL58" s="116">
        <v>0</v>
      </c>
      <c r="AM58" s="118">
        <v>0</v>
      </c>
      <c r="AN58" s="118">
        <v>0</v>
      </c>
      <c r="AO58" s="118" t="s">
        <v>475</v>
      </c>
      <c r="AP58" s="118">
        <v>31</v>
      </c>
    </row>
    <row r="59" spans="1:42" x14ac:dyDescent="0.15">
      <c r="A59" s="26" t="s">
        <v>162</v>
      </c>
      <c r="B59" s="26" t="s">
        <v>6</v>
      </c>
      <c r="C59" s="26" t="s">
        <v>477</v>
      </c>
      <c r="D59" s="26" t="s">
        <v>168</v>
      </c>
      <c r="E59" s="26" t="s">
        <v>473</v>
      </c>
      <c r="F59" s="26" t="s">
        <v>474</v>
      </c>
      <c r="G59" s="26">
        <v>0</v>
      </c>
      <c r="H59" s="26">
        <v>31</v>
      </c>
      <c r="I59" s="26">
        <v>4</v>
      </c>
      <c r="J59" s="116">
        <v>4</v>
      </c>
      <c r="K59" s="122">
        <v>4</v>
      </c>
      <c r="L59" s="122"/>
      <c r="M59" s="122"/>
      <c r="N59" s="122"/>
      <c r="O59" s="122"/>
      <c r="P59" s="116">
        <v>27</v>
      </c>
      <c r="Q59" s="116">
        <v>31</v>
      </c>
      <c r="R59" s="116">
        <v>4</v>
      </c>
      <c r="S59" s="116">
        <v>31</v>
      </c>
      <c r="T59" s="116">
        <v>0</v>
      </c>
      <c r="U59" s="116">
        <v>0</v>
      </c>
      <c r="V59" s="116">
        <v>0</v>
      </c>
      <c r="W59" s="116">
        <v>0</v>
      </c>
      <c r="X59" s="30"/>
      <c r="Y59" s="30"/>
      <c r="Z59" s="30">
        <v>50</v>
      </c>
      <c r="AA59" s="30"/>
      <c r="AB59" s="127"/>
      <c r="AC59" s="127"/>
      <c r="AD59" s="127"/>
      <c r="AE59" s="127"/>
      <c r="AF59" s="127"/>
      <c r="AG59" s="127"/>
      <c r="AH59" s="117">
        <v>0</v>
      </c>
      <c r="AI59" s="116">
        <v>0</v>
      </c>
      <c r="AJ59" s="116">
        <v>0</v>
      </c>
      <c r="AK59" s="116">
        <v>0</v>
      </c>
      <c r="AL59" s="116">
        <v>0</v>
      </c>
      <c r="AM59" s="118">
        <v>0</v>
      </c>
      <c r="AN59" s="118">
        <v>0</v>
      </c>
      <c r="AO59" s="118" t="s">
        <v>475</v>
      </c>
      <c r="AP59" s="118">
        <v>31</v>
      </c>
    </row>
    <row r="60" spans="1:42" x14ac:dyDescent="0.15">
      <c r="A60" s="26" t="s">
        <v>162</v>
      </c>
      <c r="B60" s="26" t="s">
        <v>470</v>
      </c>
      <c r="C60" s="26" t="s">
        <v>471</v>
      </c>
      <c r="D60" s="26" t="s">
        <v>499</v>
      </c>
      <c r="E60" s="26" t="s">
        <v>473</v>
      </c>
      <c r="F60" s="26" t="s">
        <v>474</v>
      </c>
      <c r="G60" s="26">
        <v>0</v>
      </c>
      <c r="H60" s="26">
        <v>31</v>
      </c>
      <c r="I60" s="26">
        <v>4</v>
      </c>
      <c r="J60" s="119">
        <v>4</v>
      </c>
      <c r="K60" s="122">
        <v>4</v>
      </c>
      <c r="L60" s="122"/>
      <c r="M60" s="122"/>
      <c r="N60" s="122"/>
      <c r="O60" s="122"/>
      <c r="P60" s="116">
        <v>27</v>
      </c>
      <c r="Q60" s="116">
        <v>31</v>
      </c>
      <c r="R60" s="116">
        <v>4</v>
      </c>
      <c r="S60" s="116">
        <v>31</v>
      </c>
      <c r="T60" s="116">
        <v>0</v>
      </c>
      <c r="U60" s="116">
        <v>0</v>
      </c>
      <c r="V60" s="116">
        <v>0</v>
      </c>
      <c r="W60" s="116">
        <v>0</v>
      </c>
      <c r="X60" s="30"/>
      <c r="Y60" s="30"/>
      <c r="Z60" s="30"/>
      <c r="AA60" s="30"/>
      <c r="AB60" s="126"/>
      <c r="AC60" s="126"/>
      <c r="AD60" s="126"/>
      <c r="AE60" s="126"/>
      <c r="AF60" s="126"/>
      <c r="AG60" s="126"/>
      <c r="AH60" s="117">
        <v>0</v>
      </c>
      <c r="AI60" s="116">
        <v>0</v>
      </c>
      <c r="AJ60" s="116">
        <v>0</v>
      </c>
      <c r="AK60" s="116">
        <v>0</v>
      </c>
      <c r="AL60" s="116">
        <v>200</v>
      </c>
      <c r="AM60" s="118">
        <v>0</v>
      </c>
      <c r="AN60" s="118">
        <v>0</v>
      </c>
      <c r="AO60" s="118" t="s">
        <v>475</v>
      </c>
      <c r="AP60" s="118">
        <v>31</v>
      </c>
    </row>
    <row r="61" spans="1:42" x14ac:dyDescent="0.15">
      <c r="A61" s="26" t="s">
        <v>162</v>
      </c>
      <c r="B61" s="26" t="s">
        <v>6</v>
      </c>
      <c r="C61" s="26" t="s">
        <v>477</v>
      </c>
      <c r="D61" s="26" t="s">
        <v>165</v>
      </c>
      <c r="E61" s="26" t="s">
        <v>473</v>
      </c>
      <c r="F61" s="26" t="s">
        <v>474</v>
      </c>
      <c r="G61" s="26">
        <v>0</v>
      </c>
      <c r="H61" s="26">
        <v>31</v>
      </c>
      <c r="I61" s="26">
        <v>4</v>
      </c>
      <c r="J61" s="119">
        <v>6</v>
      </c>
      <c r="K61" s="122">
        <v>4</v>
      </c>
      <c r="L61" s="122">
        <v>2</v>
      </c>
      <c r="M61" s="122"/>
      <c r="N61" s="122"/>
      <c r="O61" s="122"/>
      <c r="P61" s="116">
        <v>25</v>
      </c>
      <c r="Q61" s="116">
        <v>29</v>
      </c>
      <c r="R61" s="116">
        <v>4</v>
      </c>
      <c r="S61" s="116">
        <v>29</v>
      </c>
      <c r="T61" s="116">
        <v>0</v>
      </c>
      <c r="U61" s="116">
        <v>2</v>
      </c>
      <c r="V61" s="116">
        <v>0</v>
      </c>
      <c r="W61" s="116">
        <v>0</v>
      </c>
      <c r="X61" s="30"/>
      <c r="Y61" s="30"/>
      <c r="Z61" s="30"/>
      <c r="AA61" s="30"/>
      <c r="AB61" s="126"/>
      <c r="AC61" s="126"/>
      <c r="AD61" s="126"/>
      <c r="AE61" s="126"/>
      <c r="AF61" s="126"/>
      <c r="AG61" s="126"/>
      <c r="AH61" s="117">
        <v>0</v>
      </c>
      <c r="AI61" s="116">
        <v>0</v>
      </c>
      <c r="AJ61" s="116">
        <v>0</v>
      </c>
      <c r="AK61" s="116">
        <v>0</v>
      </c>
      <c r="AL61" s="116">
        <v>0</v>
      </c>
      <c r="AM61" s="118">
        <v>0</v>
      </c>
      <c r="AN61" s="118">
        <v>0</v>
      </c>
      <c r="AO61" s="118" t="s">
        <v>475</v>
      </c>
      <c r="AP61" s="118">
        <v>29</v>
      </c>
    </row>
    <row r="62" spans="1:42" x14ac:dyDescent="0.15">
      <c r="A62" s="26" t="s">
        <v>356</v>
      </c>
      <c r="B62" s="26" t="s">
        <v>500</v>
      </c>
      <c r="C62" s="26" t="s">
        <v>471</v>
      </c>
      <c r="D62" s="26" t="s">
        <v>501</v>
      </c>
      <c r="E62" s="26" t="s">
        <v>473</v>
      </c>
      <c r="F62" s="26" t="s">
        <v>474</v>
      </c>
      <c r="G62" s="26">
        <v>0</v>
      </c>
      <c r="H62" s="26">
        <v>31</v>
      </c>
      <c r="I62" s="26">
        <v>4</v>
      </c>
      <c r="J62" s="119">
        <v>5</v>
      </c>
      <c r="K62" s="122">
        <v>4</v>
      </c>
      <c r="L62" s="122"/>
      <c r="M62" s="122">
        <v>1</v>
      </c>
      <c r="N62" s="122"/>
      <c r="O62" s="122"/>
      <c r="P62" s="116">
        <v>26</v>
      </c>
      <c r="Q62" s="116">
        <v>31</v>
      </c>
      <c r="R62" s="116">
        <v>4</v>
      </c>
      <c r="S62" s="116">
        <v>31</v>
      </c>
      <c r="T62" s="116">
        <v>0</v>
      </c>
      <c r="U62" s="116">
        <v>0</v>
      </c>
      <c r="V62" s="116">
        <v>0</v>
      </c>
      <c r="W62" s="116">
        <v>0</v>
      </c>
      <c r="X62" s="30"/>
      <c r="Y62" s="30">
        <v>10</v>
      </c>
      <c r="Z62" s="30"/>
      <c r="AA62" s="30"/>
      <c r="AB62" s="126"/>
      <c r="AC62" s="126"/>
      <c r="AD62" s="126"/>
      <c r="AE62" s="126"/>
      <c r="AF62" s="126"/>
      <c r="AG62" s="126"/>
      <c r="AH62" s="117">
        <v>0</v>
      </c>
      <c r="AI62" s="116">
        <v>0</v>
      </c>
      <c r="AJ62" s="116">
        <v>0</v>
      </c>
      <c r="AK62" s="116">
        <v>0</v>
      </c>
      <c r="AL62" s="116">
        <v>0</v>
      </c>
      <c r="AM62" s="118">
        <v>0</v>
      </c>
      <c r="AN62" s="118">
        <v>0</v>
      </c>
      <c r="AO62" s="118" t="s">
        <v>475</v>
      </c>
      <c r="AP62" s="118">
        <v>31</v>
      </c>
    </row>
    <row r="63" spans="1:42" x14ac:dyDescent="0.15">
      <c r="A63" s="26" t="s">
        <v>120</v>
      </c>
      <c r="B63" s="26" t="s">
        <v>476</v>
      </c>
      <c r="C63" s="26" t="s">
        <v>477</v>
      </c>
      <c r="D63" s="26" t="s">
        <v>502</v>
      </c>
      <c r="E63" s="26" t="s">
        <v>473</v>
      </c>
      <c r="F63" s="26" t="s">
        <v>474</v>
      </c>
      <c r="G63" s="26">
        <v>0</v>
      </c>
      <c r="H63" s="26">
        <v>31</v>
      </c>
      <c r="I63" s="26">
        <v>4</v>
      </c>
      <c r="J63" s="119">
        <v>4</v>
      </c>
      <c r="K63" s="122">
        <v>4</v>
      </c>
      <c r="L63" s="122"/>
      <c r="M63" s="122"/>
      <c r="N63" s="122"/>
      <c r="O63" s="122"/>
      <c r="P63" s="116">
        <v>27</v>
      </c>
      <c r="Q63" s="116">
        <v>31</v>
      </c>
      <c r="R63" s="116">
        <v>4</v>
      </c>
      <c r="S63" s="116">
        <v>31</v>
      </c>
      <c r="T63" s="116">
        <v>0</v>
      </c>
      <c r="U63" s="116">
        <v>0</v>
      </c>
      <c r="V63" s="116">
        <v>0</v>
      </c>
      <c r="W63" s="116">
        <v>0</v>
      </c>
      <c r="X63" s="30"/>
      <c r="Y63" s="30"/>
      <c r="Z63" s="30"/>
      <c r="AA63" s="30"/>
      <c r="AB63" s="126"/>
      <c r="AC63" s="126"/>
      <c r="AD63" s="126"/>
      <c r="AE63" s="126"/>
      <c r="AF63" s="126"/>
      <c r="AG63" s="126"/>
      <c r="AH63" s="117">
        <v>0</v>
      </c>
      <c r="AI63" s="116">
        <v>0</v>
      </c>
      <c r="AJ63" s="116">
        <v>0</v>
      </c>
      <c r="AK63" s="116">
        <v>0</v>
      </c>
      <c r="AL63" s="116">
        <v>0</v>
      </c>
      <c r="AM63" s="118">
        <v>0</v>
      </c>
      <c r="AN63" s="118">
        <v>0</v>
      </c>
      <c r="AO63" s="118" t="s">
        <v>475</v>
      </c>
      <c r="AP63" s="118">
        <v>31</v>
      </c>
    </row>
    <row r="64" spans="1:42" x14ac:dyDescent="0.15">
      <c r="A64" s="26" t="s">
        <v>120</v>
      </c>
      <c r="B64" s="26" t="s">
        <v>6</v>
      </c>
      <c r="C64" s="26" t="s">
        <v>477</v>
      </c>
      <c r="D64" s="26" t="s">
        <v>126</v>
      </c>
      <c r="E64" s="26" t="s">
        <v>473</v>
      </c>
      <c r="F64" s="26" t="s">
        <v>474</v>
      </c>
      <c r="G64" s="26">
        <v>0</v>
      </c>
      <c r="H64" s="26">
        <v>31</v>
      </c>
      <c r="I64" s="26">
        <v>4</v>
      </c>
      <c r="J64" s="119">
        <v>5</v>
      </c>
      <c r="K64" s="122">
        <v>4</v>
      </c>
      <c r="L64" s="122"/>
      <c r="M64" s="122">
        <v>1</v>
      </c>
      <c r="N64" s="122"/>
      <c r="O64" s="122"/>
      <c r="P64" s="116">
        <v>26</v>
      </c>
      <c r="Q64" s="116">
        <v>31</v>
      </c>
      <c r="R64" s="116">
        <v>4</v>
      </c>
      <c r="S64" s="116">
        <v>31</v>
      </c>
      <c r="T64" s="116">
        <v>0</v>
      </c>
      <c r="U64" s="116">
        <v>0</v>
      </c>
      <c r="V64" s="116">
        <v>0</v>
      </c>
      <c r="W64" s="116">
        <v>0</v>
      </c>
      <c r="X64" s="30">
        <v>10</v>
      </c>
      <c r="Y64" s="30"/>
      <c r="Z64" s="30"/>
      <c r="AA64" s="30"/>
      <c r="AB64" s="126"/>
      <c r="AC64" s="126"/>
      <c r="AD64" s="126"/>
      <c r="AE64" s="126"/>
      <c r="AF64" s="126"/>
      <c r="AG64" s="126"/>
      <c r="AH64" s="117">
        <v>0</v>
      </c>
      <c r="AI64" s="116">
        <v>0</v>
      </c>
      <c r="AJ64" s="116">
        <v>0</v>
      </c>
      <c r="AK64" s="116">
        <v>0</v>
      </c>
      <c r="AL64" s="116">
        <v>0</v>
      </c>
      <c r="AM64" s="118">
        <v>0</v>
      </c>
      <c r="AN64" s="118">
        <v>0</v>
      </c>
      <c r="AO64" s="118" t="s">
        <v>475</v>
      </c>
      <c r="AP64" s="118">
        <v>31</v>
      </c>
    </row>
    <row r="65" spans="1:42" x14ac:dyDescent="0.15">
      <c r="A65" s="26" t="s">
        <v>120</v>
      </c>
      <c r="B65" s="26" t="s">
        <v>483</v>
      </c>
      <c r="C65" s="26" t="s">
        <v>471</v>
      </c>
      <c r="D65" s="26" t="s">
        <v>503</v>
      </c>
      <c r="E65" s="26" t="s">
        <v>473</v>
      </c>
      <c r="F65" s="26" t="s">
        <v>474</v>
      </c>
      <c r="G65" s="26">
        <v>0</v>
      </c>
      <c r="H65" s="26">
        <v>31</v>
      </c>
      <c r="I65" s="26">
        <v>4</v>
      </c>
      <c r="J65" s="119">
        <v>4</v>
      </c>
      <c r="K65" s="122">
        <v>4</v>
      </c>
      <c r="L65" s="122"/>
      <c r="M65" s="122"/>
      <c r="N65" s="122"/>
      <c r="O65" s="122"/>
      <c r="P65" s="116">
        <v>27</v>
      </c>
      <c r="Q65" s="116">
        <v>31</v>
      </c>
      <c r="R65" s="116">
        <v>4</v>
      </c>
      <c r="S65" s="116">
        <v>31</v>
      </c>
      <c r="T65" s="116">
        <v>0</v>
      </c>
      <c r="U65" s="116">
        <v>0</v>
      </c>
      <c r="V65" s="116">
        <v>0</v>
      </c>
      <c r="W65" s="116">
        <v>0</v>
      </c>
      <c r="X65" s="30"/>
      <c r="Y65" s="30"/>
      <c r="Z65" s="30"/>
      <c r="AA65" s="30"/>
      <c r="AB65" s="126"/>
      <c r="AC65" s="126"/>
      <c r="AD65" s="126"/>
      <c r="AE65" s="126"/>
      <c r="AF65" s="126"/>
      <c r="AG65" s="126"/>
      <c r="AH65" s="117">
        <v>0</v>
      </c>
      <c r="AI65" s="116">
        <v>0</v>
      </c>
      <c r="AJ65" s="116">
        <v>0</v>
      </c>
      <c r="AK65" s="116">
        <v>0</v>
      </c>
      <c r="AL65" s="116">
        <v>0</v>
      </c>
      <c r="AM65" s="118">
        <v>0</v>
      </c>
      <c r="AN65" s="118">
        <v>0</v>
      </c>
      <c r="AO65" s="118" t="s">
        <v>475</v>
      </c>
      <c r="AP65" s="118">
        <v>31</v>
      </c>
    </row>
    <row r="66" spans="1:42" x14ac:dyDescent="0.15">
      <c r="A66" s="26" t="s">
        <v>120</v>
      </c>
      <c r="B66" s="26" t="s">
        <v>6</v>
      </c>
      <c r="C66" s="26" t="s">
        <v>477</v>
      </c>
      <c r="D66" s="26" t="s">
        <v>122</v>
      </c>
      <c r="E66" s="26" t="s">
        <v>473</v>
      </c>
      <c r="F66" s="26" t="s">
        <v>474</v>
      </c>
      <c r="G66" s="26">
        <v>0</v>
      </c>
      <c r="H66" s="26">
        <v>31</v>
      </c>
      <c r="I66" s="26">
        <v>4</v>
      </c>
      <c r="J66" s="119">
        <v>5</v>
      </c>
      <c r="K66" s="122">
        <v>4</v>
      </c>
      <c r="L66" s="122"/>
      <c r="M66" s="122">
        <v>1</v>
      </c>
      <c r="N66" s="122"/>
      <c r="O66" s="122"/>
      <c r="P66" s="116">
        <v>26</v>
      </c>
      <c r="Q66" s="116">
        <v>31</v>
      </c>
      <c r="R66" s="116">
        <v>4</v>
      </c>
      <c r="S66" s="116">
        <v>31</v>
      </c>
      <c r="T66" s="116">
        <v>0</v>
      </c>
      <c r="U66" s="116">
        <v>0</v>
      </c>
      <c r="V66" s="116">
        <v>0</v>
      </c>
      <c r="W66" s="116">
        <v>0</v>
      </c>
      <c r="X66" s="30">
        <v>20</v>
      </c>
      <c r="Y66" s="30"/>
      <c r="Z66" s="30"/>
      <c r="AA66" s="30"/>
      <c r="AB66" s="126"/>
      <c r="AC66" s="126"/>
      <c r="AD66" s="126"/>
      <c r="AE66" s="128">
        <v>300</v>
      </c>
      <c r="AF66" s="126"/>
      <c r="AG66" s="126"/>
      <c r="AH66" s="117">
        <v>0</v>
      </c>
      <c r="AI66" s="116">
        <v>0</v>
      </c>
      <c r="AJ66" s="116">
        <v>0</v>
      </c>
      <c r="AK66" s="116">
        <v>0</v>
      </c>
      <c r="AL66" s="116">
        <v>0</v>
      </c>
      <c r="AM66" s="118">
        <v>0</v>
      </c>
      <c r="AN66" s="118">
        <v>0</v>
      </c>
      <c r="AO66" s="118" t="s">
        <v>475</v>
      </c>
      <c r="AP66" s="118">
        <v>31</v>
      </c>
    </row>
    <row r="67" spans="1:42" x14ac:dyDescent="0.15">
      <c r="A67" s="26" t="s">
        <v>120</v>
      </c>
      <c r="B67" s="26" t="s">
        <v>6</v>
      </c>
      <c r="C67" s="26" t="s">
        <v>477</v>
      </c>
      <c r="D67" s="26" t="s">
        <v>123</v>
      </c>
      <c r="E67" s="26" t="s">
        <v>473</v>
      </c>
      <c r="F67" s="26" t="s">
        <v>474</v>
      </c>
      <c r="G67" s="26">
        <v>0</v>
      </c>
      <c r="H67" s="26">
        <v>31</v>
      </c>
      <c r="I67" s="26">
        <v>4</v>
      </c>
      <c r="J67" s="119">
        <v>5</v>
      </c>
      <c r="K67" s="122">
        <v>4</v>
      </c>
      <c r="L67" s="122"/>
      <c r="M67" s="122">
        <v>1</v>
      </c>
      <c r="N67" s="122"/>
      <c r="O67" s="122"/>
      <c r="P67" s="116">
        <v>26</v>
      </c>
      <c r="Q67" s="116">
        <v>31</v>
      </c>
      <c r="R67" s="116">
        <v>4</v>
      </c>
      <c r="S67" s="116">
        <v>31</v>
      </c>
      <c r="T67" s="116">
        <v>0</v>
      </c>
      <c r="U67" s="116">
        <v>0</v>
      </c>
      <c r="V67" s="116">
        <v>0</v>
      </c>
      <c r="W67" s="116">
        <v>0</v>
      </c>
      <c r="X67" s="30"/>
      <c r="Y67" s="30"/>
      <c r="Z67" s="30"/>
      <c r="AA67" s="30"/>
      <c r="AB67" s="126"/>
      <c r="AC67" s="126"/>
      <c r="AD67" s="126"/>
      <c r="AE67" s="126"/>
      <c r="AF67" s="126"/>
      <c r="AG67" s="126"/>
      <c r="AH67" s="117">
        <v>0</v>
      </c>
      <c r="AI67" s="116">
        <v>0</v>
      </c>
      <c r="AJ67" s="116">
        <v>0</v>
      </c>
      <c r="AK67" s="116">
        <v>0</v>
      </c>
      <c r="AL67" s="116">
        <v>0</v>
      </c>
      <c r="AM67" s="118">
        <v>0</v>
      </c>
      <c r="AN67" s="118">
        <v>0</v>
      </c>
      <c r="AO67" s="118" t="s">
        <v>475</v>
      </c>
      <c r="AP67" s="118">
        <v>31</v>
      </c>
    </row>
    <row r="68" spans="1:42" x14ac:dyDescent="0.15">
      <c r="A68" s="26" t="s">
        <v>120</v>
      </c>
      <c r="B68" s="26" t="s">
        <v>6</v>
      </c>
      <c r="C68" s="26" t="s">
        <v>477</v>
      </c>
      <c r="D68" s="26" t="s">
        <v>127</v>
      </c>
      <c r="E68" s="26" t="s">
        <v>473</v>
      </c>
      <c r="F68" s="26" t="s">
        <v>474</v>
      </c>
      <c r="G68" s="26">
        <v>0</v>
      </c>
      <c r="H68" s="26">
        <v>31</v>
      </c>
      <c r="I68" s="26">
        <v>4</v>
      </c>
      <c r="J68" s="119">
        <v>5</v>
      </c>
      <c r="K68" s="122">
        <v>4</v>
      </c>
      <c r="L68" s="122"/>
      <c r="M68" s="122">
        <v>1</v>
      </c>
      <c r="N68" s="122"/>
      <c r="O68" s="122"/>
      <c r="P68" s="116">
        <v>26</v>
      </c>
      <c r="Q68" s="116">
        <v>31</v>
      </c>
      <c r="R68" s="116">
        <v>4</v>
      </c>
      <c r="S68" s="116">
        <v>31</v>
      </c>
      <c r="T68" s="116">
        <v>0</v>
      </c>
      <c r="U68" s="116">
        <v>0</v>
      </c>
      <c r="V68" s="116">
        <v>0</v>
      </c>
      <c r="W68" s="116">
        <v>0</v>
      </c>
      <c r="X68" s="30"/>
      <c r="Y68" s="30"/>
      <c r="Z68" s="30"/>
      <c r="AA68" s="30"/>
      <c r="AB68" s="126"/>
      <c r="AC68" s="126">
        <v>100</v>
      </c>
      <c r="AD68" s="126"/>
      <c r="AE68" s="126"/>
      <c r="AF68" s="126"/>
      <c r="AG68" s="126"/>
      <c r="AH68" s="117">
        <v>0</v>
      </c>
      <c r="AI68" s="116">
        <v>0</v>
      </c>
      <c r="AJ68" s="116">
        <v>0</v>
      </c>
      <c r="AK68" s="116">
        <v>0</v>
      </c>
      <c r="AL68" s="116">
        <v>0</v>
      </c>
      <c r="AM68" s="118">
        <v>0</v>
      </c>
      <c r="AN68" s="118">
        <v>0</v>
      </c>
      <c r="AO68" s="118" t="s">
        <v>475</v>
      </c>
      <c r="AP68" s="118">
        <v>31</v>
      </c>
    </row>
    <row r="69" spans="1:42" x14ac:dyDescent="0.15">
      <c r="A69" s="26" t="s">
        <v>120</v>
      </c>
      <c r="B69" s="26" t="s">
        <v>6</v>
      </c>
      <c r="C69" s="26" t="s">
        <v>477</v>
      </c>
      <c r="D69" s="26" t="s">
        <v>124</v>
      </c>
      <c r="E69" s="26" t="s">
        <v>473</v>
      </c>
      <c r="F69" s="26" t="s">
        <v>474</v>
      </c>
      <c r="G69" s="26">
        <v>0</v>
      </c>
      <c r="H69" s="26">
        <v>31</v>
      </c>
      <c r="I69" s="26">
        <v>4</v>
      </c>
      <c r="J69" s="119">
        <v>5</v>
      </c>
      <c r="K69" s="122">
        <v>4</v>
      </c>
      <c r="L69" s="122"/>
      <c r="M69" s="122">
        <v>1</v>
      </c>
      <c r="N69" s="122"/>
      <c r="O69" s="122"/>
      <c r="P69" s="116">
        <v>26</v>
      </c>
      <c r="Q69" s="116">
        <v>31</v>
      </c>
      <c r="R69" s="116">
        <v>4</v>
      </c>
      <c r="S69" s="116">
        <v>31</v>
      </c>
      <c r="T69" s="116">
        <v>0</v>
      </c>
      <c r="U69" s="116">
        <v>0</v>
      </c>
      <c r="V69" s="116">
        <v>0</v>
      </c>
      <c r="W69" s="116">
        <v>0</v>
      </c>
      <c r="X69" s="30"/>
      <c r="Y69" s="30"/>
      <c r="Z69" s="30"/>
      <c r="AA69" s="30"/>
      <c r="AB69" s="126"/>
      <c r="AC69" s="126">
        <v>100</v>
      </c>
      <c r="AD69" s="126"/>
      <c r="AE69" s="126"/>
      <c r="AF69" s="126"/>
      <c r="AG69" s="126"/>
      <c r="AH69" s="117">
        <v>3500</v>
      </c>
      <c r="AI69" s="116">
        <v>0</v>
      </c>
      <c r="AJ69" s="116">
        <v>0</v>
      </c>
      <c r="AK69" s="116">
        <v>0</v>
      </c>
      <c r="AL69" s="116">
        <v>0</v>
      </c>
      <c r="AM69" s="118">
        <v>0</v>
      </c>
      <c r="AN69" s="118">
        <v>0</v>
      </c>
      <c r="AO69" s="118" t="s">
        <v>475</v>
      </c>
      <c r="AP69" s="118">
        <v>31</v>
      </c>
    </row>
    <row r="70" spans="1:42" x14ac:dyDescent="0.15">
      <c r="A70" s="26" t="s">
        <v>120</v>
      </c>
      <c r="B70" s="26" t="s">
        <v>6</v>
      </c>
      <c r="C70" s="26" t="s">
        <v>477</v>
      </c>
      <c r="D70" s="26" t="s">
        <v>128</v>
      </c>
      <c r="E70" s="26" t="s">
        <v>473</v>
      </c>
      <c r="F70" s="26" t="s">
        <v>474</v>
      </c>
      <c r="G70" s="26">
        <v>0</v>
      </c>
      <c r="H70" s="26">
        <v>31</v>
      </c>
      <c r="I70" s="26">
        <v>4</v>
      </c>
      <c r="J70" s="119">
        <v>5</v>
      </c>
      <c r="K70" s="122">
        <v>4</v>
      </c>
      <c r="L70" s="122"/>
      <c r="M70" s="122">
        <v>1</v>
      </c>
      <c r="N70" s="122"/>
      <c r="O70" s="122"/>
      <c r="P70" s="116">
        <v>26</v>
      </c>
      <c r="Q70" s="116">
        <v>31</v>
      </c>
      <c r="R70" s="116">
        <v>4</v>
      </c>
      <c r="S70" s="116">
        <v>31</v>
      </c>
      <c r="T70" s="116">
        <v>0</v>
      </c>
      <c r="U70" s="116">
        <v>0</v>
      </c>
      <c r="V70" s="116">
        <v>0</v>
      </c>
      <c r="W70" s="116">
        <v>0</v>
      </c>
      <c r="X70" s="30">
        <v>10</v>
      </c>
      <c r="Y70" s="30"/>
      <c r="Z70" s="30"/>
      <c r="AA70" s="30"/>
      <c r="AB70" s="126"/>
      <c r="AC70" s="126"/>
      <c r="AD70" s="126"/>
      <c r="AE70" s="126"/>
      <c r="AF70" s="126"/>
      <c r="AG70" s="126"/>
      <c r="AH70" s="117">
        <v>4000</v>
      </c>
      <c r="AI70" s="116">
        <v>0</v>
      </c>
      <c r="AJ70" s="116">
        <v>0</v>
      </c>
      <c r="AK70" s="116">
        <v>0</v>
      </c>
      <c r="AL70" s="116">
        <v>0</v>
      </c>
      <c r="AM70" s="118">
        <v>0</v>
      </c>
      <c r="AN70" s="118">
        <v>0</v>
      </c>
      <c r="AO70" s="118" t="s">
        <v>475</v>
      </c>
      <c r="AP70" s="118">
        <v>31</v>
      </c>
    </row>
    <row r="71" spans="1:42" x14ac:dyDescent="0.15">
      <c r="A71" s="26" t="s">
        <v>359</v>
      </c>
      <c r="B71" s="26" t="s">
        <v>479</v>
      </c>
      <c r="C71" s="26" t="s">
        <v>471</v>
      </c>
      <c r="D71" s="26" t="s">
        <v>504</v>
      </c>
      <c r="E71" s="26" t="s">
        <v>473</v>
      </c>
      <c r="F71" s="26" t="s">
        <v>474</v>
      </c>
      <c r="G71" s="26">
        <v>0</v>
      </c>
      <c r="H71" s="26">
        <v>31</v>
      </c>
      <c r="I71" s="26">
        <v>4</v>
      </c>
      <c r="J71" s="119">
        <v>4</v>
      </c>
      <c r="K71" s="122">
        <v>4</v>
      </c>
      <c r="L71" s="122"/>
      <c r="M71" s="122"/>
      <c r="N71" s="122"/>
      <c r="O71" s="122"/>
      <c r="P71" s="116">
        <v>27</v>
      </c>
      <c r="Q71" s="116">
        <v>31</v>
      </c>
      <c r="R71" s="116">
        <v>4</v>
      </c>
      <c r="S71" s="116">
        <v>31</v>
      </c>
      <c r="T71" s="116">
        <v>0</v>
      </c>
      <c r="U71" s="116">
        <v>0</v>
      </c>
      <c r="V71" s="116">
        <v>0</v>
      </c>
      <c r="W71" s="116">
        <v>0</v>
      </c>
      <c r="X71" s="30">
        <v>10</v>
      </c>
      <c r="Y71" s="30"/>
      <c r="Z71" s="30"/>
      <c r="AA71" s="30"/>
      <c r="AB71" s="126"/>
      <c r="AC71" s="126"/>
      <c r="AD71" s="126"/>
      <c r="AE71" s="126"/>
      <c r="AF71" s="126"/>
      <c r="AG71" s="126"/>
      <c r="AH71" s="117">
        <v>0</v>
      </c>
      <c r="AI71" s="116">
        <v>0</v>
      </c>
      <c r="AJ71" s="116">
        <v>0</v>
      </c>
      <c r="AK71" s="116">
        <v>0</v>
      </c>
      <c r="AL71" s="116">
        <v>0</v>
      </c>
      <c r="AM71" s="118">
        <v>0</v>
      </c>
      <c r="AN71" s="118">
        <v>0</v>
      </c>
      <c r="AO71" s="118" t="s">
        <v>475</v>
      </c>
      <c r="AP71" s="118">
        <v>31</v>
      </c>
    </row>
    <row r="72" spans="1:42" x14ac:dyDescent="0.15">
      <c r="A72" s="26" t="s">
        <v>225</v>
      </c>
      <c r="B72" s="26" t="s">
        <v>470</v>
      </c>
      <c r="C72" s="26" t="s">
        <v>471</v>
      </c>
      <c r="D72" s="26" t="s">
        <v>505</v>
      </c>
      <c r="E72" s="26" t="s">
        <v>473</v>
      </c>
      <c r="F72" s="26" t="s">
        <v>474</v>
      </c>
      <c r="G72" s="26">
        <v>0</v>
      </c>
      <c r="H72" s="26">
        <v>31</v>
      </c>
      <c r="I72" s="26">
        <v>4</v>
      </c>
      <c r="J72" s="119">
        <v>4</v>
      </c>
      <c r="K72" s="122">
        <v>4</v>
      </c>
      <c r="L72" s="122"/>
      <c r="M72" s="122"/>
      <c r="N72" s="122"/>
      <c r="O72" s="122"/>
      <c r="P72" s="116">
        <v>27</v>
      </c>
      <c r="Q72" s="116">
        <v>31</v>
      </c>
      <c r="R72" s="116">
        <v>4</v>
      </c>
      <c r="S72" s="116">
        <v>31</v>
      </c>
      <c r="T72" s="116">
        <v>0</v>
      </c>
      <c r="U72" s="116">
        <v>0</v>
      </c>
      <c r="V72" s="116">
        <v>0</v>
      </c>
      <c r="W72" s="116">
        <v>0</v>
      </c>
      <c r="X72" s="30">
        <v>20</v>
      </c>
      <c r="Y72" s="30"/>
      <c r="Z72" s="30"/>
      <c r="AA72" s="30"/>
      <c r="AB72" s="126"/>
      <c r="AC72" s="126"/>
      <c r="AD72" s="126"/>
      <c r="AE72" s="126"/>
      <c r="AF72" s="126"/>
      <c r="AG72" s="126"/>
      <c r="AH72" s="117">
        <v>0</v>
      </c>
      <c r="AI72" s="116">
        <v>0</v>
      </c>
      <c r="AJ72" s="116">
        <v>0</v>
      </c>
      <c r="AK72" s="116">
        <v>0</v>
      </c>
      <c r="AL72" s="116">
        <v>0</v>
      </c>
      <c r="AM72" s="118">
        <v>0</v>
      </c>
      <c r="AN72" s="118">
        <v>0</v>
      </c>
      <c r="AO72" s="118" t="s">
        <v>475</v>
      </c>
      <c r="AP72" s="118">
        <v>31</v>
      </c>
    </row>
    <row r="73" spans="1:42" x14ac:dyDescent="0.15">
      <c r="A73" s="26" t="s">
        <v>225</v>
      </c>
      <c r="B73" s="26" t="s">
        <v>483</v>
      </c>
      <c r="C73" s="26" t="s">
        <v>471</v>
      </c>
      <c r="D73" s="26" t="s">
        <v>506</v>
      </c>
      <c r="E73" s="26" t="s">
        <v>473</v>
      </c>
      <c r="F73" s="26" t="s">
        <v>474</v>
      </c>
      <c r="G73" s="26">
        <v>0</v>
      </c>
      <c r="H73" s="26">
        <v>31</v>
      </c>
      <c r="I73" s="26">
        <v>4</v>
      </c>
      <c r="J73" s="119">
        <v>4</v>
      </c>
      <c r="K73" s="122">
        <v>4</v>
      </c>
      <c r="L73" s="122"/>
      <c r="M73" s="122"/>
      <c r="N73" s="122"/>
      <c r="O73" s="122"/>
      <c r="P73" s="116">
        <v>27</v>
      </c>
      <c r="Q73" s="116">
        <v>31</v>
      </c>
      <c r="R73" s="116">
        <v>4</v>
      </c>
      <c r="S73" s="116">
        <v>31</v>
      </c>
      <c r="T73" s="116">
        <v>0</v>
      </c>
      <c r="U73" s="116">
        <v>0</v>
      </c>
      <c r="V73" s="116">
        <v>0</v>
      </c>
      <c r="W73" s="116">
        <v>0</v>
      </c>
      <c r="X73" s="30"/>
      <c r="Y73" s="30">
        <v>30</v>
      </c>
      <c r="Z73" s="30"/>
      <c r="AA73" s="30"/>
      <c r="AB73" s="126"/>
      <c r="AC73" s="126"/>
      <c r="AD73" s="126">
        <v>530</v>
      </c>
      <c r="AE73" s="126"/>
      <c r="AF73" s="126"/>
      <c r="AG73" s="126"/>
      <c r="AH73" s="117">
        <v>5000</v>
      </c>
      <c r="AI73" s="116">
        <v>0</v>
      </c>
      <c r="AJ73" s="116">
        <v>0</v>
      </c>
      <c r="AK73" s="116">
        <v>0</v>
      </c>
      <c r="AL73" s="116">
        <v>0</v>
      </c>
      <c r="AM73" s="118">
        <v>0</v>
      </c>
      <c r="AN73" s="118">
        <v>0</v>
      </c>
      <c r="AO73" s="118" t="s">
        <v>475</v>
      </c>
      <c r="AP73" s="118">
        <v>31</v>
      </c>
    </row>
    <row r="74" spans="1:42" x14ac:dyDescent="0.15">
      <c r="A74" s="26" t="s">
        <v>225</v>
      </c>
      <c r="B74" s="26" t="s">
        <v>6</v>
      </c>
      <c r="C74" s="26" t="s">
        <v>477</v>
      </c>
      <c r="D74" s="26" t="s">
        <v>227</v>
      </c>
      <c r="E74" s="26" t="s">
        <v>473</v>
      </c>
      <c r="F74" s="26" t="s">
        <v>474</v>
      </c>
      <c r="G74" s="26">
        <v>0</v>
      </c>
      <c r="H74" s="26">
        <v>31</v>
      </c>
      <c r="I74" s="26">
        <v>4</v>
      </c>
      <c r="J74" s="119">
        <v>3</v>
      </c>
      <c r="K74" s="122">
        <v>3</v>
      </c>
      <c r="L74" s="122"/>
      <c r="M74" s="122"/>
      <c r="N74" s="122"/>
      <c r="O74" s="122"/>
      <c r="P74" s="116">
        <v>28</v>
      </c>
      <c r="Q74" s="116">
        <v>31</v>
      </c>
      <c r="R74" s="116">
        <v>4</v>
      </c>
      <c r="S74" s="116">
        <v>31</v>
      </c>
      <c r="T74" s="116">
        <v>0</v>
      </c>
      <c r="U74" s="116">
        <v>0</v>
      </c>
      <c r="V74" s="116">
        <v>1</v>
      </c>
      <c r="W74" s="116">
        <v>20</v>
      </c>
      <c r="X74" s="30"/>
      <c r="Y74" s="30"/>
      <c r="Z74" s="30"/>
      <c r="AA74" s="30"/>
      <c r="AB74" s="126"/>
      <c r="AC74" s="126"/>
      <c r="AD74" s="126"/>
      <c r="AE74" s="126"/>
      <c r="AF74" s="126"/>
      <c r="AG74" s="126"/>
      <c r="AH74" s="117">
        <v>0</v>
      </c>
      <c r="AI74" s="116">
        <v>0</v>
      </c>
      <c r="AJ74" s="116">
        <v>0</v>
      </c>
      <c r="AK74" s="116">
        <v>0</v>
      </c>
      <c r="AL74" s="116">
        <v>0</v>
      </c>
      <c r="AM74" s="118">
        <v>0</v>
      </c>
      <c r="AN74" s="118">
        <v>0</v>
      </c>
      <c r="AO74" s="118" t="s">
        <v>475</v>
      </c>
      <c r="AP74" s="118">
        <v>31</v>
      </c>
    </row>
    <row r="75" spans="1:42" x14ac:dyDescent="0.15">
      <c r="A75" s="26" t="s">
        <v>225</v>
      </c>
      <c r="B75" s="26" t="s">
        <v>476</v>
      </c>
      <c r="C75" s="26" t="s">
        <v>477</v>
      </c>
      <c r="D75" s="26" t="s">
        <v>507</v>
      </c>
      <c r="E75" s="26" t="s">
        <v>473</v>
      </c>
      <c r="F75" s="26" t="s">
        <v>474</v>
      </c>
      <c r="G75" s="26">
        <v>0</v>
      </c>
      <c r="H75" s="26">
        <v>31</v>
      </c>
      <c r="I75" s="26">
        <v>4</v>
      </c>
      <c r="J75" s="119">
        <v>4</v>
      </c>
      <c r="K75" s="122">
        <v>4</v>
      </c>
      <c r="L75" s="122"/>
      <c r="M75" s="122"/>
      <c r="N75" s="122"/>
      <c r="O75" s="122"/>
      <c r="P75" s="116">
        <v>27</v>
      </c>
      <c r="Q75" s="116">
        <v>31</v>
      </c>
      <c r="R75" s="116">
        <v>4</v>
      </c>
      <c r="S75" s="116">
        <v>31</v>
      </c>
      <c r="T75" s="116">
        <v>0</v>
      </c>
      <c r="U75" s="116">
        <v>0</v>
      </c>
      <c r="V75" s="116">
        <v>0</v>
      </c>
      <c r="W75" s="116">
        <v>0</v>
      </c>
      <c r="X75" s="30"/>
      <c r="Y75" s="30"/>
      <c r="Z75" s="30">
        <v>50</v>
      </c>
      <c r="AA75" s="30"/>
      <c r="AB75" s="126"/>
      <c r="AC75" s="126"/>
      <c r="AD75" s="126"/>
      <c r="AE75" s="126"/>
      <c r="AF75" s="126"/>
      <c r="AG75" s="126"/>
      <c r="AH75" s="117">
        <v>0</v>
      </c>
      <c r="AI75" s="116">
        <v>0</v>
      </c>
      <c r="AJ75" s="116">
        <v>0</v>
      </c>
      <c r="AK75" s="116">
        <v>0</v>
      </c>
      <c r="AL75" s="116">
        <v>0</v>
      </c>
      <c r="AM75" s="118">
        <v>0</v>
      </c>
      <c r="AN75" s="118">
        <v>0</v>
      </c>
      <c r="AO75" s="118" t="s">
        <v>475</v>
      </c>
      <c r="AP75" s="118">
        <v>31</v>
      </c>
    </row>
    <row r="76" spans="1:42" x14ac:dyDescent="0.15">
      <c r="A76" s="26" t="s">
        <v>225</v>
      </c>
      <c r="B76" s="26" t="s">
        <v>6</v>
      </c>
      <c r="C76" s="26" t="s">
        <v>477</v>
      </c>
      <c r="D76" s="26" t="s">
        <v>231</v>
      </c>
      <c r="E76" s="26" t="s">
        <v>473</v>
      </c>
      <c r="F76" s="26" t="s">
        <v>474</v>
      </c>
      <c r="G76" s="26">
        <v>0</v>
      </c>
      <c r="H76" s="26">
        <v>31</v>
      </c>
      <c r="I76" s="26">
        <v>4</v>
      </c>
      <c r="J76" s="119">
        <v>2</v>
      </c>
      <c r="K76" s="122">
        <v>2</v>
      </c>
      <c r="L76" s="122"/>
      <c r="M76" s="122"/>
      <c r="N76" s="122"/>
      <c r="O76" s="122"/>
      <c r="P76" s="116">
        <v>29</v>
      </c>
      <c r="Q76" s="116">
        <v>31</v>
      </c>
      <c r="R76" s="116">
        <v>4</v>
      </c>
      <c r="S76" s="116">
        <v>31</v>
      </c>
      <c r="T76" s="116">
        <v>0</v>
      </c>
      <c r="U76" s="116">
        <v>0</v>
      </c>
      <c r="V76" s="116">
        <v>0</v>
      </c>
      <c r="W76" s="116">
        <v>0</v>
      </c>
      <c r="X76" s="30">
        <v>90</v>
      </c>
      <c r="Y76" s="30">
        <v>40</v>
      </c>
      <c r="Z76" s="30"/>
      <c r="AA76" s="30"/>
      <c r="AB76" s="126"/>
      <c r="AC76" s="126"/>
      <c r="AD76" s="126"/>
      <c r="AE76" s="128">
        <v>300</v>
      </c>
      <c r="AF76" s="126"/>
      <c r="AG76" s="126"/>
      <c r="AH76" s="117">
        <v>0</v>
      </c>
      <c r="AI76" s="116">
        <v>0</v>
      </c>
      <c r="AJ76" s="116">
        <v>0</v>
      </c>
      <c r="AK76" s="116">
        <v>0</v>
      </c>
      <c r="AL76" s="116">
        <v>0</v>
      </c>
      <c r="AM76" s="118">
        <v>0</v>
      </c>
      <c r="AN76" s="118">
        <v>0</v>
      </c>
      <c r="AO76" s="118" t="s">
        <v>475</v>
      </c>
      <c r="AP76" s="118">
        <v>31</v>
      </c>
    </row>
    <row r="77" spans="1:42" x14ac:dyDescent="0.15">
      <c r="A77" s="26" t="s">
        <v>225</v>
      </c>
      <c r="B77" s="26" t="s">
        <v>6</v>
      </c>
      <c r="C77" s="26" t="s">
        <v>477</v>
      </c>
      <c r="D77" s="26" t="s">
        <v>232</v>
      </c>
      <c r="E77" s="26" t="s">
        <v>473</v>
      </c>
      <c r="F77" s="26" t="s">
        <v>474</v>
      </c>
      <c r="G77" s="26">
        <v>0</v>
      </c>
      <c r="H77" s="26">
        <v>31</v>
      </c>
      <c r="I77" s="26">
        <v>4</v>
      </c>
      <c r="J77" s="119">
        <v>4</v>
      </c>
      <c r="K77" s="122">
        <v>4</v>
      </c>
      <c r="L77" s="122"/>
      <c r="M77" s="122"/>
      <c r="N77" s="122"/>
      <c r="O77" s="122"/>
      <c r="P77" s="116">
        <v>27</v>
      </c>
      <c r="Q77" s="116">
        <v>31</v>
      </c>
      <c r="R77" s="116">
        <v>4</v>
      </c>
      <c r="S77" s="116">
        <v>31</v>
      </c>
      <c r="T77" s="116">
        <v>0</v>
      </c>
      <c r="U77" s="116">
        <v>0</v>
      </c>
      <c r="V77" s="116">
        <v>0</v>
      </c>
      <c r="W77" s="116">
        <v>0</v>
      </c>
      <c r="X77" s="30">
        <v>10</v>
      </c>
      <c r="Y77" s="30"/>
      <c r="Z77" s="30"/>
      <c r="AA77" s="30"/>
      <c r="AB77" s="126"/>
      <c r="AC77" s="126"/>
      <c r="AD77" s="126"/>
      <c r="AE77" s="126"/>
      <c r="AF77" s="126"/>
      <c r="AG77" s="126"/>
      <c r="AH77" s="117">
        <v>0</v>
      </c>
      <c r="AI77" s="116">
        <v>0</v>
      </c>
      <c r="AJ77" s="116">
        <v>0</v>
      </c>
      <c r="AK77" s="116">
        <v>0</v>
      </c>
      <c r="AL77" s="116">
        <v>0</v>
      </c>
      <c r="AM77" s="118">
        <v>0</v>
      </c>
      <c r="AN77" s="118">
        <v>0</v>
      </c>
      <c r="AO77" s="118" t="s">
        <v>475</v>
      </c>
      <c r="AP77" s="118">
        <v>31</v>
      </c>
    </row>
    <row r="78" spans="1:42" x14ac:dyDescent="0.15">
      <c r="A78" s="26" t="s">
        <v>225</v>
      </c>
      <c r="B78" s="26" t="s">
        <v>6</v>
      </c>
      <c r="C78" s="26" t="s">
        <v>477</v>
      </c>
      <c r="D78" s="26" t="s">
        <v>228</v>
      </c>
      <c r="E78" s="26" t="s">
        <v>473</v>
      </c>
      <c r="F78" s="26" t="s">
        <v>474</v>
      </c>
      <c r="G78" s="26">
        <v>0</v>
      </c>
      <c r="H78" s="26">
        <v>31</v>
      </c>
      <c r="I78" s="26">
        <v>4</v>
      </c>
      <c r="J78" s="119">
        <v>5</v>
      </c>
      <c r="K78" s="122">
        <v>4</v>
      </c>
      <c r="L78" s="122"/>
      <c r="M78" s="122">
        <v>1</v>
      </c>
      <c r="N78" s="122"/>
      <c r="O78" s="122"/>
      <c r="P78" s="116">
        <v>26</v>
      </c>
      <c r="Q78" s="116">
        <v>31</v>
      </c>
      <c r="R78" s="116">
        <v>4</v>
      </c>
      <c r="S78" s="116">
        <v>31</v>
      </c>
      <c r="T78" s="116">
        <v>0</v>
      </c>
      <c r="U78" s="116">
        <v>0</v>
      </c>
      <c r="V78" s="116">
        <v>0</v>
      </c>
      <c r="W78" s="116">
        <v>0</v>
      </c>
      <c r="X78" s="30">
        <v>90</v>
      </c>
      <c r="Y78" s="30"/>
      <c r="Z78" s="30"/>
      <c r="AA78" s="30"/>
      <c r="AB78" s="126"/>
      <c r="AC78" s="126">
        <v>100</v>
      </c>
      <c r="AD78" s="126"/>
      <c r="AE78" s="126"/>
      <c r="AF78" s="126"/>
      <c r="AG78" s="126"/>
      <c r="AH78" s="117">
        <v>0</v>
      </c>
      <c r="AI78" s="116">
        <v>0</v>
      </c>
      <c r="AJ78" s="116">
        <v>0</v>
      </c>
      <c r="AK78" s="116">
        <v>0</v>
      </c>
      <c r="AL78" s="116">
        <v>0</v>
      </c>
      <c r="AM78" s="118">
        <v>0</v>
      </c>
      <c r="AN78" s="118">
        <v>0</v>
      </c>
      <c r="AO78" s="118" t="s">
        <v>475</v>
      </c>
      <c r="AP78" s="118">
        <v>31</v>
      </c>
    </row>
    <row r="79" spans="1:42" x14ac:dyDescent="0.15">
      <c r="A79" s="26" t="s">
        <v>41</v>
      </c>
      <c r="B79" s="26" t="s">
        <v>6</v>
      </c>
      <c r="C79" s="26" t="s">
        <v>477</v>
      </c>
      <c r="D79" s="26" t="s">
        <v>48</v>
      </c>
      <c r="E79" s="26" t="s">
        <v>473</v>
      </c>
      <c r="F79" s="26" t="s">
        <v>474</v>
      </c>
      <c r="G79" s="26">
        <v>0</v>
      </c>
      <c r="H79" s="26">
        <v>31</v>
      </c>
      <c r="I79" s="26">
        <v>4</v>
      </c>
      <c r="J79" s="119">
        <v>5</v>
      </c>
      <c r="K79" s="122">
        <v>4</v>
      </c>
      <c r="L79" s="122"/>
      <c r="M79" s="122">
        <v>1</v>
      </c>
      <c r="N79" s="122"/>
      <c r="O79" s="122"/>
      <c r="P79" s="116">
        <v>26</v>
      </c>
      <c r="Q79" s="116">
        <v>31</v>
      </c>
      <c r="R79" s="116">
        <v>4</v>
      </c>
      <c r="S79" s="116">
        <v>31</v>
      </c>
      <c r="T79" s="116">
        <v>0</v>
      </c>
      <c r="U79" s="116">
        <v>0</v>
      </c>
      <c r="V79" s="116">
        <v>0</v>
      </c>
      <c r="W79" s="116">
        <v>0</v>
      </c>
      <c r="X79" s="30"/>
      <c r="Y79" s="30"/>
      <c r="Z79" s="30"/>
      <c r="AA79" s="30"/>
      <c r="AB79" s="126"/>
      <c r="AC79" s="126">
        <v>100</v>
      </c>
      <c r="AD79" s="126"/>
      <c r="AE79" s="126"/>
      <c r="AF79" s="126"/>
      <c r="AG79" s="126"/>
      <c r="AH79" s="117">
        <v>0</v>
      </c>
      <c r="AI79" s="116">
        <v>0</v>
      </c>
      <c r="AJ79" s="116">
        <v>0</v>
      </c>
      <c r="AK79" s="116">
        <v>0</v>
      </c>
      <c r="AL79" s="116">
        <v>0</v>
      </c>
      <c r="AM79" s="118">
        <v>0</v>
      </c>
      <c r="AN79" s="118">
        <v>0</v>
      </c>
      <c r="AO79" s="118" t="s">
        <v>475</v>
      </c>
      <c r="AP79" s="118">
        <v>31</v>
      </c>
    </row>
    <row r="80" spans="1:42" x14ac:dyDescent="0.15">
      <c r="A80" s="26" t="s">
        <v>225</v>
      </c>
      <c r="B80" s="26" t="s">
        <v>6</v>
      </c>
      <c r="C80" s="26" t="s">
        <v>477</v>
      </c>
      <c r="D80" s="26" t="s">
        <v>229</v>
      </c>
      <c r="E80" s="26" t="s">
        <v>473</v>
      </c>
      <c r="F80" s="26" t="s">
        <v>474</v>
      </c>
      <c r="G80" s="26">
        <v>0</v>
      </c>
      <c r="H80" s="26">
        <v>31</v>
      </c>
      <c r="I80" s="26">
        <v>4</v>
      </c>
      <c r="J80" s="119">
        <v>4</v>
      </c>
      <c r="K80" s="122">
        <v>4</v>
      </c>
      <c r="L80" s="122"/>
      <c r="M80" s="122"/>
      <c r="N80" s="122"/>
      <c r="O80" s="122"/>
      <c r="P80" s="116">
        <v>27</v>
      </c>
      <c r="Q80" s="116">
        <v>31</v>
      </c>
      <c r="R80" s="116">
        <v>4</v>
      </c>
      <c r="S80" s="116">
        <v>31</v>
      </c>
      <c r="T80" s="116">
        <v>0</v>
      </c>
      <c r="U80" s="116">
        <v>0</v>
      </c>
      <c r="V80" s="116">
        <v>0</v>
      </c>
      <c r="W80" s="116">
        <v>0</v>
      </c>
      <c r="X80" s="30"/>
      <c r="Y80" s="30"/>
      <c r="Z80" s="30">
        <v>50</v>
      </c>
      <c r="AA80" s="30"/>
      <c r="AB80" s="126"/>
      <c r="AC80" s="126"/>
      <c r="AD80" s="126"/>
      <c r="AE80" s="126"/>
      <c r="AF80" s="126"/>
      <c r="AG80" s="126"/>
      <c r="AH80" s="117">
        <v>0</v>
      </c>
      <c r="AI80" s="116">
        <v>0</v>
      </c>
      <c r="AJ80" s="116">
        <v>0</v>
      </c>
      <c r="AK80" s="116">
        <v>0</v>
      </c>
      <c r="AL80" s="116">
        <v>0</v>
      </c>
      <c r="AM80" s="118">
        <v>0</v>
      </c>
      <c r="AN80" s="118">
        <v>0</v>
      </c>
      <c r="AO80" s="118" t="s">
        <v>475</v>
      </c>
      <c r="AP80" s="118">
        <v>31</v>
      </c>
    </row>
    <row r="81" spans="1:42" x14ac:dyDescent="0.15">
      <c r="A81" s="26" t="s">
        <v>177</v>
      </c>
      <c r="B81" s="26" t="s">
        <v>470</v>
      </c>
      <c r="C81" s="26" t="s">
        <v>471</v>
      </c>
      <c r="D81" s="26" t="s">
        <v>508</v>
      </c>
      <c r="E81" s="26" t="s">
        <v>473</v>
      </c>
      <c r="F81" s="26" t="s">
        <v>474</v>
      </c>
      <c r="G81" s="26">
        <v>0</v>
      </c>
      <c r="H81" s="26">
        <v>31</v>
      </c>
      <c r="I81" s="26">
        <v>4</v>
      </c>
      <c r="J81" s="119">
        <v>3</v>
      </c>
      <c r="K81" s="122">
        <v>3</v>
      </c>
      <c r="L81" s="122"/>
      <c r="M81" s="122"/>
      <c r="N81" s="122"/>
      <c r="O81" s="122"/>
      <c r="P81" s="116">
        <v>28</v>
      </c>
      <c r="Q81" s="116">
        <v>31</v>
      </c>
      <c r="R81" s="116">
        <v>4</v>
      </c>
      <c r="S81" s="116">
        <v>31</v>
      </c>
      <c r="T81" s="116">
        <v>0</v>
      </c>
      <c r="U81" s="116">
        <v>0</v>
      </c>
      <c r="V81" s="116">
        <v>0</v>
      </c>
      <c r="W81" s="116">
        <v>0</v>
      </c>
      <c r="X81" s="30">
        <v>10</v>
      </c>
      <c r="Y81" s="30"/>
      <c r="Z81" s="30"/>
      <c r="AA81" s="30"/>
      <c r="AB81" s="126"/>
      <c r="AC81" s="126"/>
      <c r="AD81" s="126"/>
      <c r="AE81" s="126"/>
      <c r="AF81" s="126"/>
      <c r="AG81" s="126"/>
      <c r="AH81" s="117">
        <v>0</v>
      </c>
      <c r="AI81" s="116">
        <v>0</v>
      </c>
      <c r="AJ81" s="116">
        <v>0</v>
      </c>
      <c r="AK81" s="116">
        <v>0</v>
      </c>
      <c r="AL81" s="116">
        <v>0</v>
      </c>
      <c r="AM81" s="118">
        <v>0</v>
      </c>
      <c r="AN81" s="118">
        <v>0</v>
      </c>
      <c r="AO81" s="118" t="s">
        <v>475</v>
      </c>
      <c r="AP81" s="118">
        <v>31</v>
      </c>
    </row>
    <row r="82" spans="1:42" x14ac:dyDescent="0.15">
      <c r="A82" s="26" t="s">
        <v>177</v>
      </c>
      <c r="B82" s="26" t="s">
        <v>476</v>
      </c>
      <c r="C82" s="26" t="s">
        <v>477</v>
      </c>
      <c r="D82" s="26" t="s">
        <v>509</v>
      </c>
      <c r="E82" s="26" t="s">
        <v>473</v>
      </c>
      <c r="F82" s="26" t="s">
        <v>474</v>
      </c>
      <c r="G82" s="26">
        <v>0</v>
      </c>
      <c r="H82" s="26">
        <v>31</v>
      </c>
      <c r="I82" s="26">
        <v>4</v>
      </c>
      <c r="J82" s="119">
        <v>4</v>
      </c>
      <c r="K82" s="122">
        <v>4</v>
      </c>
      <c r="L82" s="122"/>
      <c r="M82" s="122"/>
      <c r="N82" s="122"/>
      <c r="O82" s="122"/>
      <c r="P82" s="116">
        <v>27</v>
      </c>
      <c r="Q82" s="116">
        <v>31</v>
      </c>
      <c r="R82" s="116">
        <v>4</v>
      </c>
      <c r="S82" s="116">
        <v>31</v>
      </c>
      <c r="T82" s="116">
        <v>0</v>
      </c>
      <c r="U82" s="116">
        <v>0</v>
      </c>
      <c r="V82" s="116">
        <v>0</v>
      </c>
      <c r="W82" s="116">
        <v>0</v>
      </c>
      <c r="X82" s="30"/>
      <c r="Y82" s="30"/>
      <c r="Z82" s="30"/>
      <c r="AA82" s="30"/>
      <c r="AB82" s="126"/>
      <c r="AC82" s="126"/>
      <c r="AD82" s="126"/>
      <c r="AE82" s="126"/>
      <c r="AF82" s="126"/>
      <c r="AG82" s="126"/>
      <c r="AH82" s="117">
        <v>0</v>
      </c>
      <c r="AI82" s="116">
        <v>0</v>
      </c>
      <c r="AJ82" s="116">
        <v>0</v>
      </c>
      <c r="AK82" s="116">
        <v>0</v>
      </c>
      <c r="AL82" s="116">
        <v>0</v>
      </c>
      <c r="AM82" s="118">
        <v>0</v>
      </c>
      <c r="AN82" s="118">
        <v>0</v>
      </c>
      <c r="AO82" s="118" t="s">
        <v>475</v>
      </c>
      <c r="AP82" s="118">
        <v>31</v>
      </c>
    </row>
    <row r="83" spans="1:42" x14ac:dyDescent="0.15">
      <c r="A83" s="26" t="s">
        <v>177</v>
      </c>
      <c r="B83" s="26" t="s">
        <v>6</v>
      </c>
      <c r="C83" s="26" t="s">
        <v>477</v>
      </c>
      <c r="D83" s="26" t="s">
        <v>181</v>
      </c>
      <c r="E83" s="26" t="s">
        <v>473</v>
      </c>
      <c r="F83" s="26" t="s">
        <v>474</v>
      </c>
      <c r="G83" s="26">
        <v>0</v>
      </c>
      <c r="H83" s="26">
        <v>31</v>
      </c>
      <c r="I83" s="26">
        <v>4</v>
      </c>
      <c r="J83" s="119">
        <v>5</v>
      </c>
      <c r="K83" s="122">
        <v>4</v>
      </c>
      <c r="L83" s="122"/>
      <c r="M83" s="122">
        <v>1</v>
      </c>
      <c r="N83" s="122"/>
      <c r="O83" s="122"/>
      <c r="P83" s="116">
        <v>26</v>
      </c>
      <c r="Q83" s="116">
        <v>31</v>
      </c>
      <c r="R83" s="116">
        <v>4</v>
      </c>
      <c r="S83" s="116">
        <v>31</v>
      </c>
      <c r="T83" s="116">
        <v>0</v>
      </c>
      <c r="U83" s="116">
        <v>0</v>
      </c>
      <c r="V83" s="116">
        <v>0</v>
      </c>
      <c r="W83" s="116">
        <v>0</v>
      </c>
      <c r="X83" s="30"/>
      <c r="Y83" s="30">
        <v>30</v>
      </c>
      <c r="Z83" s="30"/>
      <c r="AA83" s="30"/>
      <c r="AB83" s="126"/>
      <c r="AC83" s="126"/>
      <c r="AD83" s="126"/>
      <c r="AE83" s="126"/>
      <c r="AF83" s="126"/>
      <c r="AG83" s="126"/>
      <c r="AH83" s="117">
        <v>0</v>
      </c>
      <c r="AI83" s="116">
        <v>0</v>
      </c>
      <c r="AJ83" s="116">
        <v>0</v>
      </c>
      <c r="AK83" s="116">
        <v>0</v>
      </c>
      <c r="AL83" s="116">
        <v>0</v>
      </c>
      <c r="AM83" s="118">
        <v>0</v>
      </c>
      <c r="AN83" s="118">
        <v>0</v>
      </c>
      <c r="AO83" s="118" t="s">
        <v>475</v>
      </c>
      <c r="AP83" s="118">
        <v>31</v>
      </c>
    </row>
    <row r="84" spans="1:42" x14ac:dyDescent="0.15">
      <c r="A84" s="26" t="s">
        <v>177</v>
      </c>
      <c r="B84" s="26" t="s">
        <v>6</v>
      </c>
      <c r="C84" s="26" t="s">
        <v>477</v>
      </c>
      <c r="D84" s="26" t="s">
        <v>178</v>
      </c>
      <c r="E84" s="26" t="s">
        <v>473</v>
      </c>
      <c r="F84" s="26" t="s">
        <v>474</v>
      </c>
      <c r="G84" s="26">
        <v>0</v>
      </c>
      <c r="H84" s="26">
        <v>31</v>
      </c>
      <c r="I84" s="26">
        <v>4</v>
      </c>
      <c r="J84" s="119">
        <v>4</v>
      </c>
      <c r="K84" s="122">
        <v>4</v>
      </c>
      <c r="L84" s="122"/>
      <c r="M84" s="122"/>
      <c r="N84" s="122"/>
      <c r="O84" s="122"/>
      <c r="P84" s="116">
        <v>27</v>
      </c>
      <c r="Q84" s="116">
        <v>31</v>
      </c>
      <c r="R84" s="116">
        <v>4</v>
      </c>
      <c r="S84" s="116">
        <v>31</v>
      </c>
      <c r="T84" s="116">
        <v>0</v>
      </c>
      <c r="U84" s="116">
        <v>0</v>
      </c>
      <c r="V84" s="116">
        <v>0</v>
      </c>
      <c r="W84" s="116">
        <v>0</v>
      </c>
      <c r="X84" s="30"/>
      <c r="Y84" s="30"/>
      <c r="Z84" s="30">
        <v>50</v>
      </c>
      <c r="AA84" s="30"/>
      <c r="AB84" s="126"/>
      <c r="AC84" s="126"/>
      <c r="AD84" s="126"/>
      <c r="AE84" s="126"/>
      <c r="AF84" s="126"/>
      <c r="AG84" s="126"/>
      <c r="AH84" s="117">
        <v>0</v>
      </c>
      <c r="AI84" s="116">
        <v>0</v>
      </c>
      <c r="AJ84" s="116">
        <v>0</v>
      </c>
      <c r="AK84" s="116">
        <v>0</v>
      </c>
      <c r="AL84" s="116">
        <v>0</v>
      </c>
      <c r="AM84" s="118">
        <v>0</v>
      </c>
      <c r="AN84" s="118">
        <v>0</v>
      </c>
      <c r="AO84" s="118" t="s">
        <v>475</v>
      </c>
      <c r="AP84" s="118">
        <v>31</v>
      </c>
    </row>
    <row r="85" spans="1:42" x14ac:dyDescent="0.15">
      <c r="A85" s="26" t="s">
        <v>177</v>
      </c>
      <c r="B85" s="26" t="s">
        <v>6</v>
      </c>
      <c r="C85" s="26" t="s">
        <v>477</v>
      </c>
      <c r="D85" s="26" t="s">
        <v>183</v>
      </c>
      <c r="E85" s="26" t="s">
        <v>473</v>
      </c>
      <c r="F85" s="26" t="s">
        <v>474</v>
      </c>
      <c r="G85" s="26">
        <v>0</v>
      </c>
      <c r="H85" s="26">
        <v>31</v>
      </c>
      <c r="I85" s="26">
        <v>4</v>
      </c>
      <c r="J85" s="119">
        <v>5</v>
      </c>
      <c r="K85" s="122">
        <v>4</v>
      </c>
      <c r="L85" s="122"/>
      <c r="M85" s="122">
        <v>1</v>
      </c>
      <c r="N85" s="122"/>
      <c r="O85" s="122"/>
      <c r="P85" s="116">
        <v>26</v>
      </c>
      <c r="Q85" s="116">
        <v>31</v>
      </c>
      <c r="R85" s="116">
        <v>4</v>
      </c>
      <c r="S85" s="116">
        <v>31</v>
      </c>
      <c r="T85" s="116">
        <v>0</v>
      </c>
      <c r="U85" s="116">
        <v>0</v>
      </c>
      <c r="V85" s="116">
        <v>0</v>
      </c>
      <c r="W85" s="116">
        <v>0</v>
      </c>
      <c r="X85" s="30"/>
      <c r="Y85" s="30"/>
      <c r="Z85" s="30"/>
      <c r="AA85" s="30"/>
      <c r="AB85" s="126"/>
      <c r="AC85" s="126">
        <v>100</v>
      </c>
      <c r="AD85" s="126"/>
      <c r="AE85" s="126"/>
      <c r="AF85" s="126"/>
      <c r="AG85" s="126"/>
      <c r="AH85" s="117">
        <v>0</v>
      </c>
      <c r="AI85" s="116">
        <v>0</v>
      </c>
      <c r="AJ85" s="116">
        <v>0</v>
      </c>
      <c r="AK85" s="116">
        <v>0</v>
      </c>
      <c r="AL85" s="116">
        <v>0</v>
      </c>
      <c r="AM85" s="118">
        <v>0</v>
      </c>
      <c r="AN85" s="118">
        <v>0</v>
      </c>
      <c r="AO85" s="118" t="s">
        <v>475</v>
      </c>
      <c r="AP85" s="118">
        <v>31</v>
      </c>
    </row>
    <row r="86" spans="1:42" x14ac:dyDescent="0.15">
      <c r="A86" s="26" t="s">
        <v>177</v>
      </c>
      <c r="B86" s="26" t="s">
        <v>6</v>
      </c>
      <c r="C86" s="26" t="s">
        <v>477</v>
      </c>
      <c r="D86" s="26" t="s">
        <v>179</v>
      </c>
      <c r="E86" s="26" t="s">
        <v>473</v>
      </c>
      <c r="F86" s="26" t="s">
        <v>474</v>
      </c>
      <c r="G86" s="26">
        <v>0</v>
      </c>
      <c r="H86" s="26">
        <v>31</v>
      </c>
      <c r="I86" s="26">
        <v>4</v>
      </c>
      <c r="J86" s="119">
        <v>5</v>
      </c>
      <c r="K86" s="122">
        <v>4</v>
      </c>
      <c r="L86" s="122"/>
      <c r="M86" s="122">
        <v>1</v>
      </c>
      <c r="N86" s="122"/>
      <c r="O86" s="122"/>
      <c r="P86" s="116">
        <v>26</v>
      </c>
      <c r="Q86" s="116">
        <v>31</v>
      </c>
      <c r="R86" s="116">
        <v>4</v>
      </c>
      <c r="S86" s="116">
        <v>31</v>
      </c>
      <c r="T86" s="116">
        <v>0</v>
      </c>
      <c r="U86" s="116">
        <v>0</v>
      </c>
      <c r="V86" s="116">
        <v>0</v>
      </c>
      <c r="W86" s="116">
        <v>0</v>
      </c>
      <c r="X86" s="30"/>
      <c r="Y86" s="30"/>
      <c r="Z86" s="30"/>
      <c r="AA86" s="30"/>
      <c r="AB86" s="126"/>
      <c r="AC86" s="126"/>
      <c r="AD86" s="126"/>
      <c r="AE86" s="126"/>
      <c r="AF86" s="126"/>
      <c r="AG86" s="126"/>
      <c r="AH86" s="117">
        <v>0</v>
      </c>
      <c r="AI86" s="116">
        <v>0</v>
      </c>
      <c r="AJ86" s="116">
        <v>0</v>
      </c>
      <c r="AK86" s="116">
        <v>0</v>
      </c>
      <c r="AL86" s="116">
        <v>0</v>
      </c>
      <c r="AM86" s="118">
        <v>0</v>
      </c>
      <c r="AN86" s="118">
        <v>0</v>
      </c>
      <c r="AO86" s="118" t="s">
        <v>475</v>
      </c>
      <c r="AP86" s="118">
        <v>31</v>
      </c>
    </row>
    <row r="87" spans="1:42" x14ac:dyDescent="0.15">
      <c r="A87" s="26" t="s">
        <v>177</v>
      </c>
      <c r="B87" s="26" t="s">
        <v>6</v>
      </c>
      <c r="C87" s="26" t="s">
        <v>477</v>
      </c>
      <c r="D87" s="26" t="s">
        <v>182</v>
      </c>
      <c r="E87" s="26" t="s">
        <v>473</v>
      </c>
      <c r="F87" s="26" t="s">
        <v>474</v>
      </c>
      <c r="G87" s="26">
        <v>0</v>
      </c>
      <c r="H87" s="26">
        <v>17</v>
      </c>
      <c r="I87" s="26">
        <v>2</v>
      </c>
      <c r="J87" s="119">
        <v>4</v>
      </c>
      <c r="K87" s="122">
        <v>2</v>
      </c>
      <c r="L87" s="122">
        <v>2</v>
      </c>
      <c r="M87" s="122"/>
      <c r="N87" s="122"/>
      <c r="O87" s="122"/>
      <c r="P87" s="116">
        <v>13</v>
      </c>
      <c r="Q87" s="116">
        <v>15</v>
      </c>
      <c r="R87" s="116">
        <v>2</v>
      </c>
      <c r="S87" s="116">
        <v>15</v>
      </c>
      <c r="T87" s="116">
        <v>0</v>
      </c>
      <c r="U87" s="116">
        <v>2</v>
      </c>
      <c r="V87" s="116">
        <v>0</v>
      </c>
      <c r="W87" s="116">
        <v>0</v>
      </c>
      <c r="X87" s="30"/>
      <c r="Y87" s="30"/>
      <c r="Z87" s="30"/>
      <c r="AA87" s="30"/>
      <c r="AB87" s="126">
        <v>1000</v>
      </c>
      <c r="AC87" s="126"/>
      <c r="AD87" s="126"/>
      <c r="AE87" s="126">
        <v>300</v>
      </c>
      <c r="AF87" s="126"/>
      <c r="AG87" s="126"/>
      <c r="AH87" s="117">
        <v>0</v>
      </c>
      <c r="AI87" s="116">
        <v>0</v>
      </c>
      <c r="AJ87" s="116">
        <v>0</v>
      </c>
      <c r="AK87" s="116">
        <v>0</v>
      </c>
      <c r="AL87" s="116">
        <v>0</v>
      </c>
      <c r="AM87" s="118">
        <v>0</v>
      </c>
      <c r="AN87" s="118">
        <v>0</v>
      </c>
      <c r="AO87" s="118" t="s">
        <v>475</v>
      </c>
      <c r="AP87" s="118">
        <v>15</v>
      </c>
    </row>
    <row r="88" spans="1:42" x14ac:dyDescent="0.15">
      <c r="A88" s="26" t="s">
        <v>193</v>
      </c>
      <c r="B88" s="26" t="s">
        <v>470</v>
      </c>
      <c r="C88" s="26" t="s">
        <v>471</v>
      </c>
      <c r="D88" s="26" t="s">
        <v>510</v>
      </c>
      <c r="E88" s="26" t="s">
        <v>473</v>
      </c>
      <c r="F88" s="26" t="s">
        <v>474</v>
      </c>
      <c r="G88" s="26">
        <v>0</v>
      </c>
      <c r="H88" s="26">
        <v>31</v>
      </c>
      <c r="I88" s="26">
        <v>4</v>
      </c>
      <c r="J88" s="119">
        <v>6</v>
      </c>
      <c r="K88" s="122">
        <v>4</v>
      </c>
      <c r="L88" s="122">
        <v>1</v>
      </c>
      <c r="M88" s="122">
        <v>1</v>
      </c>
      <c r="N88" s="122"/>
      <c r="O88" s="122"/>
      <c r="P88" s="116">
        <v>25</v>
      </c>
      <c r="Q88" s="116">
        <v>30</v>
      </c>
      <c r="R88" s="116">
        <v>4</v>
      </c>
      <c r="S88" s="116">
        <v>30</v>
      </c>
      <c r="T88" s="116">
        <v>0</v>
      </c>
      <c r="U88" s="116">
        <v>1</v>
      </c>
      <c r="V88" s="116">
        <v>0</v>
      </c>
      <c r="W88" s="116">
        <v>0</v>
      </c>
      <c r="X88" s="30">
        <v>20</v>
      </c>
      <c r="Y88" s="30"/>
      <c r="Z88" s="30"/>
      <c r="AA88" s="30"/>
      <c r="AB88" s="126"/>
      <c r="AC88" s="126"/>
      <c r="AD88" s="126"/>
      <c r="AE88" s="126"/>
      <c r="AF88" s="126"/>
      <c r="AG88" s="126"/>
      <c r="AH88" s="117">
        <v>0</v>
      </c>
      <c r="AI88" s="116">
        <v>0</v>
      </c>
      <c r="AJ88" s="116">
        <v>0</v>
      </c>
      <c r="AK88" s="116">
        <v>0</v>
      </c>
      <c r="AL88" s="116">
        <v>0</v>
      </c>
      <c r="AM88" s="118">
        <v>0</v>
      </c>
      <c r="AN88" s="118">
        <v>0</v>
      </c>
      <c r="AO88" s="118" t="s">
        <v>475</v>
      </c>
      <c r="AP88" s="118">
        <v>30</v>
      </c>
    </row>
    <row r="89" spans="1:42" x14ac:dyDescent="0.15">
      <c r="A89" s="26" t="s">
        <v>193</v>
      </c>
      <c r="B89" s="26" t="s">
        <v>492</v>
      </c>
      <c r="C89" s="26" t="s">
        <v>471</v>
      </c>
      <c r="D89" s="26" t="s">
        <v>511</v>
      </c>
      <c r="E89" s="26" t="s">
        <v>473</v>
      </c>
      <c r="F89" s="26" t="s">
        <v>474</v>
      </c>
      <c r="G89" s="26">
        <v>0</v>
      </c>
      <c r="H89" s="26">
        <v>31</v>
      </c>
      <c r="I89" s="26">
        <v>4</v>
      </c>
      <c r="J89" s="119">
        <v>4</v>
      </c>
      <c r="K89" s="122">
        <v>4</v>
      </c>
      <c r="L89" s="122"/>
      <c r="M89" s="122"/>
      <c r="N89" s="122"/>
      <c r="O89" s="122"/>
      <c r="P89" s="116">
        <v>27</v>
      </c>
      <c r="Q89" s="116">
        <v>31</v>
      </c>
      <c r="R89" s="116">
        <v>4</v>
      </c>
      <c r="S89" s="116">
        <v>31</v>
      </c>
      <c r="T89" s="116">
        <v>0</v>
      </c>
      <c r="U89" s="116">
        <v>0</v>
      </c>
      <c r="V89" s="116">
        <v>0</v>
      </c>
      <c r="W89" s="116">
        <v>0</v>
      </c>
      <c r="X89" s="30">
        <v>90</v>
      </c>
      <c r="Y89" s="30"/>
      <c r="Z89" s="30"/>
      <c r="AA89" s="30"/>
      <c r="AB89" s="126"/>
      <c r="AC89" s="126"/>
      <c r="AD89" s="126"/>
      <c r="AE89" s="126"/>
      <c r="AF89" s="126"/>
      <c r="AG89" s="126"/>
      <c r="AH89" s="117">
        <v>0</v>
      </c>
      <c r="AI89" s="116">
        <v>0</v>
      </c>
      <c r="AJ89" s="116">
        <v>0</v>
      </c>
      <c r="AK89" s="116">
        <v>0</v>
      </c>
      <c r="AL89" s="116">
        <v>0</v>
      </c>
      <c r="AM89" s="118">
        <v>0</v>
      </c>
      <c r="AN89" s="118">
        <v>0</v>
      </c>
      <c r="AO89" s="118" t="s">
        <v>475</v>
      </c>
      <c r="AP89" s="118">
        <v>31</v>
      </c>
    </row>
    <row r="90" spans="1:42" x14ac:dyDescent="0.15">
      <c r="A90" s="26" t="s">
        <v>193</v>
      </c>
      <c r="B90" s="26" t="s">
        <v>6</v>
      </c>
      <c r="C90" s="26" t="s">
        <v>477</v>
      </c>
      <c r="D90" s="26" t="s">
        <v>194</v>
      </c>
      <c r="E90" s="26" t="s">
        <v>473</v>
      </c>
      <c r="F90" s="26" t="s">
        <v>474</v>
      </c>
      <c r="G90" s="26">
        <v>0</v>
      </c>
      <c r="H90" s="26">
        <v>31</v>
      </c>
      <c r="I90" s="26">
        <v>4</v>
      </c>
      <c r="J90" s="119">
        <v>4</v>
      </c>
      <c r="K90" s="122">
        <v>4</v>
      </c>
      <c r="L90" s="122"/>
      <c r="M90" s="122"/>
      <c r="N90" s="122"/>
      <c r="O90" s="122"/>
      <c r="P90" s="116">
        <v>27</v>
      </c>
      <c r="Q90" s="116">
        <v>31</v>
      </c>
      <c r="R90" s="116">
        <v>4</v>
      </c>
      <c r="S90" s="116">
        <v>31</v>
      </c>
      <c r="T90" s="116">
        <v>0</v>
      </c>
      <c r="U90" s="116">
        <v>0</v>
      </c>
      <c r="V90" s="116">
        <v>0</v>
      </c>
      <c r="W90" s="116">
        <v>0</v>
      </c>
      <c r="X90" s="30"/>
      <c r="Y90" s="30"/>
      <c r="Z90" s="30"/>
      <c r="AA90" s="30"/>
      <c r="AB90" s="126"/>
      <c r="AC90" s="126"/>
      <c r="AD90" s="126"/>
      <c r="AE90" s="126"/>
      <c r="AF90" s="126"/>
      <c r="AG90" s="126"/>
      <c r="AH90" s="117">
        <v>0</v>
      </c>
      <c r="AI90" s="116">
        <v>0</v>
      </c>
      <c r="AJ90" s="116">
        <v>0</v>
      </c>
      <c r="AK90" s="116">
        <v>0</v>
      </c>
      <c r="AL90" s="116">
        <v>0</v>
      </c>
      <c r="AM90" s="118">
        <v>0</v>
      </c>
      <c r="AN90" s="118">
        <v>0</v>
      </c>
      <c r="AO90" s="118" t="s">
        <v>475</v>
      </c>
      <c r="AP90" s="118">
        <v>31</v>
      </c>
    </row>
    <row r="91" spans="1:42" x14ac:dyDescent="0.15">
      <c r="A91" s="26" t="s">
        <v>193</v>
      </c>
      <c r="B91" s="26" t="s">
        <v>6</v>
      </c>
      <c r="C91" s="26" t="s">
        <v>477</v>
      </c>
      <c r="D91" s="26" t="s">
        <v>196</v>
      </c>
      <c r="E91" s="26" t="s">
        <v>473</v>
      </c>
      <c r="F91" s="26" t="s">
        <v>474</v>
      </c>
      <c r="G91" s="26">
        <v>0</v>
      </c>
      <c r="H91" s="26">
        <v>31</v>
      </c>
      <c r="I91" s="26">
        <v>4</v>
      </c>
      <c r="J91" s="119">
        <v>5</v>
      </c>
      <c r="K91" s="122">
        <v>4</v>
      </c>
      <c r="L91" s="122"/>
      <c r="M91" s="122">
        <v>1</v>
      </c>
      <c r="N91" s="122"/>
      <c r="O91" s="122"/>
      <c r="P91" s="116">
        <v>26</v>
      </c>
      <c r="Q91" s="116">
        <v>31</v>
      </c>
      <c r="R91" s="116">
        <v>4</v>
      </c>
      <c r="S91" s="116">
        <v>31</v>
      </c>
      <c r="T91" s="116">
        <v>0</v>
      </c>
      <c r="U91" s="116">
        <v>0</v>
      </c>
      <c r="V91" s="116">
        <v>0</v>
      </c>
      <c r="W91" s="116">
        <v>0</v>
      </c>
      <c r="X91" s="30"/>
      <c r="Y91" s="30"/>
      <c r="Z91" s="30"/>
      <c r="AA91" s="30"/>
      <c r="AB91" s="126"/>
      <c r="AC91" s="126">
        <v>100</v>
      </c>
      <c r="AD91" s="126"/>
      <c r="AE91" s="126"/>
      <c r="AF91" s="126"/>
      <c r="AG91" s="126"/>
      <c r="AH91" s="117">
        <v>0</v>
      </c>
      <c r="AI91" s="116">
        <v>0</v>
      </c>
      <c r="AJ91" s="116">
        <v>0</v>
      </c>
      <c r="AK91" s="116">
        <v>0</v>
      </c>
      <c r="AL91" s="116">
        <v>0</v>
      </c>
      <c r="AM91" s="118">
        <v>0</v>
      </c>
      <c r="AN91" s="118">
        <v>0</v>
      </c>
      <c r="AO91" s="118" t="s">
        <v>475</v>
      </c>
      <c r="AP91" s="118">
        <v>31</v>
      </c>
    </row>
    <row r="92" spans="1:42" x14ac:dyDescent="0.15">
      <c r="A92" s="26" t="s">
        <v>193</v>
      </c>
      <c r="B92" s="26" t="s">
        <v>6</v>
      </c>
      <c r="C92" s="26" t="s">
        <v>477</v>
      </c>
      <c r="D92" s="26" t="s">
        <v>195</v>
      </c>
      <c r="E92" s="26" t="s">
        <v>473</v>
      </c>
      <c r="F92" s="26" t="s">
        <v>474</v>
      </c>
      <c r="G92" s="26">
        <v>0</v>
      </c>
      <c r="H92" s="26">
        <v>31</v>
      </c>
      <c r="I92" s="26">
        <v>4</v>
      </c>
      <c r="J92" s="119">
        <v>4</v>
      </c>
      <c r="K92" s="122">
        <v>4</v>
      </c>
      <c r="L92" s="122"/>
      <c r="M92" s="122"/>
      <c r="N92" s="122"/>
      <c r="O92" s="122"/>
      <c r="P92" s="116">
        <v>27</v>
      </c>
      <c r="Q92" s="116">
        <v>31</v>
      </c>
      <c r="R92" s="116">
        <v>4</v>
      </c>
      <c r="S92" s="116">
        <v>31</v>
      </c>
      <c r="T92" s="116">
        <v>0</v>
      </c>
      <c r="U92" s="116">
        <v>0</v>
      </c>
      <c r="V92" s="116">
        <v>0</v>
      </c>
      <c r="W92" s="116">
        <v>0</v>
      </c>
      <c r="X92" s="30"/>
      <c r="Y92" s="30"/>
      <c r="Z92" s="30">
        <v>50</v>
      </c>
      <c r="AA92" s="30"/>
      <c r="AB92" s="126"/>
      <c r="AC92" s="126">
        <v>100</v>
      </c>
      <c r="AD92" s="126"/>
      <c r="AE92" s="126"/>
      <c r="AF92" s="126"/>
      <c r="AG92" s="126"/>
      <c r="AH92" s="117">
        <v>0</v>
      </c>
      <c r="AI92" s="116">
        <v>0</v>
      </c>
      <c r="AJ92" s="116">
        <v>0</v>
      </c>
      <c r="AK92" s="116">
        <v>0</v>
      </c>
      <c r="AL92" s="116">
        <v>0</v>
      </c>
      <c r="AM92" s="118">
        <v>0</v>
      </c>
      <c r="AN92" s="118">
        <v>0</v>
      </c>
      <c r="AO92" s="118" t="s">
        <v>475</v>
      </c>
      <c r="AP92" s="118">
        <v>31</v>
      </c>
    </row>
    <row r="93" spans="1:42" x14ac:dyDescent="0.15">
      <c r="A93" s="26" t="s">
        <v>193</v>
      </c>
      <c r="B93" s="26" t="s">
        <v>6</v>
      </c>
      <c r="C93" s="26" t="s">
        <v>477</v>
      </c>
      <c r="D93" s="26" t="s">
        <v>197</v>
      </c>
      <c r="E93" s="26" t="s">
        <v>473</v>
      </c>
      <c r="F93" s="26" t="s">
        <v>474</v>
      </c>
      <c r="G93" s="26">
        <v>0</v>
      </c>
      <c r="H93" s="26">
        <v>31</v>
      </c>
      <c r="I93" s="26">
        <v>4</v>
      </c>
      <c r="J93" s="116">
        <v>4</v>
      </c>
      <c r="K93" s="122">
        <v>4</v>
      </c>
      <c r="L93" s="122"/>
      <c r="M93" s="122"/>
      <c r="N93" s="122"/>
      <c r="O93" s="122"/>
      <c r="P93" s="116">
        <v>27</v>
      </c>
      <c r="Q93" s="116">
        <v>31</v>
      </c>
      <c r="R93" s="116">
        <v>4</v>
      </c>
      <c r="S93" s="116">
        <v>31</v>
      </c>
      <c r="T93" s="116">
        <v>0</v>
      </c>
      <c r="U93" s="116">
        <v>0</v>
      </c>
      <c r="V93" s="116">
        <v>0</v>
      </c>
      <c r="W93" s="116">
        <v>0</v>
      </c>
      <c r="X93" s="30">
        <v>10</v>
      </c>
      <c r="Y93" s="30"/>
      <c r="Z93" s="30"/>
      <c r="AA93" s="30"/>
      <c r="AB93" s="127"/>
      <c r="AC93" s="126">
        <v>100</v>
      </c>
      <c r="AD93" s="127"/>
      <c r="AE93" s="127"/>
      <c r="AF93" s="127"/>
      <c r="AG93" s="127"/>
      <c r="AH93" s="117">
        <v>0</v>
      </c>
      <c r="AI93" s="116">
        <v>0</v>
      </c>
      <c r="AJ93" s="116">
        <v>0</v>
      </c>
      <c r="AK93" s="116">
        <v>0</v>
      </c>
      <c r="AL93" s="116">
        <v>0</v>
      </c>
      <c r="AM93" s="118">
        <v>0</v>
      </c>
      <c r="AN93" s="118">
        <v>0</v>
      </c>
      <c r="AO93" s="118" t="s">
        <v>475</v>
      </c>
      <c r="AP93" s="118">
        <v>31</v>
      </c>
    </row>
    <row r="94" spans="1:42" x14ac:dyDescent="0.15">
      <c r="A94" s="26" t="s">
        <v>193</v>
      </c>
      <c r="B94" s="26" t="s">
        <v>6</v>
      </c>
      <c r="C94" s="26" t="s">
        <v>477</v>
      </c>
      <c r="D94" s="26" t="s">
        <v>360</v>
      </c>
      <c r="E94" s="26" t="s">
        <v>473</v>
      </c>
      <c r="F94" s="26" t="s">
        <v>474</v>
      </c>
      <c r="G94" s="26">
        <v>0</v>
      </c>
      <c r="H94" s="26">
        <v>31</v>
      </c>
      <c r="I94" s="26">
        <v>4</v>
      </c>
      <c r="J94" s="119">
        <v>4</v>
      </c>
      <c r="K94" s="122">
        <v>4</v>
      </c>
      <c r="L94" s="122"/>
      <c r="M94" s="122"/>
      <c r="N94" s="122"/>
      <c r="O94" s="122"/>
      <c r="P94" s="116">
        <v>27</v>
      </c>
      <c r="Q94" s="116">
        <v>31</v>
      </c>
      <c r="R94" s="116">
        <v>4</v>
      </c>
      <c r="S94" s="116">
        <v>31</v>
      </c>
      <c r="T94" s="116">
        <v>0</v>
      </c>
      <c r="U94" s="116">
        <v>0</v>
      </c>
      <c r="V94" s="116">
        <v>0</v>
      </c>
      <c r="W94" s="116">
        <v>0</v>
      </c>
      <c r="X94" s="30">
        <v>20</v>
      </c>
      <c r="Y94" s="30"/>
      <c r="Z94" s="30"/>
      <c r="AA94" s="30"/>
      <c r="AB94" s="126"/>
      <c r="AC94" s="126"/>
      <c r="AD94" s="126"/>
      <c r="AE94" s="126"/>
      <c r="AF94" s="126"/>
      <c r="AG94" s="126"/>
      <c r="AH94" s="117">
        <v>3500</v>
      </c>
      <c r="AI94" s="116">
        <v>0</v>
      </c>
      <c r="AJ94" s="116">
        <v>0</v>
      </c>
      <c r="AK94" s="116">
        <v>0</v>
      </c>
      <c r="AL94" s="116">
        <v>0</v>
      </c>
      <c r="AM94" s="118">
        <v>0</v>
      </c>
      <c r="AN94" s="118">
        <v>0</v>
      </c>
      <c r="AO94" s="118" t="s">
        <v>475</v>
      </c>
      <c r="AP94" s="118">
        <v>31</v>
      </c>
    </row>
    <row r="95" spans="1:42" x14ac:dyDescent="0.15">
      <c r="A95" s="26" t="s">
        <v>112</v>
      </c>
      <c r="B95" s="26" t="s">
        <v>470</v>
      </c>
      <c r="C95" s="26" t="s">
        <v>471</v>
      </c>
      <c r="D95" s="26" t="s">
        <v>512</v>
      </c>
      <c r="E95" s="26" t="s">
        <v>473</v>
      </c>
      <c r="F95" s="26" t="s">
        <v>474</v>
      </c>
      <c r="G95" s="26">
        <v>0</v>
      </c>
      <c r="H95" s="26">
        <v>31</v>
      </c>
      <c r="I95" s="26">
        <v>4</v>
      </c>
      <c r="J95" s="119">
        <v>5</v>
      </c>
      <c r="K95" s="122">
        <v>4</v>
      </c>
      <c r="L95" s="122"/>
      <c r="M95" s="122">
        <v>1</v>
      </c>
      <c r="N95" s="122"/>
      <c r="O95" s="122"/>
      <c r="P95" s="116">
        <v>26</v>
      </c>
      <c r="Q95" s="116">
        <v>31</v>
      </c>
      <c r="R95" s="116">
        <v>4</v>
      </c>
      <c r="S95" s="116">
        <v>31</v>
      </c>
      <c r="T95" s="116">
        <v>0</v>
      </c>
      <c r="U95" s="116">
        <v>0</v>
      </c>
      <c r="V95" s="116">
        <v>0</v>
      </c>
      <c r="W95" s="116">
        <v>0</v>
      </c>
      <c r="X95" s="30">
        <v>90</v>
      </c>
      <c r="Y95" s="30"/>
      <c r="Z95" s="30"/>
      <c r="AA95" s="30"/>
      <c r="AB95" s="126"/>
      <c r="AC95" s="126"/>
      <c r="AD95" s="126"/>
      <c r="AE95" s="126"/>
      <c r="AF95" s="126"/>
      <c r="AG95" s="126"/>
      <c r="AH95" s="117">
        <v>0</v>
      </c>
      <c r="AI95" s="116">
        <v>0</v>
      </c>
      <c r="AJ95" s="116">
        <v>0</v>
      </c>
      <c r="AK95" s="116">
        <v>0</v>
      </c>
      <c r="AL95" s="116">
        <v>0</v>
      </c>
      <c r="AM95" s="118">
        <v>0</v>
      </c>
      <c r="AN95" s="118">
        <v>0</v>
      </c>
      <c r="AO95" s="118" t="s">
        <v>475</v>
      </c>
      <c r="AP95" s="118">
        <v>31</v>
      </c>
    </row>
    <row r="96" spans="1:42" x14ac:dyDescent="0.15">
      <c r="A96" s="26" t="s">
        <v>112</v>
      </c>
      <c r="B96" s="26" t="s">
        <v>476</v>
      </c>
      <c r="C96" s="26" t="s">
        <v>477</v>
      </c>
      <c r="D96" s="26" t="s">
        <v>513</v>
      </c>
      <c r="E96" s="26" t="s">
        <v>473</v>
      </c>
      <c r="F96" s="26" t="s">
        <v>474</v>
      </c>
      <c r="G96" s="26">
        <v>0</v>
      </c>
      <c r="H96" s="26">
        <v>31</v>
      </c>
      <c r="I96" s="26">
        <v>4</v>
      </c>
      <c r="J96" s="119">
        <v>4</v>
      </c>
      <c r="K96" s="122">
        <v>4</v>
      </c>
      <c r="L96" s="122"/>
      <c r="M96" s="122"/>
      <c r="N96" s="122"/>
      <c r="O96" s="122"/>
      <c r="P96" s="116">
        <v>27</v>
      </c>
      <c r="Q96" s="116">
        <v>31</v>
      </c>
      <c r="R96" s="116">
        <v>4</v>
      </c>
      <c r="S96" s="116">
        <v>31</v>
      </c>
      <c r="T96" s="116">
        <v>0</v>
      </c>
      <c r="U96" s="116">
        <v>0</v>
      </c>
      <c r="V96" s="116">
        <v>0</v>
      </c>
      <c r="W96" s="116">
        <v>0</v>
      </c>
      <c r="X96" s="30"/>
      <c r="Y96" s="30"/>
      <c r="Z96" s="30"/>
      <c r="AA96" s="30"/>
      <c r="AB96" s="126"/>
      <c r="AC96" s="126"/>
      <c r="AD96" s="126"/>
      <c r="AE96" s="126"/>
      <c r="AF96" s="126"/>
      <c r="AG96" s="126"/>
      <c r="AH96" s="117">
        <v>0</v>
      </c>
      <c r="AI96" s="116">
        <v>0</v>
      </c>
      <c r="AJ96" s="116">
        <v>0</v>
      </c>
      <c r="AK96" s="116">
        <v>0</v>
      </c>
      <c r="AL96" s="116">
        <v>0</v>
      </c>
      <c r="AM96" s="118">
        <v>0</v>
      </c>
      <c r="AN96" s="118">
        <v>0</v>
      </c>
      <c r="AO96" s="118" t="s">
        <v>475</v>
      </c>
      <c r="AP96" s="118">
        <v>31</v>
      </c>
    </row>
    <row r="97" spans="1:42" x14ac:dyDescent="0.15">
      <c r="A97" s="26" t="s">
        <v>112</v>
      </c>
      <c r="B97" s="26" t="s">
        <v>6</v>
      </c>
      <c r="C97" s="26" t="s">
        <v>477</v>
      </c>
      <c r="D97" s="26" t="s">
        <v>117</v>
      </c>
      <c r="E97" s="26" t="s">
        <v>473</v>
      </c>
      <c r="F97" s="26" t="s">
        <v>474</v>
      </c>
      <c r="G97" s="26">
        <v>0</v>
      </c>
      <c r="H97" s="26">
        <v>31</v>
      </c>
      <c r="I97" s="26">
        <v>4</v>
      </c>
      <c r="J97" s="119">
        <v>5</v>
      </c>
      <c r="K97" s="122">
        <v>4</v>
      </c>
      <c r="L97" s="122"/>
      <c r="M97" s="122">
        <v>1</v>
      </c>
      <c r="N97" s="122"/>
      <c r="O97" s="122"/>
      <c r="P97" s="116">
        <v>26</v>
      </c>
      <c r="Q97" s="116">
        <v>31</v>
      </c>
      <c r="R97" s="116">
        <v>4</v>
      </c>
      <c r="S97" s="116">
        <v>31</v>
      </c>
      <c r="T97" s="116">
        <v>0</v>
      </c>
      <c r="U97" s="116">
        <v>0</v>
      </c>
      <c r="V97" s="116">
        <v>0</v>
      </c>
      <c r="W97" s="116">
        <v>0</v>
      </c>
      <c r="X97" s="30"/>
      <c r="Y97" s="30"/>
      <c r="Z97" s="30"/>
      <c r="AA97" s="30"/>
      <c r="AB97" s="126"/>
      <c r="AC97" s="126"/>
      <c r="AD97" s="126"/>
      <c r="AE97" s="126"/>
      <c r="AF97" s="126"/>
      <c r="AG97" s="126"/>
      <c r="AH97" s="117">
        <v>0</v>
      </c>
      <c r="AI97" s="116">
        <v>0</v>
      </c>
      <c r="AJ97" s="116">
        <v>0</v>
      </c>
      <c r="AK97" s="116">
        <v>0</v>
      </c>
      <c r="AL97" s="116">
        <v>0</v>
      </c>
      <c r="AM97" s="118">
        <v>0</v>
      </c>
      <c r="AN97" s="118">
        <v>0</v>
      </c>
      <c r="AO97" s="118" t="s">
        <v>475</v>
      </c>
      <c r="AP97" s="118">
        <v>31</v>
      </c>
    </row>
    <row r="98" spans="1:42" x14ac:dyDescent="0.15">
      <c r="A98" s="26" t="s">
        <v>112</v>
      </c>
      <c r="B98" s="26" t="s">
        <v>6</v>
      </c>
      <c r="C98" s="26" t="s">
        <v>477</v>
      </c>
      <c r="D98" s="26" t="s">
        <v>118</v>
      </c>
      <c r="E98" s="26" t="s">
        <v>473</v>
      </c>
      <c r="F98" s="26" t="s">
        <v>474</v>
      </c>
      <c r="G98" s="26">
        <v>0</v>
      </c>
      <c r="H98" s="26">
        <v>31</v>
      </c>
      <c r="I98" s="26">
        <v>4</v>
      </c>
      <c r="J98" s="119">
        <v>5</v>
      </c>
      <c r="K98" s="122">
        <v>4</v>
      </c>
      <c r="L98" s="122"/>
      <c r="M98" s="122">
        <v>1</v>
      </c>
      <c r="N98" s="122"/>
      <c r="O98" s="122"/>
      <c r="P98" s="116">
        <v>26</v>
      </c>
      <c r="Q98" s="116">
        <v>31</v>
      </c>
      <c r="R98" s="116">
        <v>4</v>
      </c>
      <c r="S98" s="116">
        <v>31</v>
      </c>
      <c r="T98" s="116">
        <v>0</v>
      </c>
      <c r="U98" s="116">
        <v>0</v>
      </c>
      <c r="V98" s="116">
        <v>0</v>
      </c>
      <c r="W98" s="116">
        <v>0</v>
      </c>
      <c r="X98" s="30">
        <v>10</v>
      </c>
      <c r="Y98" s="30"/>
      <c r="Z98" s="30"/>
      <c r="AA98" s="30"/>
      <c r="AB98" s="126"/>
      <c r="AC98" s="126"/>
      <c r="AD98" s="126"/>
      <c r="AE98" s="126"/>
      <c r="AF98" s="126"/>
      <c r="AG98" s="126"/>
      <c r="AH98" s="117">
        <v>0</v>
      </c>
      <c r="AI98" s="116">
        <v>0</v>
      </c>
      <c r="AJ98" s="116">
        <v>0</v>
      </c>
      <c r="AK98" s="116">
        <v>0</v>
      </c>
      <c r="AL98" s="116">
        <v>0</v>
      </c>
      <c r="AM98" s="118">
        <v>0</v>
      </c>
      <c r="AN98" s="118">
        <v>0</v>
      </c>
      <c r="AO98" s="118" t="s">
        <v>475</v>
      </c>
      <c r="AP98" s="118">
        <v>31</v>
      </c>
    </row>
    <row r="99" spans="1:42" x14ac:dyDescent="0.15">
      <c r="A99" s="26" t="s">
        <v>112</v>
      </c>
      <c r="B99" s="26" t="s">
        <v>6</v>
      </c>
      <c r="C99" s="26" t="s">
        <v>477</v>
      </c>
      <c r="D99" s="26" t="s">
        <v>114</v>
      </c>
      <c r="E99" s="26" t="s">
        <v>473</v>
      </c>
      <c r="F99" s="26" t="s">
        <v>474</v>
      </c>
      <c r="G99" s="26">
        <v>0</v>
      </c>
      <c r="H99" s="26">
        <v>31</v>
      </c>
      <c r="I99" s="26">
        <v>4</v>
      </c>
      <c r="J99" s="119">
        <v>5</v>
      </c>
      <c r="K99" s="122">
        <v>4</v>
      </c>
      <c r="L99" s="122"/>
      <c r="M99" s="122">
        <v>1</v>
      </c>
      <c r="N99" s="122"/>
      <c r="O99" s="122"/>
      <c r="P99" s="116">
        <v>26</v>
      </c>
      <c r="Q99" s="116">
        <v>31</v>
      </c>
      <c r="R99" s="116">
        <v>4</v>
      </c>
      <c r="S99" s="116">
        <v>31</v>
      </c>
      <c r="T99" s="116">
        <v>0</v>
      </c>
      <c r="U99" s="116">
        <v>0</v>
      </c>
      <c r="V99" s="116">
        <v>0</v>
      </c>
      <c r="W99" s="116">
        <v>0</v>
      </c>
      <c r="X99" s="30">
        <v>90</v>
      </c>
      <c r="Y99" s="30"/>
      <c r="Z99" s="30"/>
      <c r="AA99" s="30"/>
      <c r="AB99" s="126"/>
      <c r="AC99" s="126"/>
      <c r="AD99" s="126"/>
      <c r="AE99" s="126"/>
      <c r="AF99" s="126"/>
      <c r="AG99" s="126"/>
      <c r="AH99" s="117">
        <v>0</v>
      </c>
      <c r="AI99" s="116">
        <v>0</v>
      </c>
      <c r="AJ99" s="116">
        <v>0</v>
      </c>
      <c r="AK99" s="116">
        <v>0</v>
      </c>
      <c r="AL99" s="116">
        <v>0</v>
      </c>
      <c r="AM99" s="118">
        <v>0</v>
      </c>
      <c r="AN99" s="118">
        <v>0</v>
      </c>
      <c r="AO99" s="118" t="s">
        <v>475</v>
      </c>
      <c r="AP99" s="118">
        <v>31</v>
      </c>
    </row>
    <row r="100" spans="1:42" x14ac:dyDescent="0.15">
      <c r="A100" s="26" t="s">
        <v>112</v>
      </c>
      <c r="B100" s="26" t="s">
        <v>6</v>
      </c>
      <c r="C100" s="26" t="s">
        <v>477</v>
      </c>
      <c r="D100" s="26" t="s">
        <v>115</v>
      </c>
      <c r="E100" s="26" t="s">
        <v>473</v>
      </c>
      <c r="F100" s="26" t="s">
        <v>474</v>
      </c>
      <c r="G100" s="26">
        <v>0</v>
      </c>
      <c r="H100" s="26">
        <v>31</v>
      </c>
      <c r="I100" s="26">
        <v>4</v>
      </c>
      <c r="J100" s="119">
        <v>5</v>
      </c>
      <c r="K100" s="122">
        <v>4</v>
      </c>
      <c r="L100" s="122"/>
      <c r="M100" s="122">
        <v>1</v>
      </c>
      <c r="N100" s="122"/>
      <c r="O100" s="122"/>
      <c r="P100" s="116">
        <v>26</v>
      </c>
      <c r="Q100" s="116">
        <v>31</v>
      </c>
      <c r="R100" s="116">
        <v>4</v>
      </c>
      <c r="S100" s="116">
        <v>31</v>
      </c>
      <c r="T100" s="116">
        <v>0</v>
      </c>
      <c r="U100" s="116">
        <v>0</v>
      </c>
      <c r="V100" s="116">
        <v>0</v>
      </c>
      <c r="W100" s="116">
        <v>0</v>
      </c>
      <c r="X100" s="30"/>
      <c r="Y100" s="30"/>
      <c r="Z100" s="30"/>
      <c r="AA100" s="30"/>
      <c r="AB100" s="126"/>
      <c r="AC100" s="126"/>
      <c r="AD100" s="126"/>
      <c r="AE100" s="126"/>
      <c r="AF100" s="126"/>
      <c r="AG100" s="126"/>
      <c r="AH100" s="117">
        <v>0</v>
      </c>
      <c r="AI100" s="116">
        <v>0</v>
      </c>
      <c r="AJ100" s="116">
        <v>0</v>
      </c>
      <c r="AK100" s="116">
        <v>0</v>
      </c>
      <c r="AL100" s="116">
        <v>0</v>
      </c>
      <c r="AM100" s="118">
        <v>0</v>
      </c>
      <c r="AN100" s="118">
        <v>0</v>
      </c>
      <c r="AO100" s="118" t="s">
        <v>475</v>
      </c>
      <c r="AP100" s="118">
        <v>31</v>
      </c>
    </row>
    <row r="101" spans="1:42" x14ac:dyDescent="0.15">
      <c r="A101" s="26" t="s">
        <v>112</v>
      </c>
      <c r="B101" s="26" t="s">
        <v>6</v>
      </c>
      <c r="C101" s="26" t="s">
        <v>477</v>
      </c>
      <c r="D101" s="26" t="s">
        <v>119</v>
      </c>
      <c r="E101" s="26" t="s">
        <v>473</v>
      </c>
      <c r="F101" s="26" t="s">
        <v>474</v>
      </c>
      <c r="G101" s="26">
        <v>0</v>
      </c>
      <c r="H101" s="26">
        <v>31</v>
      </c>
      <c r="I101" s="26">
        <v>4</v>
      </c>
      <c r="J101" s="119">
        <v>5</v>
      </c>
      <c r="K101" s="122">
        <v>4</v>
      </c>
      <c r="L101" s="122"/>
      <c r="M101" s="129">
        <v>1</v>
      </c>
      <c r="N101" s="122"/>
      <c r="O101" s="122"/>
      <c r="P101" s="116">
        <v>26</v>
      </c>
      <c r="Q101" s="116">
        <v>31</v>
      </c>
      <c r="R101" s="116">
        <v>4</v>
      </c>
      <c r="S101" s="116">
        <v>31</v>
      </c>
      <c r="T101" s="116">
        <v>0</v>
      </c>
      <c r="U101" s="116">
        <v>0</v>
      </c>
      <c r="V101" s="116">
        <v>0</v>
      </c>
      <c r="W101" s="116">
        <v>0</v>
      </c>
      <c r="X101" s="30">
        <v>90</v>
      </c>
      <c r="Y101" s="30"/>
      <c r="Z101" s="30"/>
      <c r="AA101" s="30"/>
      <c r="AB101" s="126"/>
      <c r="AC101" s="126"/>
      <c r="AD101" s="126"/>
      <c r="AE101" s="126"/>
      <c r="AF101" s="126"/>
      <c r="AG101" s="126"/>
      <c r="AH101" s="117">
        <v>0</v>
      </c>
      <c r="AI101" s="116">
        <v>0</v>
      </c>
      <c r="AJ101" s="116">
        <v>0</v>
      </c>
      <c r="AK101" s="116">
        <v>0</v>
      </c>
      <c r="AL101" s="116">
        <v>0</v>
      </c>
      <c r="AM101" s="118">
        <v>0</v>
      </c>
      <c r="AN101" s="118">
        <v>0</v>
      </c>
      <c r="AO101" s="118" t="s">
        <v>475</v>
      </c>
      <c r="AP101" s="118">
        <v>31</v>
      </c>
    </row>
    <row r="102" spans="1:42" x14ac:dyDescent="0.15">
      <c r="A102" s="26" t="s">
        <v>361</v>
      </c>
      <c r="B102" s="26" t="s">
        <v>479</v>
      </c>
      <c r="C102" s="26" t="s">
        <v>471</v>
      </c>
      <c r="D102" s="26" t="s">
        <v>514</v>
      </c>
      <c r="E102" s="26" t="s">
        <v>473</v>
      </c>
      <c r="F102" s="26" t="s">
        <v>474</v>
      </c>
      <c r="G102" s="26">
        <v>0</v>
      </c>
      <c r="H102" s="26">
        <v>31</v>
      </c>
      <c r="I102" s="26">
        <v>4</v>
      </c>
      <c r="J102" s="119">
        <v>4</v>
      </c>
      <c r="K102" s="122">
        <v>4</v>
      </c>
      <c r="L102" s="122"/>
      <c r="M102" s="122"/>
      <c r="N102" s="122"/>
      <c r="O102" s="122"/>
      <c r="P102" s="116">
        <v>27</v>
      </c>
      <c r="Q102" s="116">
        <v>31</v>
      </c>
      <c r="R102" s="116">
        <v>4</v>
      </c>
      <c r="S102" s="116">
        <v>31</v>
      </c>
      <c r="T102" s="116">
        <v>0</v>
      </c>
      <c r="U102" s="116">
        <v>0</v>
      </c>
      <c r="V102" s="116">
        <v>0</v>
      </c>
      <c r="W102" s="116">
        <v>0</v>
      </c>
      <c r="X102" s="30">
        <v>90</v>
      </c>
      <c r="Y102" s="30"/>
      <c r="Z102" s="30"/>
      <c r="AA102" s="30"/>
      <c r="AB102" s="126"/>
      <c r="AC102" s="126"/>
      <c r="AD102" s="126"/>
      <c r="AE102" s="126"/>
      <c r="AF102" s="126"/>
      <c r="AG102" s="126"/>
      <c r="AH102" s="117">
        <v>0</v>
      </c>
      <c r="AI102" s="116">
        <v>0</v>
      </c>
      <c r="AJ102" s="116">
        <v>0</v>
      </c>
      <c r="AK102" s="116">
        <v>0</v>
      </c>
      <c r="AL102" s="116">
        <v>0</v>
      </c>
      <c r="AM102" s="118">
        <v>0</v>
      </c>
      <c r="AN102" s="118">
        <v>0</v>
      </c>
      <c r="AO102" s="118" t="s">
        <v>475</v>
      </c>
      <c r="AP102" s="118">
        <v>31</v>
      </c>
    </row>
    <row r="103" spans="1:42" x14ac:dyDescent="0.15">
      <c r="A103" s="26" t="s">
        <v>245</v>
      </c>
      <c r="B103" s="26" t="s">
        <v>476</v>
      </c>
      <c r="C103" s="26" t="s">
        <v>477</v>
      </c>
      <c r="D103" s="26" t="s">
        <v>515</v>
      </c>
      <c r="E103" s="26" t="s">
        <v>473</v>
      </c>
      <c r="F103" s="26" t="s">
        <v>474</v>
      </c>
      <c r="G103" s="26">
        <v>0</v>
      </c>
      <c r="H103" s="26">
        <v>31</v>
      </c>
      <c r="I103" s="26">
        <v>4</v>
      </c>
      <c r="J103" s="119">
        <v>5</v>
      </c>
      <c r="K103" s="122">
        <v>4</v>
      </c>
      <c r="L103" s="122"/>
      <c r="M103" s="130">
        <v>1</v>
      </c>
      <c r="N103" s="122"/>
      <c r="O103" s="122"/>
      <c r="P103" s="116">
        <v>26</v>
      </c>
      <c r="Q103" s="116">
        <v>31</v>
      </c>
      <c r="R103" s="116">
        <v>4</v>
      </c>
      <c r="S103" s="116">
        <v>31</v>
      </c>
      <c r="T103" s="116">
        <v>0</v>
      </c>
      <c r="U103" s="116">
        <v>0</v>
      </c>
      <c r="V103" s="116">
        <v>0</v>
      </c>
      <c r="W103" s="116">
        <v>0</v>
      </c>
      <c r="X103" s="30"/>
      <c r="Y103" s="30"/>
      <c r="Z103" s="30"/>
      <c r="AA103" s="30"/>
      <c r="AB103" s="126"/>
      <c r="AC103" s="126"/>
      <c r="AD103" s="126"/>
      <c r="AE103" s="126"/>
      <c r="AF103" s="126"/>
      <c r="AG103" s="126"/>
      <c r="AH103" s="117">
        <v>0</v>
      </c>
      <c r="AI103" s="116">
        <v>0</v>
      </c>
      <c r="AJ103" s="116">
        <v>0</v>
      </c>
      <c r="AK103" s="116">
        <v>0</v>
      </c>
      <c r="AL103" s="116">
        <v>0</v>
      </c>
      <c r="AM103" s="118">
        <v>0</v>
      </c>
      <c r="AN103" s="118">
        <v>0</v>
      </c>
      <c r="AO103" s="118" t="s">
        <v>475</v>
      </c>
      <c r="AP103" s="118">
        <v>31</v>
      </c>
    </row>
    <row r="104" spans="1:42" x14ac:dyDescent="0.15">
      <c r="A104" s="26" t="s">
        <v>245</v>
      </c>
      <c r="B104" s="26" t="s">
        <v>470</v>
      </c>
      <c r="C104" s="26" t="s">
        <v>471</v>
      </c>
      <c r="D104" s="26" t="s">
        <v>516</v>
      </c>
      <c r="E104" s="26" t="s">
        <v>473</v>
      </c>
      <c r="F104" s="26" t="s">
        <v>474</v>
      </c>
      <c r="G104" s="26">
        <v>0</v>
      </c>
      <c r="H104" s="26">
        <v>31</v>
      </c>
      <c r="I104" s="26">
        <v>4</v>
      </c>
      <c r="J104" s="119">
        <v>3</v>
      </c>
      <c r="K104" s="122">
        <v>3</v>
      </c>
      <c r="L104" s="122"/>
      <c r="M104" s="122"/>
      <c r="N104" s="122"/>
      <c r="O104" s="122"/>
      <c r="P104" s="116">
        <v>28</v>
      </c>
      <c r="Q104" s="116">
        <v>31</v>
      </c>
      <c r="R104" s="116">
        <v>4</v>
      </c>
      <c r="S104" s="116">
        <v>31</v>
      </c>
      <c r="T104" s="116">
        <v>0</v>
      </c>
      <c r="U104" s="116">
        <v>0</v>
      </c>
      <c r="V104" s="116">
        <v>0</v>
      </c>
      <c r="W104" s="116">
        <v>0</v>
      </c>
      <c r="X104" s="30">
        <v>20</v>
      </c>
      <c r="Y104" s="30"/>
      <c r="Z104" s="30"/>
      <c r="AA104" s="30"/>
      <c r="AB104" s="126"/>
      <c r="AC104" s="126"/>
      <c r="AD104" s="126"/>
      <c r="AE104" s="126"/>
      <c r="AF104" s="126"/>
      <c r="AG104" s="126"/>
      <c r="AH104" s="117">
        <v>0</v>
      </c>
      <c r="AI104" s="116">
        <v>0</v>
      </c>
      <c r="AJ104" s="116">
        <v>0</v>
      </c>
      <c r="AK104" s="116">
        <v>0</v>
      </c>
      <c r="AL104" s="116">
        <v>0</v>
      </c>
      <c r="AM104" s="118">
        <v>0</v>
      </c>
      <c r="AN104" s="118">
        <v>0</v>
      </c>
      <c r="AO104" s="118" t="s">
        <v>475</v>
      </c>
      <c r="AP104" s="118">
        <v>31</v>
      </c>
    </row>
    <row r="105" spans="1:42" x14ac:dyDescent="0.15">
      <c r="A105" s="26" t="s">
        <v>245</v>
      </c>
      <c r="B105" s="26" t="s">
        <v>6</v>
      </c>
      <c r="C105" s="26" t="s">
        <v>477</v>
      </c>
      <c r="D105" s="26" t="s">
        <v>246</v>
      </c>
      <c r="E105" s="26" t="s">
        <v>473</v>
      </c>
      <c r="F105" s="26" t="s">
        <v>474</v>
      </c>
      <c r="G105" s="26">
        <v>0</v>
      </c>
      <c r="H105" s="26">
        <v>31</v>
      </c>
      <c r="I105" s="26">
        <v>4</v>
      </c>
      <c r="J105" s="119">
        <v>4</v>
      </c>
      <c r="K105" s="122">
        <v>4</v>
      </c>
      <c r="L105" s="122"/>
      <c r="M105" s="122"/>
      <c r="N105" s="122"/>
      <c r="O105" s="122"/>
      <c r="P105" s="116">
        <v>27</v>
      </c>
      <c r="Q105" s="116">
        <v>31</v>
      </c>
      <c r="R105" s="116">
        <v>4</v>
      </c>
      <c r="S105" s="116">
        <v>31</v>
      </c>
      <c r="T105" s="116">
        <v>0</v>
      </c>
      <c r="U105" s="116">
        <v>0</v>
      </c>
      <c r="V105" s="116">
        <v>0</v>
      </c>
      <c r="W105" s="116">
        <v>0</v>
      </c>
      <c r="X105" s="30"/>
      <c r="Y105" s="30"/>
      <c r="Z105" s="30">
        <v>50</v>
      </c>
      <c r="AA105" s="30"/>
      <c r="AB105" s="126"/>
      <c r="AC105" s="126"/>
      <c r="AD105" s="126"/>
      <c r="AE105" s="126"/>
      <c r="AF105" s="126"/>
      <c r="AG105" s="126"/>
      <c r="AH105" s="117">
        <v>0</v>
      </c>
      <c r="AI105" s="116">
        <v>0</v>
      </c>
      <c r="AJ105" s="116">
        <v>0</v>
      </c>
      <c r="AK105" s="116">
        <v>0</v>
      </c>
      <c r="AL105" s="116">
        <v>0</v>
      </c>
      <c r="AM105" s="118">
        <v>0</v>
      </c>
      <c r="AN105" s="118">
        <v>0</v>
      </c>
      <c r="AO105" s="118" t="s">
        <v>475</v>
      </c>
      <c r="AP105" s="118">
        <v>31</v>
      </c>
    </row>
    <row r="106" spans="1:42" x14ac:dyDescent="0.15">
      <c r="A106" s="26" t="s">
        <v>245</v>
      </c>
      <c r="B106" s="26" t="s">
        <v>6</v>
      </c>
      <c r="C106" s="26" t="s">
        <v>477</v>
      </c>
      <c r="D106" s="26" t="s">
        <v>249</v>
      </c>
      <c r="E106" s="26" t="s">
        <v>473</v>
      </c>
      <c r="F106" s="26" t="s">
        <v>474</v>
      </c>
      <c r="G106" s="26">
        <v>0</v>
      </c>
      <c r="H106" s="26">
        <v>31</v>
      </c>
      <c r="I106" s="26">
        <v>4</v>
      </c>
      <c r="J106" s="119">
        <v>5</v>
      </c>
      <c r="K106" s="122">
        <v>4</v>
      </c>
      <c r="L106" s="122"/>
      <c r="M106" s="122">
        <v>1</v>
      </c>
      <c r="N106" s="122"/>
      <c r="O106" s="122"/>
      <c r="P106" s="116">
        <v>26</v>
      </c>
      <c r="Q106" s="116">
        <v>31</v>
      </c>
      <c r="R106" s="116">
        <v>4</v>
      </c>
      <c r="S106" s="116">
        <v>31</v>
      </c>
      <c r="T106" s="116">
        <v>0</v>
      </c>
      <c r="U106" s="116">
        <v>0</v>
      </c>
      <c r="V106" s="116">
        <v>0</v>
      </c>
      <c r="W106" s="116">
        <v>0</v>
      </c>
      <c r="X106" s="30"/>
      <c r="Y106" s="30"/>
      <c r="Z106" s="30"/>
      <c r="AA106" s="30"/>
      <c r="AB106" s="126"/>
      <c r="AC106" s="126"/>
      <c r="AD106" s="126"/>
      <c r="AE106" s="126"/>
      <c r="AF106" s="126"/>
      <c r="AG106" s="126"/>
      <c r="AH106" s="117">
        <v>0</v>
      </c>
      <c r="AI106" s="116">
        <v>0</v>
      </c>
      <c r="AJ106" s="116">
        <v>0</v>
      </c>
      <c r="AK106" s="116">
        <v>0</v>
      </c>
      <c r="AL106" s="116">
        <v>0</v>
      </c>
      <c r="AM106" s="118">
        <v>0</v>
      </c>
      <c r="AN106" s="118">
        <v>0</v>
      </c>
      <c r="AO106" s="118" t="s">
        <v>475</v>
      </c>
      <c r="AP106" s="118">
        <v>31</v>
      </c>
    </row>
    <row r="107" spans="1:42" x14ac:dyDescent="0.15">
      <c r="A107" s="26" t="s">
        <v>245</v>
      </c>
      <c r="B107" s="26" t="s">
        <v>6</v>
      </c>
      <c r="C107" s="26" t="s">
        <v>477</v>
      </c>
      <c r="D107" s="26" t="s">
        <v>247</v>
      </c>
      <c r="E107" s="26" t="s">
        <v>473</v>
      </c>
      <c r="F107" s="26" t="s">
        <v>474</v>
      </c>
      <c r="G107" s="26">
        <v>0</v>
      </c>
      <c r="H107" s="26">
        <v>31</v>
      </c>
      <c r="I107" s="26">
        <v>4</v>
      </c>
      <c r="J107" s="119">
        <v>5</v>
      </c>
      <c r="K107" s="122">
        <v>4</v>
      </c>
      <c r="L107" s="122"/>
      <c r="M107" s="122">
        <v>1</v>
      </c>
      <c r="N107" s="122"/>
      <c r="O107" s="122"/>
      <c r="P107" s="116">
        <v>26</v>
      </c>
      <c r="Q107" s="116">
        <v>31</v>
      </c>
      <c r="R107" s="116">
        <v>4</v>
      </c>
      <c r="S107" s="116">
        <v>31</v>
      </c>
      <c r="T107" s="116">
        <v>0</v>
      </c>
      <c r="U107" s="116">
        <v>0</v>
      </c>
      <c r="V107" s="116">
        <v>0</v>
      </c>
      <c r="W107" s="116">
        <v>0</v>
      </c>
      <c r="X107" s="30"/>
      <c r="Y107" s="30"/>
      <c r="Z107" s="30"/>
      <c r="AA107" s="30"/>
      <c r="AB107" s="126"/>
      <c r="AC107" s="126"/>
      <c r="AD107" s="126"/>
      <c r="AE107" s="126"/>
      <c r="AF107" s="126"/>
      <c r="AG107" s="126"/>
      <c r="AH107" s="117">
        <v>0</v>
      </c>
      <c r="AI107" s="116">
        <v>0</v>
      </c>
      <c r="AJ107" s="116">
        <v>0</v>
      </c>
      <c r="AK107" s="116">
        <v>0</v>
      </c>
      <c r="AL107" s="116">
        <v>0</v>
      </c>
      <c r="AM107" s="118">
        <v>0</v>
      </c>
      <c r="AN107" s="118">
        <v>0</v>
      </c>
      <c r="AO107" s="118" t="s">
        <v>475</v>
      </c>
      <c r="AP107" s="118">
        <v>31</v>
      </c>
    </row>
    <row r="108" spans="1:42" x14ac:dyDescent="0.15">
      <c r="A108" s="26" t="s">
        <v>245</v>
      </c>
      <c r="B108" s="26" t="s">
        <v>6</v>
      </c>
      <c r="C108" s="26" t="s">
        <v>477</v>
      </c>
      <c r="D108" s="26" t="s">
        <v>250</v>
      </c>
      <c r="E108" s="26" t="s">
        <v>473</v>
      </c>
      <c r="F108" s="26" t="s">
        <v>474</v>
      </c>
      <c r="G108" s="26">
        <v>0</v>
      </c>
      <c r="H108" s="26">
        <v>31</v>
      </c>
      <c r="I108" s="26">
        <v>4</v>
      </c>
      <c r="J108" s="119">
        <v>5</v>
      </c>
      <c r="K108" s="122">
        <v>4</v>
      </c>
      <c r="L108" s="122"/>
      <c r="M108" s="122">
        <v>1</v>
      </c>
      <c r="N108" s="122"/>
      <c r="O108" s="122"/>
      <c r="P108" s="116">
        <v>26</v>
      </c>
      <c r="Q108" s="116">
        <v>31</v>
      </c>
      <c r="R108" s="116">
        <v>4</v>
      </c>
      <c r="S108" s="116">
        <v>31</v>
      </c>
      <c r="T108" s="116">
        <v>0</v>
      </c>
      <c r="U108" s="116">
        <v>0</v>
      </c>
      <c r="V108" s="116">
        <v>0</v>
      </c>
      <c r="W108" s="116">
        <v>0</v>
      </c>
      <c r="X108" s="30"/>
      <c r="Y108" s="30"/>
      <c r="Z108" s="30"/>
      <c r="AA108" s="30"/>
      <c r="AB108" s="126"/>
      <c r="AC108" s="126"/>
      <c r="AD108" s="126"/>
      <c r="AE108" s="126"/>
      <c r="AF108" s="126"/>
      <c r="AG108" s="126"/>
      <c r="AH108" s="117">
        <v>0</v>
      </c>
      <c r="AI108" s="116">
        <v>0</v>
      </c>
      <c r="AJ108" s="116">
        <v>0</v>
      </c>
      <c r="AK108" s="116">
        <v>0</v>
      </c>
      <c r="AL108" s="116">
        <v>0</v>
      </c>
      <c r="AM108" s="118">
        <v>0</v>
      </c>
      <c r="AN108" s="118">
        <v>0</v>
      </c>
      <c r="AO108" s="118" t="s">
        <v>475</v>
      </c>
      <c r="AP108" s="118">
        <v>31</v>
      </c>
    </row>
    <row r="109" spans="1:42" x14ac:dyDescent="0.15">
      <c r="A109" s="26" t="s">
        <v>245</v>
      </c>
      <c r="B109" s="26" t="s">
        <v>6</v>
      </c>
      <c r="C109" s="26" t="s">
        <v>477</v>
      </c>
      <c r="D109" s="26" t="s">
        <v>248</v>
      </c>
      <c r="E109" s="26" t="s">
        <v>473</v>
      </c>
      <c r="F109" s="26" t="s">
        <v>474</v>
      </c>
      <c r="G109" s="26">
        <v>0</v>
      </c>
      <c r="H109" s="26">
        <v>31</v>
      </c>
      <c r="I109" s="26">
        <v>4</v>
      </c>
      <c r="J109" s="119">
        <v>4</v>
      </c>
      <c r="K109" s="122">
        <v>4</v>
      </c>
      <c r="L109" s="122"/>
      <c r="M109" s="122"/>
      <c r="N109" s="122"/>
      <c r="O109" s="122"/>
      <c r="P109" s="116">
        <v>27</v>
      </c>
      <c r="Q109" s="116">
        <v>31</v>
      </c>
      <c r="R109" s="116">
        <v>4</v>
      </c>
      <c r="S109" s="116">
        <v>31</v>
      </c>
      <c r="T109" s="116">
        <v>0</v>
      </c>
      <c r="U109" s="116">
        <v>0</v>
      </c>
      <c r="V109" s="116">
        <v>0</v>
      </c>
      <c r="W109" s="116">
        <v>0</v>
      </c>
      <c r="X109" s="30"/>
      <c r="Y109" s="30"/>
      <c r="Z109" s="30"/>
      <c r="AA109" s="30"/>
      <c r="AB109" s="126">
        <v>900</v>
      </c>
      <c r="AC109" s="126"/>
      <c r="AD109" s="126"/>
      <c r="AE109" s="126">
        <v>300</v>
      </c>
      <c r="AF109" s="126"/>
      <c r="AG109" s="126"/>
      <c r="AH109" s="117">
        <v>0</v>
      </c>
      <c r="AI109" s="116">
        <v>0</v>
      </c>
      <c r="AJ109" s="116">
        <v>0</v>
      </c>
      <c r="AK109" s="116">
        <v>0</v>
      </c>
      <c r="AL109" s="116">
        <v>0</v>
      </c>
      <c r="AM109" s="118">
        <v>0</v>
      </c>
      <c r="AN109" s="118">
        <v>0</v>
      </c>
      <c r="AO109" s="118" t="s">
        <v>475</v>
      </c>
      <c r="AP109" s="118">
        <v>31</v>
      </c>
    </row>
    <row r="110" spans="1:42" x14ac:dyDescent="0.15">
      <c r="A110" s="26" t="s">
        <v>355</v>
      </c>
      <c r="B110" s="26" t="s">
        <v>500</v>
      </c>
      <c r="C110" s="26" t="s">
        <v>471</v>
      </c>
      <c r="D110" s="26" t="s">
        <v>517</v>
      </c>
      <c r="E110" s="26" t="s">
        <v>473</v>
      </c>
      <c r="F110" s="26" t="s">
        <v>474</v>
      </c>
      <c r="G110" s="26">
        <v>0</v>
      </c>
      <c r="H110" s="26">
        <v>31</v>
      </c>
      <c r="I110" s="26">
        <v>4</v>
      </c>
      <c r="J110" s="119">
        <v>5</v>
      </c>
      <c r="K110" s="122">
        <v>4</v>
      </c>
      <c r="L110" s="122"/>
      <c r="M110" s="122">
        <v>1</v>
      </c>
      <c r="N110" s="122"/>
      <c r="O110" s="122"/>
      <c r="P110" s="116">
        <v>26</v>
      </c>
      <c r="Q110" s="116">
        <v>31</v>
      </c>
      <c r="R110" s="116">
        <v>4</v>
      </c>
      <c r="S110" s="116">
        <v>31</v>
      </c>
      <c r="T110" s="116">
        <v>0</v>
      </c>
      <c r="U110" s="116">
        <v>0</v>
      </c>
      <c r="V110" s="116">
        <v>0</v>
      </c>
      <c r="W110" s="116">
        <v>0</v>
      </c>
      <c r="X110" s="30">
        <v>180</v>
      </c>
      <c r="Y110" s="30">
        <v>10</v>
      </c>
      <c r="Z110" s="30"/>
      <c r="AA110" s="30"/>
      <c r="AB110" s="126"/>
      <c r="AC110" s="126"/>
      <c r="AD110" s="126"/>
      <c r="AE110" s="126"/>
      <c r="AF110" s="126"/>
      <c r="AG110" s="126"/>
      <c r="AH110" s="117">
        <v>0</v>
      </c>
      <c r="AI110" s="116">
        <v>0</v>
      </c>
      <c r="AJ110" s="116">
        <v>0</v>
      </c>
      <c r="AK110" s="116">
        <v>0</v>
      </c>
      <c r="AL110" s="116">
        <v>0</v>
      </c>
      <c r="AM110" s="118">
        <v>0</v>
      </c>
      <c r="AN110" s="118">
        <v>0</v>
      </c>
      <c r="AO110" s="118" t="s">
        <v>475</v>
      </c>
      <c r="AP110" s="118">
        <v>31</v>
      </c>
    </row>
    <row r="111" spans="1:42" x14ac:dyDescent="0.15">
      <c r="A111" s="26" t="s">
        <v>209</v>
      </c>
      <c r="B111" s="26" t="s">
        <v>470</v>
      </c>
      <c r="C111" s="26" t="s">
        <v>471</v>
      </c>
      <c r="D111" s="26" t="s">
        <v>518</v>
      </c>
      <c r="E111" s="26" t="s">
        <v>473</v>
      </c>
      <c r="F111" s="26" t="s">
        <v>474</v>
      </c>
      <c r="G111" s="26">
        <v>0</v>
      </c>
      <c r="H111" s="26">
        <v>31</v>
      </c>
      <c r="I111" s="26">
        <v>4</v>
      </c>
      <c r="J111" s="119">
        <v>4</v>
      </c>
      <c r="K111" s="122">
        <v>4</v>
      </c>
      <c r="L111" s="122"/>
      <c r="M111" s="122"/>
      <c r="N111" s="122"/>
      <c r="O111" s="122"/>
      <c r="P111" s="116">
        <v>27</v>
      </c>
      <c r="Q111" s="116">
        <v>31</v>
      </c>
      <c r="R111" s="116">
        <v>4</v>
      </c>
      <c r="S111" s="116">
        <v>31</v>
      </c>
      <c r="T111" s="116">
        <v>0</v>
      </c>
      <c r="U111" s="116">
        <v>0</v>
      </c>
      <c r="V111" s="116">
        <v>0</v>
      </c>
      <c r="W111" s="116">
        <v>0</v>
      </c>
      <c r="X111" s="30"/>
      <c r="Y111" s="30"/>
      <c r="Z111" s="30"/>
      <c r="AA111" s="30"/>
      <c r="AB111" s="126"/>
      <c r="AC111" s="126"/>
      <c r="AD111" s="126"/>
      <c r="AE111" s="126"/>
      <c r="AF111" s="126"/>
      <c r="AG111" s="126"/>
      <c r="AH111" s="117">
        <v>0</v>
      </c>
      <c r="AI111" s="116">
        <v>0</v>
      </c>
      <c r="AJ111" s="116">
        <v>0</v>
      </c>
      <c r="AK111" s="116">
        <v>0</v>
      </c>
      <c r="AL111" s="116">
        <v>0</v>
      </c>
      <c r="AM111" s="118">
        <v>0</v>
      </c>
      <c r="AN111" s="118">
        <v>0</v>
      </c>
      <c r="AO111" s="118" t="s">
        <v>475</v>
      </c>
      <c r="AP111" s="118">
        <v>31</v>
      </c>
    </row>
    <row r="112" spans="1:42" x14ac:dyDescent="0.15">
      <c r="A112" s="26" t="s">
        <v>209</v>
      </c>
      <c r="B112" s="26" t="s">
        <v>6</v>
      </c>
      <c r="C112" s="26" t="s">
        <v>477</v>
      </c>
      <c r="D112" s="26" t="s">
        <v>215</v>
      </c>
      <c r="E112" s="26" t="s">
        <v>473</v>
      </c>
      <c r="F112" s="26" t="s">
        <v>474</v>
      </c>
      <c r="G112" s="26">
        <v>0</v>
      </c>
      <c r="H112" s="26">
        <v>31</v>
      </c>
      <c r="I112" s="26">
        <v>4</v>
      </c>
      <c r="J112" s="119">
        <v>4</v>
      </c>
      <c r="K112" s="122">
        <v>4</v>
      </c>
      <c r="L112" s="122"/>
      <c r="M112" s="122"/>
      <c r="N112" s="122"/>
      <c r="O112" s="122"/>
      <c r="P112" s="116">
        <v>27</v>
      </c>
      <c r="Q112" s="116">
        <v>31</v>
      </c>
      <c r="R112" s="116">
        <v>4</v>
      </c>
      <c r="S112" s="116">
        <v>31</v>
      </c>
      <c r="T112" s="116">
        <v>0</v>
      </c>
      <c r="U112" s="116">
        <v>0</v>
      </c>
      <c r="V112" s="116">
        <v>0</v>
      </c>
      <c r="W112" s="116">
        <v>0</v>
      </c>
      <c r="X112" s="30"/>
      <c r="Y112" s="30"/>
      <c r="Z112" s="30"/>
      <c r="AA112" s="30"/>
      <c r="AB112" s="126"/>
      <c r="AC112" s="126">
        <v>100</v>
      </c>
      <c r="AD112" s="126"/>
      <c r="AE112" s="126"/>
      <c r="AF112" s="126"/>
      <c r="AG112" s="126"/>
      <c r="AH112" s="117">
        <v>0</v>
      </c>
      <c r="AI112" s="116">
        <v>0</v>
      </c>
      <c r="AJ112" s="116">
        <v>0</v>
      </c>
      <c r="AK112" s="116">
        <v>0</v>
      </c>
      <c r="AL112" s="116">
        <v>0</v>
      </c>
      <c r="AM112" s="118">
        <v>0</v>
      </c>
      <c r="AN112" s="118">
        <v>0</v>
      </c>
      <c r="AO112" s="118" t="s">
        <v>475</v>
      </c>
      <c r="AP112" s="118">
        <v>31</v>
      </c>
    </row>
    <row r="113" spans="1:42" x14ac:dyDescent="0.15">
      <c r="A113" s="26" t="s">
        <v>209</v>
      </c>
      <c r="B113" s="26" t="s">
        <v>6</v>
      </c>
      <c r="C113" s="26" t="s">
        <v>477</v>
      </c>
      <c r="D113" s="26" t="s">
        <v>214</v>
      </c>
      <c r="E113" s="26" t="s">
        <v>473</v>
      </c>
      <c r="F113" s="26" t="s">
        <v>474</v>
      </c>
      <c r="G113" s="26">
        <v>0</v>
      </c>
      <c r="H113" s="26">
        <v>31</v>
      </c>
      <c r="I113" s="26">
        <v>4</v>
      </c>
      <c r="J113" s="119">
        <v>4</v>
      </c>
      <c r="K113" s="122">
        <v>4</v>
      </c>
      <c r="L113" s="122"/>
      <c r="M113" s="122"/>
      <c r="N113" s="122"/>
      <c r="O113" s="122"/>
      <c r="P113" s="116">
        <v>27</v>
      </c>
      <c r="Q113" s="116">
        <v>31</v>
      </c>
      <c r="R113" s="116">
        <v>4</v>
      </c>
      <c r="S113" s="116">
        <v>31</v>
      </c>
      <c r="T113" s="116">
        <v>0</v>
      </c>
      <c r="U113" s="116">
        <v>0</v>
      </c>
      <c r="V113" s="116">
        <v>0</v>
      </c>
      <c r="W113" s="116">
        <v>0</v>
      </c>
      <c r="X113" s="30">
        <v>20</v>
      </c>
      <c r="Y113" s="30"/>
      <c r="Z113" s="30"/>
      <c r="AA113" s="30"/>
      <c r="AB113" s="126"/>
      <c r="AC113" s="126">
        <v>100</v>
      </c>
      <c r="AD113" s="126"/>
      <c r="AE113" s="126">
        <v>300</v>
      </c>
      <c r="AF113" s="126"/>
      <c r="AG113" s="126"/>
      <c r="AH113" s="117">
        <v>0</v>
      </c>
      <c r="AI113" s="116">
        <v>0</v>
      </c>
      <c r="AJ113" s="116">
        <v>0</v>
      </c>
      <c r="AK113" s="116">
        <v>0</v>
      </c>
      <c r="AL113" s="116">
        <v>0</v>
      </c>
      <c r="AM113" s="118">
        <v>0</v>
      </c>
      <c r="AN113" s="118">
        <v>0</v>
      </c>
      <c r="AO113" s="118" t="s">
        <v>475</v>
      </c>
      <c r="AP113" s="118">
        <v>31</v>
      </c>
    </row>
    <row r="114" spans="1:42" x14ac:dyDescent="0.15">
      <c r="A114" s="26" t="s">
        <v>209</v>
      </c>
      <c r="B114" s="26" t="s">
        <v>6</v>
      </c>
      <c r="C114" s="26" t="s">
        <v>477</v>
      </c>
      <c r="D114" s="26" t="s">
        <v>211</v>
      </c>
      <c r="E114" s="26" t="s">
        <v>473</v>
      </c>
      <c r="F114" s="26" t="s">
        <v>474</v>
      </c>
      <c r="G114" s="26">
        <v>0</v>
      </c>
      <c r="H114" s="26">
        <v>31</v>
      </c>
      <c r="I114" s="26">
        <v>4</v>
      </c>
      <c r="J114" s="119">
        <v>4</v>
      </c>
      <c r="K114" s="122">
        <v>4</v>
      </c>
      <c r="L114" s="122"/>
      <c r="M114" s="122"/>
      <c r="N114" s="122"/>
      <c r="O114" s="122"/>
      <c r="P114" s="116">
        <v>27</v>
      </c>
      <c r="Q114" s="116">
        <v>31</v>
      </c>
      <c r="R114" s="116">
        <v>4</v>
      </c>
      <c r="S114" s="116">
        <v>31</v>
      </c>
      <c r="T114" s="116">
        <v>0</v>
      </c>
      <c r="U114" s="116">
        <v>0</v>
      </c>
      <c r="V114" s="116">
        <v>0</v>
      </c>
      <c r="W114" s="116">
        <v>0</v>
      </c>
      <c r="X114" s="30"/>
      <c r="Y114" s="30"/>
      <c r="Z114" s="30">
        <v>50</v>
      </c>
      <c r="AA114" s="30"/>
      <c r="AB114" s="126"/>
      <c r="AC114" s="126"/>
      <c r="AD114" s="126"/>
      <c r="AE114" s="126"/>
      <c r="AF114" s="126"/>
      <c r="AG114" s="126"/>
      <c r="AH114" s="117">
        <v>0</v>
      </c>
      <c r="AI114" s="116">
        <v>0</v>
      </c>
      <c r="AJ114" s="116">
        <v>0</v>
      </c>
      <c r="AK114" s="116">
        <v>0</v>
      </c>
      <c r="AL114" s="116">
        <v>0</v>
      </c>
      <c r="AM114" s="118">
        <v>0</v>
      </c>
      <c r="AN114" s="118">
        <v>0</v>
      </c>
      <c r="AO114" s="118" t="s">
        <v>475</v>
      </c>
      <c r="AP114" s="118">
        <v>31</v>
      </c>
    </row>
    <row r="115" spans="1:42" x14ac:dyDescent="0.15">
      <c r="A115" s="26" t="s">
        <v>209</v>
      </c>
      <c r="B115" s="26" t="s">
        <v>6</v>
      </c>
      <c r="C115" s="26" t="s">
        <v>477</v>
      </c>
      <c r="D115" s="26" t="s">
        <v>212</v>
      </c>
      <c r="E115" s="26" t="s">
        <v>473</v>
      </c>
      <c r="F115" s="26" t="s">
        <v>474</v>
      </c>
      <c r="G115" s="26">
        <v>0</v>
      </c>
      <c r="H115" s="26">
        <v>31</v>
      </c>
      <c r="I115" s="26">
        <v>4</v>
      </c>
      <c r="J115" s="119">
        <v>4</v>
      </c>
      <c r="K115" s="122">
        <v>4</v>
      </c>
      <c r="L115" s="122"/>
      <c r="M115" s="122"/>
      <c r="N115" s="122"/>
      <c r="O115" s="122"/>
      <c r="P115" s="116">
        <v>27</v>
      </c>
      <c r="Q115" s="116">
        <v>31</v>
      </c>
      <c r="R115" s="116">
        <v>4</v>
      </c>
      <c r="S115" s="116">
        <v>31</v>
      </c>
      <c r="T115" s="116">
        <v>0</v>
      </c>
      <c r="U115" s="116">
        <v>0</v>
      </c>
      <c r="V115" s="116">
        <v>0</v>
      </c>
      <c r="W115" s="116">
        <v>0</v>
      </c>
      <c r="X115" s="30">
        <v>20</v>
      </c>
      <c r="Y115" s="30"/>
      <c r="Z115" s="30"/>
      <c r="AA115" s="30"/>
      <c r="AB115" s="126"/>
      <c r="AC115" s="126">
        <v>100</v>
      </c>
      <c r="AD115" s="126"/>
      <c r="AE115" s="126"/>
      <c r="AF115" s="126"/>
      <c r="AG115" s="126"/>
      <c r="AH115" s="117">
        <v>0</v>
      </c>
      <c r="AI115" s="116">
        <v>0</v>
      </c>
      <c r="AJ115" s="116">
        <v>0</v>
      </c>
      <c r="AK115" s="116">
        <v>0</v>
      </c>
      <c r="AL115" s="116">
        <v>0</v>
      </c>
      <c r="AM115" s="118">
        <v>0</v>
      </c>
      <c r="AN115" s="118">
        <v>0</v>
      </c>
      <c r="AO115" s="118" t="s">
        <v>475</v>
      </c>
      <c r="AP115" s="118">
        <v>31</v>
      </c>
    </row>
    <row r="116" spans="1:42" x14ac:dyDescent="0.15">
      <c r="A116" s="26" t="s">
        <v>209</v>
      </c>
      <c r="B116" s="26" t="s">
        <v>476</v>
      </c>
      <c r="C116" s="26" t="s">
        <v>477</v>
      </c>
      <c r="D116" s="26" t="s">
        <v>519</v>
      </c>
      <c r="E116" s="26" t="s">
        <v>473</v>
      </c>
      <c r="F116" s="26" t="s">
        <v>474</v>
      </c>
      <c r="G116" s="26">
        <v>0</v>
      </c>
      <c r="H116" s="26">
        <v>15</v>
      </c>
      <c r="I116" s="26">
        <v>2</v>
      </c>
      <c r="J116" s="119">
        <v>2</v>
      </c>
      <c r="K116" s="122">
        <v>2</v>
      </c>
      <c r="L116" s="122"/>
      <c r="M116" s="122"/>
      <c r="N116" s="122"/>
      <c r="O116" s="122"/>
      <c r="P116" s="116">
        <v>13</v>
      </c>
      <c r="Q116" s="116">
        <v>15</v>
      </c>
      <c r="R116" s="116">
        <v>2</v>
      </c>
      <c r="S116" s="116">
        <v>15</v>
      </c>
      <c r="T116" s="116">
        <v>0</v>
      </c>
      <c r="U116" s="116">
        <v>0</v>
      </c>
      <c r="V116" s="116">
        <v>0</v>
      </c>
      <c r="W116" s="116">
        <v>0</v>
      </c>
      <c r="X116" s="30">
        <v>10</v>
      </c>
      <c r="Y116" s="30"/>
      <c r="Z116" s="30"/>
      <c r="AA116" s="30"/>
      <c r="AB116" s="126"/>
      <c r="AC116" s="126"/>
      <c r="AD116" s="126"/>
      <c r="AE116" s="126"/>
      <c r="AF116" s="126"/>
      <c r="AG116" s="126"/>
      <c r="AH116" s="117">
        <v>0</v>
      </c>
      <c r="AI116" s="116">
        <v>0</v>
      </c>
      <c r="AJ116" s="116">
        <v>0</v>
      </c>
      <c r="AK116" s="116">
        <v>0</v>
      </c>
      <c r="AL116" s="116">
        <v>0</v>
      </c>
      <c r="AM116" s="118">
        <v>0</v>
      </c>
      <c r="AN116" s="118">
        <v>0</v>
      </c>
      <c r="AO116" s="118" t="s">
        <v>475</v>
      </c>
      <c r="AP116" s="118">
        <v>15</v>
      </c>
    </row>
    <row r="117" spans="1:42" x14ac:dyDescent="0.15">
      <c r="A117" s="26" t="s">
        <v>209</v>
      </c>
      <c r="B117" s="26" t="s">
        <v>6</v>
      </c>
      <c r="C117" s="26" t="s">
        <v>477</v>
      </c>
      <c r="D117" s="26" t="s">
        <v>216</v>
      </c>
      <c r="E117" s="26" t="s">
        <v>473</v>
      </c>
      <c r="F117" s="26" t="s">
        <v>474</v>
      </c>
      <c r="G117" s="26">
        <v>0</v>
      </c>
      <c r="H117" s="26">
        <v>31</v>
      </c>
      <c r="I117" s="26">
        <v>4</v>
      </c>
      <c r="J117" s="119">
        <v>4</v>
      </c>
      <c r="K117" s="122">
        <v>4</v>
      </c>
      <c r="L117" s="122"/>
      <c r="M117" s="122"/>
      <c r="N117" s="122"/>
      <c r="O117" s="122"/>
      <c r="P117" s="116">
        <v>27</v>
      </c>
      <c r="Q117" s="116">
        <v>31</v>
      </c>
      <c r="R117" s="116">
        <v>4</v>
      </c>
      <c r="S117" s="116">
        <v>31</v>
      </c>
      <c r="T117" s="116">
        <v>0</v>
      </c>
      <c r="U117" s="116">
        <v>0</v>
      </c>
      <c r="V117" s="116">
        <v>0</v>
      </c>
      <c r="W117" s="116">
        <v>0</v>
      </c>
      <c r="X117" s="30">
        <v>10</v>
      </c>
      <c r="Y117" s="30">
        <v>20</v>
      </c>
      <c r="Z117" s="30"/>
      <c r="AA117" s="30"/>
      <c r="AB117" s="126"/>
      <c r="AC117" s="126"/>
      <c r="AD117" s="126"/>
      <c r="AE117" s="126"/>
      <c r="AF117" s="126"/>
      <c r="AG117" s="126"/>
      <c r="AH117" s="117">
        <v>4000</v>
      </c>
      <c r="AI117" s="116">
        <v>0</v>
      </c>
      <c r="AJ117" s="116">
        <v>0</v>
      </c>
      <c r="AK117" s="116">
        <v>0</v>
      </c>
      <c r="AL117" s="116">
        <v>0</v>
      </c>
      <c r="AM117" s="118">
        <v>0</v>
      </c>
      <c r="AN117" s="118">
        <v>0</v>
      </c>
      <c r="AO117" s="118" t="s">
        <v>475</v>
      </c>
      <c r="AP117" s="118">
        <v>31</v>
      </c>
    </row>
    <row r="118" spans="1:42" x14ac:dyDescent="0.15">
      <c r="A118" s="26" t="s">
        <v>102</v>
      </c>
      <c r="B118" s="26" t="s">
        <v>6</v>
      </c>
      <c r="C118" s="26" t="s">
        <v>477</v>
      </c>
      <c r="D118" s="26" t="s">
        <v>108</v>
      </c>
      <c r="E118" s="26" t="s">
        <v>473</v>
      </c>
      <c r="F118" s="26" t="s">
        <v>474</v>
      </c>
      <c r="G118" s="26">
        <v>0</v>
      </c>
      <c r="H118" s="26">
        <v>31</v>
      </c>
      <c r="I118" s="26">
        <v>4</v>
      </c>
      <c r="J118" s="119">
        <v>5</v>
      </c>
      <c r="K118" s="122">
        <v>4</v>
      </c>
      <c r="L118" s="122"/>
      <c r="M118" s="122">
        <v>1</v>
      </c>
      <c r="N118" s="122"/>
      <c r="O118" s="122"/>
      <c r="P118" s="116">
        <v>26</v>
      </c>
      <c r="Q118" s="116">
        <v>31</v>
      </c>
      <c r="R118" s="116">
        <v>4</v>
      </c>
      <c r="S118" s="116">
        <v>31</v>
      </c>
      <c r="T118" s="116">
        <v>0</v>
      </c>
      <c r="U118" s="116">
        <v>0</v>
      </c>
      <c r="V118" s="116">
        <v>0</v>
      </c>
      <c r="W118" s="116">
        <v>0</v>
      </c>
      <c r="X118" s="30"/>
      <c r="Y118" s="30"/>
      <c r="Z118" s="30"/>
      <c r="AA118" s="30"/>
      <c r="AB118" s="126"/>
      <c r="AC118" s="126"/>
      <c r="AD118" s="126"/>
      <c r="AE118" s="126"/>
      <c r="AF118" s="126"/>
      <c r="AG118" s="126"/>
      <c r="AH118" s="117">
        <v>0</v>
      </c>
      <c r="AI118" s="116">
        <v>0</v>
      </c>
      <c r="AJ118" s="116">
        <v>0</v>
      </c>
      <c r="AK118" s="116">
        <v>0</v>
      </c>
      <c r="AL118" s="116">
        <v>0</v>
      </c>
      <c r="AM118" s="118">
        <v>0</v>
      </c>
      <c r="AN118" s="118">
        <v>0</v>
      </c>
      <c r="AO118" s="118" t="s">
        <v>475</v>
      </c>
      <c r="AP118" s="118">
        <v>31</v>
      </c>
    </row>
    <row r="119" spans="1:42" x14ac:dyDescent="0.15">
      <c r="A119" s="26" t="s">
        <v>102</v>
      </c>
      <c r="B119" s="26" t="s">
        <v>476</v>
      </c>
      <c r="C119" s="26" t="s">
        <v>477</v>
      </c>
      <c r="D119" s="26" t="s">
        <v>520</v>
      </c>
      <c r="E119" s="26" t="s">
        <v>473</v>
      </c>
      <c r="F119" s="26" t="s">
        <v>474</v>
      </c>
      <c r="G119" s="26">
        <v>0</v>
      </c>
      <c r="H119" s="26">
        <v>31</v>
      </c>
      <c r="I119" s="26">
        <v>4</v>
      </c>
      <c r="J119" s="119">
        <v>4</v>
      </c>
      <c r="K119" s="122">
        <v>4</v>
      </c>
      <c r="L119" s="122"/>
      <c r="M119" s="122"/>
      <c r="N119" s="122"/>
      <c r="O119" s="122"/>
      <c r="P119" s="116">
        <v>27</v>
      </c>
      <c r="Q119" s="116">
        <v>31</v>
      </c>
      <c r="R119" s="116">
        <v>4</v>
      </c>
      <c r="S119" s="116">
        <v>31</v>
      </c>
      <c r="T119" s="116">
        <v>0</v>
      </c>
      <c r="U119" s="116">
        <v>0</v>
      </c>
      <c r="V119" s="116">
        <v>0</v>
      </c>
      <c r="W119" s="116">
        <v>0</v>
      </c>
      <c r="X119" s="30"/>
      <c r="Y119" s="30"/>
      <c r="Z119" s="30"/>
      <c r="AA119" s="30"/>
      <c r="AB119" s="126"/>
      <c r="AC119" s="126"/>
      <c r="AD119" s="126"/>
      <c r="AE119" s="126"/>
      <c r="AF119" s="126"/>
      <c r="AG119" s="126"/>
      <c r="AH119" s="117">
        <v>0</v>
      </c>
      <c r="AI119" s="116">
        <v>0</v>
      </c>
      <c r="AJ119" s="116">
        <v>0</v>
      </c>
      <c r="AK119" s="116">
        <v>0</v>
      </c>
      <c r="AL119" s="116">
        <v>0</v>
      </c>
      <c r="AM119" s="118">
        <v>0</v>
      </c>
      <c r="AN119" s="118">
        <v>0</v>
      </c>
      <c r="AO119" s="118" t="s">
        <v>475</v>
      </c>
      <c r="AP119" s="118">
        <v>31</v>
      </c>
    </row>
    <row r="120" spans="1:42" x14ac:dyDescent="0.15">
      <c r="A120" s="26" t="s">
        <v>102</v>
      </c>
      <c r="B120" s="26" t="s">
        <v>6</v>
      </c>
      <c r="C120" s="26" t="s">
        <v>477</v>
      </c>
      <c r="D120" s="26" t="s">
        <v>109</v>
      </c>
      <c r="E120" s="26" t="s">
        <v>473</v>
      </c>
      <c r="F120" s="26" t="s">
        <v>474</v>
      </c>
      <c r="G120" s="26">
        <v>0</v>
      </c>
      <c r="H120" s="26">
        <v>31</v>
      </c>
      <c r="I120" s="26">
        <v>4</v>
      </c>
      <c r="J120" s="119">
        <v>4</v>
      </c>
      <c r="K120" s="122">
        <v>4</v>
      </c>
      <c r="L120" s="122"/>
      <c r="M120" s="122"/>
      <c r="N120" s="122"/>
      <c r="O120" s="122"/>
      <c r="P120" s="116">
        <v>27</v>
      </c>
      <c r="Q120" s="116">
        <v>31</v>
      </c>
      <c r="R120" s="116">
        <v>4</v>
      </c>
      <c r="S120" s="116">
        <v>31</v>
      </c>
      <c r="T120" s="116">
        <v>0</v>
      </c>
      <c r="U120" s="116">
        <v>0</v>
      </c>
      <c r="V120" s="116">
        <v>0</v>
      </c>
      <c r="W120" s="116">
        <v>0</v>
      </c>
      <c r="X120" s="30"/>
      <c r="Y120" s="30"/>
      <c r="Z120" s="30"/>
      <c r="AA120" s="30"/>
      <c r="AB120" s="126"/>
      <c r="AC120" s="126"/>
      <c r="AD120" s="126"/>
      <c r="AE120" s="126"/>
      <c r="AF120" s="126"/>
      <c r="AG120" s="126"/>
      <c r="AH120" s="117">
        <v>0</v>
      </c>
      <c r="AI120" s="116">
        <v>0</v>
      </c>
      <c r="AJ120" s="116">
        <v>0</v>
      </c>
      <c r="AK120" s="116">
        <v>0</v>
      </c>
      <c r="AL120" s="116">
        <v>0</v>
      </c>
      <c r="AM120" s="118">
        <v>0</v>
      </c>
      <c r="AN120" s="118">
        <v>0</v>
      </c>
      <c r="AO120" s="118" t="s">
        <v>475</v>
      </c>
      <c r="AP120" s="118">
        <v>31</v>
      </c>
    </row>
    <row r="121" spans="1:42" x14ac:dyDescent="0.15">
      <c r="A121" s="26" t="s">
        <v>102</v>
      </c>
      <c r="B121" s="26" t="s">
        <v>470</v>
      </c>
      <c r="C121" s="26" t="s">
        <v>471</v>
      </c>
      <c r="D121" s="26" t="s">
        <v>521</v>
      </c>
      <c r="E121" s="26" t="s">
        <v>473</v>
      </c>
      <c r="F121" s="26" t="s">
        <v>474</v>
      </c>
      <c r="G121" s="26">
        <v>0</v>
      </c>
      <c r="H121" s="26">
        <v>31</v>
      </c>
      <c r="I121" s="26">
        <v>4</v>
      </c>
      <c r="J121" s="116">
        <v>5</v>
      </c>
      <c r="K121" s="122">
        <v>4</v>
      </c>
      <c r="L121" s="122"/>
      <c r="M121" s="122">
        <v>1</v>
      </c>
      <c r="N121" s="122"/>
      <c r="O121" s="122"/>
      <c r="P121" s="116">
        <v>26</v>
      </c>
      <c r="Q121" s="116">
        <v>31</v>
      </c>
      <c r="R121" s="116">
        <v>4</v>
      </c>
      <c r="S121" s="116">
        <v>31</v>
      </c>
      <c r="T121" s="116">
        <v>0</v>
      </c>
      <c r="U121" s="116">
        <v>0</v>
      </c>
      <c r="V121" s="116">
        <v>0</v>
      </c>
      <c r="W121" s="116">
        <v>0</v>
      </c>
      <c r="X121" s="30">
        <v>10</v>
      </c>
      <c r="Y121" s="30"/>
      <c r="Z121" s="30"/>
      <c r="AA121" s="30"/>
      <c r="AB121" s="127"/>
      <c r="AC121" s="127"/>
      <c r="AD121" s="127"/>
      <c r="AE121" s="127"/>
      <c r="AF121" s="127"/>
      <c r="AG121" s="127"/>
      <c r="AH121" s="117">
        <v>0</v>
      </c>
      <c r="AI121" s="116">
        <v>0</v>
      </c>
      <c r="AJ121" s="116">
        <v>0</v>
      </c>
      <c r="AK121" s="116">
        <v>0</v>
      </c>
      <c r="AL121" s="116">
        <v>0</v>
      </c>
      <c r="AM121" s="118">
        <v>0</v>
      </c>
      <c r="AN121" s="118">
        <v>0</v>
      </c>
      <c r="AO121" s="118" t="s">
        <v>475</v>
      </c>
      <c r="AP121" s="118">
        <v>31</v>
      </c>
    </row>
    <row r="122" spans="1:42" x14ac:dyDescent="0.15">
      <c r="A122" s="26" t="s">
        <v>102</v>
      </c>
      <c r="B122" s="26" t="s">
        <v>6</v>
      </c>
      <c r="C122" s="26" t="s">
        <v>477</v>
      </c>
      <c r="D122" s="26" t="s">
        <v>105</v>
      </c>
      <c r="E122" s="26" t="s">
        <v>473</v>
      </c>
      <c r="F122" s="26" t="s">
        <v>474</v>
      </c>
      <c r="G122" s="26">
        <v>0</v>
      </c>
      <c r="H122" s="26">
        <v>31</v>
      </c>
      <c r="I122" s="26">
        <v>4</v>
      </c>
      <c r="J122" s="119">
        <v>4</v>
      </c>
      <c r="K122" s="122">
        <v>4</v>
      </c>
      <c r="L122" s="122"/>
      <c r="M122" s="122"/>
      <c r="N122" s="122"/>
      <c r="O122" s="122"/>
      <c r="P122" s="116">
        <v>27</v>
      </c>
      <c r="Q122" s="116">
        <v>31</v>
      </c>
      <c r="R122" s="116">
        <v>4</v>
      </c>
      <c r="S122" s="116">
        <v>31</v>
      </c>
      <c r="T122" s="116">
        <v>0</v>
      </c>
      <c r="U122" s="116">
        <v>0</v>
      </c>
      <c r="V122" s="116">
        <v>0</v>
      </c>
      <c r="W122" s="116">
        <v>0</v>
      </c>
      <c r="X122" s="30"/>
      <c r="Y122" s="30"/>
      <c r="Z122" s="30">
        <v>50</v>
      </c>
      <c r="AA122" s="30"/>
      <c r="AB122" s="126"/>
      <c r="AC122" s="126"/>
      <c r="AD122" s="126"/>
      <c r="AE122" s="126"/>
      <c r="AF122" s="126"/>
      <c r="AG122" s="126"/>
      <c r="AH122" s="117">
        <v>0</v>
      </c>
      <c r="AI122" s="116">
        <v>0</v>
      </c>
      <c r="AJ122" s="116">
        <v>0</v>
      </c>
      <c r="AK122" s="116">
        <v>0</v>
      </c>
      <c r="AL122" s="116">
        <v>0</v>
      </c>
      <c r="AM122" s="118">
        <v>0</v>
      </c>
      <c r="AN122" s="118">
        <v>0</v>
      </c>
      <c r="AO122" s="118" t="s">
        <v>475</v>
      </c>
      <c r="AP122" s="118">
        <v>31</v>
      </c>
    </row>
    <row r="123" spans="1:42" x14ac:dyDescent="0.15">
      <c r="A123" s="26" t="s">
        <v>102</v>
      </c>
      <c r="B123" s="26" t="s">
        <v>6</v>
      </c>
      <c r="C123" s="26" t="s">
        <v>477</v>
      </c>
      <c r="D123" s="26" t="s">
        <v>110</v>
      </c>
      <c r="E123" s="26" t="s">
        <v>473</v>
      </c>
      <c r="F123" s="26" t="s">
        <v>474</v>
      </c>
      <c r="G123" s="26">
        <v>0</v>
      </c>
      <c r="H123" s="26">
        <v>31</v>
      </c>
      <c r="I123" s="26">
        <v>4</v>
      </c>
      <c r="J123" s="119">
        <v>5</v>
      </c>
      <c r="K123" s="122">
        <v>4</v>
      </c>
      <c r="L123" s="122"/>
      <c r="M123" s="122">
        <v>1</v>
      </c>
      <c r="N123" s="122"/>
      <c r="O123" s="122"/>
      <c r="P123" s="116">
        <v>26</v>
      </c>
      <c r="Q123" s="116">
        <v>31</v>
      </c>
      <c r="R123" s="116">
        <v>4</v>
      </c>
      <c r="S123" s="116">
        <v>31</v>
      </c>
      <c r="T123" s="116">
        <v>0</v>
      </c>
      <c r="U123" s="116">
        <v>0</v>
      </c>
      <c r="V123" s="116">
        <v>0</v>
      </c>
      <c r="W123" s="116">
        <v>0</v>
      </c>
      <c r="X123" s="30"/>
      <c r="Y123" s="30"/>
      <c r="Z123" s="30"/>
      <c r="AA123" s="30"/>
      <c r="AB123" s="126"/>
      <c r="AC123" s="126"/>
      <c r="AD123" s="126"/>
      <c r="AE123" s="126"/>
      <c r="AF123" s="126"/>
      <c r="AG123" s="126"/>
      <c r="AH123" s="117">
        <v>0</v>
      </c>
      <c r="AI123" s="116">
        <v>0</v>
      </c>
      <c r="AJ123" s="116">
        <v>0</v>
      </c>
      <c r="AK123" s="116">
        <v>0</v>
      </c>
      <c r="AL123" s="116">
        <v>0</v>
      </c>
      <c r="AM123" s="118">
        <v>0</v>
      </c>
      <c r="AN123" s="118">
        <v>0</v>
      </c>
      <c r="AO123" s="118" t="s">
        <v>475</v>
      </c>
      <c r="AP123" s="118">
        <v>31</v>
      </c>
    </row>
    <row r="124" spans="1:42" x14ac:dyDescent="0.15">
      <c r="A124" s="26" t="s">
        <v>102</v>
      </c>
      <c r="B124" s="26" t="s">
        <v>6</v>
      </c>
      <c r="C124" s="26" t="s">
        <v>477</v>
      </c>
      <c r="D124" s="26" t="s">
        <v>106</v>
      </c>
      <c r="E124" s="26" t="s">
        <v>473</v>
      </c>
      <c r="F124" s="26" t="s">
        <v>474</v>
      </c>
      <c r="G124" s="26">
        <v>0</v>
      </c>
      <c r="H124" s="26">
        <v>31</v>
      </c>
      <c r="I124" s="26">
        <v>4</v>
      </c>
      <c r="J124" s="119">
        <v>5</v>
      </c>
      <c r="K124" s="122">
        <v>4</v>
      </c>
      <c r="L124" s="122"/>
      <c r="M124" s="122">
        <v>1</v>
      </c>
      <c r="N124" s="122"/>
      <c r="O124" s="122"/>
      <c r="P124" s="116">
        <v>26</v>
      </c>
      <c r="Q124" s="116">
        <v>31</v>
      </c>
      <c r="R124" s="116">
        <v>4</v>
      </c>
      <c r="S124" s="116">
        <v>31</v>
      </c>
      <c r="T124" s="116">
        <v>0</v>
      </c>
      <c r="U124" s="116">
        <v>0</v>
      </c>
      <c r="V124" s="116">
        <v>0</v>
      </c>
      <c r="W124" s="116">
        <v>0</v>
      </c>
      <c r="X124" s="30"/>
      <c r="Y124" s="30"/>
      <c r="Z124" s="30"/>
      <c r="AA124" s="30"/>
      <c r="AB124" s="126"/>
      <c r="AC124" s="126"/>
      <c r="AD124" s="126"/>
      <c r="AE124" s="126"/>
      <c r="AF124" s="126"/>
      <c r="AG124" s="126"/>
      <c r="AH124" s="117">
        <v>4000</v>
      </c>
      <c r="AI124" s="116">
        <v>0</v>
      </c>
      <c r="AJ124" s="116">
        <v>0</v>
      </c>
      <c r="AK124" s="116">
        <v>0</v>
      </c>
      <c r="AL124" s="116">
        <v>0</v>
      </c>
      <c r="AM124" s="118">
        <v>0</v>
      </c>
      <c r="AN124" s="118">
        <v>0</v>
      </c>
      <c r="AO124" s="118" t="s">
        <v>475</v>
      </c>
      <c r="AP124" s="118">
        <v>31</v>
      </c>
    </row>
    <row r="125" spans="1:42" x14ac:dyDescent="0.15">
      <c r="A125" s="26" t="s">
        <v>102</v>
      </c>
      <c r="B125" s="26" t="s">
        <v>6</v>
      </c>
      <c r="C125" s="26" t="s">
        <v>477</v>
      </c>
      <c r="D125" s="26" t="s">
        <v>111</v>
      </c>
      <c r="E125" s="26" t="s">
        <v>473</v>
      </c>
      <c r="F125" s="26" t="s">
        <v>474</v>
      </c>
      <c r="G125" s="26">
        <v>0</v>
      </c>
      <c r="H125" s="26">
        <v>31</v>
      </c>
      <c r="I125" s="26">
        <v>4</v>
      </c>
      <c r="J125" s="119">
        <v>5</v>
      </c>
      <c r="K125" s="122">
        <v>4</v>
      </c>
      <c r="L125" s="122"/>
      <c r="M125" s="122">
        <v>1</v>
      </c>
      <c r="N125" s="122"/>
      <c r="O125" s="122"/>
      <c r="P125" s="116">
        <v>26</v>
      </c>
      <c r="Q125" s="116">
        <v>31</v>
      </c>
      <c r="R125" s="116">
        <v>4</v>
      </c>
      <c r="S125" s="116">
        <v>31</v>
      </c>
      <c r="T125" s="116">
        <v>0</v>
      </c>
      <c r="U125" s="116">
        <v>0</v>
      </c>
      <c r="V125" s="116">
        <v>0</v>
      </c>
      <c r="W125" s="116">
        <v>0</v>
      </c>
      <c r="X125" s="30"/>
      <c r="Y125" s="30"/>
      <c r="Z125" s="30"/>
      <c r="AA125" s="30"/>
      <c r="AB125" s="126"/>
      <c r="AC125" s="126"/>
      <c r="AD125" s="126"/>
      <c r="AE125" s="126"/>
      <c r="AF125" s="126"/>
      <c r="AG125" s="126"/>
      <c r="AH125" s="117">
        <v>4000</v>
      </c>
      <c r="AI125" s="116">
        <v>0</v>
      </c>
      <c r="AJ125" s="116">
        <v>0</v>
      </c>
      <c r="AK125" s="116">
        <v>0</v>
      </c>
      <c r="AL125" s="116">
        <v>0</v>
      </c>
      <c r="AM125" s="118">
        <v>0</v>
      </c>
      <c r="AN125" s="118">
        <v>0</v>
      </c>
      <c r="AO125" s="118" t="s">
        <v>475</v>
      </c>
      <c r="AP125" s="118">
        <v>31</v>
      </c>
    </row>
    <row r="126" spans="1:42" x14ac:dyDescent="0.15">
      <c r="A126" s="26" t="s">
        <v>233</v>
      </c>
      <c r="B126" s="26" t="s">
        <v>476</v>
      </c>
      <c r="C126" s="26" t="s">
        <v>477</v>
      </c>
      <c r="D126" s="26" t="s">
        <v>522</v>
      </c>
      <c r="E126" s="26" t="s">
        <v>473</v>
      </c>
      <c r="F126" s="26" t="s">
        <v>474</v>
      </c>
      <c r="G126" s="26">
        <v>0</v>
      </c>
      <c r="H126" s="26">
        <v>31</v>
      </c>
      <c r="I126" s="26">
        <v>4</v>
      </c>
      <c r="J126" s="119">
        <v>6</v>
      </c>
      <c r="K126" s="122">
        <v>4</v>
      </c>
      <c r="L126" s="122"/>
      <c r="M126" s="122"/>
      <c r="N126" s="122"/>
      <c r="O126" s="122">
        <v>2</v>
      </c>
      <c r="P126" s="116">
        <v>25</v>
      </c>
      <c r="Q126" s="116">
        <v>31</v>
      </c>
      <c r="R126" s="116">
        <v>4</v>
      </c>
      <c r="S126" s="116">
        <v>31</v>
      </c>
      <c r="T126" s="116">
        <v>0</v>
      </c>
      <c r="U126" s="116">
        <v>0</v>
      </c>
      <c r="V126" s="116">
        <v>0</v>
      </c>
      <c r="W126" s="116">
        <v>0</v>
      </c>
      <c r="X126" s="30">
        <v>20</v>
      </c>
      <c r="Y126" s="30"/>
      <c r="Z126" s="30"/>
      <c r="AA126" s="30"/>
      <c r="AB126" s="126"/>
      <c r="AC126" s="126"/>
      <c r="AD126" s="126"/>
      <c r="AE126" s="126"/>
      <c r="AF126" s="126"/>
      <c r="AG126" s="126"/>
      <c r="AH126" s="117">
        <v>0</v>
      </c>
      <c r="AI126" s="116">
        <v>0</v>
      </c>
      <c r="AJ126" s="116">
        <v>0</v>
      </c>
      <c r="AK126" s="116">
        <v>0</v>
      </c>
      <c r="AL126" s="116">
        <v>0</v>
      </c>
      <c r="AM126" s="118">
        <v>0</v>
      </c>
      <c r="AN126" s="118">
        <v>0</v>
      </c>
      <c r="AO126" s="118" t="s">
        <v>475</v>
      </c>
      <c r="AP126" s="118">
        <v>31</v>
      </c>
    </row>
    <row r="127" spans="1:42" x14ac:dyDescent="0.15">
      <c r="A127" s="26" t="s">
        <v>233</v>
      </c>
      <c r="B127" s="26" t="s">
        <v>6</v>
      </c>
      <c r="C127" s="26" t="s">
        <v>477</v>
      </c>
      <c r="D127" s="26" t="s">
        <v>236</v>
      </c>
      <c r="E127" s="26" t="s">
        <v>473</v>
      </c>
      <c r="F127" s="26" t="s">
        <v>474</v>
      </c>
      <c r="G127" s="26">
        <v>0</v>
      </c>
      <c r="H127" s="26">
        <v>31</v>
      </c>
      <c r="I127" s="26">
        <v>4</v>
      </c>
      <c r="J127" s="119">
        <v>4</v>
      </c>
      <c r="K127" s="122">
        <v>4</v>
      </c>
      <c r="L127" s="122"/>
      <c r="M127" s="122"/>
      <c r="N127" s="122"/>
      <c r="O127" s="122"/>
      <c r="P127" s="116">
        <v>27</v>
      </c>
      <c r="Q127" s="116">
        <v>31</v>
      </c>
      <c r="R127" s="116">
        <v>4</v>
      </c>
      <c r="S127" s="116">
        <v>31</v>
      </c>
      <c r="T127" s="116">
        <v>0</v>
      </c>
      <c r="U127" s="116">
        <v>0</v>
      </c>
      <c r="V127" s="116">
        <v>0</v>
      </c>
      <c r="W127" s="116">
        <v>0</v>
      </c>
      <c r="X127" s="30"/>
      <c r="Y127" s="30"/>
      <c r="Z127" s="30">
        <v>50</v>
      </c>
      <c r="AA127" s="30"/>
      <c r="AB127" s="126"/>
      <c r="AC127" s="126"/>
      <c r="AD127" s="126"/>
      <c r="AE127" s="126"/>
      <c r="AF127" s="126"/>
      <c r="AG127" s="126"/>
      <c r="AH127" s="117">
        <v>0</v>
      </c>
      <c r="AI127" s="116">
        <v>0</v>
      </c>
      <c r="AJ127" s="116">
        <v>0</v>
      </c>
      <c r="AK127" s="116">
        <v>0</v>
      </c>
      <c r="AL127" s="116">
        <v>0</v>
      </c>
      <c r="AM127" s="118">
        <v>0</v>
      </c>
      <c r="AN127" s="118">
        <v>0</v>
      </c>
      <c r="AO127" s="118" t="s">
        <v>475</v>
      </c>
      <c r="AP127" s="118">
        <v>31</v>
      </c>
    </row>
    <row r="128" spans="1:42" x14ac:dyDescent="0.15">
      <c r="A128" s="26" t="s">
        <v>233</v>
      </c>
      <c r="B128" s="26" t="s">
        <v>6</v>
      </c>
      <c r="C128" s="26" t="s">
        <v>477</v>
      </c>
      <c r="D128" s="26" t="s">
        <v>234</v>
      </c>
      <c r="E128" s="26" t="s">
        <v>473</v>
      </c>
      <c r="F128" s="26" t="s">
        <v>474</v>
      </c>
      <c r="G128" s="26">
        <v>0</v>
      </c>
      <c r="H128" s="26">
        <v>31</v>
      </c>
      <c r="I128" s="26">
        <v>4</v>
      </c>
      <c r="J128" s="119">
        <v>4</v>
      </c>
      <c r="K128" s="122">
        <v>4</v>
      </c>
      <c r="L128" s="122"/>
      <c r="M128" s="122"/>
      <c r="N128" s="122"/>
      <c r="O128" s="122"/>
      <c r="P128" s="116">
        <v>27</v>
      </c>
      <c r="Q128" s="116">
        <v>31</v>
      </c>
      <c r="R128" s="116">
        <v>4</v>
      </c>
      <c r="S128" s="116">
        <v>31</v>
      </c>
      <c r="T128" s="116">
        <v>0</v>
      </c>
      <c r="U128" s="116">
        <v>0</v>
      </c>
      <c r="V128" s="116">
        <v>0</v>
      </c>
      <c r="W128" s="116">
        <v>0</v>
      </c>
      <c r="X128" s="30">
        <v>10</v>
      </c>
      <c r="Y128" s="30"/>
      <c r="Z128" s="30"/>
      <c r="AA128" s="30"/>
      <c r="AB128" s="126"/>
      <c r="AC128" s="126"/>
      <c r="AD128" s="126"/>
      <c r="AE128" s="126"/>
      <c r="AF128" s="126"/>
      <c r="AG128" s="126"/>
      <c r="AH128" s="117">
        <v>0</v>
      </c>
      <c r="AI128" s="116">
        <v>0</v>
      </c>
      <c r="AJ128" s="116">
        <v>0</v>
      </c>
      <c r="AK128" s="116">
        <v>0</v>
      </c>
      <c r="AL128" s="116">
        <v>0</v>
      </c>
      <c r="AM128" s="118">
        <v>0</v>
      </c>
      <c r="AN128" s="118">
        <v>0</v>
      </c>
      <c r="AO128" s="118" t="s">
        <v>475</v>
      </c>
      <c r="AP128" s="118">
        <v>31</v>
      </c>
    </row>
    <row r="129" spans="1:42" x14ac:dyDescent="0.15">
      <c r="A129" s="26" t="s">
        <v>233</v>
      </c>
      <c r="B129" s="26" t="s">
        <v>470</v>
      </c>
      <c r="C129" s="26" t="s">
        <v>471</v>
      </c>
      <c r="D129" s="26" t="s">
        <v>523</v>
      </c>
      <c r="E129" s="26" t="s">
        <v>473</v>
      </c>
      <c r="F129" s="26" t="s">
        <v>474</v>
      </c>
      <c r="G129" s="26">
        <v>0</v>
      </c>
      <c r="H129" s="26">
        <v>31</v>
      </c>
      <c r="I129" s="26">
        <v>4</v>
      </c>
      <c r="J129" s="116">
        <v>5</v>
      </c>
      <c r="K129" s="122">
        <v>4</v>
      </c>
      <c r="L129" s="122">
        <v>1</v>
      </c>
      <c r="M129" s="122"/>
      <c r="N129" s="122"/>
      <c r="O129" s="122"/>
      <c r="P129" s="116">
        <v>26</v>
      </c>
      <c r="Q129" s="116">
        <v>30</v>
      </c>
      <c r="R129" s="116">
        <v>4</v>
      </c>
      <c r="S129" s="116">
        <v>30</v>
      </c>
      <c r="T129" s="116">
        <v>0</v>
      </c>
      <c r="U129" s="116">
        <v>1</v>
      </c>
      <c r="V129" s="116">
        <v>0</v>
      </c>
      <c r="W129" s="116">
        <v>0</v>
      </c>
      <c r="X129" s="30"/>
      <c r="Y129" s="30">
        <v>10</v>
      </c>
      <c r="Z129" s="30"/>
      <c r="AA129" s="30"/>
      <c r="AB129" s="127"/>
      <c r="AC129" s="127"/>
      <c r="AD129" s="127"/>
      <c r="AE129" s="127"/>
      <c r="AF129" s="127"/>
      <c r="AG129" s="127"/>
      <c r="AH129" s="117">
        <v>0</v>
      </c>
      <c r="AI129" s="116">
        <v>0</v>
      </c>
      <c r="AJ129" s="116">
        <v>0</v>
      </c>
      <c r="AK129" s="116">
        <v>0</v>
      </c>
      <c r="AL129" s="116">
        <v>0</v>
      </c>
      <c r="AM129" s="118">
        <v>0</v>
      </c>
      <c r="AN129" s="118">
        <v>0</v>
      </c>
      <c r="AO129" s="118" t="s">
        <v>475</v>
      </c>
      <c r="AP129" s="118">
        <v>30</v>
      </c>
    </row>
    <row r="130" spans="1:42" x14ac:dyDescent="0.15">
      <c r="A130" s="26" t="s">
        <v>233</v>
      </c>
      <c r="B130" s="26" t="s">
        <v>6</v>
      </c>
      <c r="C130" s="26" t="s">
        <v>477</v>
      </c>
      <c r="D130" s="26" t="s">
        <v>235</v>
      </c>
      <c r="E130" s="26" t="s">
        <v>473</v>
      </c>
      <c r="F130" s="26" t="s">
        <v>474</v>
      </c>
      <c r="G130" s="26">
        <v>0</v>
      </c>
      <c r="H130" s="26">
        <v>20</v>
      </c>
      <c r="I130" s="26">
        <v>2</v>
      </c>
      <c r="J130" s="119">
        <v>3</v>
      </c>
      <c r="K130" s="122">
        <v>2</v>
      </c>
      <c r="L130" s="122">
        <v>1</v>
      </c>
      <c r="M130" s="122"/>
      <c r="N130" s="122"/>
      <c r="O130" s="122"/>
      <c r="P130" s="116">
        <v>17</v>
      </c>
      <c r="Q130" s="116">
        <v>19</v>
      </c>
      <c r="R130" s="116">
        <v>2</v>
      </c>
      <c r="S130" s="116">
        <v>19</v>
      </c>
      <c r="T130" s="116">
        <v>0</v>
      </c>
      <c r="U130" s="116">
        <v>1</v>
      </c>
      <c r="V130" s="116">
        <v>0</v>
      </c>
      <c r="W130" s="116">
        <v>0</v>
      </c>
      <c r="X130" s="30"/>
      <c r="Y130" s="30"/>
      <c r="Z130" s="30"/>
      <c r="AA130" s="30"/>
      <c r="AB130" s="126">
        <v>760</v>
      </c>
      <c r="AC130" s="126"/>
      <c r="AD130" s="126"/>
      <c r="AE130" s="126">
        <v>300</v>
      </c>
      <c r="AF130" s="126"/>
      <c r="AG130" s="126"/>
      <c r="AH130" s="117">
        <v>0</v>
      </c>
      <c r="AI130" s="116">
        <v>0</v>
      </c>
      <c r="AJ130" s="116">
        <v>0</v>
      </c>
      <c r="AK130" s="116">
        <v>0</v>
      </c>
      <c r="AL130" s="116">
        <v>0</v>
      </c>
      <c r="AM130" s="118">
        <v>0</v>
      </c>
      <c r="AN130" s="118">
        <v>0</v>
      </c>
      <c r="AO130" s="118" t="s">
        <v>475</v>
      </c>
      <c r="AP130" s="118">
        <v>19</v>
      </c>
    </row>
    <row r="131" spans="1:42" x14ac:dyDescent="0.15">
      <c r="A131" s="26" t="s">
        <v>233</v>
      </c>
      <c r="B131" s="26" t="s">
        <v>6</v>
      </c>
      <c r="C131" s="26" t="s">
        <v>477</v>
      </c>
      <c r="D131" s="26" t="s">
        <v>237</v>
      </c>
      <c r="E131" s="26" t="s">
        <v>473</v>
      </c>
      <c r="F131" s="26" t="s">
        <v>474</v>
      </c>
      <c r="G131" s="26">
        <v>0</v>
      </c>
      <c r="H131" s="26">
        <v>31</v>
      </c>
      <c r="I131" s="26">
        <v>4</v>
      </c>
      <c r="J131" s="119">
        <v>5</v>
      </c>
      <c r="K131" s="122">
        <v>4</v>
      </c>
      <c r="L131" s="122">
        <v>1</v>
      </c>
      <c r="M131" s="122"/>
      <c r="N131" s="122"/>
      <c r="O131" s="122"/>
      <c r="P131" s="116">
        <v>26</v>
      </c>
      <c r="Q131" s="116">
        <v>30</v>
      </c>
      <c r="R131" s="116">
        <v>4</v>
      </c>
      <c r="S131" s="116">
        <v>30</v>
      </c>
      <c r="T131" s="116">
        <v>0</v>
      </c>
      <c r="U131" s="116">
        <v>1</v>
      </c>
      <c r="V131" s="116">
        <v>0</v>
      </c>
      <c r="W131" s="116">
        <v>0</v>
      </c>
      <c r="X131" s="30"/>
      <c r="Y131" s="30"/>
      <c r="Z131" s="30"/>
      <c r="AA131" s="30"/>
      <c r="AB131" s="126"/>
      <c r="AC131" s="126"/>
      <c r="AD131" s="126"/>
      <c r="AE131" s="126"/>
      <c r="AF131" s="126"/>
      <c r="AG131" s="126"/>
      <c r="AH131" s="117">
        <v>3500</v>
      </c>
      <c r="AI131" s="116">
        <v>0</v>
      </c>
      <c r="AJ131" s="116">
        <v>0</v>
      </c>
      <c r="AK131" s="116">
        <v>0</v>
      </c>
      <c r="AL131" s="116">
        <v>0</v>
      </c>
      <c r="AM131" s="118">
        <v>0</v>
      </c>
      <c r="AN131" s="118">
        <v>0</v>
      </c>
      <c r="AO131" s="118" t="s">
        <v>475</v>
      </c>
      <c r="AP131" s="118">
        <v>30</v>
      </c>
    </row>
    <row r="132" spans="1:42" x14ac:dyDescent="0.15">
      <c r="A132" s="26" t="s">
        <v>66</v>
      </c>
      <c r="B132" s="26" t="s">
        <v>6</v>
      </c>
      <c r="C132" s="26" t="s">
        <v>477</v>
      </c>
      <c r="D132" s="26" t="s">
        <v>72</v>
      </c>
      <c r="E132" s="26" t="s">
        <v>473</v>
      </c>
      <c r="F132" s="26" t="s">
        <v>474</v>
      </c>
      <c r="G132" s="26">
        <v>0</v>
      </c>
      <c r="H132" s="26">
        <v>31</v>
      </c>
      <c r="I132" s="26">
        <v>4</v>
      </c>
      <c r="J132" s="119">
        <v>4</v>
      </c>
      <c r="K132" s="122">
        <v>4</v>
      </c>
      <c r="L132" s="122"/>
      <c r="M132" s="122"/>
      <c r="N132" s="122"/>
      <c r="O132" s="122"/>
      <c r="P132" s="116">
        <v>27</v>
      </c>
      <c r="Q132" s="116">
        <v>31</v>
      </c>
      <c r="R132" s="116">
        <v>4</v>
      </c>
      <c r="S132" s="116">
        <v>31</v>
      </c>
      <c r="T132" s="116">
        <v>0</v>
      </c>
      <c r="U132" s="116">
        <v>0</v>
      </c>
      <c r="V132" s="116">
        <v>0</v>
      </c>
      <c r="W132" s="116">
        <v>0</v>
      </c>
      <c r="X132" s="30"/>
      <c r="Y132" s="30"/>
      <c r="Z132" s="30"/>
      <c r="AA132" s="30"/>
      <c r="AB132" s="126"/>
      <c r="AC132" s="126"/>
      <c r="AD132" s="126"/>
      <c r="AE132" s="126"/>
      <c r="AF132" s="126"/>
      <c r="AG132" s="126"/>
      <c r="AH132" s="117">
        <v>0</v>
      </c>
      <c r="AI132" s="116">
        <v>0</v>
      </c>
      <c r="AJ132" s="116">
        <v>0</v>
      </c>
      <c r="AK132" s="116">
        <v>0</v>
      </c>
      <c r="AL132" s="116">
        <v>0</v>
      </c>
      <c r="AM132" s="118">
        <v>0</v>
      </c>
      <c r="AN132" s="118">
        <v>0</v>
      </c>
      <c r="AO132" s="118" t="s">
        <v>475</v>
      </c>
      <c r="AP132" s="118">
        <v>31</v>
      </c>
    </row>
    <row r="133" spans="1:42" x14ac:dyDescent="0.15">
      <c r="A133" s="26" t="s">
        <v>66</v>
      </c>
      <c r="B133" s="26" t="s">
        <v>6</v>
      </c>
      <c r="C133" s="26" t="s">
        <v>477</v>
      </c>
      <c r="D133" s="26" t="s">
        <v>68</v>
      </c>
      <c r="E133" s="26" t="s">
        <v>473</v>
      </c>
      <c r="F133" s="26" t="s">
        <v>474</v>
      </c>
      <c r="G133" s="26">
        <v>0</v>
      </c>
      <c r="H133" s="26">
        <v>31</v>
      </c>
      <c r="I133" s="26">
        <v>4</v>
      </c>
      <c r="J133" s="119">
        <v>4</v>
      </c>
      <c r="K133" s="122">
        <v>4</v>
      </c>
      <c r="L133" s="122"/>
      <c r="M133" s="122"/>
      <c r="N133" s="122"/>
      <c r="O133" s="122"/>
      <c r="P133" s="116">
        <v>27</v>
      </c>
      <c r="Q133" s="116">
        <v>31</v>
      </c>
      <c r="R133" s="116">
        <v>4</v>
      </c>
      <c r="S133" s="116">
        <v>31</v>
      </c>
      <c r="T133" s="116">
        <v>0</v>
      </c>
      <c r="U133" s="116">
        <v>0</v>
      </c>
      <c r="V133" s="116">
        <v>0</v>
      </c>
      <c r="W133" s="116">
        <v>0</v>
      </c>
      <c r="X133" s="30">
        <v>90</v>
      </c>
      <c r="Y133" s="30"/>
      <c r="Z133" s="30"/>
      <c r="AA133" s="30"/>
      <c r="AB133" s="126"/>
      <c r="AC133" s="126"/>
      <c r="AD133" s="126"/>
      <c r="AE133" s="126"/>
      <c r="AF133" s="126"/>
      <c r="AG133" s="126"/>
      <c r="AH133" s="117">
        <v>0</v>
      </c>
      <c r="AI133" s="116">
        <v>0</v>
      </c>
      <c r="AJ133" s="116">
        <v>0</v>
      </c>
      <c r="AK133" s="116">
        <v>0</v>
      </c>
      <c r="AL133" s="116">
        <v>0</v>
      </c>
      <c r="AM133" s="118">
        <v>0</v>
      </c>
      <c r="AN133" s="118">
        <v>0</v>
      </c>
      <c r="AO133" s="118" t="s">
        <v>475</v>
      </c>
      <c r="AP133" s="118">
        <v>31</v>
      </c>
    </row>
    <row r="134" spans="1:42" x14ac:dyDescent="0.15">
      <c r="A134" s="26" t="s">
        <v>66</v>
      </c>
      <c r="B134" s="26" t="s">
        <v>6</v>
      </c>
      <c r="C134" s="26" t="s">
        <v>477</v>
      </c>
      <c r="D134" s="26" t="s">
        <v>69</v>
      </c>
      <c r="E134" s="26" t="s">
        <v>473</v>
      </c>
      <c r="F134" s="26" t="s">
        <v>474</v>
      </c>
      <c r="G134" s="26">
        <v>0</v>
      </c>
      <c r="H134" s="26">
        <v>31</v>
      </c>
      <c r="I134" s="26">
        <v>4</v>
      </c>
      <c r="J134" s="119">
        <v>4</v>
      </c>
      <c r="K134" s="122">
        <v>4</v>
      </c>
      <c r="L134" s="122"/>
      <c r="M134" s="122"/>
      <c r="N134" s="122"/>
      <c r="O134" s="122"/>
      <c r="P134" s="116">
        <v>27</v>
      </c>
      <c r="Q134" s="116">
        <v>31</v>
      </c>
      <c r="R134" s="116">
        <v>4</v>
      </c>
      <c r="S134" s="116">
        <v>31</v>
      </c>
      <c r="T134" s="116">
        <v>0</v>
      </c>
      <c r="U134" s="116">
        <v>0</v>
      </c>
      <c r="V134" s="116">
        <v>0</v>
      </c>
      <c r="W134" s="116">
        <v>0</v>
      </c>
      <c r="X134" s="30">
        <v>10</v>
      </c>
      <c r="Y134" s="30"/>
      <c r="Z134" s="30"/>
      <c r="AA134" s="30"/>
      <c r="AB134" s="126"/>
      <c r="AC134" s="126"/>
      <c r="AD134" s="126"/>
      <c r="AE134" s="126"/>
      <c r="AF134" s="126"/>
      <c r="AG134" s="126"/>
      <c r="AH134" s="117">
        <v>0</v>
      </c>
      <c r="AI134" s="116">
        <v>0</v>
      </c>
      <c r="AJ134" s="116">
        <v>0</v>
      </c>
      <c r="AK134" s="116">
        <v>0</v>
      </c>
      <c r="AL134" s="116">
        <v>0</v>
      </c>
      <c r="AM134" s="118">
        <v>0</v>
      </c>
      <c r="AN134" s="118">
        <v>0</v>
      </c>
      <c r="AO134" s="118" t="s">
        <v>475</v>
      </c>
      <c r="AP134" s="118">
        <v>31</v>
      </c>
    </row>
    <row r="135" spans="1:42" x14ac:dyDescent="0.15">
      <c r="A135" s="26" t="s">
        <v>66</v>
      </c>
      <c r="B135" s="26" t="s">
        <v>470</v>
      </c>
      <c r="C135" s="26" t="s">
        <v>471</v>
      </c>
      <c r="D135" s="26" t="s">
        <v>524</v>
      </c>
      <c r="E135" s="26" t="s">
        <v>473</v>
      </c>
      <c r="F135" s="26" t="s">
        <v>474</v>
      </c>
      <c r="G135" s="26">
        <v>0</v>
      </c>
      <c r="H135" s="26">
        <v>31</v>
      </c>
      <c r="I135" s="26">
        <v>4</v>
      </c>
      <c r="J135" s="119">
        <v>4</v>
      </c>
      <c r="K135" s="122">
        <v>4</v>
      </c>
      <c r="L135" s="122"/>
      <c r="M135" s="122"/>
      <c r="N135" s="122"/>
      <c r="O135" s="122"/>
      <c r="P135" s="116">
        <v>27</v>
      </c>
      <c r="Q135" s="116">
        <v>31</v>
      </c>
      <c r="R135" s="116">
        <v>4</v>
      </c>
      <c r="S135" s="116">
        <v>31</v>
      </c>
      <c r="T135" s="116">
        <v>0</v>
      </c>
      <c r="U135" s="116">
        <v>0</v>
      </c>
      <c r="V135" s="116">
        <v>0</v>
      </c>
      <c r="W135" s="116">
        <v>0</v>
      </c>
      <c r="X135" s="30">
        <v>10</v>
      </c>
      <c r="Y135" s="30"/>
      <c r="Z135" s="30"/>
      <c r="AA135" s="30"/>
      <c r="AB135" s="126"/>
      <c r="AC135" s="126"/>
      <c r="AD135" s="126"/>
      <c r="AE135" s="126"/>
      <c r="AF135" s="126"/>
      <c r="AG135" s="126"/>
      <c r="AH135" s="117">
        <v>0</v>
      </c>
      <c r="AI135" s="116">
        <v>0</v>
      </c>
      <c r="AJ135" s="116">
        <v>0</v>
      </c>
      <c r="AK135" s="116">
        <v>0</v>
      </c>
      <c r="AL135" s="116">
        <v>0</v>
      </c>
      <c r="AM135" s="118">
        <v>0</v>
      </c>
      <c r="AN135" s="118">
        <v>0</v>
      </c>
      <c r="AO135" s="118" t="s">
        <v>475</v>
      </c>
      <c r="AP135" s="118">
        <v>31</v>
      </c>
    </row>
    <row r="136" spans="1:42" x14ac:dyDescent="0.15">
      <c r="A136" s="26" t="s">
        <v>66</v>
      </c>
      <c r="B136" s="26" t="s">
        <v>476</v>
      </c>
      <c r="C136" s="26" t="s">
        <v>477</v>
      </c>
      <c r="D136" s="26" t="s">
        <v>525</v>
      </c>
      <c r="E136" s="26" t="s">
        <v>473</v>
      </c>
      <c r="F136" s="26" t="s">
        <v>474</v>
      </c>
      <c r="G136" s="26">
        <v>0</v>
      </c>
      <c r="H136" s="26">
        <v>31</v>
      </c>
      <c r="I136" s="26">
        <v>4</v>
      </c>
      <c r="J136" s="119">
        <v>4</v>
      </c>
      <c r="K136" s="122">
        <v>4</v>
      </c>
      <c r="L136" s="122"/>
      <c r="M136" s="122"/>
      <c r="N136" s="122"/>
      <c r="O136" s="122"/>
      <c r="P136" s="116">
        <v>27</v>
      </c>
      <c r="Q136" s="116">
        <v>31</v>
      </c>
      <c r="R136" s="116">
        <v>4</v>
      </c>
      <c r="S136" s="116">
        <v>31</v>
      </c>
      <c r="T136" s="116">
        <v>0</v>
      </c>
      <c r="U136" s="116">
        <v>0</v>
      </c>
      <c r="V136" s="116">
        <v>0</v>
      </c>
      <c r="W136" s="116">
        <v>0</v>
      </c>
      <c r="X136" s="30"/>
      <c r="Y136" s="30"/>
      <c r="Z136" s="30"/>
      <c r="AA136" s="30"/>
      <c r="AB136" s="126"/>
      <c r="AC136" s="126"/>
      <c r="AD136" s="126"/>
      <c r="AE136" s="126"/>
      <c r="AF136" s="126"/>
      <c r="AG136" s="126"/>
      <c r="AH136" s="117">
        <v>0</v>
      </c>
      <c r="AI136" s="116">
        <v>0</v>
      </c>
      <c r="AJ136" s="116">
        <v>0</v>
      </c>
      <c r="AK136" s="116">
        <v>0</v>
      </c>
      <c r="AL136" s="116">
        <v>0</v>
      </c>
      <c r="AM136" s="118">
        <v>0</v>
      </c>
      <c r="AN136" s="118">
        <v>0</v>
      </c>
      <c r="AO136" s="118" t="s">
        <v>475</v>
      </c>
      <c r="AP136" s="118">
        <v>31</v>
      </c>
    </row>
    <row r="137" spans="1:42" x14ac:dyDescent="0.15">
      <c r="A137" s="26" t="s">
        <v>66</v>
      </c>
      <c r="B137" s="26" t="s">
        <v>6</v>
      </c>
      <c r="C137" s="26" t="s">
        <v>477</v>
      </c>
      <c r="D137" s="26" t="s">
        <v>73</v>
      </c>
      <c r="E137" s="26" t="s">
        <v>473</v>
      </c>
      <c r="F137" s="26" t="s">
        <v>474</v>
      </c>
      <c r="G137" s="26">
        <v>0</v>
      </c>
      <c r="H137" s="26">
        <v>31</v>
      </c>
      <c r="I137" s="26">
        <v>4</v>
      </c>
      <c r="J137" s="119">
        <v>5</v>
      </c>
      <c r="K137" s="122">
        <v>4</v>
      </c>
      <c r="L137" s="122"/>
      <c r="M137" s="122">
        <v>1</v>
      </c>
      <c r="N137" s="122"/>
      <c r="O137" s="122"/>
      <c r="P137" s="116">
        <v>26</v>
      </c>
      <c r="Q137" s="116">
        <v>31</v>
      </c>
      <c r="R137" s="116">
        <v>4</v>
      </c>
      <c r="S137" s="116">
        <v>31</v>
      </c>
      <c r="T137" s="116">
        <v>0</v>
      </c>
      <c r="U137" s="116">
        <v>0</v>
      </c>
      <c r="V137" s="116">
        <v>0</v>
      </c>
      <c r="W137" s="116">
        <v>0</v>
      </c>
      <c r="X137" s="30"/>
      <c r="Y137" s="30"/>
      <c r="Z137" s="30"/>
      <c r="AA137" s="30"/>
      <c r="AB137" s="126"/>
      <c r="AC137" s="126"/>
      <c r="AD137" s="126"/>
      <c r="AE137" s="126"/>
      <c r="AF137" s="126"/>
      <c r="AG137" s="126"/>
      <c r="AH137" s="117">
        <v>0</v>
      </c>
      <c r="AI137" s="116">
        <v>0</v>
      </c>
      <c r="AJ137" s="116">
        <v>0</v>
      </c>
      <c r="AK137" s="116">
        <v>0</v>
      </c>
      <c r="AL137" s="116">
        <v>0</v>
      </c>
      <c r="AM137" s="118">
        <v>0</v>
      </c>
      <c r="AN137" s="118">
        <v>0</v>
      </c>
      <c r="AO137" s="118" t="s">
        <v>475</v>
      </c>
      <c r="AP137" s="118">
        <v>31</v>
      </c>
    </row>
    <row r="138" spans="1:42" x14ac:dyDescent="0.15">
      <c r="A138" s="26" t="s">
        <v>66</v>
      </c>
      <c r="B138" s="26" t="s">
        <v>6</v>
      </c>
      <c r="C138" s="26" t="s">
        <v>477</v>
      </c>
      <c r="D138" s="26" t="s">
        <v>74</v>
      </c>
      <c r="E138" s="26" t="s">
        <v>473</v>
      </c>
      <c r="F138" s="26" t="s">
        <v>474</v>
      </c>
      <c r="G138" s="26">
        <v>0</v>
      </c>
      <c r="H138" s="26">
        <v>31</v>
      </c>
      <c r="I138" s="26">
        <v>4</v>
      </c>
      <c r="J138" s="116">
        <v>5</v>
      </c>
      <c r="K138" s="122">
        <v>4</v>
      </c>
      <c r="L138" s="122"/>
      <c r="M138" s="122">
        <v>1</v>
      </c>
      <c r="N138" s="122"/>
      <c r="O138" s="122"/>
      <c r="P138" s="116">
        <v>26</v>
      </c>
      <c r="Q138" s="116">
        <v>31</v>
      </c>
      <c r="R138" s="116">
        <v>4</v>
      </c>
      <c r="S138" s="116">
        <v>31</v>
      </c>
      <c r="T138" s="116">
        <v>0</v>
      </c>
      <c r="U138" s="116">
        <v>0</v>
      </c>
      <c r="V138" s="116">
        <v>0</v>
      </c>
      <c r="W138" s="116">
        <v>0</v>
      </c>
      <c r="X138" s="30">
        <v>10</v>
      </c>
      <c r="Y138" s="30"/>
      <c r="Z138" s="30"/>
      <c r="AA138" s="30"/>
      <c r="AB138" s="127"/>
      <c r="AC138" s="126">
        <v>100</v>
      </c>
      <c r="AD138" s="127"/>
      <c r="AE138" s="127"/>
      <c r="AF138" s="127"/>
      <c r="AG138" s="127"/>
      <c r="AH138" s="117">
        <v>0</v>
      </c>
      <c r="AI138" s="116">
        <v>0</v>
      </c>
      <c r="AJ138" s="116">
        <v>0</v>
      </c>
      <c r="AK138" s="116">
        <v>0</v>
      </c>
      <c r="AL138" s="116">
        <v>0</v>
      </c>
      <c r="AM138" s="118">
        <v>0</v>
      </c>
      <c r="AN138" s="118">
        <v>0</v>
      </c>
      <c r="AO138" s="118" t="s">
        <v>475</v>
      </c>
      <c r="AP138" s="118">
        <v>31</v>
      </c>
    </row>
    <row r="139" spans="1:42" x14ac:dyDescent="0.15">
      <c r="A139" s="26" t="s">
        <v>66</v>
      </c>
      <c r="B139" s="26" t="s">
        <v>6</v>
      </c>
      <c r="C139" s="26" t="s">
        <v>477</v>
      </c>
      <c r="D139" s="26" t="s">
        <v>70</v>
      </c>
      <c r="E139" s="26" t="s">
        <v>473</v>
      </c>
      <c r="F139" s="26" t="s">
        <v>474</v>
      </c>
      <c r="G139" s="26">
        <v>0</v>
      </c>
      <c r="H139" s="26">
        <v>31</v>
      </c>
      <c r="I139" s="26">
        <v>4</v>
      </c>
      <c r="J139" s="119">
        <v>4</v>
      </c>
      <c r="K139" s="122">
        <v>4</v>
      </c>
      <c r="L139" s="122"/>
      <c r="M139" s="122"/>
      <c r="N139" s="122"/>
      <c r="O139" s="122"/>
      <c r="P139" s="116">
        <v>27</v>
      </c>
      <c r="Q139" s="116">
        <v>31</v>
      </c>
      <c r="R139" s="116">
        <v>4</v>
      </c>
      <c r="S139" s="116">
        <v>31</v>
      </c>
      <c r="T139" s="116">
        <v>0</v>
      </c>
      <c r="U139" s="116">
        <v>0</v>
      </c>
      <c r="V139" s="116">
        <v>0</v>
      </c>
      <c r="W139" s="116">
        <v>0</v>
      </c>
      <c r="X139" s="30"/>
      <c r="Y139" s="30"/>
      <c r="Z139" s="30">
        <v>50</v>
      </c>
      <c r="AA139" s="30"/>
      <c r="AB139" s="126"/>
      <c r="AC139" s="126"/>
      <c r="AD139" s="126"/>
      <c r="AE139" s="126"/>
      <c r="AF139" s="126"/>
      <c r="AG139" s="126"/>
      <c r="AH139" s="117">
        <v>4000</v>
      </c>
      <c r="AI139" s="116">
        <v>0</v>
      </c>
      <c r="AJ139" s="116">
        <v>0</v>
      </c>
      <c r="AK139" s="116">
        <v>0</v>
      </c>
      <c r="AL139" s="116">
        <v>0</v>
      </c>
      <c r="AM139" s="118">
        <v>0</v>
      </c>
      <c r="AN139" s="118">
        <v>0</v>
      </c>
      <c r="AO139" s="118" t="s">
        <v>475</v>
      </c>
      <c r="AP139" s="118">
        <v>31</v>
      </c>
    </row>
    <row r="140" spans="1:42" x14ac:dyDescent="0.15">
      <c r="A140" s="26" t="s">
        <v>238</v>
      </c>
      <c r="B140" s="26" t="s">
        <v>470</v>
      </c>
      <c r="C140" s="26" t="s">
        <v>471</v>
      </c>
      <c r="D140" s="26" t="s">
        <v>526</v>
      </c>
      <c r="E140" s="26" t="s">
        <v>473</v>
      </c>
      <c r="F140" s="26" t="s">
        <v>474</v>
      </c>
      <c r="G140" s="26">
        <v>0</v>
      </c>
      <c r="H140" s="26">
        <v>31</v>
      </c>
      <c r="I140" s="26">
        <v>4</v>
      </c>
      <c r="J140" s="119">
        <v>4</v>
      </c>
      <c r="K140" s="122">
        <v>4</v>
      </c>
      <c r="L140" s="122"/>
      <c r="M140" s="122"/>
      <c r="N140" s="122"/>
      <c r="O140" s="122"/>
      <c r="P140" s="116">
        <v>27</v>
      </c>
      <c r="Q140" s="116">
        <v>31</v>
      </c>
      <c r="R140" s="116">
        <v>4</v>
      </c>
      <c r="S140" s="116">
        <v>31</v>
      </c>
      <c r="T140" s="116">
        <v>0</v>
      </c>
      <c r="U140" s="116">
        <v>0</v>
      </c>
      <c r="V140" s="116">
        <v>0</v>
      </c>
      <c r="W140" s="116">
        <v>0</v>
      </c>
      <c r="X140" s="30"/>
      <c r="Y140" s="30"/>
      <c r="Z140" s="30"/>
      <c r="AA140" s="30"/>
      <c r="AB140" s="126"/>
      <c r="AC140" s="126"/>
      <c r="AD140" s="126"/>
      <c r="AE140" s="126"/>
      <c r="AF140" s="126"/>
      <c r="AG140" s="126"/>
      <c r="AH140" s="117">
        <v>0</v>
      </c>
      <c r="AI140" s="116">
        <v>0</v>
      </c>
      <c r="AJ140" s="116">
        <v>0</v>
      </c>
      <c r="AK140" s="116">
        <v>0</v>
      </c>
      <c r="AL140" s="116">
        <v>0</v>
      </c>
      <c r="AM140" s="118">
        <v>0</v>
      </c>
      <c r="AN140" s="118">
        <v>0</v>
      </c>
      <c r="AO140" s="118" t="s">
        <v>475</v>
      </c>
      <c r="AP140" s="118">
        <v>31</v>
      </c>
    </row>
    <row r="141" spans="1:42" x14ac:dyDescent="0.15">
      <c r="A141" s="26" t="s">
        <v>238</v>
      </c>
      <c r="B141" s="26" t="s">
        <v>476</v>
      </c>
      <c r="C141" s="26" t="s">
        <v>477</v>
      </c>
      <c r="D141" s="26" t="s">
        <v>527</v>
      </c>
      <c r="E141" s="26" t="s">
        <v>473</v>
      </c>
      <c r="F141" s="26" t="s">
        <v>474</v>
      </c>
      <c r="G141" s="26">
        <v>0</v>
      </c>
      <c r="H141" s="26">
        <v>31</v>
      </c>
      <c r="I141" s="26">
        <v>4</v>
      </c>
      <c r="J141" s="119">
        <v>5</v>
      </c>
      <c r="K141" s="122">
        <v>4</v>
      </c>
      <c r="L141" s="122"/>
      <c r="M141" s="122">
        <v>1</v>
      </c>
      <c r="N141" s="122"/>
      <c r="O141" s="122"/>
      <c r="P141" s="116">
        <v>26</v>
      </c>
      <c r="Q141" s="116">
        <v>31</v>
      </c>
      <c r="R141" s="116">
        <v>4</v>
      </c>
      <c r="S141" s="116">
        <v>31</v>
      </c>
      <c r="T141" s="116">
        <v>0</v>
      </c>
      <c r="U141" s="116">
        <v>0</v>
      </c>
      <c r="V141" s="116">
        <v>0</v>
      </c>
      <c r="W141" s="116">
        <v>0</v>
      </c>
      <c r="X141" s="30"/>
      <c r="Y141" s="30"/>
      <c r="Z141" s="30"/>
      <c r="AA141" s="30"/>
      <c r="AB141" s="126"/>
      <c r="AC141" s="126"/>
      <c r="AD141" s="126"/>
      <c r="AE141" s="126"/>
      <c r="AF141" s="126"/>
      <c r="AG141" s="126"/>
      <c r="AH141" s="117">
        <v>0</v>
      </c>
      <c r="AI141" s="116">
        <v>0</v>
      </c>
      <c r="AJ141" s="116">
        <v>0</v>
      </c>
      <c r="AK141" s="116">
        <v>0</v>
      </c>
      <c r="AL141" s="116">
        <v>0</v>
      </c>
      <c r="AM141" s="118">
        <v>0</v>
      </c>
      <c r="AN141" s="118">
        <v>0</v>
      </c>
      <c r="AO141" s="118" t="s">
        <v>475</v>
      </c>
      <c r="AP141" s="118">
        <v>31</v>
      </c>
    </row>
    <row r="142" spans="1:42" x14ac:dyDescent="0.15">
      <c r="A142" s="26" t="s">
        <v>238</v>
      </c>
      <c r="B142" s="26" t="s">
        <v>6</v>
      </c>
      <c r="C142" s="26" t="s">
        <v>477</v>
      </c>
      <c r="D142" s="26" t="s">
        <v>241</v>
      </c>
      <c r="E142" s="26" t="s">
        <v>473</v>
      </c>
      <c r="F142" s="26" t="s">
        <v>474</v>
      </c>
      <c r="G142" s="26">
        <v>0</v>
      </c>
      <c r="H142" s="26">
        <v>31</v>
      </c>
      <c r="I142" s="26">
        <v>4</v>
      </c>
      <c r="J142" s="119">
        <v>4</v>
      </c>
      <c r="K142" s="122">
        <v>4</v>
      </c>
      <c r="L142" s="122"/>
      <c r="M142" s="122"/>
      <c r="N142" s="122"/>
      <c r="O142" s="122"/>
      <c r="P142" s="116">
        <v>27</v>
      </c>
      <c r="Q142" s="116">
        <v>31</v>
      </c>
      <c r="R142" s="116">
        <v>4</v>
      </c>
      <c r="S142" s="116">
        <v>31</v>
      </c>
      <c r="T142" s="116">
        <v>0</v>
      </c>
      <c r="U142" s="116">
        <v>0</v>
      </c>
      <c r="V142" s="116">
        <v>0</v>
      </c>
      <c r="W142" s="116">
        <v>0</v>
      </c>
      <c r="X142" s="30">
        <v>10</v>
      </c>
      <c r="Y142" s="30"/>
      <c r="Z142" s="30"/>
      <c r="AA142" s="30"/>
      <c r="AB142" s="126"/>
      <c r="AC142" s="126"/>
      <c r="AD142" s="126"/>
      <c r="AE142" s="126"/>
      <c r="AF142" s="126"/>
      <c r="AG142" s="126"/>
      <c r="AH142" s="117">
        <v>0</v>
      </c>
      <c r="AI142" s="116">
        <v>0</v>
      </c>
      <c r="AJ142" s="116">
        <v>0</v>
      </c>
      <c r="AK142" s="116">
        <v>0</v>
      </c>
      <c r="AL142" s="116">
        <v>0</v>
      </c>
      <c r="AM142" s="118">
        <v>0</v>
      </c>
      <c r="AN142" s="118">
        <v>0</v>
      </c>
      <c r="AO142" s="118" t="s">
        <v>475</v>
      </c>
      <c r="AP142" s="118">
        <v>31</v>
      </c>
    </row>
    <row r="143" spans="1:42" x14ac:dyDescent="0.15">
      <c r="A143" s="26" t="s">
        <v>238</v>
      </c>
      <c r="B143" s="26" t="s">
        <v>6</v>
      </c>
      <c r="C143" s="26" t="s">
        <v>477</v>
      </c>
      <c r="D143" s="26" t="s">
        <v>242</v>
      </c>
      <c r="E143" s="26" t="s">
        <v>473</v>
      </c>
      <c r="F143" s="26" t="s">
        <v>474</v>
      </c>
      <c r="G143" s="26">
        <v>0</v>
      </c>
      <c r="H143" s="26">
        <v>31</v>
      </c>
      <c r="I143" s="26">
        <v>4</v>
      </c>
      <c r="J143" s="119">
        <v>5</v>
      </c>
      <c r="K143" s="122">
        <v>4</v>
      </c>
      <c r="L143" s="122"/>
      <c r="M143" s="122">
        <v>1</v>
      </c>
      <c r="N143" s="122"/>
      <c r="O143" s="122"/>
      <c r="P143" s="116">
        <v>26</v>
      </c>
      <c r="Q143" s="116">
        <v>31</v>
      </c>
      <c r="R143" s="116">
        <v>4</v>
      </c>
      <c r="S143" s="116">
        <v>31</v>
      </c>
      <c r="T143" s="116">
        <v>0</v>
      </c>
      <c r="U143" s="116">
        <v>0</v>
      </c>
      <c r="V143" s="116">
        <v>0</v>
      </c>
      <c r="W143" s="116">
        <v>0</v>
      </c>
      <c r="X143" s="30"/>
      <c r="Y143" s="30"/>
      <c r="Z143" s="30"/>
      <c r="AA143" s="30"/>
      <c r="AB143" s="126"/>
      <c r="AC143" s="126"/>
      <c r="AD143" s="126"/>
      <c r="AE143" s="126"/>
      <c r="AF143" s="126"/>
      <c r="AG143" s="126"/>
      <c r="AH143" s="117">
        <v>0</v>
      </c>
      <c r="AI143" s="116">
        <v>0</v>
      </c>
      <c r="AJ143" s="116">
        <v>0</v>
      </c>
      <c r="AK143" s="116">
        <v>0</v>
      </c>
      <c r="AL143" s="116">
        <v>0</v>
      </c>
      <c r="AM143" s="118">
        <v>0</v>
      </c>
      <c r="AN143" s="118">
        <v>0</v>
      </c>
      <c r="AO143" s="118" t="s">
        <v>475</v>
      </c>
      <c r="AP143" s="118">
        <v>31</v>
      </c>
    </row>
    <row r="144" spans="1:42" x14ac:dyDescent="0.15">
      <c r="A144" s="26" t="s">
        <v>238</v>
      </c>
      <c r="B144" s="26" t="s">
        <v>6</v>
      </c>
      <c r="C144" s="26" t="s">
        <v>477</v>
      </c>
      <c r="D144" s="26" t="s">
        <v>240</v>
      </c>
      <c r="E144" s="26" t="s">
        <v>473</v>
      </c>
      <c r="F144" s="26" t="s">
        <v>474</v>
      </c>
      <c r="G144" s="26">
        <v>0</v>
      </c>
      <c r="H144" s="26">
        <v>31</v>
      </c>
      <c r="I144" s="26">
        <v>4</v>
      </c>
      <c r="J144" s="119">
        <v>4</v>
      </c>
      <c r="K144" s="122">
        <v>4</v>
      </c>
      <c r="L144" s="122"/>
      <c r="M144" s="122"/>
      <c r="N144" s="122"/>
      <c r="O144" s="122"/>
      <c r="P144" s="116">
        <v>27</v>
      </c>
      <c r="Q144" s="116">
        <v>31</v>
      </c>
      <c r="R144" s="116">
        <v>4</v>
      </c>
      <c r="S144" s="116">
        <v>31</v>
      </c>
      <c r="T144" s="116">
        <v>0</v>
      </c>
      <c r="U144" s="116">
        <v>0</v>
      </c>
      <c r="V144" s="116">
        <v>0</v>
      </c>
      <c r="W144" s="116">
        <v>0</v>
      </c>
      <c r="X144" s="30"/>
      <c r="Y144" s="30"/>
      <c r="Z144" s="30">
        <v>50</v>
      </c>
      <c r="AA144" s="30"/>
      <c r="AB144" s="126"/>
      <c r="AC144" s="126"/>
      <c r="AD144" s="126"/>
      <c r="AE144" s="126"/>
      <c r="AF144" s="126"/>
      <c r="AG144" s="126"/>
      <c r="AH144" s="117">
        <v>0</v>
      </c>
      <c r="AI144" s="116">
        <v>0</v>
      </c>
      <c r="AJ144" s="116">
        <v>0</v>
      </c>
      <c r="AK144" s="116">
        <v>0</v>
      </c>
      <c r="AL144" s="116">
        <v>0</v>
      </c>
      <c r="AM144" s="118">
        <v>0</v>
      </c>
      <c r="AN144" s="118">
        <v>0</v>
      </c>
      <c r="AO144" s="118" t="s">
        <v>475</v>
      </c>
      <c r="AP144" s="118">
        <v>31</v>
      </c>
    </row>
    <row r="145" spans="1:42" x14ac:dyDescent="0.15">
      <c r="A145" s="26" t="s">
        <v>238</v>
      </c>
      <c r="B145" s="26" t="s">
        <v>6</v>
      </c>
      <c r="C145" s="26" t="s">
        <v>477</v>
      </c>
      <c r="D145" s="26" t="s">
        <v>243</v>
      </c>
      <c r="E145" s="26" t="s">
        <v>473</v>
      </c>
      <c r="F145" s="26" t="s">
        <v>474</v>
      </c>
      <c r="G145" s="26">
        <v>0</v>
      </c>
      <c r="H145" s="26">
        <v>31</v>
      </c>
      <c r="I145" s="26">
        <v>4</v>
      </c>
      <c r="J145" s="119">
        <v>4</v>
      </c>
      <c r="K145" s="122">
        <v>4</v>
      </c>
      <c r="L145" s="122"/>
      <c r="M145" s="122"/>
      <c r="N145" s="122"/>
      <c r="O145" s="122"/>
      <c r="P145" s="116">
        <v>27</v>
      </c>
      <c r="Q145" s="116">
        <v>31</v>
      </c>
      <c r="R145" s="116">
        <v>4</v>
      </c>
      <c r="S145" s="116">
        <v>31</v>
      </c>
      <c r="T145" s="116">
        <v>0</v>
      </c>
      <c r="U145" s="116">
        <v>0</v>
      </c>
      <c r="V145" s="116">
        <v>0</v>
      </c>
      <c r="W145" s="116">
        <v>0</v>
      </c>
      <c r="X145" s="30"/>
      <c r="Y145" s="30"/>
      <c r="Z145" s="30"/>
      <c r="AA145" s="30"/>
      <c r="AB145" s="126"/>
      <c r="AC145" s="126"/>
      <c r="AD145" s="126"/>
      <c r="AE145" s="126"/>
      <c r="AF145" s="126"/>
      <c r="AG145" s="126"/>
      <c r="AH145" s="117">
        <v>4000</v>
      </c>
      <c r="AI145" s="116">
        <v>0</v>
      </c>
      <c r="AJ145" s="116">
        <v>0</v>
      </c>
      <c r="AK145" s="116">
        <v>0</v>
      </c>
      <c r="AL145" s="116">
        <v>0</v>
      </c>
      <c r="AM145" s="118">
        <v>0</v>
      </c>
      <c r="AN145" s="118">
        <v>0</v>
      </c>
      <c r="AO145" s="118" t="s">
        <v>475</v>
      </c>
      <c r="AP145" s="118">
        <v>31</v>
      </c>
    </row>
    <row r="146" spans="1:42" x14ac:dyDescent="0.15">
      <c r="A146" s="26" t="s">
        <v>238</v>
      </c>
      <c r="B146" s="26" t="s">
        <v>6</v>
      </c>
      <c r="C146" s="26" t="s">
        <v>477</v>
      </c>
      <c r="D146" s="26" t="s">
        <v>244</v>
      </c>
      <c r="E146" s="26" t="s">
        <v>473</v>
      </c>
      <c r="F146" s="26" t="s">
        <v>474</v>
      </c>
      <c r="G146" s="26">
        <v>0</v>
      </c>
      <c r="H146" s="26">
        <v>31</v>
      </c>
      <c r="I146" s="26">
        <v>4</v>
      </c>
      <c r="J146" s="119">
        <v>4</v>
      </c>
      <c r="K146" s="122">
        <v>4</v>
      </c>
      <c r="L146" s="122"/>
      <c r="M146" s="122"/>
      <c r="N146" s="122"/>
      <c r="O146" s="122"/>
      <c r="P146" s="116">
        <v>27</v>
      </c>
      <c r="Q146" s="116">
        <v>31</v>
      </c>
      <c r="R146" s="116">
        <v>4</v>
      </c>
      <c r="S146" s="116">
        <v>31</v>
      </c>
      <c r="T146" s="116">
        <v>0</v>
      </c>
      <c r="U146" s="116">
        <v>0</v>
      </c>
      <c r="V146" s="116">
        <v>0</v>
      </c>
      <c r="W146" s="116">
        <v>0</v>
      </c>
      <c r="X146" s="30">
        <v>10</v>
      </c>
      <c r="Y146" s="30">
        <v>10</v>
      </c>
      <c r="Z146" s="30"/>
      <c r="AA146" s="30"/>
      <c r="AB146" s="126"/>
      <c r="AC146" s="126">
        <v>100</v>
      </c>
      <c r="AD146" s="126"/>
      <c r="AE146" s="126"/>
      <c r="AF146" s="126"/>
      <c r="AG146" s="126"/>
      <c r="AH146" s="117">
        <v>3500</v>
      </c>
      <c r="AI146" s="116">
        <v>0</v>
      </c>
      <c r="AJ146" s="116">
        <v>0</v>
      </c>
      <c r="AK146" s="116">
        <v>0</v>
      </c>
      <c r="AL146" s="116">
        <v>0</v>
      </c>
      <c r="AM146" s="118">
        <v>0</v>
      </c>
      <c r="AN146" s="118">
        <v>0</v>
      </c>
      <c r="AO146" s="118" t="s">
        <v>475</v>
      </c>
      <c r="AP146" s="118">
        <v>31</v>
      </c>
    </row>
    <row r="147" spans="1:42" x14ac:dyDescent="0.15">
      <c r="A147" s="26" t="s">
        <v>162</v>
      </c>
      <c r="B147" s="26" t="s">
        <v>483</v>
      </c>
      <c r="C147" s="26" t="s">
        <v>471</v>
      </c>
      <c r="D147" s="26" t="s">
        <v>528</v>
      </c>
      <c r="E147" s="26" t="s">
        <v>473</v>
      </c>
      <c r="F147" s="26" t="s">
        <v>474</v>
      </c>
      <c r="G147" s="26">
        <v>0</v>
      </c>
      <c r="H147" s="26">
        <v>31</v>
      </c>
      <c r="I147" s="26">
        <v>4</v>
      </c>
      <c r="J147" s="119">
        <v>4</v>
      </c>
      <c r="K147" s="122">
        <v>4</v>
      </c>
      <c r="L147" s="122"/>
      <c r="M147" s="122"/>
      <c r="N147" s="122"/>
      <c r="O147" s="122"/>
      <c r="P147" s="116">
        <v>27</v>
      </c>
      <c r="Q147" s="116">
        <v>31</v>
      </c>
      <c r="R147" s="116">
        <v>4</v>
      </c>
      <c r="S147" s="116">
        <v>31</v>
      </c>
      <c r="T147" s="116">
        <v>0</v>
      </c>
      <c r="U147" s="116">
        <v>0</v>
      </c>
      <c r="V147" s="116">
        <v>0</v>
      </c>
      <c r="W147" s="116">
        <v>0</v>
      </c>
      <c r="X147" s="30">
        <v>10</v>
      </c>
      <c r="Y147" s="30"/>
      <c r="Z147" s="30"/>
      <c r="AA147" s="30"/>
      <c r="AB147" s="126"/>
      <c r="AC147" s="126"/>
      <c r="AD147" s="126"/>
      <c r="AE147" s="126"/>
      <c r="AF147" s="126"/>
      <c r="AG147" s="126"/>
      <c r="AH147" s="117">
        <v>0</v>
      </c>
      <c r="AI147" s="116">
        <v>0</v>
      </c>
      <c r="AJ147" s="116">
        <v>0</v>
      </c>
      <c r="AK147" s="116">
        <v>0</v>
      </c>
      <c r="AL147" s="116">
        <v>0</v>
      </c>
      <c r="AM147" s="118">
        <v>0</v>
      </c>
      <c r="AN147" s="118">
        <v>0</v>
      </c>
      <c r="AO147" s="118" t="s">
        <v>475</v>
      </c>
      <c r="AP147" s="118">
        <v>31</v>
      </c>
    </row>
    <row r="148" spans="1:42" x14ac:dyDescent="0.15">
      <c r="A148" s="26" t="s">
        <v>217</v>
      </c>
      <c r="B148" s="26" t="s">
        <v>476</v>
      </c>
      <c r="C148" s="26" t="s">
        <v>477</v>
      </c>
      <c r="D148" s="26" t="s">
        <v>529</v>
      </c>
      <c r="E148" s="26" t="s">
        <v>473</v>
      </c>
      <c r="F148" s="26" t="s">
        <v>474</v>
      </c>
      <c r="G148" s="26">
        <v>0</v>
      </c>
      <c r="H148" s="26">
        <v>31</v>
      </c>
      <c r="I148" s="26">
        <v>4</v>
      </c>
      <c r="J148" s="119">
        <v>12</v>
      </c>
      <c r="K148" s="122">
        <v>3</v>
      </c>
      <c r="L148" s="122">
        <v>7</v>
      </c>
      <c r="M148" s="122">
        <v>2</v>
      </c>
      <c r="N148" s="122"/>
      <c r="O148" s="122"/>
      <c r="P148" s="116">
        <v>19</v>
      </c>
      <c r="Q148" s="116">
        <v>24</v>
      </c>
      <c r="R148" s="116">
        <v>3</v>
      </c>
      <c r="S148" s="116">
        <v>24</v>
      </c>
      <c r="T148" s="116">
        <v>0</v>
      </c>
      <c r="U148" s="116">
        <v>7</v>
      </c>
      <c r="V148" s="116">
        <v>0</v>
      </c>
      <c r="W148" s="116">
        <v>0</v>
      </c>
      <c r="X148" s="30"/>
      <c r="Y148" s="30"/>
      <c r="Z148" s="30"/>
      <c r="AA148" s="30"/>
      <c r="AB148" s="126"/>
      <c r="AC148" s="126"/>
      <c r="AD148" s="126"/>
      <c r="AE148" s="126"/>
      <c r="AF148" s="126"/>
      <c r="AG148" s="126"/>
      <c r="AH148" s="117">
        <v>0</v>
      </c>
      <c r="AI148" s="116">
        <v>0</v>
      </c>
      <c r="AJ148" s="116">
        <v>0</v>
      </c>
      <c r="AK148" s="116">
        <v>0</v>
      </c>
      <c r="AL148" s="116">
        <v>0</v>
      </c>
      <c r="AM148" s="118">
        <v>0</v>
      </c>
      <c r="AN148" s="118">
        <v>0</v>
      </c>
      <c r="AO148" s="118" t="s">
        <v>475</v>
      </c>
      <c r="AP148" s="118">
        <v>24</v>
      </c>
    </row>
    <row r="149" spans="1:42" x14ac:dyDescent="0.15">
      <c r="A149" s="26" t="s">
        <v>217</v>
      </c>
      <c r="B149" s="26" t="s">
        <v>6</v>
      </c>
      <c r="C149" s="26" t="s">
        <v>477</v>
      </c>
      <c r="D149" s="26" t="s">
        <v>219</v>
      </c>
      <c r="E149" s="26" t="s">
        <v>473</v>
      </c>
      <c r="F149" s="26" t="s">
        <v>474</v>
      </c>
      <c r="G149" s="26">
        <v>0</v>
      </c>
      <c r="H149" s="26">
        <v>31</v>
      </c>
      <c r="I149" s="26">
        <v>4</v>
      </c>
      <c r="J149" s="119">
        <v>4</v>
      </c>
      <c r="K149" s="122">
        <v>4</v>
      </c>
      <c r="L149" s="122"/>
      <c r="M149" s="122"/>
      <c r="N149" s="122"/>
      <c r="O149" s="122"/>
      <c r="P149" s="116">
        <v>27</v>
      </c>
      <c r="Q149" s="116">
        <v>31</v>
      </c>
      <c r="R149" s="116">
        <v>4</v>
      </c>
      <c r="S149" s="116">
        <v>31</v>
      </c>
      <c r="T149" s="116">
        <v>0</v>
      </c>
      <c r="U149" s="116">
        <v>0</v>
      </c>
      <c r="V149" s="116">
        <v>0</v>
      </c>
      <c r="W149" s="116">
        <v>0</v>
      </c>
      <c r="X149" s="30"/>
      <c r="Y149" s="30"/>
      <c r="Z149" s="30"/>
      <c r="AA149" s="30"/>
      <c r="AB149" s="126"/>
      <c r="AC149" s="126"/>
      <c r="AD149" s="126"/>
      <c r="AE149" s="126"/>
      <c r="AF149" s="126"/>
      <c r="AG149" s="126"/>
      <c r="AH149" s="117">
        <v>0</v>
      </c>
      <c r="AI149" s="116">
        <v>0</v>
      </c>
      <c r="AJ149" s="116">
        <v>0</v>
      </c>
      <c r="AK149" s="116">
        <v>0</v>
      </c>
      <c r="AL149" s="116">
        <v>0</v>
      </c>
      <c r="AM149" s="118">
        <v>0</v>
      </c>
      <c r="AN149" s="118">
        <v>0</v>
      </c>
      <c r="AO149" s="118" t="s">
        <v>475</v>
      </c>
      <c r="AP149" s="118">
        <v>31</v>
      </c>
    </row>
    <row r="150" spans="1:42" x14ac:dyDescent="0.15">
      <c r="A150" s="26" t="s">
        <v>217</v>
      </c>
      <c r="B150" s="26" t="s">
        <v>470</v>
      </c>
      <c r="C150" s="26" t="s">
        <v>471</v>
      </c>
      <c r="D150" s="26" t="s">
        <v>530</v>
      </c>
      <c r="E150" s="26" t="s">
        <v>473</v>
      </c>
      <c r="F150" s="26" t="s">
        <v>474</v>
      </c>
      <c r="G150" s="26">
        <v>0</v>
      </c>
      <c r="H150" s="26">
        <v>31</v>
      </c>
      <c r="I150" s="26">
        <v>4</v>
      </c>
      <c r="J150" s="119">
        <v>6</v>
      </c>
      <c r="K150" s="122">
        <v>4</v>
      </c>
      <c r="L150" s="122"/>
      <c r="M150" s="122">
        <v>2</v>
      </c>
      <c r="N150" s="122"/>
      <c r="O150" s="122"/>
      <c r="P150" s="116">
        <v>25</v>
      </c>
      <c r="Q150" s="116">
        <v>31</v>
      </c>
      <c r="R150" s="116">
        <v>4</v>
      </c>
      <c r="S150" s="116">
        <v>31</v>
      </c>
      <c r="T150" s="116">
        <v>0</v>
      </c>
      <c r="U150" s="116">
        <v>0</v>
      </c>
      <c r="V150" s="116">
        <v>0</v>
      </c>
      <c r="W150" s="116">
        <v>0</v>
      </c>
      <c r="X150" s="30"/>
      <c r="Y150" s="30"/>
      <c r="Z150" s="30"/>
      <c r="AA150" s="30"/>
      <c r="AB150" s="126"/>
      <c r="AC150" s="126"/>
      <c r="AD150" s="126"/>
      <c r="AE150" s="126"/>
      <c r="AF150" s="126"/>
      <c r="AG150" s="126"/>
      <c r="AH150" s="117">
        <v>0</v>
      </c>
      <c r="AI150" s="116">
        <v>0</v>
      </c>
      <c r="AJ150" s="116">
        <v>0</v>
      </c>
      <c r="AK150" s="116">
        <v>0</v>
      </c>
      <c r="AL150" s="116">
        <v>0</v>
      </c>
      <c r="AM150" s="118">
        <v>0</v>
      </c>
      <c r="AN150" s="118">
        <v>0</v>
      </c>
      <c r="AO150" s="118" t="s">
        <v>475</v>
      </c>
      <c r="AP150" s="118">
        <v>31</v>
      </c>
    </row>
    <row r="151" spans="1:42" x14ac:dyDescent="0.15">
      <c r="A151" s="26" t="s">
        <v>217</v>
      </c>
      <c r="B151" s="26" t="s">
        <v>6</v>
      </c>
      <c r="C151" s="26" t="s">
        <v>477</v>
      </c>
      <c r="D151" s="26" t="s">
        <v>223</v>
      </c>
      <c r="E151" s="26" t="s">
        <v>473</v>
      </c>
      <c r="F151" s="26" t="s">
        <v>474</v>
      </c>
      <c r="G151" s="26">
        <v>0</v>
      </c>
      <c r="H151" s="26">
        <v>31</v>
      </c>
      <c r="I151" s="26">
        <v>4</v>
      </c>
      <c r="J151" s="119">
        <v>6</v>
      </c>
      <c r="K151" s="122">
        <v>4</v>
      </c>
      <c r="L151" s="122"/>
      <c r="M151" s="122">
        <v>2</v>
      </c>
      <c r="N151" s="122"/>
      <c r="O151" s="122"/>
      <c r="P151" s="116">
        <v>25</v>
      </c>
      <c r="Q151" s="116">
        <v>31</v>
      </c>
      <c r="R151" s="116">
        <v>4</v>
      </c>
      <c r="S151" s="116">
        <v>31</v>
      </c>
      <c r="T151" s="116">
        <v>0</v>
      </c>
      <c r="U151" s="116">
        <v>0</v>
      </c>
      <c r="V151" s="116">
        <v>0</v>
      </c>
      <c r="W151" s="116">
        <v>0</v>
      </c>
      <c r="X151" s="30"/>
      <c r="Y151" s="30"/>
      <c r="Z151" s="30"/>
      <c r="AA151" s="30"/>
      <c r="AB151" s="126"/>
      <c r="AC151" s="126"/>
      <c r="AD151" s="126"/>
      <c r="AE151" s="126"/>
      <c r="AF151" s="126"/>
      <c r="AG151" s="126"/>
      <c r="AH151" s="117">
        <v>0</v>
      </c>
      <c r="AI151" s="116">
        <v>0</v>
      </c>
      <c r="AJ151" s="116">
        <v>0</v>
      </c>
      <c r="AK151" s="116">
        <v>0</v>
      </c>
      <c r="AL151" s="116">
        <v>0</v>
      </c>
      <c r="AM151" s="118">
        <v>0</v>
      </c>
      <c r="AN151" s="118">
        <v>0</v>
      </c>
      <c r="AO151" s="118" t="s">
        <v>475</v>
      </c>
      <c r="AP151" s="118">
        <v>31</v>
      </c>
    </row>
    <row r="152" spans="1:42" x14ac:dyDescent="0.15">
      <c r="A152" s="26" t="s">
        <v>217</v>
      </c>
      <c r="B152" s="26" t="s">
        <v>6</v>
      </c>
      <c r="C152" s="26" t="s">
        <v>477</v>
      </c>
      <c r="D152" s="26" t="s">
        <v>220</v>
      </c>
      <c r="E152" s="26" t="s">
        <v>473</v>
      </c>
      <c r="F152" s="26" t="s">
        <v>474</v>
      </c>
      <c r="G152" s="26" t="s">
        <v>531</v>
      </c>
      <c r="H152" s="26">
        <v>31</v>
      </c>
      <c r="I152" s="26">
        <v>4</v>
      </c>
      <c r="J152" s="119">
        <v>6</v>
      </c>
      <c r="K152" s="122">
        <v>4</v>
      </c>
      <c r="L152" s="122"/>
      <c r="M152" s="122">
        <v>2</v>
      </c>
      <c r="N152" s="122"/>
      <c r="O152" s="122"/>
      <c r="P152" s="116">
        <v>25</v>
      </c>
      <c r="Q152" s="116">
        <v>31</v>
      </c>
      <c r="R152" s="116">
        <v>4</v>
      </c>
      <c r="S152" s="116">
        <v>31</v>
      </c>
      <c r="T152" s="116">
        <v>0</v>
      </c>
      <c r="U152" s="116">
        <v>0</v>
      </c>
      <c r="V152" s="116">
        <v>0</v>
      </c>
      <c r="W152" s="116">
        <v>0</v>
      </c>
      <c r="X152" s="30"/>
      <c r="Y152" s="30"/>
      <c r="Z152" s="30"/>
      <c r="AA152" s="30"/>
      <c r="AB152" s="126"/>
      <c r="AC152" s="126"/>
      <c r="AD152" s="126"/>
      <c r="AE152" s="126"/>
      <c r="AF152" s="126"/>
      <c r="AG152" s="126"/>
      <c r="AH152" s="117">
        <v>0</v>
      </c>
      <c r="AI152" s="116">
        <v>0</v>
      </c>
      <c r="AJ152" s="116">
        <v>0</v>
      </c>
      <c r="AK152" s="116">
        <v>0</v>
      </c>
      <c r="AL152" s="116">
        <v>0</v>
      </c>
      <c r="AM152" s="118">
        <v>0</v>
      </c>
      <c r="AN152" s="118">
        <v>0</v>
      </c>
      <c r="AO152" s="118" t="s">
        <v>475</v>
      </c>
      <c r="AP152" s="118">
        <v>31</v>
      </c>
    </row>
    <row r="153" spans="1:42" x14ac:dyDescent="0.15">
      <c r="A153" s="26" t="s">
        <v>217</v>
      </c>
      <c r="B153" s="26" t="s">
        <v>6</v>
      </c>
      <c r="C153" s="26" t="s">
        <v>477</v>
      </c>
      <c r="D153" s="26" t="s">
        <v>224</v>
      </c>
      <c r="E153" s="26" t="s">
        <v>473</v>
      </c>
      <c r="F153" s="26" t="s">
        <v>474</v>
      </c>
      <c r="G153" s="26">
        <v>0</v>
      </c>
      <c r="H153" s="26">
        <v>31</v>
      </c>
      <c r="I153" s="26">
        <v>4</v>
      </c>
      <c r="J153" s="119">
        <v>4</v>
      </c>
      <c r="K153" s="122">
        <v>4</v>
      </c>
      <c r="L153" s="122"/>
      <c r="M153" s="122"/>
      <c r="N153" s="122"/>
      <c r="O153" s="122"/>
      <c r="P153" s="116">
        <v>27</v>
      </c>
      <c r="Q153" s="116">
        <v>31</v>
      </c>
      <c r="R153" s="116">
        <v>4</v>
      </c>
      <c r="S153" s="116">
        <v>31</v>
      </c>
      <c r="T153" s="116">
        <v>0</v>
      </c>
      <c r="U153" s="116">
        <v>0</v>
      </c>
      <c r="V153" s="116">
        <v>0</v>
      </c>
      <c r="W153" s="116">
        <v>0</v>
      </c>
      <c r="X153" s="30"/>
      <c r="Y153" s="30"/>
      <c r="Z153" s="30">
        <v>50</v>
      </c>
      <c r="AA153" s="30"/>
      <c r="AB153" s="126"/>
      <c r="AC153" s="126"/>
      <c r="AD153" s="126"/>
      <c r="AE153" s="126"/>
      <c r="AF153" s="126"/>
      <c r="AG153" s="126"/>
      <c r="AH153" s="117">
        <v>0</v>
      </c>
      <c r="AI153" s="116">
        <v>0</v>
      </c>
      <c r="AJ153" s="116">
        <v>0</v>
      </c>
      <c r="AK153" s="116">
        <v>0</v>
      </c>
      <c r="AL153" s="116">
        <v>0</v>
      </c>
      <c r="AM153" s="118">
        <v>0</v>
      </c>
      <c r="AN153" s="118">
        <v>0</v>
      </c>
      <c r="AO153" s="118" t="s">
        <v>475</v>
      </c>
      <c r="AP153" s="118">
        <v>31</v>
      </c>
    </row>
    <row r="154" spans="1:42" x14ac:dyDescent="0.15">
      <c r="A154" s="26" t="s">
        <v>217</v>
      </c>
      <c r="B154" s="26" t="s">
        <v>6</v>
      </c>
      <c r="C154" s="26" t="s">
        <v>477</v>
      </c>
      <c r="D154" s="26" t="s">
        <v>221</v>
      </c>
      <c r="E154" s="26" t="s">
        <v>473</v>
      </c>
      <c r="F154" s="26" t="s">
        <v>474</v>
      </c>
      <c r="G154" s="26">
        <v>0</v>
      </c>
      <c r="H154" s="26">
        <v>31</v>
      </c>
      <c r="I154" s="26">
        <v>4</v>
      </c>
      <c r="J154" s="119">
        <v>6</v>
      </c>
      <c r="K154" s="122">
        <v>4</v>
      </c>
      <c r="L154" s="122"/>
      <c r="M154" s="122">
        <v>2</v>
      </c>
      <c r="N154" s="122"/>
      <c r="O154" s="122"/>
      <c r="P154" s="116">
        <v>25</v>
      </c>
      <c r="Q154" s="116">
        <v>31</v>
      </c>
      <c r="R154" s="116">
        <v>4</v>
      </c>
      <c r="S154" s="116">
        <v>31</v>
      </c>
      <c r="T154" s="116">
        <v>0</v>
      </c>
      <c r="U154" s="116">
        <v>0</v>
      </c>
      <c r="V154" s="116">
        <v>0</v>
      </c>
      <c r="W154" s="116">
        <v>0</v>
      </c>
      <c r="X154" s="30"/>
      <c r="Y154" s="30"/>
      <c r="Z154" s="30"/>
      <c r="AA154" s="30"/>
      <c r="AB154" s="126"/>
      <c r="AC154" s="126"/>
      <c r="AD154" s="126"/>
      <c r="AE154" s="126"/>
      <c r="AF154" s="126"/>
      <c r="AG154" s="126"/>
      <c r="AH154" s="117">
        <v>0</v>
      </c>
      <c r="AI154" s="116">
        <v>0</v>
      </c>
      <c r="AJ154" s="116">
        <v>0</v>
      </c>
      <c r="AK154" s="116">
        <v>0</v>
      </c>
      <c r="AL154" s="116">
        <v>0</v>
      </c>
      <c r="AM154" s="118">
        <v>0</v>
      </c>
      <c r="AN154" s="118">
        <v>0</v>
      </c>
      <c r="AO154" s="118" t="s">
        <v>475</v>
      </c>
      <c r="AP154" s="118">
        <v>31</v>
      </c>
    </row>
    <row r="155" spans="1:42" x14ac:dyDescent="0.15">
      <c r="A155" s="26" t="s">
        <v>357</v>
      </c>
      <c r="B155" s="26" t="s">
        <v>500</v>
      </c>
      <c r="C155" s="26" t="s">
        <v>471</v>
      </c>
      <c r="D155" s="26" t="s">
        <v>532</v>
      </c>
      <c r="E155" s="26" t="s">
        <v>473</v>
      </c>
      <c r="F155" s="26" t="s">
        <v>474</v>
      </c>
      <c r="G155" s="26">
        <v>0</v>
      </c>
      <c r="H155" s="26">
        <v>31</v>
      </c>
      <c r="I155" s="26">
        <v>4</v>
      </c>
      <c r="J155" s="116">
        <v>4</v>
      </c>
      <c r="K155" s="122">
        <v>4</v>
      </c>
      <c r="L155" s="122"/>
      <c r="M155" s="122"/>
      <c r="N155" s="122"/>
      <c r="O155" s="122"/>
      <c r="P155" s="116">
        <v>27</v>
      </c>
      <c r="Q155" s="116">
        <v>31</v>
      </c>
      <c r="R155" s="116">
        <v>4</v>
      </c>
      <c r="S155" s="116">
        <v>31</v>
      </c>
      <c r="T155" s="116">
        <v>0</v>
      </c>
      <c r="U155" s="116">
        <v>0</v>
      </c>
      <c r="V155" s="116">
        <v>0</v>
      </c>
      <c r="W155" s="116">
        <v>0</v>
      </c>
      <c r="X155" s="30">
        <v>10</v>
      </c>
      <c r="Y155" s="30"/>
      <c r="Z155" s="30"/>
      <c r="AA155" s="30"/>
      <c r="AB155" s="127"/>
      <c r="AC155" s="127"/>
      <c r="AD155" s="127"/>
      <c r="AE155" s="127"/>
      <c r="AF155" s="127"/>
      <c r="AG155" s="127"/>
      <c r="AH155" s="117">
        <v>0</v>
      </c>
      <c r="AI155" s="116">
        <v>0</v>
      </c>
      <c r="AJ155" s="116">
        <v>0</v>
      </c>
      <c r="AK155" s="116">
        <v>0</v>
      </c>
      <c r="AL155" s="116">
        <v>0</v>
      </c>
      <c r="AM155" s="118">
        <v>0</v>
      </c>
      <c r="AN155" s="118">
        <v>0</v>
      </c>
      <c r="AO155" s="118" t="s">
        <v>475</v>
      </c>
      <c r="AP155" s="118">
        <v>31</v>
      </c>
    </row>
    <row r="156" spans="1:42" x14ac:dyDescent="0.15">
      <c r="A156" s="26" t="s">
        <v>145</v>
      </c>
      <c r="B156" s="26" t="s">
        <v>470</v>
      </c>
      <c r="C156" s="26" t="s">
        <v>471</v>
      </c>
      <c r="D156" s="26" t="s">
        <v>533</v>
      </c>
      <c r="E156" s="26" t="s">
        <v>473</v>
      </c>
      <c r="F156" s="26" t="s">
        <v>474</v>
      </c>
      <c r="G156" s="26">
        <v>0</v>
      </c>
      <c r="H156" s="26">
        <v>31</v>
      </c>
      <c r="I156" s="26">
        <v>4</v>
      </c>
      <c r="J156" s="119">
        <v>6</v>
      </c>
      <c r="K156" s="122">
        <v>4</v>
      </c>
      <c r="L156" s="122"/>
      <c r="M156" s="122">
        <v>2</v>
      </c>
      <c r="N156" s="122"/>
      <c r="O156" s="122"/>
      <c r="P156" s="116">
        <v>25</v>
      </c>
      <c r="Q156" s="116">
        <v>31</v>
      </c>
      <c r="R156" s="116">
        <v>4</v>
      </c>
      <c r="S156" s="116">
        <v>31</v>
      </c>
      <c r="T156" s="116">
        <v>0</v>
      </c>
      <c r="U156" s="116">
        <v>0</v>
      </c>
      <c r="V156" s="116">
        <v>0</v>
      </c>
      <c r="W156" s="116">
        <v>0</v>
      </c>
      <c r="X156" s="30">
        <v>10</v>
      </c>
      <c r="Y156" s="30"/>
      <c r="Z156" s="30"/>
      <c r="AA156" s="30"/>
      <c r="AB156" s="126"/>
      <c r="AC156" s="126"/>
      <c r="AD156" s="126"/>
      <c r="AE156" s="126"/>
      <c r="AF156" s="126"/>
      <c r="AG156" s="126"/>
      <c r="AH156" s="117">
        <v>0</v>
      </c>
      <c r="AI156" s="116">
        <v>0</v>
      </c>
      <c r="AJ156" s="116">
        <v>0</v>
      </c>
      <c r="AK156" s="116">
        <v>0</v>
      </c>
      <c r="AL156" s="116">
        <v>0</v>
      </c>
      <c r="AM156" s="118">
        <v>0</v>
      </c>
      <c r="AN156" s="118">
        <v>0</v>
      </c>
      <c r="AO156" s="118" t="s">
        <v>475</v>
      </c>
      <c r="AP156" s="118">
        <v>31</v>
      </c>
    </row>
    <row r="157" spans="1:42" x14ac:dyDescent="0.15">
      <c r="A157" s="26" t="s">
        <v>145</v>
      </c>
      <c r="B157" s="26" t="s">
        <v>6</v>
      </c>
      <c r="C157" s="26" t="s">
        <v>477</v>
      </c>
      <c r="D157" s="26" t="s">
        <v>147</v>
      </c>
      <c r="E157" s="26" t="s">
        <v>473</v>
      </c>
      <c r="F157" s="26" t="s">
        <v>474</v>
      </c>
      <c r="G157" s="26">
        <v>0</v>
      </c>
      <c r="H157" s="26">
        <v>31</v>
      </c>
      <c r="I157" s="26">
        <v>4</v>
      </c>
      <c r="J157" s="119">
        <v>6</v>
      </c>
      <c r="K157" s="122">
        <v>4</v>
      </c>
      <c r="L157" s="122"/>
      <c r="M157" s="122">
        <v>2</v>
      </c>
      <c r="N157" s="122"/>
      <c r="O157" s="122"/>
      <c r="P157" s="116">
        <v>25</v>
      </c>
      <c r="Q157" s="116">
        <v>31</v>
      </c>
      <c r="R157" s="116">
        <v>4</v>
      </c>
      <c r="S157" s="116">
        <v>31</v>
      </c>
      <c r="T157" s="116">
        <v>0</v>
      </c>
      <c r="U157" s="116">
        <v>0</v>
      </c>
      <c r="V157" s="116">
        <v>0</v>
      </c>
      <c r="W157" s="116">
        <v>0</v>
      </c>
      <c r="X157" s="30">
        <v>10</v>
      </c>
      <c r="Y157" s="30"/>
      <c r="Z157" s="30"/>
      <c r="AA157" s="30"/>
      <c r="AB157" s="126"/>
      <c r="AC157" s="126"/>
      <c r="AD157" s="126"/>
      <c r="AE157" s="126"/>
      <c r="AF157" s="126"/>
      <c r="AG157" s="126"/>
      <c r="AH157" s="117">
        <v>0</v>
      </c>
      <c r="AI157" s="116">
        <v>0</v>
      </c>
      <c r="AJ157" s="116">
        <v>0</v>
      </c>
      <c r="AK157" s="116">
        <v>0</v>
      </c>
      <c r="AL157" s="116">
        <v>0</v>
      </c>
      <c r="AM157" s="118">
        <v>0</v>
      </c>
      <c r="AN157" s="118">
        <v>0</v>
      </c>
      <c r="AO157" s="118" t="s">
        <v>475</v>
      </c>
      <c r="AP157" s="118">
        <v>31</v>
      </c>
    </row>
    <row r="158" spans="1:42" x14ac:dyDescent="0.15">
      <c r="A158" s="26" t="s">
        <v>145</v>
      </c>
      <c r="B158" s="26" t="s">
        <v>476</v>
      </c>
      <c r="C158" s="26" t="s">
        <v>477</v>
      </c>
      <c r="D158" s="26" t="s">
        <v>534</v>
      </c>
      <c r="E158" s="26" t="s">
        <v>473</v>
      </c>
      <c r="F158" s="26" t="s">
        <v>474</v>
      </c>
      <c r="G158" s="26">
        <v>0</v>
      </c>
      <c r="H158" s="26">
        <v>31</v>
      </c>
      <c r="I158" s="26">
        <v>4</v>
      </c>
      <c r="J158" s="119">
        <v>8</v>
      </c>
      <c r="K158" s="122">
        <v>4</v>
      </c>
      <c r="L158" s="122">
        <v>2</v>
      </c>
      <c r="M158" s="122">
        <v>2</v>
      </c>
      <c r="N158" s="122"/>
      <c r="O158" s="122"/>
      <c r="P158" s="116">
        <v>23</v>
      </c>
      <c r="Q158" s="116">
        <v>29</v>
      </c>
      <c r="R158" s="116">
        <v>4</v>
      </c>
      <c r="S158" s="116">
        <v>29</v>
      </c>
      <c r="T158" s="116">
        <v>0</v>
      </c>
      <c r="U158" s="116">
        <v>2</v>
      </c>
      <c r="V158" s="116">
        <v>0</v>
      </c>
      <c r="W158" s="116">
        <v>0</v>
      </c>
      <c r="X158" s="30"/>
      <c r="Y158" s="30"/>
      <c r="Z158" s="30"/>
      <c r="AA158" s="30"/>
      <c r="AB158" s="126"/>
      <c r="AC158" s="126"/>
      <c r="AD158" s="126"/>
      <c r="AE158" s="126"/>
      <c r="AF158" s="126"/>
      <c r="AG158" s="126"/>
      <c r="AH158" s="117">
        <v>0</v>
      </c>
      <c r="AI158" s="116">
        <v>0</v>
      </c>
      <c r="AJ158" s="116">
        <v>0</v>
      </c>
      <c r="AK158" s="116">
        <v>0</v>
      </c>
      <c r="AL158" s="116">
        <v>0</v>
      </c>
      <c r="AM158" s="118">
        <v>0</v>
      </c>
      <c r="AN158" s="118">
        <v>0</v>
      </c>
      <c r="AO158" s="118" t="s">
        <v>475</v>
      </c>
      <c r="AP158" s="118">
        <v>29</v>
      </c>
    </row>
    <row r="159" spans="1:42" x14ac:dyDescent="0.15">
      <c r="A159" s="26" t="s">
        <v>145</v>
      </c>
      <c r="B159" s="26" t="s">
        <v>6</v>
      </c>
      <c r="C159" s="26" t="s">
        <v>477</v>
      </c>
      <c r="D159" s="26" t="s">
        <v>150</v>
      </c>
      <c r="E159" s="26" t="s">
        <v>473</v>
      </c>
      <c r="F159" s="26" t="s">
        <v>474</v>
      </c>
      <c r="G159" s="26">
        <v>0</v>
      </c>
      <c r="H159" s="26">
        <v>31</v>
      </c>
      <c r="I159" s="26">
        <v>4</v>
      </c>
      <c r="J159" s="119">
        <v>6</v>
      </c>
      <c r="K159" s="122">
        <v>4</v>
      </c>
      <c r="L159" s="122"/>
      <c r="M159" s="122">
        <v>2</v>
      </c>
      <c r="N159" s="122"/>
      <c r="O159" s="122"/>
      <c r="P159" s="116">
        <v>25</v>
      </c>
      <c r="Q159" s="116">
        <v>31</v>
      </c>
      <c r="R159" s="116">
        <v>4</v>
      </c>
      <c r="S159" s="116">
        <v>31</v>
      </c>
      <c r="T159" s="116">
        <v>0</v>
      </c>
      <c r="U159" s="116">
        <v>0</v>
      </c>
      <c r="V159" s="116">
        <v>0</v>
      </c>
      <c r="W159" s="116">
        <v>0</v>
      </c>
      <c r="X159" s="30">
        <v>20</v>
      </c>
      <c r="Y159" s="30"/>
      <c r="Z159" s="30"/>
      <c r="AA159" s="30"/>
      <c r="AB159" s="126"/>
      <c r="AC159" s="126"/>
      <c r="AD159" s="126"/>
      <c r="AE159" s="126"/>
      <c r="AF159" s="126"/>
      <c r="AG159" s="126"/>
      <c r="AH159" s="117">
        <v>0</v>
      </c>
      <c r="AI159" s="116">
        <v>0</v>
      </c>
      <c r="AJ159" s="116">
        <v>0</v>
      </c>
      <c r="AK159" s="116">
        <v>0</v>
      </c>
      <c r="AL159" s="116">
        <v>0</v>
      </c>
      <c r="AM159" s="118">
        <v>0</v>
      </c>
      <c r="AN159" s="118">
        <v>0</v>
      </c>
      <c r="AO159" s="118" t="s">
        <v>475</v>
      </c>
      <c r="AP159" s="118">
        <v>31</v>
      </c>
    </row>
    <row r="160" spans="1:42" x14ac:dyDescent="0.15">
      <c r="A160" s="26" t="s">
        <v>145</v>
      </c>
      <c r="B160" s="26" t="s">
        <v>6</v>
      </c>
      <c r="C160" s="26" t="s">
        <v>477</v>
      </c>
      <c r="D160" s="26" t="s">
        <v>151</v>
      </c>
      <c r="E160" s="26" t="s">
        <v>473</v>
      </c>
      <c r="F160" s="26" t="s">
        <v>474</v>
      </c>
      <c r="G160" s="26">
        <v>0</v>
      </c>
      <c r="H160" s="26">
        <v>31</v>
      </c>
      <c r="I160" s="26">
        <v>4</v>
      </c>
      <c r="J160" s="119">
        <v>6</v>
      </c>
      <c r="K160" s="122">
        <v>4</v>
      </c>
      <c r="L160" s="122"/>
      <c r="M160" s="122">
        <v>2</v>
      </c>
      <c r="N160" s="122"/>
      <c r="O160" s="122"/>
      <c r="P160" s="116">
        <v>25</v>
      </c>
      <c r="Q160" s="116">
        <v>31</v>
      </c>
      <c r="R160" s="116">
        <v>4</v>
      </c>
      <c r="S160" s="116">
        <v>31</v>
      </c>
      <c r="T160" s="116">
        <v>0</v>
      </c>
      <c r="U160" s="116">
        <v>0</v>
      </c>
      <c r="V160" s="116">
        <v>0</v>
      </c>
      <c r="W160" s="116">
        <v>0</v>
      </c>
      <c r="X160" s="30"/>
      <c r="Y160" s="30"/>
      <c r="Z160" s="30"/>
      <c r="AA160" s="30"/>
      <c r="AB160" s="126"/>
      <c r="AC160" s="126"/>
      <c r="AD160" s="126"/>
      <c r="AE160" s="126"/>
      <c r="AF160" s="126"/>
      <c r="AG160" s="126"/>
      <c r="AH160" s="117">
        <v>0</v>
      </c>
      <c r="AI160" s="116">
        <v>0</v>
      </c>
      <c r="AJ160" s="116">
        <v>0</v>
      </c>
      <c r="AK160" s="116">
        <v>0</v>
      </c>
      <c r="AL160" s="116">
        <v>0</v>
      </c>
      <c r="AM160" s="118">
        <v>0</v>
      </c>
      <c r="AN160" s="118">
        <v>0</v>
      </c>
      <c r="AO160" s="118" t="s">
        <v>475</v>
      </c>
      <c r="AP160" s="118">
        <v>31</v>
      </c>
    </row>
    <row r="161" spans="1:42" x14ac:dyDescent="0.15">
      <c r="A161" s="26" t="s">
        <v>145</v>
      </c>
      <c r="B161" s="26" t="s">
        <v>6</v>
      </c>
      <c r="C161" s="26" t="s">
        <v>477</v>
      </c>
      <c r="D161" s="26" t="s">
        <v>148</v>
      </c>
      <c r="E161" s="26" t="s">
        <v>473</v>
      </c>
      <c r="F161" s="26" t="s">
        <v>474</v>
      </c>
      <c r="G161" s="26">
        <v>0</v>
      </c>
      <c r="H161" s="26">
        <v>31</v>
      </c>
      <c r="I161" s="26">
        <v>4</v>
      </c>
      <c r="J161" s="119">
        <v>4</v>
      </c>
      <c r="K161" s="122">
        <v>4</v>
      </c>
      <c r="L161" s="122"/>
      <c r="M161" s="122"/>
      <c r="N161" s="122"/>
      <c r="O161" s="122"/>
      <c r="P161" s="116">
        <v>27</v>
      </c>
      <c r="Q161" s="116">
        <v>31</v>
      </c>
      <c r="R161" s="116">
        <v>4</v>
      </c>
      <c r="S161" s="116">
        <v>31</v>
      </c>
      <c r="T161" s="116">
        <v>0</v>
      </c>
      <c r="U161" s="116">
        <v>0</v>
      </c>
      <c r="V161" s="116">
        <v>0</v>
      </c>
      <c r="W161" s="116">
        <v>0</v>
      </c>
      <c r="X161" s="30">
        <v>10</v>
      </c>
      <c r="Y161" s="30"/>
      <c r="Z161" s="30"/>
      <c r="AA161" s="30"/>
      <c r="AB161" s="126"/>
      <c r="AC161" s="126"/>
      <c r="AD161" s="126"/>
      <c r="AE161" s="126"/>
      <c r="AF161" s="126"/>
      <c r="AG161" s="126"/>
      <c r="AH161" s="117">
        <v>0</v>
      </c>
      <c r="AI161" s="116">
        <v>0</v>
      </c>
      <c r="AJ161" s="116">
        <v>0</v>
      </c>
      <c r="AK161" s="116">
        <v>0</v>
      </c>
      <c r="AL161" s="116">
        <v>0</v>
      </c>
      <c r="AM161" s="118">
        <v>0</v>
      </c>
      <c r="AN161" s="118">
        <v>0</v>
      </c>
      <c r="AO161" s="118" t="s">
        <v>475</v>
      </c>
      <c r="AP161" s="118">
        <v>31</v>
      </c>
    </row>
    <row r="162" spans="1:42" x14ac:dyDescent="0.15">
      <c r="A162" s="26" t="s">
        <v>75</v>
      </c>
      <c r="B162" s="26" t="s">
        <v>483</v>
      </c>
      <c r="C162" s="26" t="s">
        <v>471</v>
      </c>
      <c r="D162" s="26" t="s">
        <v>535</v>
      </c>
      <c r="E162" s="26" t="s">
        <v>473</v>
      </c>
      <c r="F162" s="26" t="s">
        <v>474</v>
      </c>
      <c r="G162" s="26">
        <v>0</v>
      </c>
      <c r="H162" s="26">
        <v>31</v>
      </c>
      <c r="I162" s="26">
        <v>4</v>
      </c>
      <c r="J162" s="119">
        <v>2</v>
      </c>
      <c r="K162" s="122">
        <v>2</v>
      </c>
      <c r="L162" s="122"/>
      <c r="M162" s="122"/>
      <c r="N162" s="122"/>
      <c r="O162" s="122"/>
      <c r="P162" s="116">
        <v>29</v>
      </c>
      <c r="Q162" s="116">
        <v>31</v>
      </c>
      <c r="R162" s="116">
        <v>4</v>
      </c>
      <c r="S162" s="116">
        <v>31</v>
      </c>
      <c r="T162" s="116">
        <v>0</v>
      </c>
      <c r="U162" s="116">
        <v>0</v>
      </c>
      <c r="V162" s="116">
        <v>0</v>
      </c>
      <c r="W162" s="116">
        <v>0</v>
      </c>
      <c r="X162" s="30">
        <v>150</v>
      </c>
      <c r="Y162" s="30">
        <v>40</v>
      </c>
      <c r="Z162" s="30"/>
      <c r="AA162" s="30"/>
      <c r="AB162" s="126"/>
      <c r="AC162" s="126"/>
      <c r="AD162" s="126"/>
      <c r="AE162" s="126"/>
      <c r="AF162" s="126"/>
      <c r="AG162" s="126"/>
      <c r="AH162" s="117">
        <v>0</v>
      </c>
      <c r="AI162" s="116">
        <v>0</v>
      </c>
      <c r="AJ162" s="116">
        <v>0</v>
      </c>
      <c r="AK162" s="116">
        <v>0</v>
      </c>
      <c r="AL162" s="116">
        <v>0</v>
      </c>
      <c r="AM162" s="118">
        <v>0</v>
      </c>
      <c r="AN162" s="118">
        <v>0</v>
      </c>
      <c r="AO162" s="118" t="s">
        <v>475</v>
      </c>
      <c r="AP162" s="118">
        <v>31</v>
      </c>
    </row>
    <row r="163" spans="1:42" x14ac:dyDescent="0.15">
      <c r="A163" s="26" t="s">
        <v>145</v>
      </c>
      <c r="B163" s="26" t="s">
        <v>6</v>
      </c>
      <c r="C163" s="26" t="s">
        <v>477</v>
      </c>
      <c r="D163" s="26" t="s">
        <v>152</v>
      </c>
      <c r="E163" s="26" t="s">
        <v>473</v>
      </c>
      <c r="F163" s="26" t="s">
        <v>474</v>
      </c>
      <c r="G163" s="26">
        <v>0</v>
      </c>
      <c r="H163" s="26">
        <v>31</v>
      </c>
      <c r="I163" s="26">
        <v>4</v>
      </c>
      <c r="J163" s="119">
        <v>4</v>
      </c>
      <c r="K163" s="122">
        <v>4</v>
      </c>
      <c r="L163" s="122"/>
      <c r="M163" s="122"/>
      <c r="N163" s="122"/>
      <c r="O163" s="122"/>
      <c r="P163" s="116">
        <v>27</v>
      </c>
      <c r="Q163" s="116">
        <v>31</v>
      </c>
      <c r="R163" s="116">
        <v>4</v>
      </c>
      <c r="S163" s="116">
        <v>31</v>
      </c>
      <c r="T163" s="116">
        <v>0</v>
      </c>
      <c r="U163" s="116">
        <v>0</v>
      </c>
      <c r="V163" s="116">
        <v>0</v>
      </c>
      <c r="W163" s="116">
        <v>0</v>
      </c>
      <c r="X163" s="30"/>
      <c r="Y163" s="30"/>
      <c r="Z163" s="30"/>
      <c r="AA163" s="30"/>
      <c r="AB163" s="126"/>
      <c r="AC163" s="126"/>
      <c r="AD163" s="126"/>
      <c r="AE163" s="126"/>
      <c r="AF163" s="126"/>
      <c r="AG163" s="126"/>
      <c r="AH163" s="117">
        <v>4000</v>
      </c>
      <c r="AI163" s="116">
        <v>0</v>
      </c>
      <c r="AJ163" s="116">
        <v>0</v>
      </c>
      <c r="AK163" s="116">
        <v>0</v>
      </c>
      <c r="AL163" s="116">
        <v>0</v>
      </c>
      <c r="AM163" s="118">
        <v>0</v>
      </c>
      <c r="AN163" s="118">
        <v>0</v>
      </c>
      <c r="AO163" s="118" t="s">
        <v>475</v>
      </c>
      <c r="AP163" s="118">
        <v>31</v>
      </c>
    </row>
    <row r="164" spans="1:42" x14ac:dyDescent="0.15">
      <c r="A164" s="26" t="s">
        <v>251</v>
      </c>
      <c r="B164" s="26" t="s">
        <v>6</v>
      </c>
      <c r="C164" s="26" t="s">
        <v>477</v>
      </c>
      <c r="D164" s="26" t="s">
        <v>256</v>
      </c>
      <c r="E164" s="26" t="s">
        <v>473</v>
      </c>
      <c r="F164" s="26" t="s">
        <v>474</v>
      </c>
      <c r="G164" s="26">
        <v>0</v>
      </c>
      <c r="H164" s="26">
        <v>31</v>
      </c>
      <c r="I164" s="26">
        <v>4</v>
      </c>
      <c r="J164" s="119">
        <v>5</v>
      </c>
      <c r="K164" s="122">
        <v>4</v>
      </c>
      <c r="L164" s="122"/>
      <c r="M164" s="122">
        <v>1</v>
      </c>
      <c r="N164" s="122"/>
      <c r="O164" s="122"/>
      <c r="P164" s="116">
        <v>26</v>
      </c>
      <c r="Q164" s="116">
        <v>31</v>
      </c>
      <c r="R164" s="116">
        <v>4</v>
      </c>
      <c r="S164" s="116">
        <v>31</v>
      </c>
      <c r="T164" s="116">
        <v>0</v>
      </c>
      <c r="U164" s="116">
        <v>0</v>
      </c>
      <c r="V164" s="116">
        <v>0</v>
      </c>
      <c r="W164" s="116">
        <v>0</v>
      </c>
      <c r="X164" s="30">
        <v>10</v>
      </c>
      <c r="Y164" s="30"/>
      <c r="Z164" s="30"/>
      <c r="AA164" s="30"/>
      <c r="AB164" s="126"/>
      <c r="AC164" s="126"/>
      <c r="AD164" s="126"/>
      <c r="AE164" s="126"/>
      <c r="AF164" s="126"/>
      <c r="AG164" s="126"/>
      <c r="AH164" s="117">
        <v>0</v>
      </c>
      <c r="AI164" s="116">
        <v>0</v>
      </c>
      <c r="AJ164" s="116">
        <v>0</v>
      </c>
      <c r="AK164" s="116">
        <v>0</v>
      </c>
      <c r="AL164" s="116">
        <v>0</v>
      </c>
      <c r="AM164" s="118">
        <v>0</v>
      </c>
      <c r="AN164" s="118">
        <v>0</v>
      </c>
      <c r="AO164" s="118" t="s">
        <v>475</v>
      </c>
      <c r="AP164" s="118">
        <v>31</v>
      </c>
    </row>
    <row r="165" spans="1:42" x14ac:dyDescent="0.15">
      <c r="A165" s="26" t="s">
        <v>251</v>
      </c>
      <c r="B165" s="26" t="s">
        <v>470</v>
      </c>
      <c r="C165" s="26" t="s">
        <v>471</v>
      </c>
      <c r="D165" s="26" t="s">
        <v>536</v>
      </c>
      <c r="E165" s="26" t="s">
        <v>473</v>
      </c>
      <c r="F165" s="26" t="s">
        <v>474</v>
      </c>
      <c r="G165" s="26">
        <v>0</v>
      </c>
      <c r="H165" s="26">
        <v>31</v>
      </c>
      <c r="I165" s="26">
        <v>4</v>
      </c>
      <c r="J165" s="119">
        <v>4</v>
      </c>
      <c r="K165" s="122">
        <v>4</v>
      </c>
      <c r="L165" s="122"/>
      <c r="M165" s="122"/>
      <c r="N165" s="122"/>
      <c r="O165" s="122"/>
      <c r="P165" s="116">
        <v>27</v>
      </c>
      <c r="Q165" s="116">
        <v>31</v>
      </c>
      <c r="R165" s="116">
        <v>4</v>
      </c>
      <c r="S165" s="116">
        <v>31</v>
      </c>
      <c r="T165" s="116">
        <v>0</v>
      </c>
      <c r="U165" s="116">
        <v>0</v>
      </c>
      <c r="V165" s="116">
        <v>0</v>
      </c>
      <c r="W165" s="116">
        <v>0</v>
      </c>
      <c r="X165" s="30">
        <v>90</v>
      </c>
      <c r="Y165" s="30"/>
      <c r="Z165" s="30"/>
      <c r="AA165" s="30"/>
      <c r="AB165" s="126"/>
      <c r="AC165" s="126"/>
      <c r="AD165" s="126"/>
      <c r="AE165" s="126"/>
      <c r="AF165" s="126"/>
      <c r="AG165" s="126"/>
      <c r="AH165" s="117">
        <v>0</v>
      </c>
      <c r="AI165" s="116">
        <v>0</v>
      </c>
      <c r="AJ165" s="116">
        <v>0</v>
      </c>
      <c r="AK165" s="116">
        <v>0</v>
      </c>
      <c r="AL165" s="116">
        <v>0</v>
      </c>
      <c r="AM165" s="118">
        <v>0</v>
      </c>
      <c r="AN165" s="118">
        <v>0</v>
      </c>
      <c r="AO165" s="118" t="s">
        <v>475</v>
      </c>
      <c r="AP165" s="118">
        <v>31</v>
      </c>
    </row>
    <row r="166" spans="1:42" x14ac:dyDescent="0.15">
      <c r="A166" s="26" t="s">
        <v>251</v>
      </c>
      <c r="B166" s="26" t="s">
        <v>6</v>
      </c>
      <c r="C166" s="26" t="s">
        <v>477</v>
      </c>
      <c r="D166" s="26" t="s">
        <v>252</v>
      </c>
      <c r="E166" s="26" t="s">
        <v>473</v>
      </c>
      <c r="F166" s="26" t="s">
        <v>474</v>
      </c>
      <c r="G166" s="26">
        <v>0</v>
      </c>
      <c r="H166" s="26">
        <v>31</v>
      </c>
      <c r="I166" s="26">
        <v>4</v>
      </c>
      <c r="J166" s="119">
        <v>4</v>
      </c>
      <c r="K166" s="122">
        <v>4</v>
      </c>
      <c r="L166" s="122"/>
      <c r="M166" s="122"/>
      <c r="N166" s="122"/>
      <c r="O166" s="122"/>
      <c r="P166" s="116">
        <v>27</v>
      </c>
      <c r="Q166" s="116">
        <v>31</v>
      </c>
      <c r="R166" s="116">
        <v>4</v>
      </c>
      <c r="S166" s="116">
        <v>31</v>
      </c>
      <c r="T166" s="116">
        <v>0</v>
      </c>
      <c r="U166" s="116">
        <v>0</v>
      </c>
      <c r="V166" s="116">
        <v>0</v>
      </c>
      <c r="W166" s="116">
        <v>0</v>
      </c>
      <c r="X166" s="30">
        <v>120</v>
      </c>
      <c r="Y166" s="30"/>
      <c r="Z166" s="30"/>
      <c r="AA166" s="30"/>
      <c r="AB166" s="126"/>
      <c r="AC166" s="126"/>
      <c r="AD166" s="126"/>
      <c r="AE166" s="126"/>
      <c r="AF166" s="126"/>
      <c r="AG166" s="126"/>
      <c r="AH166" s="117">
        <v>0</v>
      </c>
      <c r="AI166" s="116">
        <v>0</v>
      </c>
      <c r="AJ166" s="116">
        <v>0</v>
      </c>
      <c r="AK166" s="116">
        <v>0</v>
      </c>
      <c r="AL166" s="116">
        <v>0</v>
      </c>
      <c r="AM166" s="118">
        <v>0</v>
      </c>
      <c r="AN166" s="118">
        <v>0</v>
      </c>
      <c r="AO166" s="118" t="s">
        <v>475</v>
      </c>
      <c r="AP166" s="118">
        <v>31</v>
      </c>
    </row>
    <row r="167" spans="1:42" x14ac:dyDescent="0.15">
      <c r="A167" s="26" t="s">
        <v>251</v>
      </c>
      <c r="B167" s="26" t="s">
        <v>6</v>
      </c>
      <c r="C167" s="26" t="s">
        <v>477</v>
      </c>
      <c r="D167" s="26" t="s">
        <v>257</v>
      </c>
      <c r="E167" s="26" t="s">
        <v>473</v>
      </c>
      <c r="F167" s="26" t="s">
        <v>474</v>
      </c>
      <c r="G167" s="26">
        <v>0</v>
      </c>
      <c r="H167" s="26">
        <v>7</v>
      </c>
      <c r="I167" s="26">
        <v>1</v>
      </c>
      <c r="J167" s="119">
        <v>0</v>
      </c>
      <c r="K167" s="122">
        <v>0</v>
      </c>
      <c r="L167" s="122"/>
      <c r="M167" s="122"/>
      <c r="N167" s="122"/>
      <c r="O167" s="122"/>
      <c r="P167" s="116">
        <v>7</v>
      </c>
      <c r="Q167" s="116">
        <v>7</v>
      </c>
      <c r="R167" s="116">
        <v>1</v>
      </c>
      <c r="S167" s="116">
        <v>7</v>
      </c>
      <c r="T167" s="116">
        <v>0</v>
      </c>
      <c r="U167" s="116">
        <v>0</v>
      </c>
      <c r="V167" s="116">
        <v>1</v>
      </c>
      <c r="W167" s="116">
        <v>20</v>
      </c>
      <c r="X167" s="30"/>
      <c r="Y167" s="30"/>
      <c r="Z167" s="30"/>
      <c r="AA167" s="30"/>
      <c r="AB167" s="126"/>
      <c r="AC167" s="126"/>
      <c r="AD167" s="126"/>
      <c r="AE167" s="126"/>
      <c r="AF167" s="126"/>
      <c r="AG167" s="126"/>
      <c r="AH167" s="117">
        <v>0</v>
      </c>
      <c r="AI167" s="116">
        <v>0</v>
      </c>
      <c r="AJ167" s="116">
        <v>0</v>
      </c>
      <c r="AK167" s="116">
        <v>0</v>
      </c>
      <c r="AL167" s="116">
        <v>0</v>
      </c>
      <c r="AM167" s="118">
        <v>0</v>
      </c>
      <c r="AN167" s="118">
        <v>0</v>
      </c>
      <c r="AO167" s="118" t="s">
        <v>475</v>
      </c>
      <c r="AP167" s="118">
        <v>7</v>
      </c>
    </row>
    <row r="168" spans="1:42" x14ac:dyDescent="0.15">
      <c r="A168" s="26" t="s">
        <v>251</v>
      </c>
      <c r="B168" s="26" t="s">
        <v>476</v>
      </c>
      <c r="C168" s="26" t="s">
        <v>477</v>
      </c>
      <c r="D168" s="26" t="s">
        <v>537</v>
      </c>
      <c r="E168" s="26" t="s">
        <v>473</v>
      </c>
      <c r="F168" s="26" t="s">
        <v>474</v>
      </c>
      <c r="G168" s="26">
        <v>0</v>
      </c>
      <c r="H168" s="26">
        <v>31</v>
      </c>
      <c r="I168" s="26">
        <v>4</v>
      </c>
      <c r="J168" s="119">
        <v>4</v>
      </c>
      <c r="K168" s="122">
        <v>4</v>
      </c>
      <c r="L168" s="122"/>
      <c r="M168" s="122"/>
      <c r="N168" s="122"/>
      <c r="O168" s="122"/>
      <c r="P168" s="116">
        <v>27</v>
      </c>
      <c r="Q168" s="116">
        <v>31</v>
      </c>
      <c r="R168" s="116">
        <v>4</v>
      </c>
      <c r="S168" s="116">
        <v>31</v>
      </c>
      <c r="T168" s="116">
        <v>0</v>
      </c>
      <c r="U168" s="116">
        <v>0</v>
      </c>
      <c r="V168" s="116">
        <v>0</v>
      </c>
      <c r="W168" s="116">
        <v>0</v>
      </c>
      <c r="X168" s="30"/>
      <c r="Y168" s="30"/>
      <c r="Z168" s="30"/>
      <c r="AA168" s="30"/>
      <c r="AB168" s="126"/>
      <c r="AC168" s="126"/>
      <c r="AD168" s="126"/>
      <c r="AE168" s="126"/>
      <c r="AF168" s="126"/>
      <c r="AG168" s="126"/>
      <c r="AH168" s="117">
        <v>0</v>
      </c>
      <c r="AI168" s="116">
        <v>0</v>
      </c>
      <c r="AJ168" s="116">
        <v>0</v>
      </c>
      <c r="AK168" s="116">
        <v>0</v>
      </c>
      <c r="AL168" s="116">
        <v>0</v>
      </c>
      <c r="AM168" s="118">
        <v>0</v>
      </c>
      <c r="AN168" s="118">
        <v>0</v>
      </c>
      <c r="AO168" s="118" t="s">
        <v>475</v>
      </c>
      <c r="AP168" s="118">
        <v>31</v>
      </c>
    </row>
    <row r="169" spans="1:42" x14ac:dyDescent="0.15">
      <c r="A169" s="26" t="s">
        <v>251</v>
      </c>
      <c r="B169" s="26" t="s">
        <v>6</v>
      </c>
      <c r="C169" s="26" t="s">
        <v>477</v>
      </c>
      <c r="D169" s="26" t="s">
        <v>253</v>
      </c>
      <c r="E169" s="26" t="s">
        <v>473</v>
      </c>
      <c r="F169" s="26" t="s">
        <v>474</v>
      </c>
      <c r="G169" s="26">
        <v>0</v>
      </c>
      <c r="H169" s="26">
        <v>31</v>
      </c>
      <c r="I169" s="26">
        <v>4</v>
      </c>
      <c r="J169" s="119">
        <v>6</v>
      </c>
      <c r="K169" s="122">
        <v>4</v>
      </c>
      <c r="L169" s="122"/>
      <c r="M169" s="122">
        <v>2</v>
      </c>
      <c r="N169" s="122"/>
      <c r="O169" s="122"/>
      <c r="P169" s="116">
        <v>25</v>
      </c>
      <c r="Q169" s="116">
        <v>31</v>
      </c>
      <c r="R169" s="116">
        <v>4</v>
      </c>
      <c r="S169" s="116">
        <v>31</v>
      </c>
      <c r="T169" s="116">
        <v>0</v>
      </c>
      <c r="U169" s="116">
        <v>0</v>
      </c>
      <c r="V169" s="116">
        <v>0</v>
      </c>
      <c r="W169" s="116">
        <v>0</v>
      </c>
      <c r="X169" s="30">
        <v>10</v>
      </c>
      <c r="Y169" s="30"/>
      <c r="Z169" s="30"/>
      <c r="AA169" s="30"/>
      <c r="AB169" s="126"/>
      <c r="AC169" s="126"/>
      <c r="AD169" s="126"/>
      <c r="AE169" s="126"/>
      <c r="AF169" s="126"/>
      <c r="AG169" s="126"/>
      <c r="AH169" s="117">
        <v>0</v>
      </c>
      <c r="AI169" s="116">
        <v>0</v>
      </c>
      <c r="AJ169" s="116">
        <v>0</v>
      </c>
      <c r="AK169" s="116">
        <v>0</v>
      </c>
      <c r="AL169" s="116">
        <v>0</v>
      </c>
      <c r="AM169" s="118">
        <v>0</v>
      </c>
      <c r="AN169" s="118">
        <v>0</v>
      </c>
      <c r="AO169" s="118" t="s">
        <v>475</v>
      </c>
      <c r="AP169" s="118">
        <v>31</v>
      </c>
    </row>
    <row r="170" spans="1:42" x14ac:dyDescent="0.15">
      <c r="A170" s="26" t="s">
        <v>251</v>
      </c>
      <c r="B170" s="26" t="s">
        <v>6</v>
      </c>
      <c r="C170" s="26" t="s">
        <v>477</v>
      </c>
      <c r="D170" s="26" t="s">
        <v>258</v>
      </c>
      <c r="E170" s="26" t="s">
        <v>473</v>
      </c>
      <c r="F170" s="26" t="s">
        <v>474</v>
      </c>
      <c r="G170" s="26">
        <v>0</v>
      </c>
      <c r="H170" s="26">
        <v>31</v>
      </c>
      <c r="I170" s="26">
        <v>4</v>
      </c>
      <c r="J170" s="119">
        <v>4</v>
      </c>
      <c r="K170" s="122">
        <v>4</v>
      </c>
      <c r="L170" s="122"/>
      <c r="M170" s="122"/>
      <c r="N170" s="122"/>
      <c r="O170" s="122"/>
      <c r="P170" s="116">
        <v>27</v>
      </c>
      <c r="Q170" s="116">
        <v>31</v>
      </c>
      <c r="R170" s="116">
        <v>4</v>
      </c>
      <c r="S170" s="116">
        <v>31</v>
      </c>
      <c r="T170" s="116">
        <v>0</v>
      </c>
      <c r="U170" s="116">
        <v>0</v>
      </c>
      <c r="V170" s="116">
        <v>0</v>
      </c>
      <c r="W170" s="116">
        <v>0</v>
      </c>
      <c r="X170" s="30"/>
      <c r="Y170" s="30"/>
      <c r="Z170" s="30"/>
      <c r="AA170" s="30"/>
      <c r="AB170" s="126"/>
      <c r="AC170" s="126"/>
      <c r="AD170" s="126"/>
      <c r="AE170" s="126"/>
      <c r="AF170" s="126"/>
      <c r="AG170" s="126"/>
      <c r="AH170" s="117">
        <v>0</v>
      </c>
      <c r="AI170" s="116">
        <v>0</v>
      </c>
      <c r="AJ170" s="116">
        <v>0</v>
      </c>
      <c r="AK170" s="116">
        <v>0</v>
      </c>
      <c r="AL170" s="116">
        <v>0</v>
      </c>
      <c r="AM170" s="118">
        <v>0</v>
      </c>
      <c r="AN170" s="118">
        <v>0</v>
      </c>
      <c r="AO170" s="118" t="s">
        <v>475</v>
      </c>
      <c r="AP170" s="118">
        <v>31</v>
      </c>
    </row>
    <row r="171" spans="1:42" x14ac:dyDescent="0.15">
      <c r="A171" s="26" t="s">
        <v>251</v>
      </c>
      <c r="B171" s="26" t="s">
        <v>6</v>
      </c>
      <c r="C171" s="26" t="s">
        <v>477</v>
      </c>
      <c r="D171" s="26" t="s">
        <v>254</v>
      </c>
      <c r="E171" s="26" t="s">
        <v>473</v>
      </c>
      <c r="F171" s="26" t="s">
        <v>474</v>
      </c>
      <c r="G171" s="26">
        <v>0</v>
      </c>
      <c r="H171" s="26">
        <v>31</v>
      </c>
      <c r="I171" s="26">
        <v>4</v>
      </c>
      <c r="J171" s="119">
        <v>6</v>
      </c>
      <c r="K171" s="122">
        <v>4</v>
      </c>
      <c r="L171" s="122"/>
      <c r="M171" s="122">
        <v>2</v>
      </c>
      <c r="N171" s="122"/>
      <c r="O171" s="122"/>
      <c r="P171" s="116">
        <v>25</v>
      </c>
      <c r="Q171" s="116">
        <v>31</v>
      </c>
      <c r="R171" s="116">
        <v>4</v>
      </c>
      <c r="S171" s="116">
        <v>31</v>
      </c>
      <c r="T171" s="116">
        <v>0</v>
      </c>
      <c r="U171" s="116">
        <v>0</v>
      </c>
      <c r="V171" s="116">
        <v>0</v>
      </c>
      <c r="W171" s="116">
        <v>0</v>
      </c>
      <c r="X171" s="30"/>
      <c r="Y171" s="30"/>
      <c r="Z171" s="30"/>
      <c r="AA171" s="30"/>
      <c r="AB171" s="126"/>
      <c r="AC171" s="126"/>
      <c r="AD171" s="126"/>
      <c r="AE171" s="126"/>
      <c r="AF171" s="126"/>
      <c r="AG171" s="126"/>
      <c r="AH171" s="117">
        <v>0</v>
      </c>
      <c r="AI171" s="116">
        <v>0</v>
      </c>
      <c r="AJ171" s="116">
        <v>0</v>
      </c>
      <c r="AK171" s="116">
        <v>0</v>
      </c>
      <c r="AL171" s="116">
        <v>0</v>
      </c>
      <c r="AM171" s="118">
        <v>0</v>
      </c>
      <c r="AN171" s="118">
        <v>0</v>
      </c>
      <c r="AO171" s="118" t="s">
        <v>475</v>
      </c>
      <c r="AP171" s="118">
        <v>31</v>
      </c>
    </row>
    <row r="172" spans="1:42" x14ac:dyDescent="0.15">
      <c r="A172" s="26" t="s">
        <v>184</v>
      </c>
      <c r="B172" s="26" t="s">
        <v>470</v>
      </c>
      <c r="C172" s="26" t="s">
        <v>471</v>
      </c>
      <c r="D172" s="26" t="s">
        <v>538</v>
      </c>
      <c r="E172" s="26" t="s">
        <v>473</v>
      </c>
      <c r="F172" s="26" t="s">
        <v>474</v>
      </c>
      <c r="G172" s="26">
        <v>0</v>
      </c>
      <c r="H172" s="26">
        <v>31</v>
      </c>
      <c r="I172" s="26">
        <v>4</v>
      </c>
      <c r="J172" s="119">
        <v>4</v>
      </c>
      <c r="K172" s="122">
        <v>4</v>
      </c>
      <c r="L172" s="122"/>
      <c r="M172" s="122"/>
      <c r="N172" s="122"/>
      <c r="O172" s="122"/>
      <c r="P172" s="116">
        <v>27</v>
      </c>
      <c r="Q172" s="116">
        <v>31</v>
      </c>
      <c r="R172" s="116">
        <v>4</v>
      </c>
      <c r="S172" s="116">
        <v>31</v>
      </c>
      <c r="T172" s="116">
        <v>0</v>
      </c>
      <c r="U172" s="116">
        <v>0</v>
      </c>
      <c r="V172" s="116">
        <v>0</v>
      </c>
      <c r="W172" s="116">
        <v>0</v>
      </c>
      <c r="X172" s="30"/>
      <c r="Y172" s="30"/>
      <c r="Z172" s="30">
        <v>50</v>
      </c>
      <c r="AA172" s="30"/>
      <c r="AB172" s="126"/>
      <c r="AC172" s="126"/>
      <c r="AD172" s="126"/>
      <c r="AE172" s="126"/>
      <c r="AF172" s="126"/>
      <c r="AG172" s="126"/>
      <c r="AH172" s="117">
        <v>0</v>
      </c>
      <c r="AI172" s="116">
        <v>0</v>
      </c>
      <c r="AJ172" s="116">
        <v>0</v>
      </c>
      <c r="AK172" s="116">
        <v>0</v>
      </c>
      <c r="AL172" s="116">
        <v>0</v>
      </c>
      <c r="AM172" s="118">
        <v>0</v>
      </c>
      <c r="AN172" s="118">
        <v>0</v>
      </c>
      <c r="AO172" s="118" t="s">
        <v>475</v>
      </c>
      <c r="AP172" s="118">
        <v>31</v>
      </c>
    </row>
    <row r="173" spans="1:42" x14ac:dyDescent="0.15">
      <c r="A173" s="26" t="s">
        <v>184</v>
      </c>
      <c r="B173" s="26" t="s">
        <v>6</v>
      </c>
      <c r="C173" s="26" t="s">
        <v>477</v>
      </c>
      <c r="D173" s="26" t="s">
        <v>189</v>
      </c>
      <c r="E173" s="26" t="s">
        <v>473</v>
      </c>
      <c r="F173" s="26" t="s">
        <v>474</v>
      </c>
      <c r="G173" s="26">
        <v>0</v>
      </c>
      <c r="H173" s="26">
        <v>31</v>
      </c>
      <c r="I173" s="26">
        <v>4</v>
      </c>
      <c r="J173" s="119">
        <v>4</v>
      </c>
      <c r="K173" s="122">
        <v>4</v>
      </c>
      <c r="L173" s="122"/>
      <c r="M173" s="122"/>
      <c r="N173" s="122"/>
      <c r="O173" s="122"/>
      <c r="P173" s="116">
        <v>27</v>
      </c>
      <c r="Q173" s="116">
        <v>31</v>
      </c>
      <c r="R173" s="116">
        <v>4</v>
      </c>
      <c r="S173" s="116">
        <v>31</v>
      </c>
      <c r="T173" s="116">
        <v>0</v>
      </c>
      <c r="U173" s="116">
        <v>0</v>
      </c>
      <c r="V173" s="116">
        <v>0</v>
      </c>
      <c r="W173" s="116">
        <v>0</v>
      </c>
      <c r="X173" s="30"/>
      <c r="Y173" s="30"/>
      <c r="Z173" s="30"/>
      <c r="AA173" s="30"/>
      <c r="AB173" s="126"/>
      <c r="AC173" s="126">
        <v>100</v>
      </c>
      <c r="AD173" s="126"/>
      <c r="AE173" s="126"/>
      <c r="AF173" s="126"/>
      <c r="AG173" s="126"/>
      <c r="AH173" s="117">
        <v>0</v>
      </c>
      <c r="AI173" s="116">
        <v>0</v>
      </c>
      <c r="AJ173" s="116">
        <v>0</v>
      </c>
      <c r="AK173" s="116">
        <v>0</v>
      </c>
      <c r="AL173" s="116">
        <v>0</v>
      </c>
      <c r="AM173" s="118">
        <v>0</v>
      </c>
      <c r="AN173" s="118">
        <v>0</v>
      </c>
      <c r="AO173" s="118" t="s">
        <v>475</v>
      </c>
      <c r="AP173" s="118">
        <v>31</v>
      </c>
    </row>
    <row r="174" spans="1:42" x14ac:dyDescent="0.15">
      <c r="A174" s="26" t="s">
        <v>184</v>
      </c>
      <c r="B174" s="26" t="s">
        <v>6</v>
      </c>
      <c r="C174" s="26" t="s">
        <v>477</v>
      </c>
      <c r="D174" s="26" t="s">
        <v>187</v>
      </c>
      <c r="E174" s="26" t="s">
        <v>473</v>
      </c>
      <c r="F174" s="26" t="s">
        <v>474</v>
      </c>
      <c r="G174" s="26">
        <v>0</v>
      </c>
      <c r="H174" s="26">
        <v>31</v>
      </c>
      <c r="I174" s="26">
        <v>4</v>
      </c>
      <c r="J174" s="119">
        <v>4</v>
      </c>
      <c r="K174" s="122">
        <v>4</v>
      </c>
      <c r="L174" s="122"/>
      <c r="M174" s="122"/>
      <c r="N174" s="122"/>
      <c r="O174" s="122"/>
      <c r="P174" s="116">
        <v>27</v>
      </c>
      <c r="Q174" s="116">
        <v>31</v>
      </c>
      <c r="R174" s="116">
        <v>4</v>
      </c>
      <c r="S174" s="116">
        <v>31</v>
      </c>
      <c r="T174" s="116">
        <v>0</v>
      </c>
      <c r="U174" s="116">
        <v>0</v>
      </c>
      <c r="V174" s="116">
        <v>0</v>
      </c>
      <c r="W174" s="116">
        <v>0</v>
      </c>
      <c r="X174" s="30"/>
      <c r="Y174" s="30"/>
      <c r="Z174" s="30"/>
      <c r="AA174" s="30"/>
      <c r="AB174" s="126"/>
      <c r="AC174" s="126">
        <v>100</v>
      </c>
      <c r="AD174" s="126"/>
      <c r="AE174" s="126"/>
      <c r="AF174" s="126"/>
      <c r="AG174" s="126"/>
      <c r="AH174" s="117">
        <v>0</v>
      </c>
      <c r="AI174" s="116">
        <v>0</v>
      </c>
      <c r="AJ174" s="116">
        <v>0</v>
      </c>
      <c r="AK174" s="116">
        <v>0</v>
      </c>
      <c r="AL174" s="116">
        <v>0</v>
      </c>
      <c r="AM174" s="118">
        <v>0</v>
      </c>
      <c r="AN174" s="118">
        <v>0</v>
      </c>
      <c r="AO174" s="118" t="s">
        <v>475</v>
      </c>
      <c r="AP174" s="118">
        <v>31</v>
      </c>
    </row>
    <row r="175" spans="1:42" x14ac:dyDescent="0.15">
      <c r="A175" s="26" t="s">
        <v>184</v>
      </c>
      <c r="B175" s="26" t="s">
        <v>6</v>
      </c>
      <c r="C175" s="26" t="s">
        <v>477</v>
      </c>
      <c r="D175" s="26" t="s">
        <v>186</v>
      </c>
      <c r="E175" s="26" t="s">
        <v>473</v>
      </c>
      <c r="F175" s="26" t="s">
        <v>474</v>
      </c>
      <c r="G175" s="26">
        <v>0</v>
      </c>
      <c r="H175" s="26">
        <v>31</v>
      </c>
      <c r="I175" s="26">
        <v>4</v>
      </c>
      <c r="J175" s="119">
        <v>4</v>
      </c>
      <c r="K175" s="122">
        <v>4</v>
      </c>
      <c r="L175" s="122"/>
      <c r="M175" s="122"/>
      <c r="N175" s="122"/>
      <c r="O175" s="122"/>
      <c r="P175" s="116">
        <v>27</v>
      </c>
      <c r="Q175" s="116">
        <v>31</v>
      </c>
      <c r="R175" s="116">
        <v>4</v>
      </c>
      <c r="S175" s="116">
        <v>31</v>
      </c>
      <c r="T175" s="116">
        <v>0</v>
      </c>
      <c r="U175" s="116">
        <v>0</v>
      </c>
      <c r="V175" s="116">
        <v>0</v>
      </c>
      <c r="W175" s="116">
        <v>0</v>
      </c>
      <c r="X175" s="30"/>
      <c r="Y175" s="30"/>
      <c r="Z175" s="30">
        <v>50</v>
      </c>
      <c r="AA175" s="30"/>
      <c r="AB175" s="126"/>
      <c r="AC175" s="126">
        <v>100</v>
      </c>
      <c r="AD175" s="126"/>
      <c r="AE175" s="126"/>
      <c r="AF175" s="126"/>
      <c r="AG175" s="126"/>
      <c r="AH175" s="117">
        <v>0</v>
      </c>
      <c r="AI175" s="116">
        <v>0</v>
      </c>
      <c r="AJ175" s="116">
        <v>0</v>
      </c>
      <c r="AK175" s="116">
        <v>0</v>
      </c>
      <c r="AL175" s="116">
        <v>0</v>
      </c>
      <c r="AM175" s="118">
        <v>0</v>
      </c>
      <c r="AN175" s="118">
        <v>0</v>
      </c>
      <c r="AO175" s="118" t="s">
        <v>475</v>
      </c>
      <c r="AP175" s="118">
        <v>31</v>
      </c>
    </row>
    <row r="176" spans="1:42" x14ac:dyDescent="0.15">
      <c r="A176" s="26" t="s">
        <v>184</v>
      </c>
      <c r="B176" s="26" t="s">
        <v>6</v>
      </c>
      <c r="C176" s="26" t="s">
        <v>477</v>
      </c>
      <c r="D176" s="26" t="s">
        <v>190</v>
      </c>
      <c r="E176" s="26" t="s">
        <v>473</v>
      </c>
      <c r="F176" s="26" t="s">
        <v>474</v>
      </c>
      <c r="G176" s="26">
        <v>0</v>
      </c>
      <c r="H176" s="26">
        <v>31</v>
      </c>
      <c r="I176" s="26">
        <v>4</v>
      </c>
      <c r="J176" s="119">
        <v>4</v>
      </c>
      <c r="K176" s="122">
        <v>4</v>
      </c>
      <c r="L176" s="122"/>
      <c r="M176" s="122"/>
      <c r="N176" s="122"/>
      <c r="O176" s="122"/>
      <c r="P176" s="116">
        <v>27</v>
      </c>
      <c r="Q176" s="116">
        <v>31</v>
      </c>
      <c r="R176" s="116">
        <v>4</v>
      </c>
      <c r="S176" s="116">
        <v>31</v>
      </c>
      <c r="T176" s="116">
        <v>0</v>
      </c>
      <c r="U176" s="116">
        <v>0</v>
      </c>
      <c r="V176" s="116">
        <v>0</v>
      </c>
      <c r="W176" s="116">
        <v>0</v>
      </c>
      <c r="X176" s="30"/>
      <c r="Y176" s="30"/>
      <c r="Z176" s="30"/>
      <c r="AA176" s="30"/>
      <c r="AB176" s="126"/>
      <c r="AC176" s="126">
        <v>100</v>
      </c>
      <c r="AD176" s="126"/>
      <c r="AE176" s="126"/>
      <c r="AF176" s="126"/>
      <c r="AG176" s="126"/>
      <c r="AH176" s="117">
        <v>0</v>
      </c>
      <c r="AI176" s="116">
        <v>0</v>
      </c>
      <c r="AJ176" s="116">
        <v>0</v>
      </c>
      <c r="AK176" s="116">
        <v>0</v>
      </c>
      <c r="AL176" s="116">
        <v>0</v>
      </c>
      <c r="AM176" s="118">
        <v>0</v>
      </c>
      <c r="AN176" s="118">
        <v>0</v>
      </c>
      <c r="AO176" s="118" t="s">
        <v>475</v>
      </c>
      <c r="AP176" s="118">
        <v>31</v>
      </c>
    </row>
    <row r="177" spans="1:42" x14ac:dyDescent="0.15">
      <c r="A177" s="26" t="s">
        <v>184</v>
      </c>
      <c r="B177" s="26" t="s">
        <v>476</v>
      </c>
      <c r="C177" s="26" t="s">
        <v>477</v>
      </c>
      <c r="D177" s="26" t="s">
        <v>539</v>
      </c>
      <c r="E177" s="26" t="s">
        <v>473</v>
      </c>
      <c r="F177" s="26" t="s">
        <v>474</v>
      </c>
      <c r="G177" s="26">
        <v>0</v>
      </c>
      <c r="H177" s="26">
        <v>31</v>
      </c>
      <c r="I177" s="26">
        <v>4</v>
      </c>
      <c r="J177" s="119">
        <v>4</v>
      </c>
      <c r="K177" s="122">
        <v>4</v>
      </c>
      <c r="L177" s="122"/>
      <c r="M177" s="122"/>
      <c r="N177" s="122"/>
      <c r="O177" s="122"/>
      <c r="P177" s="116">
        <v>27</v>
      </c>
      <c r="Q177" s="116">
        <v>31</v>
      </c>
      <c r="R177" s="116">
        <v>4</v>
      </c>
      <c r="S177" s="116">
        <v>31</v>
      </c>
      <c r="T177" s="116">
        <v>0</v>
      </c>
      <c r="U177" s="116">
        <v>0</v>
      </c>
      <c r="V177" s="116">
        <v>0</v>
      </c>
      <c r="W177" s="116">
        <v>0</v>
      </c>
      <c r="X177" s="30"/>
      <c r="Y177" s="30"/>
      <c r="Z177" s="30">
        <v>50</v>
      </c>
      <c r="AA177" s="30"/>
      <c r="AB177" s="126"/>
      <c r="AC177" s="126"/>
      <c r="AD177" s="126"/>
      <c r="AE177" s="126"/>
      <c r="AF177" s="126"/>
      <c r="AG177" s="126"/>
      <c r="AH177" s="117">
        <v>0</v>
      </c>
      <c r="AI177" s="116">
        <v>0</v>
      </c>
      <c r="AJ177" s="116">
        <v>0</v>
      </c>
      <c r="AK177" s="116">
        <v>0</v>
      </c>
      <c r="AL177" s="116">
        <v>0</v>
      </c>
      <c r="AM177" s="118">
        <v>0</v>
      </c>
      <c r="AN177" s="118">
        <v>0</v>
      </c>
      <c r="AO177" s="118" t="s">
        <v>475</v>
      </c>
      <c r="AP177" s="118">
        <v>31</v>
      </c>
    </row>
    <row r="178" spans="1:42" x14ac:dyDescent="0.15">
      <c r="A178" s="26" t="s">
        <v>184</v>
      </c>
      <c r="B178" s="26" t="s">
        <v>6</v>
      </c>
      <c r="C178" s="26" t="s">
        <v>477</v>
      </c>
      <c r="D178" s="26" t="s">
        <v>191</v>
      </c>
      <c r="E178" s="26" t="s">
        <v>473</v>
      </c>
      <c r="F178" s="26" t="s">
        <v>474</v>
      </c>
      <c r="G178" s="26">
        <v>0</v>
      </c>
      <c r="H178" s="26">
        <v>31</v>
      </c>
      <c r="I178" s="26">
        <v>4</v>
      </c>
      <c r="J178" s="119">
        <v>4</v>
      </c>
      <c r="K178" s="122">
        <v>4</v>
      </c>
      <c r="L178" s="122"/>
      <c r="M178" s="122"/>
      <c r="N178" s="122"/>
      <c r="O178" s="122"/>
      <c r="P178" s="116">
        <v>27</v>
      </c>
      <c r="Q178" s="116">
        <v>31</v>
      </c>
      <c r="R178" s="116">
        <v>4</v>
      </c>
      <c r="S178" s="116">
        <v>31</v>
      </c>
      <c r="T178" s="116">
        <v>0</v>
      </c>
      <c r="U178" s="116">
        <v>0</v>
      </c>
      <c r="V178" s="116">
        <v>0</v>
      </c>
      <c r="W178" s="116">
        <v>0</v>
      </c>
      <c r="X178" s="30"/>
      <c r="Y178" s="30"/>
      <c r="Z178" s="30">
        <v>50</v>
      </c>
      <c r="AA178" s="30"/>
      <c r="AB178" s="126"/>
      <c r="AC178" s="126"/>
      <c r="AD178" s="126"/>
      <c r="AE178" s="126"/>
      <c r="AF178" s="126"/>
      <c r="AG178" s="126"/>
      <c r="AH178" s="117">
        <v>0</v>
      </c>
      <c r="AI178" s="116">
        <v>0</v>
      </c>
      <c r="AJ178" s="116">
        <v>0</v>
      </c>
      <c r="AK178" s="116">
        <v>0</v>
      </c>
      <c r="AL178" s="116">
        <v>0</v>
      </c>
      <c r="AM178" s="118">
        <v>0</v>
      </c>
      <c r="AN178" s="118">
        <v>0</v>
      </c>
      <c r="AO178" s="118" t="s">
        <v>475</v>
      </c>
      <c r="AP178" s="118">
        <v>31</v>
      </c>
    </row>
    <row r="179" spans="1:42" x14ac:dyDescent="0.15">
      <c r="A179" s="26" t="s">
        <v>184</v>
      </c>
      <c r="B179" s="26" t="s">
        <v>6</v>
      </c>
      <c r="C179" s="26" t="s">
        <v>477</v>
      </c>
      <c r="D179" s="26" t="s">
        <v>192</v>
      </c>
      <c r="E179" s="26" t="s">
        <v>473</v>
      </c>
      <c r="F179" s="26" t="s">
        <v>474</v>
      </c>
      <c r="G179" s="26">
        <v>0</v>
      </c>
      <c r="H179" s="26">
        <v>31</v>
      </c>
      <c r="I179" s="26">
        <v>4</v>
      </c>
      <c r="J179" s="119">
        <v>4</v>
      </c>
      <c r="K179" s="122">
        <v>4</v>
      </c>
      <c r="L179" s="122"/>
      <c r="M179" s="122"/>
      <c r="N179" s="122"/>
      <c r="O179" s="122"/>
      <c r="P179" s="116">
        <v>27</v>
      </c>
      <c r="Q179" s="116">
        <v>31</v>
      </c>
      <c r="R179" s="116">
        <v>4</v>
      </c>
      <c r="S179" s="116">
        <v>31</v>
      </c>
      <c r="T179" s="116">
        <v>0</v>
      </c>
      <c r="U179" s="116">
        <v>0</v>
      </c>
      <c r="V179" s="116">
        <v>0</v>
      </c>
      <c r="W179" s="116">
        <v>0</v>
      </c>
      <c r="X179" s="30">
        <v>20</v>
      </c>
      <c r="Y179" s="30">
        <v>10</v>
      </c>
      <c r="Z179" s="30"/>
      <c r="AA179" s="30"/>
      <c r="AB179" s="126"/>
      <c r="AC179" s="126">
        <v>100</v>
      </c>
      <c r="AD179" s="126"/>
      <c r="AE179" s="126"/>
      <c r="AF179" s="126"/>
      <c r="AG179" s="126"/>
      <c r="AH179" s="117">
        <v>3500</v>
      </c>
      <c r="AI179" s="116">
        <v>0</v>
      </c>
      <c r="AJ179" s="116">
        <v>0</v>
      </c>
      <c r="AK179" s="116">
        <v>0</v>
      </c>
      <c r="AL179" s="116">
        <v>0</v>
      </c>
      <c r="AM179" s="118">
        <v>0</v>
      </c>
      <c r="AN179" s="118">
        <v>0</v>
      </c>
      <c r="AO179" s="118" t="s">
        <v>475</v>
      </c>
      <c r="AP179" s="118">
        <v>31</v>
      </c>
    </row>
    <row r="180" spans="1:42" x14ac:dyDescent="0.15">
      <c r="A180" s="26" t="s">
        <v>136</v>
      </c>
      <c r="B180" s="26" t="s">
        <v>6</v>
      </c>
      <c r="C180" s="26" t="s">
        <v>477</v>
      </c>
      <c r="D180" s="26" t="s">
        <v>138</v>
      </c>
      <c r="E180" s="26" t="s">
        <v>473</v>
      </c>
      <c r="F180" s="26" t="s">
        <v>474</v>
      </c>
      <c r="G180" s="26">
        <v>0</v>
      </c>
      <c r="H180" s="26">
        <v>31</v>
      </c>
      <c r="I180" s="26">
        <v>4</v>
      </c>
      <c r="J180" s="119">
        <v>6</v>
      </c>
      <c r="K180" s="122">
        <v>4</v>
      </c>
      <c r="L180" s="122"/>
      <c r="M180" s="122">
        <v>2</v>
      </c>
      <c r="N180" s="122"/>
      <c r="O180" s="122"/>
      <c r="P180" s="116">
        <v>25</v>
      </c>
      <c r="Q180" s="116">
        <v>31</v>
      </c>
      <c r="R180" s="116">
        <v>4</v>
      </c>
      <c r="S180" s="116">
        <v>31</v>
      </c>
      <c r="T180" s="116">
        <v>0</v>
      </c>
      <c r="U180" s="116">
        <v>0</v>
      </c>
      <c r="V180" s="116">
        <v>0</v>
      </c>
      <c r="W180" s="116">
        <v>0</v>
      </c>
      <c r="X180" s="30"/>
      <c r="Y180" s="30"/>
      <c r="Z180" s="30"/>
      <c r="AA180" s="30"/>
      <c r="AB180" s="126"/>
      <c r="AC180" s="126"/>
      <c r="AD180" s="126"/>
      <c r="AE180" s="126"/>
      <c r="AF180" s="126"/>
      <c r="AG180" s="126"/>
      <c r="AH180" s="117">
        <v>0</v>
      </c>
      <c r="AI180" s="116">
        <v>0</v>
      </c>
      <c r="AJ180" s="116">
        <v>0</v>
      </c>
      <c r="AK180" s="116">
        <v>0</v>
      </c>
      <c r="AL180" s="116">
        <v>0</v>
      </c>
      <c r="AM180" s="118">
        <v>0</v>
      </c>
      <c r="AN180" s="118">
        <v>0</v>
      </c>
      <c r="AO180" s="118" t="s">
        <v>475</v>
      </c>
      <c r="AP180" s="118">
        <v>31</v>
      </c>
    </row>
    <row r="181" spans="1:42" x14ac:dyDescent="0.15">
      <c r="A181" s="26" t="s">
        <v>136</v>
      </c>
      <c r="B181" s="26" t="s">
        <v>6</v>
      </c>
      <c r="C181" s="26" t="s">
        <v>477</v>
      </c>
      <c r="D181" s="26" t="s">
        <v>141</v>
      </c>
      <c r="E181" s="26" t="s">
        <v>473</v>
      </c>
      <c r="F181" s="26" t="s">
        <v>474</v>
      </c>
      <c r="G181" s="26">
        <v>0</v>
      </c>
      <c r="H181" s="26">
        <v>31</v>
      </c>
      <c r="I181" s="26">
        <v>4</v>
      </c>
      <c r="J181" s="119">
        <v>6</v>
      </c>
      <c r="K181" s="122">
        <v>4</v>
      </c>
      <c r="L181" s="122"/>
      <c r="M181" s="122">
        <v>2</v>
      </c>
      <c r="N181" s="122"/>
      <c r="O181" s="122"/>
      <c r="P181" s="116">
        <v>25</v>
      </c>
      <c r="Q181" s="116">
        <v>31</v>
      </c>
      <c r="R181" s="116">
        <v>4</v>
      </c>
      <c r="S181" s="116">
        <v>31</v>
      </c>
      <c r="T181" s="116">
        <v>0</v>
      </c>
      <c r="U181" s="116">
        <v>0</v>
      </c>
      <c r="V181" s="116">
        <v>0</v>
      </c>
      <c r="W181" s="116">
        <v>0</v>
      </c>
      <c r="X181" s="30"/>
      <c r="Y181" s="30"/>
      <c r="Z181" s="30"/>
      <c r="AA181" s="30"/>
      <c r="AB181" s="126"/>
      <c r="AC181" s="126"/>
      <c r="AD181" s="126"/>
      <c r="AE181" s="126"/>
      <c r="AF181" s="126"/>
      <c r="AG181" s="126"/>
      <c r="AH181" s="117">
        <v>0</v>
      </c>
      <c r="AI181" s="116">
        <v>0</v>
      </c>
      <c r="AJ181" s="116">
        <v>0</v>
      </c>
      <c r="AK181" s="116">
        <v>0</v>
      </c>
      <c r="AL181" s="116">
        <v>0</v>
      </c>
      <c r="AM181" s="118">
        <v>0</v>
      </c>
      <c r="AN181" s="118">
        <v>0</v>
      </c>
      <c r="AO181" s="118" t="s">
        <v>475</v>
      </c>
      <c r="AP181" s="118">
        <v>31</v>
      </c>
    </row>
    <row r="182" spans="1:42" x14ac:dyDescent="0.15">
      <c r="A182" s="26" t="s">
        <v>136</v>
      </c>
      <c r="B182" s="26" t="s">
        <v>470</v>
      </c>
      <c r="C182" s="26" t="s">
        <v>471</v>
      </c>
      <c r="D182" s="26" t="s">
        <v>540</v>
      </c>
      <c r="E182" s="26" t="s">
        <v>473</v>
      </c>
      <c r="F182" s="26" t="s">
        <v>474</v>
      </c>
      <c r="G182" s="26">
        <v>0</v>
      </c>
      <c r="H182" s="26">
        <v>31</v>
      </c>
      <c r="I182" s="26">
        <v>4</v>
      </c>
      <c r="J182" s="119">
        <v>6</v>
      </c>
      <c r="K182" s="122">
        <v>4</v>
      </c>
      <c r="L182" s="122"/>
      <c r="M182" s="122">
        <v>2</v>
      </c>
      <c r="N182" s="122"/>
      <c r="O182" s="122"/>
      <c r="P182" s="116">
        <v>25</v>
      </c>
      <c r="Q182" s="116">
        <v>31</v>
      </c>
      <c r="R182" s="116">
        <v>4</v>
      </c>
      <c r="S182" s="116">
        <v>31</v>
      </c>
      <c r="T182" s="116">
        <v>0</v>
      </c>
      <c r="U182" s="116">
        <v>0</v>
      </c>
      <c r="V182" s="116">
        <v>0</v>
      </c>
      <c r="W182" s="116">
        <v>0</v>
      </c>
      <c r="X182" s="30">
        <v>10</v>
      </c>
      <c r="Y182" s="30"/>
      <c r="Z182" s="30"/>
      <c r="AA182" s="30"/>
      <c r="AB182" s="126"/>
      <c r="AC182" s="126"/>
      <c r="AD182" s="126"/>
      <c r="AE182" s="126"/>
      <c r="AF182" s="126"/>
      <c r="AG182" s="126"/>
      <c r="AH182" s="117">
        <v>0</v>
      </c>
      <c r="AI182" s="116">
        <v>0</v>
      </c>
      <c r="AJ182" s="116">
        <v>0</v>
      </c>
      <c r="AK182" s="116">
        <v>0</v>
      </c>
      <c r="AL182" s="116">
        <v>0</v>
      </c>
      <c r="AM182" s="118">
        <v>0</v>
      </c>
      <c r="AN182" s="118">
        <v>0</v>
      </c>
      <c r="AO182" s="118" t="s">
        <v>475</v>
      </c>
      <c r="AP182" s="118">
        <v>31</v>
      </c>
    </row>
    <row r="183" spans="1:42" x14ac:dyDescent="0.15">
      <c r="A183" s="26" t="s">
        <v>136</v>
      </c>
      <c r="B183" s="26" t="s">
        <v>6</v>
      </c>
      <c r="C183" s="26" t="s">
        <v>477</v>
      </c>
      <c r="D183" s="26" t="s">
        <v>139</v>
      </c>
      <c r="E183" s="26" t="s">
        <v>473</v>
      </c>
      <c r="F183" s="26" t="s">
        <v>474</v>
      </c>
      <c r="G183" s="26">
        <v>0</v>
      </c>
      <c r="H183" s="26">
        <v>31</v>
      </c>
      <c r="I183" s="26">
        <v>4</v>
      </c>
      <c r="J183" s="119">
        <v>6</v>
      </c>
      <c r="K183" s="122">
        <v>4</v>
      </c>
      <c r="L183" s="122"/>
      <c r="M183" s="122">
        <v>2</v>
      </c>
      <c r="N183" s="122"/>
      <c r="O183" s="122"/>
      <c r="P183" s="116">
        <v>25</v>
      </c>
      <c r="Q183" s="116">
        <v>31</v>
      </c>
      <c r="R183" s="116">
        <v>4</v>
      </c>
      <c r="S183" s="116">
        <v>31</v>
      </c>
      <c r="T183" s="116">
        <v>0</v>
      </c>
      <c r="U183" s="116">
        <v>0</v>
      </c>
      <c r="V183" s="116">
        <v>0</v>
      </c>
      <c r="W183" s="116">
        <v>0</v>
      </c>
      <c r="X183" s="30"/>
      <c r="Y183" s="30"/>
      <c r="Z183" s="30"/>
      <c r="AA183" s="30"/>
      <c r="AB183" s="126"/>
      <c r="AC183" s="126">
        <v>100</v>
      </c>
      <c r="AD183" s="126"/>
      <c r="AE183" s="126"/>
      <c r="AF183" s="126"/>
      <c r="AG183" s="126"/>
      <c r="AH183" s="117">
        <v>0</v>
      </c>
      <c r="AI183" s="116">
        <v>0</v>
      </c>
      <c r="AJ183" s="116">
        <v>0</v>
      </c>
      <c r="AK183" s="116">
        <v>0</v>
      </c>
      <c r="AL183" s="116">
        <v>0</v>
      </c>
      <c r="AM183" s="118">
        <v>0</v>
      </c>
      <c r="AN183" s="118">
        <v>0</v>
      </c>
      <c r="AO183" s="118" t="s">
        <v>475</v>
      </c>
      <c r="AP183" s="118">
        <v>31</v>
      </c>
    </row>
    <row r="184" spans="1:42" x14ac:dyDescent="0.15">
      <c r="A184" s="26" t="s">
        <v>136</v>
      </c>
      <c r="B184" s="26" t="s">
        <v>476</v>
      </c>
      <c r="C184" s="26" t="s">
        <v>477</v>
      </c>
      <c r="D184" s="26" t="s">
        <v>541</v>
      </c>
      <c r="E184" s="26" t="s">
        <v>473</v>
      </c>
      <c r="F184" s="26" t="s">
        <v>474</v>
      </c>
      <c r="G184" s="26">
        <v>0</v>
      </c>
      <c r="H184" s="26">
        <v>31</v>
      </c>
      <c r="I184" s="26">
        <v>4</v>
      </c>
      <c r="J184" s="119">
        <v>4</v>
      </c>
      <c r="K184" s="122">
        <v>4</v>
      </c>
      <c r="L184" s="122"/>
      <c r="M184" s="122"/>
      <c r="N184" s="122"/>
      <c r="O184" s="122"/>
      <c r="P184" s="116">
        <v>27</v>
      </c>
      <c r="Q184" s="116">
        <v>31</v>
      </c>
      <c r="R184" s="116">
        <v>4</v>
      </c>
      <c r="S184" s="116">
        <v>31</v>
      </c>
      <c r="T184" s="116">
        <v>0</v>
      </c>
      <c r="U184" s="116">
        <v>0</v>
      </c>
      <c r="V184" s="116">
        <v>0</v>
      </c>
      <c r="W184" s="116">
        <v>0</v>
      </c>
      <c r="X184" s="30"/>
      <c r="Y184" s="30"/>
      <c r="Z184" s="30"/>
      <c r="AA184" s="30"/>
      <c r="AB184" s="126"/>
      <c r="AC184" s="126"/>
      <c r="AD184" s="126"/>
      <c r="AE184" s="126"/>
      <c r="AF184" s="126"/>
      <c r="AG184" s="126"/>
      <c r="AH184" s="117">
        <v>0</v>
      </c>
      <c r="AI184" s="116">
        <v>0</v>
      </c>
      <c r="AJ184" s="116">
        <v>0</v>
      </c>
      <c r="AK184" s="116">
        <v>0</v>
      </c>
      <c r="AL184" s="116">
        <v>0</v>
      </c>
      <c r="AM184" s="118">
        <v>0</v>
      </c>
      <c r="AN184" s="118">
        <v>0</v>
      </c>
      <c r="AO184" s="118" t="s">
        <v>475</v>
      </c>
      <c r="AP184" s="118">
        <v>31</v>
      </c>
    </row>
    <row r="185" spans="1:42" x14ac:dyDescent="0.15">
      <c r="A185" s="26" t="s">
        <v>136</v>
      </c>
      <c r="B185" s="26" t="s">
        <v>6</v>
      </c>
      <c r="C185" s="26" t="s">
        <v>477</v>
      </c>
      <c r="D185" s="26" t="s">
        <v>143</v>
      </c>
      <c r="E185" s="26" t="s">
        <v>473</v>
      </c>
      <c r="F185" s="26" t="s">
        <v>474</v>
      </c>
      <c r="G185" s="26">
        <v>0</v>
      </c>
      <c r="H185" s="26">
        <v>31</v>
      </c>
      <c r="I185" s="26">
        <v>4</v>
      </c>
      <c r="J185" s="119">
        <v>4</v>
      </c>
      <c r="K185" s="122">
        <v>4</v>
      </c>
      <c r="L185" s="122"/>
      <c r="M185" s="122"/>
      <c r="N185" s="122"/>
      <c r="O185" s="122"/>
      <c r="P185" s="116">
        <v>27</v>
      </c>
      <c r="Q185" s="116">
        <v>31</v>
      </c>
      <c r="R185" s="116">
        <v>4</v>
      </c>
      <c r="S185" s="116">
        <v>31</v>
      </c>
      <c r="T185" s="116">
        <v>0</v>
      </c>
      <c r="U185" s="116">
        <v>0</v>
      </c>
      <c r="V185" s="116">
        <v>0</v>
      </c>
      <c r="W185" s="116">
        <v>0</v>
      </c>
      <c r="X185" s="30"/>
      <c r="Y185" s="30"/>
      <c r="Z185" s="30"/>
      <c r="AA185" s="30"/>
      <c r="AB185" s="126"/>
      <c r="AC185" s="126">
        <v>100</v>
      </c>
      <c r="AD185" s="126"/>
      <c r="AE185" s="126"/>
      <c r="AF185" s="126"/>
      <c r="AG185" s="126"/>
      <c r="AH185" s="117">
        <v>0</v>
      </c>
      <c r="AI185" s="116">
        <v>0</v>
      </c>
      <c r="AJ185" s="116">
        <v>0</v>
      </c>
      <c r="AK185" s="116">
        <v>0</v>
      </c>
      <c r="AL185" s="116">
        <v>0</v>
      </c>
      <c r="AM185" s="118">
        <v>0</v>
      </c>
      <c r="AN185" s="118">
        <v>0</v>
      </c>
      <c r="AO185" s="118" t="s">
        <v>475</v>
      </c>
      <c r="AP185" s="118">
        <v>31</v>
      </c>
    </row>
    <row r="186" spans="1:42" x14ac:dyDescent="0.15">
      <c r="A186" s="26" t="s">
        <v>136</v>
      </c>
      <c r="B186" s="26" t="s">
        <v>483</v>
      </c>
      <c r="C186" s="26" t="s">
        <v>471</v>
      </c>
      <c r="D186" s="26" t="s">
        <v>542</v>
      </c>
      <c r="E186" s="26" t="s">
        <v>473</v>
      </c>
      <c r="F186" s="26" t="s">
        <v>474</v>
      </c>
      <c r="G186" s="26">
        <v>0</v>
      </c>
      <c r="H186" s="26">
        <v>31</v>
      </c>
      <c r="I186" s="26">
        <v>4</v>
      </c>
      <c r="J186" s="119">
        <v>4</v>
      </c>
      <c r="K186" s="122">
        <v>4</v>
      </c>
      <c r="L186" s="122"/>
      <c r="M186" s="122"/>
      <c r="N186" s="122"/>
      <c r="O186" s="122"/>
      <c r="P186" s="116">
        <v>27</v>
      </c>
      <c r="Q186" s="116">
        <v>31</v>
      </c>
      <c r="R186" s="116">
        <v>4</v>
      </c>
      <c r="S186" s="116">
        <v>31</v>
      </c>
      <c r="T186" s="116">
        <v>0</v>
      </c>
      <c r="U186" s="116">
        <v>0</v>
      </c>
      <c r="V186" s="116">
        <v>0</v>
      </c>
      <c r="W186" s="116">
        <v>0</v>
      </c>
      <c r="X186" s="30"/>
      <c r="Y186" s="30"/>
      <c r="Z186" s="30"/>
      <c r="AA186" s="30"/>
      <c r="AB186" s="126"/>
      <c r="AC186" s="126"/>
      <c r="AD186" s="126"/>
      <c r="AE186" s="126"/>
      <c r="AF186" s="126"/>
      <c r="AG186" s="126"/>
      <c r="AH186" s="117">
        <v>0</v>
      </c>
      <c r="AI186" s="116">
        <v>0</v>
      </c>
      <c r="AJ186" s="116">
        <v>0</v>
      </c>
      <c r="AK186" s="116">
        <v>0</v>
      </c>
      <c r="AL186" s="116">
        <v>0</v>
      </c>
      <c r="AM186" s="118">
        <v>0</v>
      </c>
      <c r="AN186" s="118">
        <v>0</v>
      </c>
      <c r="AO186" s="118" t="s">
        <v>475</v>
      </c>
      <c r="AP186" s="118">
        <v>31</v>
      </c>
    </row>
    <row r="187" spans="1:42" x14ac:dyDescent="0.15">
      <c r="A187" s="26" t="s">
        <v>136</v>
      </c>
      <c r="B187" s="26" t="s">
        <v>6</v>
      </c>
      <c r="C187" s="26" t="s">
        <v>477</v>
      </c>
      <c r="D187" s="26" t="s">
        <v>144</v>
      </c>
      <c r="E187" s="26" t="s">
        <v>473</v>
      </c>
      <c r="F187" s="26" t="s">
        <v>474</v>
      </c>
      <c r="G187" s="26">
        <v>0</v>
      </c>
      <c r="H187" s="26">
        <v>31</v>
      </c>
      <c r="I187" s="26">
        <v>4</v>
      </c>
      <c r="J187" s="119">
        <v>4</v>
      </c>
      <c r="K187" s="122">
        <v>4</v>
      </c>
      <c r="L187" s="122"/>
      <c r="M187" s="122"/>
      <c r="N187" s="122"/>
      <c r="O187" s="122"/>
      <c r="P187" s="116">
        <v>27</v>
      </c>
      <c r="Q187" s="116">
        <v>31</v>
      </c>
      <c r="R187" s="116">
        <v>4</v>
      </c>
      <c r="S187" s="116">
        <v>31</v>
      </c>
      <c r="T187" s="116">
        <v>0</v>
      </c>
      <c r="U187" s="116">
        <v>0</v>
      </c>
      <c r="V187" s="116">
        <v>0</v>
      </c>
      <c r="W187" s="116">
        <v>0</v>
      </c>
      <c r="X187" s="30">
        <v>10</v>
      </c>
      <c r="Y187" s="30"/>
      <c r="Z187" s="30"/>
      <c r="AA187" s="30"/>
      <c r="AB187" s="126"/>
      <c r="AC187" s="126"/>
      <c r="AD187" s="126"/>
      <c r="AE187" s="126"/>
      <c r="AF187" s="126"/>
      <c r="AG187" s="126"/>
      <c r="AH187" s="117">
        <v>3500</v>
      </c>
      <c r="AI187" s="116">
        <v>0</v>
      </c>
      <c r="AJ187" s="116">
        <v>0</v>
      </c>
      <c r="AK187" s="116">
        <v>0</v>
      </c>
      <c r="AL187" s="116">
        <v>0</v>
      </c>
      <c r="AM187" s="118">
        <v>0</v>
      </c>
      <c r="AN187" s="118">
        <v>0</v>
      </c>
      <c r="AO187" s="118" t="s">
        <v>475</v>
      </c>
      <c r="AP187" s="118">
        <v>31</v>
      </c>
    </row>
    <row r="188" spans="1:42" x14ac:dyDescent="0.15">
      <c r="A188" s="26" t="s">
        <v>81</v>
      </c>
      <c r="B188" s="26" t="s">
        <v>470</v>
      </c>
      <c r="C188" s="26" t="s">
        <v>471</v>
      </c>
      <c r="D188" s="26" t="s">
        <v>543</v>
      </c>
      <c r="E188" s="26" t="s">
        <v>473</v>
      </c>
      <c r="F188" s="26" t="s">
        <v>474</v>
      </c>
      <c r="G188" s="26">
        <v>0</v>
      </c>
      <c r="H188" s="26">
        <v>31</v>
      </c>
      <c r="I188" s="26">
        <v>4</v>
      </c>
      <c r="J188" s="119">
        <v>3</v>
      </c>
      <c r="K188" s="122">
        <v>3</v>
      </c>
      <c r="L188" s="122"/>
      <c r="M188" s="122"/>
      <c r="N188" s="122"/>
      <c r="O188" s="122"/>
      <c r="P188" s="116">
        <v>28</v>
      </c>
      <c r="Q188" s="116">
        <v>31</v>
      </c>
      <c r="R188" s="116">
        <v>4</v>
      </c>
      <c r="S188" s="116">
        <v>31</v>
      </c>
      <c r="T188" s="116">
        <v>0</v>
      </c>
      <c r="U188" s="116">
        <v>0</v>
      </c>
      <c r="V188" s="116">
        <v>0</v>
      </c>
      <c r="W188" s="116">
        <v>0</v>
      </c>
      <c r="X188" s="30">
        <v>90</v>
      </c>
      <c r="Y188" s="30"/>
      <c r="Z188" s="30"/>
      <c r="AA188" s="30"/>
      <c r="AB188" s="126"/>
      <c r="AC188" s="126"/>
      <c r="AD188" s="126"/>
      <c r="AE188" s="126"/>
      <c r="AF188" s="126"/>
      <c r="AG188" s="126"/>
      <c r="AH188" s="117">
        <v>0</v>
      </c>
      <c r="AI188" s="116">
        <v>0</v>
      </c>
      <c r="AJ188" s="116">
        <v>0</v>
      </c>
      <c r="AK188" s="116">
        <v>0</v>
      </c>
      <c r="AL188" s="116">
        <v>0</v>
      </c>
      <c r="AM188" s="118">
        <v>0</v>
      </c>
      <c r="AN188" s="118">
        <v>0</v>
      </c>
      <c r="AO188" s="118" t="s">
        <v>475</v>
      </c>
      <c r="AP188" s="118">
        <v>31</v>
      </c>
    </row>
    <row r="189" spans="1:42" x14ac:dyDescent="0.15">
      <c r="A189" s="26" t="s">
        <v>81</v>
      </c>
      <c r="B189" s="26" t="s">
        <v>6</v>
      </c>
      <c r="C189" s="26" t="s">
        <v>477</v>
      </c>
      <c r="D189" s="26" t="s">
        <v>88</v>
      </c>
      <c r="E189" s="26" t="s">
        <v>473</v>
      </c>
      <c r="F189" s="26" t="s">
        <v>474</v>
      </c>
      <c r="G189" s="26">
        <v>0</v>
      </c>
      <c r="H189" s="26">
        <v>31</v>
      </c>
      <c r="I189" s="26">
        <v>4</v>
      </c>
      <c r="J189" s="119">
        <v>4</v>
      </c>
      <c r="K189" s="122">
        <v>4</v>
      </c>
      <c r="L189" s="122"/>
      <c r="M189" s="122"/>
      <c r="N189" s="122"/>
      <c r="O189" s="122"/>
      <c r="P189" s="116">
        <v>27</v>
      </c>
      <c r="Q189" s="116">
        <v>31</v>
      </c>
      <c r="R189" s="116">
        <v>4</v>
      </c>
      <c r="S189" s="116">
        <v>31</v>
      </c>
      <c r="T189" s="116">
        <v>0</v>
      </c>
      <c r="U189" s="116">
        <v>0</v>
      </c>
      <c r="V189" s="116">
        <v>0</v>
      </c>
      <c r="W189" s="116">
        <v>0</v>
      </c>
      <c r="X189" s="30"/>
      <c r="Y189" s="30"/>
      <c r="Z189" s="30"/>
      <c r="AA189" s="30"/>
      <c r="AB189" s="126"/>
      <c r="AC189" s="126"/>
      <c r="AD189" s="126"/>
      <c r="AE189" s="126"/>
      <c r="AF189" s="126"/>
      <c r="AG189" s="126"/>
      <c r="AH189" s="117">
        <v>0</v>
      </c>
      <c r="AI189" s="116">
        <v>0</v>
      </c>
      <c r="AJ189" s="116">
        <v>0</v>
      </c>
      <c r="AK189" s="116">
        <v>0</v>
      </c>
      <c r="AL189" s="116">
        <v>0</v>
      </c>
      <c r="AM189" s="118">
        <v>0</v>
      </c>
      <c r="AN189" s="118">
        <v>0</v>
      </c>
      <c r="AO189" s="118" t="s">
        <v>475</v>
      </c>
      <c r="AP189" s="118">
        <v>31</v>
      </c>
    </row>
    <row r="190" spans="1:42" x14ac:dyDescent="0.15">
      <c r="A190" s="26" t="s">
        <v>81</v>
      </c>
      <c r="B190" s="26" t="s">
        <v>6</v>
      </c>
      <c r="C190" s="26" t="s">
        <v>477</v>
      </c>
      <c r="D190" s="26" t="s">
        <v>83</v>
      </c>
      <c r="E190" s="26" t="s">
        <v>473</v>
      </c>
      <c r="F190" s="26" t="s">
        <v>474</v>
      </c>
      <c r="G190" s="26">
        <v>0</v>
      </c>
      <c r="H190" s="26">
        <v>31</v>
      </c>
      <c r="I190" s="26">
        <v>4</v>
      </c>
      <c r="J190" s="119">
        <v>4</v>
      </c>
      <c r="K190" s="122">
        <v>4</v>
      </c>
      <c r="L190" s="122"/>
      <c r="M190" s="122"/>
      <c r="N190" s="122"/>
      <c r="O190" s="122"/>
      <c r="P190" s="116">
        <v>27</v>
      </c>
      <c r="Q190" s="116">
        <v>31</v>
      </c>
      <c r="R190" s="116">
        <v>4</v>
      </c>
      <c r="S190" s="116">
        <v>31</v>
      </c>
      <c r="T190" s="116">
        <v>0</v>
      </c>
      <c r="U190" s="116">
        <v>0</v>
      </c>
      <c r="V190" s="116">
        <v>0</v>
      </c>
      <c r="W190" s="116">
        <v>0</v>
      </c>
      <c r="X190" s="30"/>
      <c r="Y190" s="30"/>
      <c r="Z190" s="30">
        <v>50</v>
      </c>
      <c r="AA190" s="30"/>
      <c r="AB190" s="126"/>
      <c r="AC190" s="126"/>
      <c r="AD190" s="126"/>
      <c r="AE190" s="126"/>
      <c r="AF190" s="126"/>
      <c r="AG190" s="126"/>
      <c r="AH190" s="117">
        <v>0</v>
      </c>
      <c r="AI190" s="116">
        <v>0</v>
      </c>
      <c r="AJ190" s="116">
        <v>0</v>
      </c>
      <c r="AK190" s="116">
        <v>0</v>
      </c>
      <c r="AL190" s="116">
        <v>0</v>
      </c>
      <c r="AM190" s="118">
        <v>0</v>
      </c>
      <c r="AN190" s="118">
        <v>0</v>
      </c>
      <c r="AO190" s="118" t="s">
        <v>475</v>
      </c>
      <c r="AP190" s="118">
        <v>31</v>
      </c>
    </row>
    <row r="191" spans="1:42" x14ac:dyDescent="0.15">
      <c r="A191" s="26" t="s">
        <v>81</v>
      </c>
      <c r="B191" s="26" t="s">
        <v>6</v>
      </c>
      <c r="C191" s="26" t="s">
        <v>477</v>
      </c>
      <c r="D191" s="26" t="s">
        <v>87</v>
      </c>
      <c r="E191" s="26" t="s">
        <v>473</v>
      </c>
      <c r="F191" s="26" t="s">
        <v>474</v>
      </c>
      <c r="G191" s="26">
        <v>0</v>
      </c>
      <c r="H191" s="26">
        <v>31</v>
      </c>
      <c r="I191" s="26">
        <v>4</v>
      </c>
      <c r="J191" s="119">
        <v>4</v>
      </c>
      <c r="K191" s="122">
        <v>4</v>
      </c>
      <c r="L191" s="122"/>
      <c r="M191" s="122"/>
      <c r="N191" s="122"/>
      <c r="O191" s="122"/>
      <c r="P191" s="116">
        <v>27</v>
      </c>
      <c r="Q191" s="116">
        <v>31</v>
      </c>
      <c r="R191" s="116">
        <v>4</v>
      </c>
      <c r="S191" s="116">
        <v>31</v>
      </c>
      <c r="T191" s="116">
        <v>0</v>
      </c>
      <c r="U191" s="116">
        <v>0</v>
      </c>
      <c r="V191" s="116">
        <v>0</v>
      </c>
      <c r="W191" s="116">
        <v>0</v>
      </c>
      <c r="X191" s="30"/>
      <c r="Y191" s="30"/>
      <c r="Z191" s="30"/>
      <c r="AA191" s="30"/>
      <c r="AB191" s="126"/>
      <c r="AC191" s="126"/>
      <c r="AD191" s="126"/>
      <c r="AE191" s="126"/>
      <c r="AF191" s="126"/>
      <c r="AG191" s="126"/>
      <c r="AH191" s="117">
        <v>0</v>
      </c>
      <c r="AI191" s="116">
        <v>0</v>
      </c>
      <c r="AJ191" s="116">
        <v>0</v>
      </c>
      <c r="AK191" s="116">
        <v>0</v>
      </c>
      <c r="AL191" s="116">
        <v>0</v>
      </c>
      <c r="AM191" s="118">
        <v>0</v>
      </c>
      <c r="AN191" s="118">
        <v>0</v>
      </c>
      <c r="AO191" s="118" t="s">
        <v>475</v>
      </c>
      <c r="AP191" s="118">
        <v>31</v>
      </c>
    </row>
    <row r="192" spans="1:42" x14ac:dyDescent="0.15">
      <c r="A192" s="26" t="s">
        <v>81</v>
      </c>
      <c r="B192" s="26" t="s">
        <v>6</v>
      </c>
      <c r="C192" s="26" t="s">
        <v>477</v>
      </c>
      <c r="D192" s="26" t="s">
        <v>89</v>
      </c>
      <c r="E192" s="26" t="s">
        <v>473</v>
      </c>
      <c r="F192" s="26" t="s">
        <v>474</v>
      </c>
      <c r="G192" s="26">
        <v>0</v>
      </c>
      <c r="H192" s="26">
        <v>31</v>
      </c>
      <c r="I192" s="26">
        <v>4</v>
      </c>
      <c r="J192" s="116">
        <v>4</v>
      </c>
      <c r="K192" s="122">
        <v>4</v>
      </c>
      <c r="L192" s="122"/>
      <c r="M192" s="122"/>
      <c r="N192" s="122"/>
      <c r="O192" s="122"/>
      <c r="P192" s="116">
        <v>27</v>
      </c>
      <c r="Q192" s="116">
        <v>31</v>
      </c>
      <c r="R192" s="116">
        <v>4</v>
      </c>
      <c r="S192" s="116">
        <v>31</v>
      </c>
      <c r="T192" s="116">
        <v>0</v>
      </c>
      <c r="U192" s="116">
        <v>0</v>
      </c>
      <c r="V192" s="116">
        <v>0</v>
      </c>
      <c r="W192" s="116">
        <v>0</v>
      </c>
      <c r="X192" s="30"/>
      <c r="Y192" s="30"/>
      <c r="Z192" s="30"/>
      <c r="AA192" s="30"/>
      <c r="AB192" s="127"/>
      <c r="AC192" s="127"/>
      <c r="AD192" s="127"/>
      <c r="AE192" s="127"/>
      <c r="AF192" s="127"/>
      <c r="AG192" s="127"/>
      <c r="AH192" s="117">
        <v>0</v>
      </c>
      <c r="AI192" s="116">
        <v>0</v>
      </c>
      <c r="AJ192" s="116">
        <v>0</v>
      </c>
      <c r="AK192" s="116">
        <v>0</v>
      </c>
      <c r="AL192" s="116">
        <v>0</v>
      </c>
      <c r="AM192" s="118">
        <v>0</v>
      </c>
      <c r="AN192" s="118">
        <v>0</v>
      </c>
      <c r="AO192" s="118" t="s">
        <v>475</v>
      </c>
      <c r="AP192" s="118">
        <v>31</v>
      </c>
    </row>
    <row r="193" spans="1:42" x14ac:dyDescent="0.15">
      <c r="A193" s="26" t="s">
        <v>81</v>
      </c>
      <c r="B193" s="26" t="s">
        <v>6</v>
      </c>
      <c r="C193" s="26" t="s">
        <v>477</v>
      </c>
      <c r="D193" s="26" t="s">
        <v>84</v>
      </c>
      <c r="E193" s="26" t="s">
        <v>473</v>
      </c>
      <c r="F193" s="26" t="s">
        <v>474</v>
      </c>
      <c r="G193" s="26">
        <v>0</v>
      </c>
      <c r="H193" s="26">
        <v>31</v>
      </c>
      <c r="I193" s="26">
        <v>4</v>
      </c>
      <c r="J193" s="116">
        <v>4</v>
      </c>
      <c r="K193" s="122">
        <v>4</v>
      </c>
      <c r="L193" s="122"/>
      <c r="M193" s="122"/>
      <c r="N193" s="122"/>
      <c r="O193" s="122"/>
      <c r="P193" s="116">
        <v>27</v>
      </c>
      <c r="Q193" s="116">
        <v>31</v>
      </c>
      <c r="R193" s="116">
        <v>4</v>
      </c>
      <c r="S193" s="116">
        <v>31</v>
      </c>
      <c r="T193" s="116">
        <v>0</v>
      </c>
      <c r="U193" s="116">
        <v>0</v>
      </c>
      <c r="V193" s="116">
        <v>0</v>
      </c>
      <c r="W193" s="116">
        <v>0</v>
      </c>
      <c r="X193" s="30">
        <v>10</v>
      </c>
      <c r="Y193" s="30"/>
      <c r="Z193" s="30"/>
      <c r="AA193" s="30"/>
      <c r="AB193" s="127"/>
      <c r="AC193" s="127"/>
      <c r="AD193" s="127"/>
      <c r="AE193" s="127"/>
      <c r="AF193" s="127"/>
      <c r="AG193" s="127"/>
      <c r="AH193" s="117">
        <v>0</v>
      </c>
      <c r="AI193" s="116">
        <v>0</v>
      </c>
      <c r="AJ193" s="116">
        <v>0</v>
      </c>
      <c r="AK193" s="116">
        <v>0</v>
      </c>
      <c r="AL193" s="116">
        <v>0</v>
      </c>
      <c r="AM193" s="118">
        <v>0</v>
      </c>
      <c r="AN193" s="118">
        <v>0</v>
      </c>
      <c r="AO193" s="118" t="s">
        <v>475</v>
      </c>
      <c r="AP193" s="118">
        <v>31</v>
      </c>
    </row>
    <row r="194" spans="1:42" x14ac:dyDescent="0.15">
      <c r="A194" s="26" t="s">
        <v>81</v>
      </c>
      <c r="B194" s="26" t="s">
        <v>476</v>
      </c>
      <c r="C194" s="26" t="s">
        <v>477</v>
      </c>
      <c r="D194" s="26" t="s">
        <v>544</v>
      </c>
      <c r="E194" s="26" t="s">
        <v>473</v>
      </c>
      <c r="F194" s="26" t="s">
        <v>474</v>
      </c>
      <c r="G194" s="26">
        <v>0</v>
      </c>
      <c r="H194" s="26">
        <v>31</v>
      </c>
      <c r="I194" s="26">
        <v>4</v>
      </c>
      <c r="J194" s="119">
        <v>4</v>
      </c>
      <c r="K194" s="122">
        <v>4</v>
      </c>
      <c r="L194" s="122"/>
      <c r="M194" s="122"/>
      <c r="N194" s="122"/>
      <c r="O194" s="122"/>
      <c r="P194" s="116">
        <v>27</v>
      </c>
      <c r="Q194" s="116">
        <v>31</v>
      </c>
      <c r="R194" s="116">
        <v>4</v>
      </c>
      <c r="S194" s="116">
        <v>31</v>
      </c>
      <c r="T194" s="116">
        <v>0</v>
      </c>
      <c r="U194" s="116">
        <v>0</v>
      </c>
      <c r="V194" s="116">
        <v>0</v>
      </c>
      <c r="W194" s="116">
        <v>0</v>
      </c>
      <c r="X194" s="30"/>
      <c r="Y194" s="30"/>
      <c r="Z194" s="30">
        <v>50</v>
      </c>
      <c r="AA194" s="30"/>
      <c r="AB194" s="126"/>
      <c r="AC194" s="126"/>
      <c r="AD194" s="126"/>
      <c r="AE194" s="126"/>
      <c r="AF194" s="126"/>
      <c r="AG194" s="126"/>
      <c r="AH194" s="117">
        <v>0</v>
      </c>
      <c r="AI194" s="116">
        <v>0</v>
      </c>
      <c r="AJ194" s="116">
        <v>0</v>
      </c>
      <c r="AK194" s="116">
        <v>0</v>
      </c>
      <c r="AL194" s="116">
        <v>0</v>
      </c>
      <c r="AM194" s="118">
        <v>0</v>
      </c>
      <c r="AN194" s="118">
        <v>0</v>
      </c>
      <c r="AO194" s="118" t="s">
        <v>475</v>
      </c>
      <c r="AP194" s="118">
        <v>31</v>
      </c>
    </row>
    <row r="195" spans="1:42" x14ac:dyDescent="0.15">
      <c r="A195" s="26" t="s">
        <v>81</v>
      </c>
      <c r="B195" s="26" t="s">
        <v>6</v>
      </c>
      <c r="C195" s="26" t="s">
        <v>477</v>
      </c>
      <c r="D195" s="26" t="s">
        <v>85</v>
      </c>
      <c r="E195" s="26" t="s">
        <v>473</v>
      </c>
      <c r="F195" s="26" t="s">
        <v>474</v>
      </c>
      <c r="G195" s="26">
        <v>0</v>
      </c>
      <c r="H195" s="26">
        <v>31</v>
      </c>
      <c r="I195" s="26">
        <v>4</v>
      </c>
      <c r="J195" s="119">
        <v>4</v>
      </c>
      <c r="K195" s="122">
        <v>4</v>
      </c>
      <c r="L195" s="122"/>
      <c r="M195" s="122"/>
      <c r="N195" s="122"/>
      <c r="O195" s="122"/>
      <c r="P195" s="116">
        <v>27</v>
      </c>
      <c r="Q195" s="116">
        <v>31</v>
      </c>
      <c r="R195" s="116">
        <v>4</v>
      </c>
      <c r="S195" s="116">
        <v>31</v>
      </c>
      <c r="T195" s="116">
        <v>0</v>
      </c>
      <c r="U195" s="116">
        <v>0</v>
      </c>
      <c r="V195" s="116">
        <v>0</v>
      </c>
      <c r="W195" s="116">
        <v>0</v>
      </c>
      <c r="X195" s="30"/>
      <c r="Y195" s="30"/>
      <c r="Z195" s="30"/>
      <c r="AA195" s="30"/>
      <c r="AB195" s="126"/>
      <c r="AC195" s="126"/>
      <c r="AD195" s="126"/>
      <c r="AE195" s="126"/>
      <c r="AF195" s="126"/>
      <c r="AG195" s="126"/>
      <c r="AH195" s="117">
        <v>4000</v>
      </c>
      <c r="AI195" s="116">
        <v>0</v>
      </c>
      <c r="AJ195" s="116">
        <v>0</v>
      </c>
      <c r="AK195" s="116">
        <v>0</v>
      </c>
      <c r="AL195" s="116">
        <v>0</v>
      </c>
      <c r="AM195" s="118">
        <v>0</v>
      </c>
      <c r="AN195" s="118">
        <v>0</v>
      </c>
      <c r="AO195" s="118" t="s">
        <v>475</v>
      </c>
      <c r="AP195" s="118">
        <v>31</v>
      </c>
    </row>
    <row r="196" spans="1:42" x14ac:dyDescent="0.15">
      <c r="A196" s="26" t="s">
        <v>90</v>
      </c>
      <c r="B196" s="26" t="s">
        <v>6</v>
      </c>
      <c r="C196" s="26" t="s">
        <v>477</v>
      </c>
      <c r="D196" s="26" t="s">
        <v>95</v>
      </c>
      <c r="E196" s="26" t="s">
        <v>473</v>
      </c>
      <c r="F196" s="26" t="s">
        <v>474</v>
      </c>
      <c r="G196" s="26">
        <v>0</v>
      </c>
      <c r="H196" s="26">
        <v>31</v>
      </c>
      <c r="I196" s="26">
        <v>4</v>
      </c>
      <c r="J196" s="119">
        <v>4</v>
      </c>
      <c r="K196" s="122">
        <v>4</v>
      </c>
      <c r="L196" s="122"/>
      <c r="M196" s="122"/>
      <c r="N196" s="122"/>
      <c r="O196" s="122"/>
      <c r="P196" s="116">
        <v>27</v>
      </c>
      <c r="Q196" s="116">
        <v>31</v>
      </c>
      <c r="R196" s="116">
        <v>4</v>
      </c>
      <c r="S196" s="116">
        <v>31</v>
      </c>
      <c r="T196" s="116">
        <v>0</v>
      </c>
      <c r="U196" s="116">
        <v>0</v>
      </c>
      <c r="V196" s="116">
        <v>0</v>
      </c>
      <c r="W196" s="116">
        <v>0</v>
      </c>
      <c r="X196" s="30"/>
      <c r="Y196" s="30"/>
      <c r="Z196" s="30">
        <v>50</v>
      </c>
      <c r="AA196" s="30"/>
      <c r="AB196" s="126"/>
      <c r="AC196" s="126"/>
      <c r="AD196" s="126"/>
      <c r="AE196" s="126"/>
      <c r="AF196" s="126"/>
      <c r="AG196" s="126"/>
      <c r="AH196" s="117">
        <v>0</v>
      </c>
      <c r="AI196" s="116">
        <v>0</v>
      </c>
      <c r="AJ196" s="116">
        <v>0</v>
      </c>
      <c r="AK196" s="116">
        <v>0</v>
      </c>
      <c r="AL196" s="116">
        <v>0</v>
      </c>
      <c r="AM196" s="118">
        <v>0</v>
      </c>
      <c r="AN196" s="118">
        <v>0</v>
      </c>
      <c r="AO196" s="118" t="s">
        <v>475</v>
      </c>
      <c r="AP196" s="118">
        <v>31</v>
      </c>
    </row>
    <row r="197" spans="1:42" x14ac:dyDescent="0.15">
      <c r="A197" s="26" t="s">
        <v>90</v>
      </c>
      <c r="B197" s="26" t="s">
        <v>6</v>
      </c>
      <c r="C197" s="26" t="s">
        <v>477</v>
      </c>
      <c r="D197" s="26" t="s">
        <v>94</v>
      </c>
      <c r="E197" s="26" t="s">
        <v>473</v>
      </c>
      <c r="F197" s="26" t="s">
        <v>474</v>
      </c>
      <c r="G197" s="26">
        <v>0</v>
      </c>
      <c r="H197" s="26">
        <v>31</v>
      </c>
      <c r="I197" s="26">
        <v>4</v>
      </c>
      <c r="J197" s="119">
        <v>4</v>
      </c>
      <c r="K197" s="122">
        <v>4</v>
      </c>
      <c r="L197" s="122"/>
      <c r="M197" s="122"/>
      <c r="N197" s="122"/>
      <c r="O197" s="122"/>
      <c r="P197" s="116">
        <v>27</v>
      </c>
      <c r="Q197" s="116">
        <v>31</v>
      </c>
      <c r="R197" s="116">
        <v>4</v>
      </c>
      <c r="S197" s="116">
        <v>31</v>
      </c>
      <c r="T197" s="116">
        <v>0</v>
      </c>
      <c r="U197" s="116">
        <v>0</v>
      </c>
      <c r="V197" s="116">
        <v>0</v>
      </c>
      <c r="W197" s="116">
        <v>0</v>
      </c>
      <c r="X197" s="30"/>
      <c r="Y197" s="30"/>
      <c r="Z197" s="30"/>
      <c r="AA197" s="30"/>
      <c r="AB197" s="126"/>
      <c r="AC197" s="126"/>
      <c r="AD197" s="126"/>
      <c r="AE197" s="126"/>
      <c r="AF197" s="126"/>
      <c r="AG197" s="126"/>
      <c r="AH197" s="117">
        <v>0</v>
      </c>
      <c r="AI197" s="116">
        <v>0</v>
      </c>
      <c r="AJ197" s="116">
        <v>0</v>
      </c>
      <c r="AK197" s="116">
        <v>0</v>
      </c>
      <c r="AL197" s="116">
        <v>0</v>
      </c>
      <c r="AM197" s="118">
        <v>0</v>
      </c>
      <c r="AN197" s="118">
        <v>0</v>
      </c>
      <c r="AO197" s="118" t="s">
        <v>475</v>
      </c>
      <c r="AP197" s="118">
        <v>31</v>
      </c>
    </row>
    <row r="198" spans="1:42" x14ac:dyDescent="0.15">
      <c r="A198" s="26" t="s">
        <v>90</v>
      </c>
      <c r="B198" s="26" t="s">
        <v>470</v>
      </c>
      <c r="C198" s="26" t="s">
        <v>471</v>
      </c>
      <c r="D198" s="26" t="s">
        <v>545</v>
      </c>
      <c r="E198" s="26" t="s">
        <v>473</v>
      </c>
      <c r="F198" s="26" t="s">
        <v>474</v>
      </c>
      <c r="G198" s="26">
        <v>0</v>
      </c>
      <c r="H198" s="26">
        <v>31</v>
      </c>
      <c r="I198" s="26">
        <v>4</v>
      </c>
      <c r="J198" s="119">
        <v>3</v>
      </c>
      <c r="K198" s="122">
        <v>3</v>
      </c>
      <c r="L198" s="122"/>
      <c r="M198" s="122"/>
      <c r="N198" s="122"/>
      <c r="O198" s="122"/>
      <c r="P198" s="116">
        <v>28</v>
      </c>
      <c r="Q198" s="116">
        <v>31</v>
      </c>
      <c r="R198" s="116">
        <v>4</v>
      </c>
      <c r="S198" s="116">
        <v>31</v>
      </c>
      <c r="T198" s="116">
        <v>0</v>
      </c>
      <c r="U198" s="116">
        <v>0</v>
      </c>
      <c r="V198" s="116">
        <v>0</v>
      </c>
      <c r="W198" s="116">
        <v>0</v>
      </c>
      <c r="X198" s="30">
        <v>120</v>
      </c>
      <c r="Y198" s="30"/>
      <c r="Z198" s="30"/>
      <c r="AA198" s="30"/>
      <c r="AB198" s="126"/>
      <c r="AC198" s="126"/>
      <c r="AD198" s="126"/>
      <c r="AE198" s="126"/>
      <c r="AF198" s="126"/>
      <c r="AG198" s="126"/>
      <c r="AH198" s="117">
        <v>0</v>
      </c>
      <c r="AI198" s="116">
        <v>0</v>
      </c>
      <c r="AJ198" s="116">
        <v>0</v>
      </c>
      <c r="AK198" s="116">
        <v>0</v>
      </c>
      <c r="AL198" s="116">
        <v>0</v>
      </c>
      <c r="AM198" s="118">
        <v>0</v>
      </c>
      <c r="AN198" s="118">
        <v>0</v>
      </c>
      <c r="AO198" s="118" t="s">
        <v>475</v>
      </c>
      <c r="AP198" s="118">
        <v>31</v>
      </c>
    </row>
    <row r="199" spans="1:42" x14ac:dyDescent="0.15">
      <c r="A199" s="26" t="s">
        <v>90</v>
      </c>
      <c r="B199" s="26" t="s">
        <v>6</v>
      </c>
      <c r="C199" s="26" t="s">
        <v>477</v>
      </c>
      <c r="D199" s="26" t="s">
        <v>92</v>
      </c>
      <c r="E199" s="26" t="s">
        <v>473</v>
      </c>
      <c r="F199" s="26" t="s">
        <v>474</v>
      </c>
      <c r="G199" s="26">
        <v>0</v>
      </c>
      <c r="H199" s="26">
        <v>31</v>
      </c>
      <c r="I199" s="26">
        <v>4</v>
      </c>
      <c r="J199" s="119">
        <v>4</v>
      </c>
      <c r="K199" s="122">
        <v>4</v>
      </c>
      <c r="L199" s="122"/>
      <c r="M199" s="122"/>
      <c r="N199" s="122"/>
      <c r="O199" s="122"/>
      <c r="P199" s="116">
        <v>27</v>
      </c>
      <c r="Q199" s="116">
        <v>31</v>
      </c>
      <c r="R199" s="116">
        <v>4</v>
      </c>
      <c r="S199" s="116">
        <v>31</v>
      </c>
      <c r="T199" s="116">
        <v>0</v>
      </c>
      <c r="U199" s="116">
        <v>0</v>
      </c>
      <c r="V199" s="116">
        <v>0</v>
      </c>
      <c r="W199" s="116">
        <v>0</v>
      </c>
      <c r="X199" s="30"/>
      <c r="Y199" s="30"/>
      <c r="Z199" s="30"/>
      <c r="AA199" s="30"/>
      <c r="AB199" s="126"/>
      <c r="AC199" s="126"/>
      <c r="AD199" s="126"/>
      <c r="AE199" s="126"/>
      <c r="AF199" s="126"/>
      <c r="AG199" s="126"/>
      <c r="AH199" s="117">
        <v>0</v>
      </c>
      <c r="AI199" s="116">
        <v>0</v>
      </c>
      <c r="AJ199" s="116">
        <v>0</v>
      </c>
      <c r="AK199" s="116">
        <v>0</v>
      </c>
      <c r="AL199" s="116">
        <v>0</v>
      </c>
      <c r="AM199" s="118">
        <v>0</v>
      </c>
      <c r="AN199" s="118">
        <v>0</v>
      </c>
      <c r="AO199" s="118" t="s">
        <v>475</v>
      </c>
      <c r="AP199" s="118">
        <v>31</v>
      </c>
    </row>
    <row r="200" spans="1:42" x14ac:dyDescent="0.15">
      <c r="A200" s="26" t="s">
        <v>90</v>
      </c>
      <c r="B200" s="26" t="s">
        <v>6</v>
      </c>
      <c r="C200" s="26" t="s">
        <v>477</v>
      </c>
      <c r="D200" s="26" t="s">
        <v>91</v>
      </c>
      <c r="E200" s="26" t="s">
        <v>473</v>
      </c>
      <c r="F200" s="26" t="s">
        <v>474</v>
      </c>
      <c r="G200" s="26">
        <v>0</v>
      </c>
      <c r="H200" s="26">
        <v>31</v>
      </c>
      <c r="I200" s="26">
        <v>4</v>
      </c>
      <c r="J200" s="119">
        <v>4</v>
      </c>
      <c r="K200" s="122">
        <v>4</v>
      </c>
      <c r="L200" s="122"/>
      <c r="M200" s="122"/>
      <c r="N200" s="122"/>
      <c r="O200" s="122"/>
      <c r="P200" s="116">
        <v>27</v>
      </c>
      <c r="Q200" s="116">
        <v>31</v>
      </c>
      <c r="R200" s="116">
        <v>4</v>
      </c>
      <c r="S200" s="116">
        <v>31</v>
      </c>
      <c r="T200" s="116">
        <v>0</v>
      </c>
      <c r="U200" s="116">
        <v>0</v>
      </c>
      <c r="V200" s="116">
        <v>0</v>
      </c>
      <c r="W200" s="116">
        <v>0</v>
      </c>
      <c r="X200" s="30">
        <v>10</v>
      </c>
      <c r="Y200" s="30"/>
      <c r="Z200" s="30"/>
      <c r="AA200" s="30"/>
      <c r="AB200" s="126"/>
      <c r="AC200" s="126"/>
      <c r="AD200" s="126"/>
      <c r="AE200" s="126"/>
      <c r="AF200" s="126"/>
      <c r="AG200" s="126"/>
      <c r="AH200" s="117">
        <v>0</v>
      </c>
      <c r="AI200" s="116">
        <v>0</v>
      </c>
      <c r="AJ200" s="116">
        <v>0</v>
      </c>
      <c r="AK200" s="116">
        <v>0</v>
      </c>
      <c r="AL200" s="116">
        <v>0</v>
      </c>
      <c r="AM200" s="118">
        <v>0</v>
      </c>
      <c r="AN200" s="118">
        <v>0</v>
      </c>
      <c r="AO200" s="118" t="s">
        <v>475</v>
      </c>
      <c r="AP200" s="118">
        <v>31</v>
      </c>
    </row>
    <row r="201" spans="1:42" x14ac:dyDescent="0.15">
      <c r="A201" s="26" t="s">
        <v>90</v>
      </c>
      <c r="B201" s="26" t="s">
        <v>6</v>
      </c>
      <c r="C201" s="26" t="s">
        <v>477</v>
      </c>
      <c r="D201" s="26" t="s">
        <v>96</v>
      </c>
      <c r="E201" s="26" t="s">
        <v>684</v>
      </c>
      <c r="F201" s="26" t="s">
        <v>474</v>
      </c>
      <c r="G201" s="26">
        <v>0</v>
      </c>
      <c r="H201" s="26">
        <v>1</v>
      </c>
      <c r="I201" s="26">
        <v>0</v>
      </c>
      <c r="J201" s="119">
        <v>4</v>
      </c>
      <c r="K201" s="122">
        <v>4</v>
      </c>
      <c r="L201" s="122"/>
      <c r="M201" s="122"/>
      <c r="N201" s="122"/>
      <c r="O201" s="122"/>
      <c r="P201" s="116">
        <v>-3</v>
      </c>
      <c r="Q201" s="116">
        <v>1</v>
      </c>
      <c r="R201" s="116">
        <v>0</v>
      </c>
      <c r="S201" s="116">
        <v>1</v>
      </c>
      <c r="T201" s="116">
        <v>4</v>
      </c>
      <c r="U201" s="116">
        <v>4</v>
      </c>
      <c r="V201" s="116">
        <v>0</v>
      </c>
      <c r="W201" s="116">
        <v>0</v>
      </c>
      <c r="X201" s="30">
        <v>10</v>
      </c>
      <c r="Y201" s="30"/>
      <c r="Z201" s="30"/>
      <c r="AA201" s="30"/>
      <c r="AB201" s="126"/>
      <c r="AC201" s="126"/>
      <c r="AD201" s="126"/>
      <c r="AE201" s="126"/>
      <c r="AF201" s="126"/>
      <c r="AG201" s="126"/>
      <c r="AH201" s="117">
        <v>0</v>
      </c>
      <c r="AI201" s="116">
        <v>0</v>
      </c>
      <c r="AJ201" s="116">
        <v>0</v>
      </c>
      <c r="AK201" s="116">
        <v>0</v>
      </c>
      <c r="AL201" s="116">
        <v>0</v>
      </c>
      <c r="AM201" s="118">
        <v>0</v>
      </c>
      <c r="AN201" s="118">
        <v>0</v>
      </c>
      <c r="AO201" s="118" t="s">
        <v>475</v>
      </c>
      <c r="AP201" s="118">
        <v>1</v>
      </c>
    </row>
    <row r="202" spans="1:42" x14ac:dyDescent="0.15">
      <c r="A202" s="26" t="s">
        <v>90</v>
      </c>
      <c r="B202" s="26" t="s">
        <v>476</v>
      </c>
      <c r="C202" s="26" t="s">
        <v>477</v>
      </c>
      <c r="D202" s="26" t="s">
        <v>546</v>
      </c>
      <c r="E202" s="26" t="s">
        <v>473</v>
      </c>
      <c r="F202" s="26" t="s">
        <v>474</v>
      </c>
      <c r="G202" s="26">
        <v>0</v>
      </c>
      <c r="H202" s="26">
        <v>31</v>
      </c>
      <c r="I202" s="26">
        <v>4</v>
      </c>
      <c r="J202" s="119">
        <v>4</v>
      </c>
      <c r="K202" s="122">
        <v>4</v>
      </c>
      <c r="L202" s="122"/>
      <c r="M202" s="122"/>
      <c r="N202" s="122"/>
      <c r="O202" s="122"/>
      <c r="P202" s="116">
        <v>27</v>
      </c>
      <c r="Q202" s="116">
        <v>31</v>
      </c>
      <c r="R202" s="116">
        <v>4</v>
      </c>
      <c r="S202" s="116">
        <v>31</v>
      </c>
      <c r="T202" s="116">
        <v>0</v>
      </c>
      <c r="U202" s="116">
        <v>0</v>
      </c>
      <c r="V202" s="116">
        <v>0</v>
      </c>
      <c r="W202" s="116">
        <v>0</v>
      </c>
      <c r="X202" s="30">
        <v>20</v>
      </c>
      <c r="Y202" s="30"/>
      <c r="Z202" s="30">
        <v>50</v>
      </c>
      <c r="AA202" s="30"/>
      <c r="AB202" s="126"/>
      <c r="AC202" s="126"/>
      <c r="AD202" s="126"/>
      <c r="AE202" s="126"/>
      <c r="AF202" s="126"/>
      <c r="AG202" s="126"/>
      <c r="AH202" s="117">
        <v>3500</v>
      </c>
      <c r="AI202" s="116">
        <v>0</v>
      </c>
      <c r="AJ202" s="116">
        <v>0</v>
      </c>
      <c r="AK202" s="116">
        <v>410</v>
      </c>
      <c r="AL202" s="116">
        <v>0</v>
      </c>
      <c r="AM202" s="118">
        <v>0</v>
      </c>
      <c r="AN202" s="118">
        <v>0</v>
      </c>
      <c r="AO202" s="118" t="s">
        <v>475</v>
      </c>
      <c r="AP202" s="118">
        <v>31</v>
      </c>
    </row>
    <row r="203" spans="1:42" x14ac:dyDescent="0.15">
      <c r="A203" s="26" t="s">
        <v>60</v>
      </c>
      <c r="B203" s="26" t="s">
        <v>470</v>
      </c>
      <c r="C203" s="26" t="s">
        <v>471</v>
      </c>
      <c r="D203" s="26" t="s">
        <v>547</v>
      </c>
      <c r="E203" s="26" t="s">
        <v>473</v>
      </c>
      <c r="F203" s="26" t="s">
        <v>474</v>
      </c>
      <c r="G203" s="26">
        <v>0</v>
      </c>
      <c r="H203" s="26">
        <v>31</v>
      </c>
      <c r="I203" s="26">
        <v>4</v>
      </c>
      <c r="J203" s="119">
        <v>5</v>
      </c>
      <c r="K203" s="122">
        <v>4</v>
      </c>
      <c r="L203" s="122"/>
      <c r="M203" s="122">
        <v>1</v>
      </c>
      <c r="N203" s="122"/>
      <c r="O203" s="122"/>
      <c r="P203" s="116">
        <v>26</v>
      </c>
      <c r="Q203" s="116">
        <v>31</v>
      </c>
      <c r="R203" s="116">
        <v>4</v>
      </c>
      <c r="S203" s="116">
        <v>31</v>
      </c>
      <c r="T203" s="116">
        <v>0</v>
      </c>
      <c r="U203" s="116">
        <v>0</v>
      </c>
      <c r="V203" s="116">
        <v>0</v>
      </c>
      <c r="W203" s="116">
        <v>0</v>
      </c>
      <c r="X203" s="30"/>
      <c r="Y203" s="30"/>
      <c r="Z203" s="30"/>
      <c r="AA203" s="30"/>
      <c r="AB203" s="126"/>
      <c r="AC203" s="126">
        <v>100</v>
      </c>
      <c r="AD203" s="126"/>
      <c r="AE203" s="126"/>
      <c r="AF203" s="126"/>
      <c r="AG203" s="126"/>
      <c r="AH203" s="117">
        <v>0</v>
      </c>
      <c r="AI203" s="116">
        <v>0</v>
      </c>
      <c r="AJ203" s="116">
        <v>0</v>
      </c>
      <c r="AK203" s="116">
        <v>0</v>
      </c>
      <c r="AL203" s="116">
        <v>0</v>
      </c>
      <c r="AM203" s="118">
        <v>0</v>
      </c>
      <c r="AN203" s="118">
        <v>0</v>
      </c>
      <c r="AO203" s="118" t="s">
        <v>475</v>
      </c>
      <c r="AP203" s="118">
        <v>31</v>
      </c>
    </row>
    <row r="204" spans="1:42" x14ac:dyDescent="0.15">
      <c r="A204" s="26" t="s">
        <v>60</v>
      </c>
      <c r="B204" s="26" t="s">
        <v>6</v>
      </c>
      <c r="C204" s="26" t="s">
        <v>477</v>
      </c>
      <c r="D204" s="26" t="s">
        <v>63</v>
      </c>
      <c r="E204" s="26" t="s">
        <v>473</v>
      </c>
      <c r="F204" s="26" t="s">
        <v>474</v>
      </c>
      <c r="G204" s="26">
        <v>0</v>
      </c>
      <c r="H204" s="26">
        <v>31</v>
      </c>
      <c r="I204" s="26">
        <v>4</v>
      </c>
      <c r="J204" s="119">
        <v>9</v>
      </c>
      <c r="K204" s="122">
        <v>3</v>
      </c>
      <c r="L204" s="122">
        <v>6</v>
      </c>
      <c r="M204" s="122"/>
      <c r="N204" s="122"/>
      <c r="O204" s="122"/>
      <c r="P204" s="116">
        <v>22</v>
      </c>
      <c r="Q204" s="116">
        <v>25</v>
      </c>
      <c r="R204" s="116">
        <v>3</v>
      </c>
      <c r="S204" s="116">
        <v>25</v>
      </c>
      <c r="T204" s="116">
        <v>0</v>
      </c>
      <c r="U204" s="116">
        <v>6</v>
      </c>
      <c r="V204" s="116">
        <v>0</v>
      </c>
      <c r="W204" s="116">
        <v>0</v>
      </c>
      <c r="X204" s="30"/>
      <c r="Y204" s="30"/>
      <c r="Z204" s="30"/>
      <c r="AA204" s="30"/>
      <c r="AB204" s="126"/>
      <c r="AC204" s="126"/>
      <c r="AD204" s="126"/>
      <c r="AE204" s="126"/>
      <c r="AF204" s="126"/>
      <c r="AG204" s="126"/>
      <c r="AH204" s="117">
        <v>0</v>
      </c>
      <c r="AI204" s="116">
        <v>0</v>
      </c>
      <c r="AJ204" s="116">
        <v>0</v>
      </c>
      <c r="AK204" s="116">
        <v>0</v>
      </c>
      <c r="AL204" s="116">
        <v>0</v>
      </c>
      <c r="AM204" s="118">
        <v>0</v>
      </c>
      <c r="AN204" s="118">
        <v>0</v>
      </c>
      <c r="AO204" s="118" t="s">
        <v>475</v>
      </c>
      <c r="AP204" s="118">
        <v>25</v>
      </c>
    </row>
    <row r="205" spans="1:42" x14ac:dyDescent="0.15">
      <c r="A205" s="26" t="s">
        <v>60</v>
      </c>
      <c r="B205" s="26" t="s">
        <v>6</v>
      </c>
      <c r="C205" s="26" t="s">
        <v>477</v>
      </c>
      <c r="D205" s="26" t="s">
        <v>64</v>
      </c>
      <c r="E205" s="26" t="s">
        <v>473</v>
      </c>
      <c r="F205" s="26" t="s">
        <v>474</v>
      </c>
      <c r="G205" s="26">
        <v>0</v>
      </c>
      <c r="H205" s="26">
        <v>31</v>
      </c>
      <c r="I205" s="26">
        <v>4</v>
      </c>
      <c r="J205" s="119">
        <v>4</v>
      </c>
      <c r="K205" s="122">
        <v>4</v>
      </c>
      <c r="L205" s="122"/>
      <c r="M205" s="122"/>
      <c r="N205" s="122"/>
      <c r="O205" s="122"/>
      <c r="P205" s="116">
        <v>27</v>
      </c>
      <c r="Q205" s="116">
        <v>31</v>
      </c>
      <c r="R205" s="116">
        <v>4</v>
      </c>
      <c r="S205" s="116">
        <v>31</v>
      </c>
      <c r="T205" s="116">
        <v>0</v>
      </c>
      <c r="U205" s="116">
        <v>0</v>
      </c>
      <c r="V205" s="116">
        <v>0</v>
      </c>
      <c r="W205" s="116">
        <v>0</v>
      </c>
      <c r="X205" s="30"/>
      <c r="Y205" s="30"/>
      <c r="Z205" s="30">
        <v>50</v>
      </c>
      <c r="AA205" s="30"/>
      <c r="AB205" s="126"/>
      <c r="AC205" s="126"/>
      <c r="AD205" s="126"/>
      <c r="AE205" s="126"/>
      <c r="AF205" s="126"/>
      <c r="AG205" s="126"/>
      <c r="AH205" s="117">
        <v>0</v>
      </c>
      <c r="AI205" s="116">
        <v>0</v>
      </c>
      <c r="AJ205" s="116">
        <v>0</v>
      </c>
      <c r="AK205" s="116">
        <v>0</v>
      </c>
      <c r="AL205" s="116">
        <v>0</v>
      </c>
      <c r="AM205" s="118">
        <v>0</v>
      </c>
      <c r="AN205" s="118">
        <v>0</v>
      </c>
      <c r="AO205" s="118" t="s">
        <v>475</v>
      </c>
      <c r="AP205" s="118">
        <v>31</v>
      </c>
    </row>
    <row r="206" spans="1:42" x14ac:dyDescent="0.15">
      <c r="A206" s="26" t="s">
        <v>66</v>
      </c>
      <c r="B206" s="26" t="s">
        <v>6</v>
      </c>
      <c r="C206" s="26" t="s">
        <v>477</v>
      </c>
      <c r="D206" s="26" t="s">
        <v>62</v>
      </c>
      <c r="E206" s="26" t="s">
        <v>473</v>
      </c>
      <c r="F206" s="26" t="s">
        <v>474</v>
      </c>
      <c r="G206" s="26">
        <v>0</v>
      </c>
      <c r="H206" s="26">
        <v>31</v>
      </c>
      <c r="I206" s="26">
        <v>4</v>
      </c>
      <c r="J206" s="119">
        <v>4</v>
      </c>
      <c r="K206" s="122">
        <v>4</v>
      </c>
      <c r="L206" s="122"/>
      <c r="M206" s="122"/>
      <c r="N206" s="122"/>
      <c r="O206" s="122"/>
      <c r="P206" s="116">
        <v>27</v>
      </c>
      <c r="Q206" s="116">
        <v>31</v>
      </c>
      <c r="R206" s="116">
        <v>4</v>
      </c>
      <c r="S206" s="116">
        <v>31</v>
      </c>
      <c r="T206" s="116">
        <v>0</v>
      </c>
      <c r="U206" s="116">
        <v>0</v>
      </c>
      <c r="V206" s="116">
        <v>0</v>
      </c>
      <c r="W206" s="116">
        <v>0</v>
      </c>
      <c r="X206" s="30"/>
      <c r="Y206" s="30"/>
      <c r="Z206" s="30">
        <v>50</v>
      </c>
      <c r="AA206" s="30"/>
      <c r="AB206" s="126"/>
      <c r="AC206" s="126"/>
      <c r="AD206" s="126"/>
      <c r="AE206" s="126"/>
      <c r="AF206" s="126"/>
      <c r="AG206" s="126"/>
      <c r="AH206" s="117">
        <v>0</v>
      </c>
      <c r="AI206" s="116">
        <v>0</v>
      </c>
      <c r="AJ206" s="116">
        <v>0</v>
      </c>
      <c r="AK206" s="116">
        <v>0</v>
      </c>
      <c r="AL206" s="116">
        <v>0</v>
      </c>
      <c r="AM206" s="118">
        <v>0</v>
      </c>
      <c r="AN206" s="118">
        <v>0</v>
      </c>
      <c r="AO206" s="118" t="s">
        <v>475</v>
      </c>
      <c r="AP206" s="118">
        <v>31</v>
      </c>
    </row>
    <row r="207" spans="1:42" x14ac:dyDescent="0.15">
      <c r="A207" s="26" t="s">
        <v>60</v>
      </c>
      <c r="B207" s="26" t="s">
        <v>476</v>
      </c>
      <c r="C207" s="26" t="s">
        <v>477</v>
      </c>
      <c r="D207" s="26" t="s">
        <v>548</v>
      </c>
      <c r="E207" s="26" t="s">
        <v>473</v>
      </c>
      <c r="F207" s="26" t="s">
        <v>474</v>
      </c>
      <c r="G207" s="26">
        <v>0</v>
      </c>
      <c r="H207" s="26">
        <v>31</v>
      </c>
      <c r="I207" s="26">
        <v>4</v>
      </c>
      <c r="J207" s="119">
        <v>4</v>
      </c>
      <c r="K207" s="122">
        <v>4</v>
      </c>
      <c r="L207" s="122"/>
      <c r="M207" s="122"/>
      <c r="N207" s="122"/>
      <c r="O207" s="122"/>
      <c r="P207" s="116">
        <v>27</v>
      </c>
      <c r="Q207" s="116">
        <v>31</v>
      </c>
      <c r="R207" s="116">
        <v>4</v>
      </c>
      <c r="S207" s="116">
        <v>31</v>
      </c>
      <c r="T207" s="116">
        <v>0</v>
      </c>
      <c r="U207" s="116">
        <v>0</v>
      </c>
      <c r="V207" s="116">
        <v>0</v>
      </c>
      <c r="W207" s="116">
        <v>0</v>
      </c>
      <c r="X207" s="30"/>
      <c r="Y207" s="30"/>
      <c r="Z207" s="30"/>
      <c r="AA207" s="30"/>
      <c r="AB207" s="126"/>
      <c r="AC207" s="126"/>
      <c r="AD207" s="126"/>
      <c r="AE207" s="126"/>
      <c r="AF207" s="126"/>
      <c r="AG207" s="126"/>
      <c r="AH207" s="117">
        <v>0</v>
      </c>
      <c r="AI207" s="116">
        <v>0</v>
      </c>
      <c r="AJ207" s="116">
        <v>0</v>
      </c>
      <c r="AK207" s="116">
        <v>0</v>
      </c>
      <c r="AL207" s="116">
        <v>0</v>
      </c>
      <c r="AM207" s="118">
        <v>0</v>
      </c>
      <c r="AN207" s="118">
        <v>0</v>
      </c>
      <c r="AO207" s="118" t="s">
        <v>475</v>
      </c>
      <c r="AP207" s="118">
        <v>31</v>
      </c>
    </row>
    <row r="208" spans="1:42" x14ac:dyDescent="0.15">
      <c r="A208" s="26" t="s">
        <v>60</v>
      </c>
      <c r="B208" s="26" t="s">
        <v>6</v>
      </c>
      <c r="C208" s="26" t="s">
        <v>477</v>
      </c>
      <c r="D208" s="26" t="s">
        <v>61</v>
      </c>
      <c r="E208" s="26" t="s">
        <v>473</v>
      </c>
      <c r="F208" s="26" t="s">
        <v>474</v>
      </c>
      <c r="G208" s="26">
        <v>0</v>
      </c>
      <c r="H208" s="26">
        <v>31</v>
      </c>
      <c r="I208" s="26">
        <v>4</v>
      </c>
      <c r="J208" s="119">
        <v>5</v>
      </c>
      <c r="K208" s="122">
        <v>4</v>
      </c>
      <c r="L208" s="122"/>
      <c r="M208" s="122">
        <v>1</v>
      </c>
      <c r="N208" s="122"/>
      <c r="O208" s="122"/>
      <c r="P208" s="116">
        <v>26</v>
      </c>
      <c r="Q208" s="116">
        <v>31</v>
      </c>
      <c r="R208" s="116">
        <v>4</v>
      </c>
      <c r="S208" s="116">
        <v>31</v>
      </c>
      <c r="T208" s="116">
        <v>0</v>
      </c>
      <c r="U208" s="116">
        <v>0</v>
      </c>
      <c r="V208" s="116">
        <v>0</v>
      </c>
      <c r="W208" s="116">
        <v>0</v>
      </c>
      <c r="X208" s="30"/>
      <c r="Y208" s="30"/>
      <c r="Z208" s="30">
        <v>50</v>
      </c>
      <c r="AA208" s="30"/>
      <c r="AB208" s="126"/>
      <c r="AC208" s="126">
        <v>100</v>
      </c>
      <c r="AD208" s="126"/>
      <c r="AE208" s="126"/>
      <c r="AF208" s="126"/>
      <c r="AG208" s="126"/>
      <c r="AH208" s="117">
        <v>0</v>
      </c>
      <c r="AI208" s="116">
        <v>0</v>
      </c>
      <c r="AJ208" s="116">
        <v>0</v>
      </c>
      <c r="AK208" s="116">
        <v>0</v>
      </c>
      <c r="AL208" s="116">
        <v>0</v>
      </c>
      <c r="AM208" s="118">
        <v>0</v>
      </c>
      <c r="AN208" s="118">
        <v>0</v>
      </c>
      <c r="AO208" s="118" t="s">
        <v>475</v>
      </c>
      <c r="AP208" s="118">
        <v>31</v>
      </c>
    </row>
    <row r="209" spans="1:42" x14ac:dyDescent="0.15">
      <c r="A209" s="26" t="s">
        <v>60</v>
      </c>
      <c r="B209" s="26" t="s">
        <v>6</v>
      </c>
      <c r="C209" s="26" t="s">
        <v>477</v>
      </c>
      <c r="D209" s="26" t="s">
        <v>65</v>
      </c>
      <c r="E209" s="26" t="s">
        <v>473</v>
      </c>
      <c r="F209" s="26" t="s">
        <v>474</v>
      </c>
      <c r="G209" s="26">
        <v>0</v>
      </c>
      <c r="H209" s="26">
        <v>31</v>
      </c>
      <c r="I209" s="26">
        <v>4</v>
      </c>
      <c r="J209" s="119">
        <v>2</v>
      </c>
      <c r="K209" s="122">
        <v>2</v>
      </c>
      <c r="L209" s="122"/>
      <c r="M209" s="122"/>
      <c r="N209" s="122"/>
      <c r="O209" s="122"/>
      <c r="P209" s="116">
        <v>29</v>
      </c>
      <c r="Q209" s="116">
        <v>31</v>
      </c>
      <c r="R209" s="116">
        <v>4</v>
      </c>
      <c r="S209" s="116">
        <v>31</v>
      </c>
      <c r="T209" s="116">
        <v>0</v>
      </c>
      <c r="U209" s="116">
        <v>0</v>
      </c>
      <c r="V209" s="116">
        <v>0</v>
      </c>
      <c r="W209" s="116">
        <v>0</v>
      </c>
      <c r="X209" s="30">
        <v>10</v>
      </c>
      <c r="Y209" s="30"/>
      <c r="Z209" s="30"/>
      <c r="AA209" s="30"/>
      <c r="AB209" s="126"/>
      <c r="AC209" s="126"/>
      <c r="AD209" s="126"/>
      <c r="AE209" s="126"/>
      <c r="AF209" s="126"/>
      <c r="AG209" s="126"/>
      <c r="AH209" s="117">
        <v>0</v>
      </c>
      <c r="AI209" s="116">
        <v>0</v>
      </c>
      <c r="AJ209" s="116">
        <v>0</v>
      </c>
      <c r="AK209" s="116">
        <v>0</v>
      </c>
      <c r="AL209" s="116">
        <v>0</v>
      </c>
      <c r="AM209" s="118">
        <v>0</v>
      </c>
      <c r="AN209" s="118">
        <v>0</v>
      </c>
      <c r="AO209" s="118" t="s">
        <v>475</v>
      </c>
      <c r="AP209" s="118">
        <v>31</v>
      </c>
    </row>
    <row r="210" spans="1:42" x14ac:dyDescent="0.15">
      <c r="A210" s="26" t="s">
        <v>97</v>
      </c>
      <c r="B210" s="26" t="s">
        <v>483</v>
      </c>
      <c r="C210" s="26" t="s">
        <v>471</v>
      </c>
      <c r="D210" s="26" t="s">
        <v>549</v>
      </c>
      <c r="E210" s="26" t="s">
        <v>473</v>
      </c>
      <c r="F210" s="26" t="s">
        <v>474</v>
      </c>
      <c r="G210" s="26">
        <v>0</v>
      </c>
      <c r="H210" s="26">
        <v>31</v>
      </c>
      <c r="I210" s="26">
        <v>4</v>
      </c>
      <c r="J210" s="119">
        <v>3</v>
      </c>
      <c r="K210" s="122">
        <v>3</v>
      </c>
      <c r="L210" s="122"/>
      <c r="M210" s="122"/>
      <c r="N210" s="122"/>
      <c r="O210" s="122"/>
      <c r="P210" s="116">
        <v>28</v>
      </c>
      <c r="Q210" s="116">
        <v>31</v>
      </c>
      <c r="R210" s="116">
        <v>4</v>
      </c>
      <c r="S210" s="116">
        <v>31</v>
      </c>
      <c r="T210" s="116">
        <v>0</v>
      </c>
      <c r="U210" s="116">
        <v>0</v>
      </c>
      <c r="V210" s="116">
        <v>0</v>
      </c>
      <c r="W210" s="116">
        <v>0</v>
      </c>
      <c r="X210" s="30">
        <v>20</v>
      </c>
      <c r="Y210" s="30"/>
      <c r="Z210" s="30"/>
      <c r="AA210" s="30"/>
      <c r="AB210" s="126"/>
      <c r="AC210" s="126"/>
      <c r="AD210" s="126"/>
      <c r="AE210" s="126"/>
      <c r="AF210" s="126"/>
      <c r="AG210" s="126"/>
      <c r="AH210" s="117">
        <v>0</v>
      </c>
      <c r="AI210" s="116">
        <v>0</v>
      </c>
      <c r="AJ210" s="116">
        <v>0</v>
      </c>
      <c r="AK210" s="116">
        <v>0</v>
      </c>
      <c r="AL210" s="116">
        <v>0</v>
      </c>
      <c r="AM210" s="118">
        <v>0</v>
      </c>
      <c r="AN210" s="118">
        <v>0</v>
      </c>
      <c r="AO210" s="118" t="s">
        <v>475</v>
      </c>
      <c r="AP210" s="118">
        <v>31</v>
      </c>
    </row>
    <row r="211" spans="1:42" x14ac:dyDescent="0.15">
      <c r="A211" s="26" t="s">
        <v>97</v>
      </c>
      <c r="B211" s="26" t="s">
        <v>476</v>
      </c>
      <c r="C211" s="26" t="s">
        <v>477</v>
      </c>
      <c r="D211" s="26" t="s">
        <v>550</v>
      </c>
      <c r="E211" s="26" t="s">
        <v>473</v>
      </c>
      <c r="F211" s="26" t="s">
        <v>474</v>
      </c>
      <c r="G211" s="26">
        <v>0</v>
      </c>
      <c r="H211" s="26">
        <v>31</v>
      </c>
      <c r="I211" s="26">
        <v>4</v>
      </c>
      <c r="J211" s="119">
        <v>4</v>
      </c>
      <c r="K211" s="122">
        <v>4</v>
      </c>
      <c r="L211" s="122"/>
      <c r="M211" s="122"/>
      <c r="N211" s="122"/>
      <c r="O211" s="122"/>
      <c r="P211" s="116">
        <v>27</v>
      </c>
      <c r="Q211" s="116">
        <v>31</v>
      </c>
      <c r="R211" s="116">
        <v>4</v>
      </c>
      <c r="S211" s="116">
        <v>31</v>
      </c>
      <c r="T211" s="116">
        <v>0</v>
      </c>
      <c r="U211" s="116">
        <v>0</v>
      </c>
      <c r="V211" s="116">
        <v>0</v>
      </c>
      <c r="W211" s="116">
        <v>0</v>
      </c>
      <c r="X211" s="30"/>
      <c r="Y211" s="30"/>
      <c r="Z211" s="30">
        <v>50</v>
      </c>
      <c r="AA211" s="30"/>
      <c r="AB211" s="126"/>
      <c r="AC211" s="126"/>
      <c r="AD211" s="126"/>
      <c r="AE211" s="126"/>
      <c r="AF211" s="126"/>
      <c r="AG211" s="126"/>
      <c r="AH211" s="117">
        <v>0</v>
      </c>
      <c r="AI211" s="116">
        <v>0</v>
      </c>
      <c r="AJ211" s="116">
        <v>0</v>
      </c>
      <c r="AK211" s="116">
        <v>0</v>
      </c>
      <c r="AL211" s="116">
        <v>0</v>
      </c>
      <c r="AM211" s="118">
        <v>0</v>
      </c>
      <c r="AN211" s="118">
        <v>0</v>
      </c>
      <c r="AO211" s="118" t="s">
        <v>475</v>
      </c>
      <c r="AP211" s="118">
        <v>31</v>
      </c>
    </row>
    <row r="212" spans="1:42" x14ac:dyDescent="0.15">
      <c r="A212" s="26" t="s">
        <v>97</v>
      </c>
      <c r="B212" s="26" t="s">
        <v>6</v>
      </c>
      <c r="C212" s="26" t="s">
        <v>477</v>
      </c>
      <c r="D212" s="26" t="s">
        <v>99</v>
      </c>
      <c r="E212" s="26" t="s">
        <v>473</v>
      </c>
      <c r="F212" s="26" t="s">
        <v>474</v>
      </c>
      <c r="G212" s="26">
        <v>0</v>
      </c>
      <c r="H212" s="26">
        <v>31</v>
      </c>
      <c r="I212" s="26">
        <v>4</v>
      </c>
      <c r="J212" s="119">
        <v>4</v>
      </c>
      <c r="K212" s="122">
        <v>4</v>
      </c>
      <c r="L212" s="122"/>
      <c r="M212" s="122"/>
      <c r="N212" s="122"/>
      <c r="O212" s="122"/>
      <c r="P212" s="116">
        <v>27</v>
      </c>
      <c r="Q212" s="116">
        <v>31</v>
      </c>
      <c r="R212" s="116">
        <v>4</v>
      </c>
      <c r="S212" s="116">
        <v>31</v>
      </c>
      <c r="T212" s="116">
        <v>0</v>
      </c>
      <c r="U212" s="116">
        <v>0</v>
      </c>
      <c r="V212" s="116">
        <v>0</v>
      </c>
      <c r="W212" s="116">
        <v>0</v>
      </c>
      <c r="X212" s="30"/>
      <c r="Y212" s="30"/>
      <c r="Z212" s="30"/>
      <c r="AA212" s="30"/>
      <c r="AB212" s="126"/>
      <c r="AC212" s="126"/>
      <c r="AD212" s="126"/>
      <c r="AE212" s="126"/>
      <c r="AF212" s="126"/>
      <c r="AG212" s="126"/>
      <c r="AH212" s="117">
        <v>0</v>
      </c>
      <c r="AI212" s="116">
        <v>0</v>
      </c>
      <c r="AJ212" s="116">
        <v>0</v>
      </c>
      <c r="AK212" s="116">
        <v>0</v>
      </c>
      <c r="AL212" s="116">
        <v>0</v>
      </c>
      <c r="AM212" s="118">
        <v>0</v>
      </c>
      <c r="AN212" s="118">
        <v>0</v>
      </c>
      <c r="AO212" s="118" t="s">
        <v>475</v>
      </c>
      <c r="AP212" s="118">
        <v>31</v>
      </c>
    </row>
    <row r="213" spans="1:42" x14ac:dyDescent="0.15">
      <c r="A213" s="26" t="s">
        <v>97</v>
      </c>
      <c r="B213" s="26" t="s">
        <v>6</v>
      </c>
      <c r="C213" s="26" t="s">
        <v>477</v>
      </c>
      <c r="D213" s="26" t="s">
        <v>98</v>
      </c>
      <c r="E213" s="26" t="s">
        <v>473</v>
      </c>
      <c r="F213" s="26" t="s">
        <v>474</v>
      </c>
      <c r="G213" s="26">
        <v>0</v>
      </c>
      <c r="H213" s="26">
        <v>31</v>
      </c>
      <c r="I213" s="26">
        <v>4</v>
      </c>
      <c r="J213" s="119">
        <v>3</v>
      </c>
      <c r="K213" s="122">
        <v>3</v>
      </c>
      <c r="L213" s="122"/>
      <c r="M213" s="122"/>
      <c r="N213" s="122"/>
      <c r="O213" s="122"/>
      <c r="P213" s="116">
        <v>28</v>
      </c>
      <c r="Q213" s="116">
        <v>31</v>
      </c>
      <c r="R213" s="116">
        <v>4</v>
      </c>
      <c r="S213" s="116">
        <v>31</v>
      </c>
      <c r="T213" s="116">
        <v>0</v>
      </c>
      <c r="U213" s="116">
        <v>0</v>
      </c>
      <c r="V213" s="116">
        <v>1</v>
      </c>
      <c r="W213" s="116">
        <v>20</v>
      </c>
      <c r="X213" s="30"/>
      <c r="Y213" s="30"/>
      <c r="Z213" s="30"/>
      <c r="AA213" s="30"/>
      <c r="AB213" s="126"/>
      <c r="AC213" s="126">
        <v>100</v>
      </c>
      <c r="AD213" s="126"/>
      <c r="AE213" s="126"/>
      <c r="AF213" s="126"/>
      <c r="AG213" s="126"/>
      <c r="AH213" s="117">
        <v>0</v>
      </c>
      <c r="AI213" s="116">
        <v>0</v>
      </c>
      <c r="AJ213" s="116">
        <v>0</v>
      </c>
      <c r="AK213" s="116">
        <v>0</v>
      </c>
      <c r="AL213" s="116">
        <v>0</v>
      </c>
      <c r="AM213" s="118">
        <v>0</v>
      </c>
      <c r="AN213" s="118">
        <v>0</v>
      </c>
      <c r="AO213" s="118" t="s">
        <v>475</v>
      </c>
      <c r="AP213" s="118">
        <v>31</v>
      </c>
    </row>
    <row r="214" spans="1:42" x14ac:dyDescent="0.15">
      <c r="A214" s="26" t="s">
        <v>97</v>
      </c>
      <c r="B214" s="26" t="s">
        <v>6</v>
      </c>
      <c r="C214" s="26" t="s">
        <v>477</v>
      </c>
      <c r="D214" s="26" t="s">
        <v>101</v>
      </c>
      <c r="E214" s="26" t="s">
        <v>473</v>
      </c>
      <c r="F214" s="26" t="s">
        <v>474</v>
      </c>
      <c r="G214" s="26">
        <v>0</v>
      </c>
      <c r="H214" s="26">
        <v>31</v>
      </c>
      <c r="I214" s="26">
        <v>4</v>
      </c>
      <c r="J214" s="119">
        <v>4</v>
      </c>
      <c r="K214" s="122">
        <v>4</v>
      </c>
      <c r="L214" s="122"/>
      <c r="M214" s="122"/>
      <c r="N214" s="122"/>
      <c r="O214" s="122"/>
      <c r="P214" s="116">
        <v>27</v>
      </c>
      <c r="Q214" s="116">
        <v>31</v>
      </c>
      <c r="R214" s="116">
        <v>4</v>
      </c>
      <c r="S214" s="116">
        <v>31</v>
      </c>
      <c r="T214" s="116">
        <v>0</v>
      </c>
      <c r="U214" s="116">
        <v>0</v>
      </c>
      <c r="V214" s="116">
        <v>0</v>
      </c>
      <c r="W214" s="116">
        <v>0</v>
      </c>
      <c r="X214" s="30">
        <v>10</v>
      </c>
      <c r="Y214" s="30"/>
      <c r="Z214" s="30"/>
      <c r="AA214" s="30"/>
      <c r="AB214" s="126"/>
      <c r="AC214" s="126">
        <v>100</v>
      </c>
      <c r="AD214" s="126"/>
      <c r="AE214" s="126"/>
      <c r="AF214" s="126"/>
      <c r="AG214" s="126"/>
      <c r="AH214" s="117">
        <v>0</v>
      </c>
      <c r="AI214" s="116">
        <v>0</v>
      </c>
      <c r="AJ214" s="116">
        <v>0</v>
      </c>
      <c r="AK214" s="116">
        <v>0</v>
      </c>
      <c r="AL214" s="116">
        <v>0</v>
      </c>
      <c r="AM214" s="118">
        <v>0</v>
      </c>
      <c r="AN214" s="118">
        <v>0</v>
      </c>
      <c r="AO214" s="118" t="s">
        <v>475</v>
      </c>
      <c r="AP214" s="118">
        <v>31</v>
      </c>
    </row>
    <row r="215" spans="1:42" x14ac:dyDescent="0.15">
      <c r="A215" s="26" t="s">
        <v>97</v>
      </c>
      <c r="B215" s="26" t="s">
        <v>6</v>
      </c>
      <c r="C215" s="26" t="s">
        <v>477</v>
      </c>
      <c r="D215" s="26" t="s">
        <v>100</v>
      </c>
      <c r="E215" s="26" t="s">
        <v>473</v>
      </c>
      <c r="F215" s="26" t="s">
        <v>474</v>
      </c>
      <c r="G215" s="26">
        <v>0</v>
      </c>
      <c r="H215" s="26">
        <v>31</v>
      </c>
      <c r="I215" s="26">
        <v>4</v>
      </c>
      <c r="J215" s="119">
        <v>4</v>
      </c>
      <c r="K215" s="122">
        <v>4</v>
      </c>
      <c r="L215" s="122"/>
      <c r="M215" s="122"/>
      <c r="N215" s="122"/>
      <c r="O215" s="122"/>
      <c r="P215" s="116">
        <v>27</v>
      </c>
      <c r="Q215" s="116">
        <v>31</v>
      </c>
      <c r="R215" s="116">
        <v>4</v>
      </c>
      <c r="S215" s="116">
        <v>31</v>
      </c>
      <c r="T215" s="116">
        <v>0</v>
      </c>
      <c r="U215" s="116">
        <v>0</v>
      </c>
      <c r="V215" s="116">
        <v>0</v>
      </c>
      <c r="W215" s="116">
        <v>0</v>
      </c>
      <c r="X215" s="30"/>
      <c r="Y215" s="30"/>
      <c r="Z215" s="30"/>
      <c r="AA215" s="30"/>
      <c r="AB215" s="126"/>
      <c r="AC215" s="126"/>
      <c r="AD215" s="126">
        <v>130</v>
      </c>
      <c r="AE215" s="126">
        <v>300</v>
      </c>
      <c r="AF215" s="126"/>
      <c r="AG215" s="126"/>
      <c r="AH215" s="117">
        <v>0</v>
      </c>
      <c r="AI215" s="116">
        <v>0</v>
      </c>
      <c r="AJ215" s="116">
        <v>0</v>
      </c>
      <c r="AK215" s="116">
        <v>0</v>
      </c>
      <c r="AL215" s="116">
        <v>0</v>
      </c>
      <c r="AM215" s="118">
        <v>0</v>
      </c>
      <c r="AN215" s="118">
        <v>0</v>
      </c>
      <c r="AO215" s="118" t="s">
        <v>475</v>
      </c>
      <c r="AP215" s="118">
        <v>31</v>
      </c>
    </row>
    <row r="216" spans="1:42" x14ac:dyDescent="0.15">
      <c r="A216" s="26" t="s">
        <v>97</v>
      </c>
      <c r="B216" s="26" t="s">
        <v>6</v>
      </c>
      <c r="C216" s="26" t="s">
        <v>477</v>
      </c>
      <c r="D216" s="26" t="s">
        <v>362</v>
      </c>
      <c r="E216" s="26" t="s">
        <v>473</v>
      </c>
      <c r="F216" s="26" t="s">
        <v>474</v>
      </c>
      <c r="G216" s="26">
        <v>0</v>
      </c>
      <c r="H216" s="26">
        <v>31</v>
      </c>
      <c r="I216" s="26">
        <v>4</v>
      </c>
      <c r="J216" s="119">
        <v>1</v>
      </c>
      <c r="K216" s="122">
        <v>1</v>
      </c>
      <c r="L216" s="122"/>
      <c r="M216" s="122"/>
      <c r="N216" s="122"/>
      <c r="O216" s="122"/>
      <c r="P216" s="116">
        <v>30</v>
      </c>
      <c r="Q216" s="116">
        <v>31</v>
      </c>
      <c r="R216" s="116">
        <v>4</v>
      </c>
      <c r="S216" s="116">
        <v>31</v>
      </c>
      <c r="T216" s="116">
        <v>0</v>
      </c>
      <c r="U216" s="116">
        <v>0</v>
      </c>
      <c r="V216" s="116">
        <v>3</v>
      </c>
      <c r="W216" s="116">
        <v>60</v>
      </c>
      <c r="X216" s="30"/>
      <c r="Y216" s="30"/>
      <c r="Z216" s="30"/>
      <c r="AA216" s="30"/>
      <c r="AB216" s="126">
        <v>2041</v>
      </c>
      <c r="AC216" s="126"/>
      <c r="AD216" s="126"/>
      <c r="AE216" s="126">
        <v>300</v>
      </c>
      <c r="AF216" s="126"/>
      <c r="AG216" s="126" t="s">
        <v>551</v>
      </c>
      <c r="AH216" s="117">
        <v>0</v>
      </c>
      <c r="AI216" s="116">
        <v>0</v>
      </c>
      <c r="AJ216" s="116">
        <v>0</v>
      </c>
      <c r="AK216" s="116">
        <v>190</v>
      </c>
      <c r="AL216" s="116">
        <v>0</v>
      </c>
      <c r="AM216" s="118">
        <v>0</v>
      </c>
      <c r="AN216" s="118">
        <v>0</v>
      </c>
      <c r="AO216" s="118" t="s">
        <v>475</v>
      </c>
      <c r="AP216" s="118">
        <v>31</v>
      </c>
    </row>
    <row r="217" spans="1:42" x14ac:dyDescent="0.15">
      <c r="A217" s="26" t="s">
        <v>75</v>
      </c>
      <c r="B217" s="26" t="s">
        <v>6</v>
      </c>
      <c r="C217" s="26" t="s">
        <v>477</v>
      </c>
      <c r="D217" s="26" t="s">
        <v>78</v>
      </c>
      <c r="E217" s="26" t="s">
        <v>473</v>
      </c>
      <c r="F217" s="26" t="s">
        <v>474</v>
      </c>
      <c r="G217" s="26">
        <v>0</v>
      </c>
      <c r="H217" s="26">
        <v>10</v>
      </c>
      <c r="I217" s="26">
        <v>1</v>
      </c>
      <c r="J217" s="119">
        <v>4</v>
      </c>
      <c r="K217" s="122">
        <v>4</v>
      </c>
      <c r="L217" s="122"/>
      <c r="M217" s="122"/>
      <c r="N217" s="122"/>
      <c r="O217" s="122"/>
      <c r="P217" s="116">
        <v>6</v>
      </c>
      <c r="Q217" s="116">
        <v>10</v>
      </c>
      <c r="R217" s="116">
        <v>1</v>
      </c>
      <c r="S217" s="116">
        <v>10</v>
      </c>
      <c r="T217" s="116">
        <v>3</v>
      </c>
      <c r="U217" s="116">
        <v>3</v>
      </c>
      <c r="V217" s="116">
        <v>0</v>
      </c>
      <c r="W217" s="116">
        <v>0</v>
      </c>
      <c r="X217" s="30">
        <v>150</v>
      </c>
      <c r="Y217" s="30"/>
      <c r="Z217" s="30"/>
      <c r="AA217" s="30"/>
      <c r="AB217" s="126"/>
      <c r="AC217" s="126"/>
      <c r="AD217" s="126"/>
      <c r="AE217" s="126"/>
      <c r="AF217" s="126"/>
      <c r="AG217" s="126"/>
      <c r="AH217" s="117">
        <v>0</v>
      </c>
      <c r="AI217" s="116">
        <v>0</v>
      </c>
      <c r="AJ217" s="116">
        <v>0</v>
      </c>
      <c r="AK217" s="116">
        <v>0</v>
      </c>
      <c r="AL217" s="116">
        <v>0</v>
      </c>
      <c r="AM217" s="118">
        <v>0</v>
      </c>
      <c r="AN217" s="118">
        <v>0</v>
      </c>
      <c r="AO217" s="118" t="s">
        <v>475</v>
      </c>
      <c r="AP217" s="118">
        <v>10</v>
      </c>
    </row>
    <row r="218" spans="1:42" x14ac:dyDescent="0.15">
      <c r="A218" s="26" t="s">
        <v>75</v>
      </c>
      <c r="B218" s="26" t="s">
        <v>476</v>
      </c>
      <c r="C218" s="26" t="s">
        <v>477</v>
      </c>
      <c r="D218" s="26" t="s">
        <v>552</v>
      </c>
      <c r="E218" s="26" t="s">
        <v>473</v>
      </c>
      <c r="F218" s="26" t="s">
        <v>474</v>
      </c>
      <c r="G218" s="26">
        <v>0</v>
      </c>
      <c r="H218" s="26">
        <v>31</v>
      </c>
      <c r="I218" s="26">
        <v>4</v>
      </c>
      <c r="J218" s="119">
        <v>1</v>
      </c>
      <c r="K218" s="122">
        <v>1</v>
      </c>
      <c r="L218" s="122"/>
      <c r="M218" s="122"/>
      <c r="N218" s="122"/>
      <c r="O218" s="122"/>
      <c r="P218" s="116">
        <v>30</v>
      </c>
      <c r="Q218" s="116">
        <v>31</v>
      </c>
      <c r="R218" s="116">
        <v>4</v>
      </c>
      <c r="S218" s="116">
        <v>31</v>
      </c>
      <c r="T218" s="116">
        <v>0</v>
      </c>
      <c r="U218" s="116">
        <v>0</v>
      </c>
      <c r="V218" s="116">
        <v>3</v>
      </c>
      <c r="W218" s="116">
        <v>60</v>
      </c>
      <c r="X218" s="30"/>
      <c r="Y218" s="30"/>
      <c r="Z218" s="30"/>
      <c r="AA218" s="30"/>
      <c r="AB218" s="126">
        <v>1300</v>
      </c>
      <c r="AC218" s="126"/>
      <c r="AD218" s="126"/>
      <c r="AE218" s="126">
        <v>300</v>
      </c>
      <c r="AF218" s="126"/>
      <c r="AG218" s="126"/>
      <c r="AH218" s="117">
        <v>0</v>
      </c>
      <c r="AI218" s="116">
        <v>0</v>
      </c>
      <c r="AJ218" s="116">
        <v>0</v>
      </c>
      <c r="AK218" s="116">
        <v>0</v>
      </c>
      <c r="AL218" s="116">
        <v>0</v>
      </c>
      <c r="AM218" s="118">
        <v>0</v>
      </c>
      <c r="AN218" s="118">
        <v>0</v>
      </c>
      <c r="AO218" s="118" t="s">
        <v>475</v>
      </c>
      <c r="AP218" s="118">
        <v>31</v>
      </c>
    </row>
    <row r="219" spans="1:42" x14ac:dyDescent="0.15">
      <c r="A219" s="26" t="s">
        <v>75</v>
      </c>
      <c r="B219" s="26" t="s">
        <v>6</v>
      </c>
      <c r="C219" s="26" t="s">
        <v>477</v>
      </c>
      <c r="D219" s="26" t="s">
        <v>79</v>
      </c>
      <c r="E219" s="26" t="s">
        <v>473</v>
      </c>
      <c r="F219" s="26" t="s">
        <v>474</v>
      </c>
      <c r="G219" s="26">
        <v>0</v>
      </c>
      <c r="H219" s="26">
        <v>14</v>
      </c>
      <c r="I219" s="26">
        <v>1</v>
      </c>
      <c r="J219" s="119">
        <v>4</v>
      </c>
      <c r="K219" s="122">
        <v>4</v>
      </c>
      <c r="L219" s="122"/>
      <c r="M219" s="122"/>
      <c r="N219" s="122"/>
      <c r="O219" s="122"/>
      <c r="P219" s="116">
        <v>10</v>
      </c>
      <c r="Q219" s="116">
        <v>14</v>
      </c>
      <c r="R219" s="116">
        <v>1</v>
      </c>
      <c r="S219" s="116">
        <v>14</v>
      </c>
      <c r="T219" s="116">
        <v>3</v>
      </c>
      <c r="U219" s="116">
        <v>3</v>
      </c>
      <c r="V219" s="116">
        <v>0</v>
      </c>
      <c r="W219" s="116">
        <v>0</v>
      </c>
      <c r="X219" s="30"/>
      <c r="Y219" s="30"/>
      <c r="Z219" s="30"/>
      <c r="AA219" s="30"/>
      <c r="AB219" s="126"/>
      <c r="AC219" s="126"/>
      <c r="AD219" s="126"/>
      <c r="AE219" s="126"/>
      <c r="AF219" s="126"/>
      <c r="AG219" s="126"/>
      <c r="AH219" s="117">
        <v>0</v>
      </c>
      <c r="AI219" s="116">
        <v>0</v>
      </c>
      <c r="AJ219" s="116">
        <v>0</v>
      </c>
      <c r="AK219" s="116">
        <v>0</v>
      </c>
      <c r="AL219" s="116">
        <v>0</v>
      </c>
      <c r="AM219" s="118">
        <v>0</v>
      </c>
      <c r="AN219" s="118">
        <v>0</v>
      </c>
      <c r="AO219" s="118" t="s">
        <v>475</v>
      </c>
      <c r="AP219" s="118">
        <v>14</v>
      </c>
    </row>
    <row r="220" spans="1:42" x14ac:dyDescent="0.15">
      <c r="A220" s="26" t="s">
        <v>75</v>
      </c>
      <c r="B220" s="26" t="s">
        <v>6</v>
      </c>
      <c r="C220" s="26" t="s">
        <v>477</v>
      </c>
      <c r="D220" s="26" t="s">
        <v>77</v>
      </c>
      <c r="E220" s="26" t="s">
        <v>473</v>
      </c>
      <c r="F220" s="26" t="s">
        <v>474</v>
      </c>
      <c r="G220" s="26">
        <v>0</v>
      </c>
      <c r="H220" s="26">
        <v>31</v>
      </c>
      <c r="I220" s="26">
        <v>4</v>
      </c>
      <c r="J220" s="119">
        <v>4</v>
      </c>
      <c r="K220" s="122">
        <v>4</v>
      </c>
      <c r="L220" s="122"/>
      <c r="M220" s="122"/>
      <c r="N220" s="122"/>
      <c r="O220" s="122"/>
      <c r="P220" s="116">
        <v>27</v>
      </c>
      <c r="Q220" s="116">
        <v>31</v>
      </c>
      <c r="R220" s="116">
        <v>4</v>
      </c>
      <c r="S220" s="116">
        <v>31</v>
      </c>
      <c r="T220" s="116">
        <v>0</v>
      </c>
      <c r="U220" s="116">
        <v>0</v>
      </c>
      <c r="V220" s="116">
        <v>0</v>
      </c>
      <c r="W220" s="116">
        <v>0</v>
      </c>
      <c r="X220" s="30">
        <v>90</v>
      </c>
      <c r="Y220" s="30"/>
      <c r="Z220" s="30"/>
      <c r="AA220" s="30"/>
      <c r="AB220" s="126"/>
      <c r="AC220" s="126">
        <v>100</v>
      </c>
      <c r="AD220" s="126"/>
      <c r="AE220" s="126"/>
      <c r="AF220" s="126"/>
      <c r="AG220" s="126"/>
      <c r="AH220" s="117">
        <v>0</v>
      </c>
      <c r="AI220" s="116">
        <v>0</v>
      </c>
      <c r="AJ220" s="116">
        <v>0</v>
      </c>
      <c r="AK220" s="116">
        <v>0</v>
      </c>
      <c r="AL220" s="116">
        <v>0</v>
      </c>
      <c r="AM220" s="118">
        <v>0</v>
      </c>
      <c r="AN220" s="118">
        <v>0</v>
      </c>
      <c r="AO220" s="118" t="s">
        <v>475</v>
      </c>
      <c r="AP220" s="118">
        <v>31</v>
      </c>
    </row>
    <row r="221" spans="1:42" x14ac:dyDescent="0.15">
      <c r="A221" s="26" t="s">
        <v>75</v>
      </c>
      <c r="B221" s="26" t="s">
        <v>6</v>
      </c>
      <c r="C221" s="26" t="s">
        <v>477</v>
      </c>
      <c r="D221" s="26" t="s">
        <v>76</v>
      </c>
      <c r="E221" s="26" t="s">
        <v>473</v>
      </c>
      <c r="F221" s="26" t="s">
        <v>474</v>
      </c>
      <c r="G221" s="26">
        <v>0</v>
      </c>
      <c r="H221" s="26">
        <v>31</v>
      </c>
      <c r="I221" s="26">
        <v>4</v>
      </c>
      <c r="J221" s="119">
        <v>4</v>
      </c>
      <c r="K221" s="122">
        <v>4</v>
      </c>
      <c r="L221" s="122"/>
      <c r="M221" s="122"/>
      <c r="N221" s="122"/>
      <c r="O221" s="122"/>
      <c r="P221" s="116">
        <v>27</v>
      </c>
      <c r="Q221" s="116">
        <v>31</v>
      </c>
      <c r="R221" s="116">
        <v>4</v>
      </c>
      <c r="S221" s="116">
        <v>31</v>
      </c>
      <c r="T221" s="116">
        <v>0</v>
      </c>
      <c r="U221" s="116">
        <v>0</v>
      </c>
      <c r="V221" s="116">
        <v>0</v>
      </c>
      <c r="W221" s="116">
        <v>0</v>
      </c>
      <c r="X221" s="30">
        <v>90</v>
      </c>
      <c r="Y221" s="30"/>
      <c r="Z221" s="30"/>
      <c r="AA221" s="30"/>
      <c r="AB221" s="126"/>
      <c r="AC221" s="126"/>
      <c r="AD221" s="126"/>
      <c r="AE221" s="126"/>
      <c r="AF221" s="126"/>
      <c r="AG221" s="126"/>
      <c r="AH221" s="117">
        <v>0</v>
      </c>
      <c r="AI221" s="116">
        <v>0</v>
      </c>
      <c r="AJ221" s="116">
        <v>0</v>
      </c>
      <c r="AK221" s="116">
        <v>0</v>
      </c>
      <c r="AL221" s="116">
        <v>0</v>
      </c>
      <c r="AM221" s="118">
        <v>0</v>
      </c>
      <c r="AN221" s="118">
        <v>0</v>
      </c>
      <c r="AO221" s="118" t="s">
        <v>475</v>
      </c>
      <c r="AP221" s="118">
        <v>31</v>
      </c>
    </row>
    <row r="222" spans="1:42" x14ac:dyDescent="0.15">
      <c r="A222" s="26" t="s">
        <v>75</v>
      </c>
      <c r="B222" s="26" t="s">
        <v>6</v>
      </c>
      <c r="C222" s="26" t="s">
        <v>477</v>
      </c>
      <c r="D222" s="26" t="s">
        <v>80</v>
      </c>
      <c r="E222" s="26" t="s">
        <v>473</v>
      </c>
      <c r="F222" s="26" t="s">
        <v>474</v>
      </c>
      <c r="G222" s="26">
        <v>0</v>
      </c>
      <c r="H222" s="26">
        <v>31</v>
      </c>
      <c r="I222" s="26">
        <v>4</v>
      </c>
      <c r="J222" s="119">
        <v>4</v>
      </c>
      <c r="K222" s="122">
        <v>4</v>
      </c>
      <c r="L222" s="122"/>
      <c r="M222" s="122"/>
      <c r="N222" s="122"/>
      <c r="O222" s="122"/>
      <c r="P222" s="116">
        <v>27</v>
      </c>
      <c r="Q222" s="116">
        <v>31</v>
      </c>
      <c r="R222" s="116">
        <v>4</v>
      </c>
      <c r="S222" s="116">
        <v>31</v>
      </c>
      <c r="T222" s="116">
        <v>0</v>
      </c>
      <c r="U222" s="116">
        <v>0</v>
      </c>
      <c r="V222" s="116">
        <v>0</v>
      </c>
      <c r="W222" s="116">
        <v>0</v>
      </c>
      <c r="X222" s="30">
        <v>90</v>
      </c>
      <c r="Y222" s="30"/>
      <c r="Z222" s="30"/>
      <c r="AA222" s="30"/>
      <c r="AB222" s="126"/>
      <c r="AC222" s="126"/>
      <c r="AD222" s="126"/>
      <c r="AE222" s="126"/>
      <c r="AF222" s="126"/>
      <c r="AG222" s="126"/>
      <c r="AH222" s="117">
        <v>0</v>
      </c>
      <c r="AI222" s="116">
        <v>0</v>
      </c>
      <c r="AJ222" s="116">
        <v>0</v>
      </c>
      <c r="AK222" s="116">
        <v>0</v>
      </c>
      <c r="AL222" s="116">
        <v>0</v>
      </c>
      <c r="AM222" s="118">
        <v>0</v>
      </c>
      <c r="AN222" s="118">
        <v>0</v>
      </c>
      <c r="AO222" s="118" t="s">
        <v>475</v>
      </c>
      <c r="AP222" s="118">
        <v>31</v>
      </c>
    </row>
    <row r="223" spans="1:42" x14ac:dyDescent="0.15">
      <c r="A223" s="26" t="s">
        <v>153</v>
      </c>
      <c r="B223" s="26" t="s">
        <v>483</v>
      </c>
      <c r="C223" s="26" t="s">
        <v>471</v>
      </c>
      <c r="D223" s="26" t="s">
        <v>553</v>
      </c>
      <c r="E223" s="26" t="s">
        <v>473</v>
      </c>
      <c r="F223" s="26" t="s">
        <v>474</v>
      </c>
      <c r="G223" s="26">
        <v>0</v>
      </c>
      <c r="H223" s="26">
        <v>31</v>
      </c>
      <c r="I223" s="26">
        <v>4</v>
      </c>
      <c r="J223" s="119">
        <v>5</v>
      </c>
      <c r="K223" s="122">
        <v>4</v>
      </c>
      <c r="L223" s="122"/>
      <c r="M223" s="122">
        <v>1</v>
      </c>
      <c r="N223" s="122"/>
      <c r="O223" s="122"/>
      <c r="P223" s="116">
        <v>26</v>
      </c>
      <c r="Q223" s="116">
        <v>31</v>
      </c>
      <c r="R223" s="116">
        <v>4</v>
      </c>
      <c r="S223" s="116">
        <v>31</v>
      </c>
      <c r="T223" s="116">
        <v>0</v>
      </c>
      <c r="U223" s="116">
        <v>0</v>
      </c>
      <c r="V223" s="116">
        <v>0</v>
      </c>
      <c r="W223" s="116">
        <v>0</v>
      </c>
      <c r="X223" s="30">
        <v>20</v>
      </c>
      <c r="Y223" s="30"/>
      <c r="Z223" s="30"/>
      <c r="AA223" s="30"/>
      <c r="AB223" s="126"/>
      <c r="AC223" s="126"/>
      <c r="AD223" s="126"/>
      <c r="AE223" s="128">
        <v>300</v>
      </c>
      <c r="AF223" s="126"/>
      <c r="AG223" s="126"/>
      <c r="AH223" s="117">
        <v>0</v>
      </c>
      <c r="AI223" s="116">
        <v>0</v>
      </c>
      <c r="AJ223" s="116">
        <v>0</v>
      </c>
      <c r="AK223" s="116">
        <v>0</v>
      </c>
      <c r="AL223" s="116">
        <v>0</v>
      </c>
      <c r="AM223" s="118">
        <v>0</v>
      </c>
      <c r="AN223" s="118">
        <v>0</v>
      </c>
      <c r="AO223" s="118" t="s">
        <v>475</v>
      </c>
      <c r="AP223" s="118">
        <v>31</v>
      </c>
    </row>
    <row r="224" spans="1:42" x14ac:dyDescent="0.15">
      <c r="A224" s="26" t="s">
        <v>153</v>
      </c>
      <c r="B224" s="26" t="s">
        <v>6</v>
      </c>
      <c r="C224" s="26" t="s">
        <v>477</v>
      </c>
      <c r="D224" s="26" t="s">
        <v>156</v>
      </c>
      <c r="E224" s="26" t="s">
        <v>473</v>
      </c>
      <c r="F224" s="26" t="s">
        <v>474</v>
      </c>
      <c r="G224" s="26">
        <v>0</v>
      </c>
      <c r="H224" s="26">
        <v>31</v>
      </c>
      <c r="I224" s="26">
        <v>4</v>
      </c>
      <c r="J224" s="119">
        <v>5</v>
      </c>
      <c r="K224" s="122">
        <v>4</v>
      </c>
      <c r="L224" s="122"/>
      <c r="M224" s="122">
        <v>1</v>
      </c>
      <c r="N224" s="122"/>
      <c r="O224" s="122"/>
      <c r="P224" s="116">
        <v>26</v>
      </c>
      <c r="Q224" s="116">
        <v>31</v>
      </c>
      <c r="R224" s="116">
        <v>4</v>
      </c>
      <c r="S224" s="116">
        <v>31</v>
      </c>
      <c r="T224" s="116">
        <v>0</v>
      </c>
      <c r="U224" s="116">
        <v>0</v>
      </c>
      <c r="V224" s="116">
        <v>0</v>
      </c>
      <c r="W224" s="116">
        <v>0</v>
      </c>
      <c r="X224" s="30"/>
      <c r="Y224" s="30"/>
      <c r="Z224" s="30"/>
      <c r="AA224" s="30"/>
      <c r="AB224" s="126"/>
      <c r="AC224" s="126"/>
      <c r="AD224" s="126"/>
      <c r="AE224" s="126"/>
      <c r="AF224" s="126"/>
      <c r="AG224" s="126"/>
      <c r="AH224" s="117">
        <v>0</v>
      </c>
      <c r="AI224" s="116">
        <v>0</v>
      </c>
      <c r="AJ224" s="116">
        <v>0</v>
      </c>
      <c r="AK224" s="116">
        <v>0</v>
      </c>
      <c r="AL224" s="116">
        <v>0</v>
      </c>
      <c r="AM224" s="118">
        <v>0</v>
      </c>
      <c r="AN224" s="118">
        <v>0</v>
      </c>
      <c r="AO224" s="118" t="s">
        <v>475</v>
      </c>
      <c r="AP224" s="118">
        <v>31</v>
      </c>
    </row>
    <row r="225" spans="1:42" x14ac:dyDescent="0.15">
      <c r="A225" s="26" t="s">
        <v>153</v>
      </c>
      <c r="B225" s="26" t="s">
        <v>6</v>
      </c>
      <c r="C225" s="26" t="s">
        <v>477</v>
      </c>
      <c r="D225" s="26" t="s">
        <v>154</v>
      </c>
      <c r="E225" s="26" t="s">
        <v>473</v>
      </c>
      <c r="F225" s="26" t="s">
        <v>474</v>
      </c>
      <c r="G225" s="26">
        <v>0</v>
      </c>
      <c r="H225" s="26">
        <v>31</v>
      </c>
      <c r="I225" s="26">
        <v>4</v>
      </c>
      <c r="J225" s="119">
        <v>5</v>
      </c>
      <c r="K225" s="122">
        <v>4</v>
      </c>
      <c r="L225" s="122"/>
      <c r="M225" s="122">
        <v>1</v>
      </c>
      <c r="N225" s="122"/>
      <c r="O225" s="122"/>
      <c r="P225" s="116">
        <v>26</v>
      </c>
      <c r="Q225" s="116">
        <v>31</v>
      </c>
      <c r="R225" s="116">
        <v>4</v>
      </c>
      <c r="S225" s="116">
        <v>31</v>
      </c>
      <c r="T225" s="116">
        <v>0</v>
      </c>
      <c r="U225" s="116">
        <v>0</v>
      </c>
      <c r="V225" s="116">
        <v>0</v>
      </c>
      <c r="W225" s="116">
        <v>0</v>
      </c>
      <c r="X225" s="30"/>
      <c r="Y225" s="30"/>
      <c r="Z225" s="30"/>
      <c r="AA225" s="30"/>
      <c r="AB225" s="126"/>
      <c r="AC225" s="126"/>
      <c r="AD225" s="126"/>
      <c r="AE225" s="126"/>
      <c r="AF225" s="126"/>
      <c r="AG225" s="126"/>
      <c r="AH225" s="117">
        <v>0</v>
      </c>
      <c r="AI225" s="116">
        <v>0</v>
      </c>
      <c r="AJ225" s="116">
        <v>0</v>
      </c>
      <c r="AK225" s="116">
        <v>0</v>
      </c>
      <c r="AL225" s="116">
        <v>0</v>
      </c>
      <c r="AM225" s="118">
        <v>0</v>
      </c>
      <c r="AN225" s="118">
        <v>0</v>
      </c>
      <c r="AO225" s="118" t="s">
        <v>475</v>
      </c>
      <c r="AP225" s="118">
        <v>31</v>
      </c>
    </row>
    <row r="226" spans="1:42" x14ac:dyDescent="0.15">
      <c r="A226" s="26" t="s">
        <v>153</v>
      </c>
      <c r="B226" s="26" t="s">
        <v>6</v>
      </c>
      <c r="C226" s="26" t="s">
        <v>477</v>
      </c>
      <c r="D226" s="26" t="s">
        <v>161</v>
      </c>
      <c r="E226" s="26" t="s">
        <v>473</v>
      </c>
      <c r="F226" s="26" t="s">
        <v>474</v>
      </c>
      <c r="G226" s="26">
        <v>0</v>
      </c>
      <c r="H226" s="26">
        <v>31</v>
      </c>
      <c r="I226" s="26">
        <v>4</v>
      </c>
      <c r="J226" s="119">
        <v>5</v>
      </c>
      <c r="K226" s="122">
        <v>4</v>
      </c>
      <c r="L226" s="122"/>
      <c r="M226" s="122">
        <v>1</v>
      </c>
      <c r="N226" s="122"/>
      <c r="O226" s="122"/>
      <c r="P226" s="116">
        <v>26</v>
      </c>
      <c r="Q226" s="116">
        <v>31</v>
      </c>
      <c r="R226" s="116">
        <v>4</v>
      </c>
      <c r="S226" s="116">
        <v>31</v>
      </c>
      <c r="T226" s="116">
        <v>0</v>
      </c>
      <c r="U226" s="116">
        <v>0</v>
      </c>
      <c r="V226" s="116">
        <v>0</v>
      </c>
      <c r="W226" s="116">
        <v>0</v>
      </c>
      <c r="X226" s="30"/>
      <c r="Y226" s="30"/>
      <c r="Z226" s="30"/>
      <c r="AA226" s="30"/>
      <c r="AB226" s="126"/>
      <c r="AC226" s="126">
        <v>100</v>
      </c>
      <c r="AD226" s="126"/>
      <c r="AE226" s="126"/>
      <c r="AF226" s="126"/>
      <c r="AG226" s="126"/>
      <c r="AH226" s="117">
        <v>5000</v>
      </c>
      <c r="AI226" s="116">
        <v>0</v>
      </c>
      <c r="AJ226" s="116">
        <v>0</v>
      </c>
      <c r="AK226" s="116">
        <v>0</v>
      </c>
      <c r="AL226" s="116">
        <v>0</v>
      </c>
      <c r="AM226" s="118">
        <v>0</v>
      </c>
      <c r="AN226" s="118">
        <v>0</v>
      </c>
      <c r="AO226" s="118" t="s">
        <v>475</v>
      </c>
      <c r="AP226" s="118">
        <v>31</v>
      </c>
    </row>
    <row r="227" spans="1:42" x14ac:dyDescent="0.15">
      <c r="A227" s="26" t="s">
        <v>153</v>
      </c>
      <c r="B227" s="26" t="s">
        <v>6</v>
      </c>
      <c r="C227" s="26" t="s">
        <v>477</v>
      </c>
      <c r="D227" s="26" t="s">
        <v>157</v>
      </c>
      <c r="E227" s="26" t="s">
        <v>473</v>
      </c>
      <c r="F227" s="26" t="s">
        <v>474</v>
      </c>
      <c r="G227" s="26">
        <v>0</v>
      </c>
      <c r="H227" s="26">
        <v>31</v>
      </c>
      <c r="I227" s="26">
        <v>4</v>
      </c>
      <c r="J227" s="119">
        <v>5</v>
      </c>
      <c r="K227" s="122">
        <v>4</v>
      </c>
      <c r="L227" s="122"/>
      <c r="M227" s="122">
        <v>1</v>
      </c>
      <c r="N227" s="122"/>
      <c r="O227" s="122"/>
      <c r="P227" s="116">
        <v>26</v>
      </c>
      <c r="Q227" s="116">
        <v>31</v>
      </c>
      <c r="R227" s="116">
        <v>4</v>
      </c>
      <c r="S227" s="116">
        <v>31</v>
      </c>
      <c r="T227" s="116">
        <v>0</v>
      </c>
      <c r="U227" s="116">
        <v>0</v>
      </c>
      <c r="V227" s="116">
        <v>0</v>
      </c>
      <c r="W227" s="116">
        <v>0</v>
      </c>
      <c r="X227" s="30"/>
      <c r="Y227" s="30"/>
      <c r="Z227" s="30"/>
      <c r="AA227" s="30"/>
      <c r="AB227" s="126"/>
      <c r="AC227" s="126"/>
      <c r="AD227" s="126"/>
      <c r="AE227" s="126"/>
      <c r="AF227" s="126"/>
      <c r="AG227" s="126"/>
      <c r="AH227" s="117">
        <v>4000</v>
      </c>
      <c r="AI227" s="116">
        <v>0</v>
      </c>
      <c r="AJ227" s="116">
        <v>0</v>
      </c>
      <c r="AK227" s="116">
        <v>0</v>
      </c>
      <c r="AL227" s="116">
        <v>0</v>
      </c>
      <c r="AM227" s="118">
        <v>0</v>
      </c>
      <c r="AN227" s="118">
        <v>0</v>
      </c>
      <c r="AO227" s="118" t="s">
        <v>475</v>
      </c>
      <c r="AP227" s="118">
        <v>31</v>
      </c>
    </row>
    <row r="228" spans="1:42" x14ac:dyDescent="0.15">
      <c r="A228" s="26" t="s">
        <v>153</v>
      </c>
      <c r="B228" s="26" t="s">
        <v>6</v>
      </c>
      <c r="C228" s="26" t="s">
        <v>477</v>
      </c>
      <c r="D228" s="26" t="s">
        <v>160</v>
      </c>
      <c r="E228" s="26" t="s">
        <v>473</v>
      </c>
      <c r="F228" s="26" t="s">
        <v>474</v>
      </c>
      <c r="G228" s="26">
        <v>0</v>
      </c>
      <c r="H228" s="26">
        <v>31</v>
      </c>
      <c r="I228" s="26">
        <v>4</v>
      </c>
      <c r="J228" s="119">
        <v>5</v>
      </c>
      <c r="K228" s="122">
        <v>4</v>
      </c>
      <c r="L228" s="122"/>
      <c r="M228" s="122">
        <v>1</v>
      </c>
      <c r="N228" s="122"/>
      <c r="O228" s="122"/>
      <c r="P228" s="116">
        <v>26</v>
      </c>
      <c r="Q228" s="116">
        <v>31</v>
      </c>
      <c r="R228" s="116">
        <v>4</v>
      </c>
      <c r="S228" s="116">
        <v>31</v>
      </c>
      <c r="T228" s="116">
        <v>0</v>
      </c>
      <c r="U228" s="116">
        <v>0</v>
      </c>
      <c r="V228" s="116">
        <v>0</v>
      </c>
      <c r="W228" s="116">
        <v>0</v>
      </c>
      <c r="X228" s="30"/>
      <c r="Y228" s="30"/>
      <c r="Z228" s="30"/>
      <c r="AA228" s="30"/>
      <c r="AB228" s="126"/>
      <c r="AC228" s="126">
        <v>100</v>
      </c>
      <c r="AD228" s="126"/>
      <c r="AE228" s="126"/>
      <c r="AF228" s="126"/>
      <c r="AG228" s="126"/>
      <c r="AH228" s="117">
        <v>4000</v>
      </c>
      <c r="AI228" s="116">
        <v>0</v>
      </c>
      <c r="AJ228" s="116">
        <v>0</v>
      </c>
      <c r="AK228" s="116">
        <v>0</v>
      </c>
      <c r="AL228" s="116">
        <v>0</v>
      </c>
      <c r="AM228" s="118">
        <v>0</v>
      </c>
      <c r="AN228" s="118">
        <v>0</v>
      </c>
      <c r="AO228" s="118" t="s">
        <v>475</v>
      </c>
      <c r="AP228" s="118">
        <v>31</v>
      </c>
    </row>
    <row r="229" spans="1:42" x14ac:dyDescent="0.15">
      <c r="A229" s="26" t="s">
        <v>153</v>
      </c>
      <c r="B229" s="26" t="s">
        <v>6</v>
      </c>
      <c r="C229" s="26" t="s">
        <v>477</v>
      </c>
      <c r="D229" s="26" t="s">
        <v>158</v>
      </c>
      <c r="E229" s="26" t="s">
        <v>473</v>
      </c>
      <c r="F229" s="26" t="s">
        <v>474</v>
      </c>
      <c r="G229" s="26">
        <v>0</v>
      </c>
      <c r="H229" s="26">
        <v>31</v>
      </c>
      <c r="I229" s="26">
        <v>4</v>
      </c>
      <c r="J229" s="119">
        <v>5</v>
      </c>
      <c r="K229" s="122">
        <v>4</v>
      </c>
      <c r="L229" s="122"/>
      <c r="M229" s="122">
        <v>1</v>
      </c>
      <c r="N229" s="122"/>
      <c r="O229" s="122"/>
      <c r="P229" s="116">
        <v>26</v>
      </c>
      <c r="Q229" s="116">
        <v>31</v>
      </c>
      <c r="R229" s="116">
        <v>4</v>
      </c>
      <c r="S229" s="116">
        <v>31</v>
      </c>
      <c r="T229" s="116">
        <v>0</v>
      </c>
      <c r="U229" s="116">
        <v>0</v>
      </c>
      <c r="V229" s="116">
        <v>0</v>
      </c>
      <c r="W229" s="116">
        <v>0</v>
      </c>
      <c r="X229" s="30">
        <v>90</v>
      </c>
      <c r="Y229" s="30"/>
      <c r="Z229" s="30"/>
      <c r="AA229" s="30"/>
      <c r="AB229" s="126"/>
      <c r="AC229" s="126"/>
      <c r="AD229" s="126"/>
      <c r="AE229" s="126"/>
      <c r="AF229" s="126"/>
      <c r="AG229" s="126"/>
      <c r="AH229" s="117">
        <v>5500</v>
      </c>
      <c r="AI229" s="116">
        <v>0</v>
      </c>
      <c r="AJ229" s="116">
        <v>0</v>
      </c>
      <c r="AK229" s="116">
        <v>0</v>
      </c>
      <c r="AL229" s="116">
        <v>0</v>
      </c>
      <c r="AM229" s="118">
        <v>0</v>
      </c>
      <c r="AN229" s="118">
        <v>0</v>
      </c>
      <c r="AO229" s="118" t="s">
        <v>475</v>
      </c>
      <c r="AP229" s="118">
        <v>31</v>
      </c>
    </row>
    <row r="230" spans="1:42" x14ac:dyDescent="0.15">
      <c r="A230" s="26" t="s">
        <v>153</v>
      </c>
      <c r="B230" s="26" t="s">
        <v>6</v>
      </c>
      <c r="C230" s="26" t="s">
        <v>477</v>
      </c>
      <c r="D230" s="26" t="s">
        <v>159</v>
      </c>
      <c r="E230" s="26" t="s">
        <v>473</v>
      </c>
      <c r="F230" s="26" t="s">
        <v>474</v>
      </c>
      <c r="G230" s="26">
        <v>0</v>
      </c>
      <c r="H230" s="26">
        <v>31</v>
      </c>
      <c r="I230" s="26">
        <v>4</v>
      </c>
      <c r="J230" s="119">
        <v>5</v>
      </c>
      <c r="K230" s="122">
        <v>4</v>
      </c>
      <c r="L230" s="122"/>
      <c r="M230" s="122">
        <v>1</v>
      </c>
      <c r="N230" s="122"/>
      <c r="O230" s="122"/>
      <c r="P230" s="116">
        <v>26</v>
      </c>
      <c r="Q230" s="116">
        <v>31</v>
      </c>
      <c r="R230" s="116">
        <v>4</v>
      </c>
      <c r="S230" s="116">
        <v>31</v>
      </c>
      <c r="T230" s="116">
        <v>0</v>
      </c>
      <c r="U230" s="116">
        <v>0</v>
      </c>
      <c r="V230" s="116">
        <v>0</v>
      </c>
      <c r="W230" s="116">
        <v>0</v>
      </c>
      <c r="X230" s="30"/>
      <c r="Y230" s="30"/>
      <c r="Z230" s="30"/>
      <c r="AA230" s="30"/>
      <c r="AB230" s="126"/>
      <c r="AC230" s="126"/>
      <c r="AD230" s="126"/>
      <c r="AE230" s="126"/>
      <c r="AF230" s="126"/>
      <c r="AG230" s="126"/>
      <c r="AH230" s="117">
        <v>6000</v>
      </c>
      <c r="AI230" s="116">
        <v>0</v>
      </c>
      <c r="AJ230" s="116">
        <v>0</v>
      </c>
      <c r="AK230" s="116">
        <v>0</v>
      </c>
      <c r="AL230" s="116">
        <v>0</v>
      </c>
      <c r="AM230" s="118">
        <v>0</v>
      </c>
      <c r="AN230" s="118">
        <v>0</v>
      </c>
      <c r="AO230" s="118" t="s">
        <v>475</v>
      </c>
      <c r="AP230" s="118">
        <v>31</v>
      </c>
    </row>
    <row r="231" spans="1:42" x14ac:dyDescent="0.15">
      <c r="A231" s="26" t="s">
        <v>153</v>
      </c>
      <c r="B231" s="26" t="s">
        <v>6</v>
      </c>
      <c r="C231" s="26" t="s">
        <v>477</v>
      </c>
      <c r="D231" s="26" t="s">
        <v>155</v>
      </c>
      <c r="E231" s="26" t="s">
        <v>473</v>
      </c>
      <c r="F231" s="26" t="s">
        <v>474</v>
      </c>
      <c r="G231" s="26">
        <v>0</v>
      </c>
      <c r="H231" s="26">
        <v>31</v>
      </c>
      <c r="I231" s="26">
        <v>4</v>
      </c>
      <c r="J231" s="119">
        <v>5</v>
      </c>
      <c r="K231" s="122">
        <v>4</v>
      </c>
      <c r="L231" s="122"/>
      <c r="M231" s="122">
        <v>1</v>
      </c>
      <c r="N231" s="122"/>
      <c r="O231" s="122"/>
      <c r="P231" s="116">
        <v>26</v>
      </c>
      <c r="Q231" s="116">
        <v>31</v>
      </c>
      <c r="R231" s="116">
        <v>4</v>
      </c>
      <c r="S231" s="116">
        <v>31</v>
      </c>
      <c r="T231" s="116">
        <v>0</v>
      </c>
      <c r="U231" s="116">
        <v>0</v>
      </c>
      <c r="V231" s="116">
        <v>0</v>
      </c>
      <c r="W231" s="116">
        <v>0</v>
      </c>
      <c r="X231" s="30"/>
      <c r="Y231" s="30"/>
      <c r="Z231" s="30"/>
      <c r="AA231" s="30"/>
      <c r="AB231" s="126"/>
      <c r="AC231" s="126"/>
      <c r="AD231" s="126"/>
      <c r="AE231" s="126"/>
      <c r="AF231" s="126"/>
      <c r="AG231" s="126"/>
      <c r="AH231" s="117">
        <v>5000</v>
      </c>
      <c r="AI231" s="116">
        <v>0</v>
      </c>
      <c r="AJ231" s="116">
        <v>0</v>
      </c>
      <c r="AK231" s="116">
        <v>0</v>
      </c>
      <c r="AL231" s="116">
        <v>0</v>
      </c>
      <c r="AM231" s="118">
        <v>0</v>
      </c>
      <c r="AN231" s="118">
        <v>0</v>
      </c>
      <c r="AO231" s="118" t="s">
        <v>475</v>
      </c>
      <c r="AP231" s="118">
        <v>31</v>
      </c>
    </row>
    <row r="232" spans="1:42" x14ac:dyDescent="0.15">
      <c r="A232" s="26" t="s">
        <v>153</v>
      </c>
      <c r="B232" s="26" t="s">
        <v>476</v>
      </c>
      <c r="C232" s="26" t="s">
        <v>477</v>
      </c>
      <c r="D232" s="26" t="s">
        <v>554</v>
      </c>
      <c r="E232" s="26" t="s">
        <v>473</v>
      </c>
      <c r="F232" s="26" t="s">
        <v>474</v>
      </c>
      <c r="G232" s="26">
        <v>0</v>
      </c>
      <c r="H232" s="26">
        <v>31</v>
      </c>
      <c r="I232" s="26">
        <v>4</v>
      </c>
      <c r="J232" s="119">
        <v>5</v>
      </c>
      <c r="K232" s="122">
        <v>5</v>
      </c>
      <c r="L232" s="122"/>
      <c r="M232" s="122"/>
      <c r="N232" s="122"/>
      <c r="O232" s="122"/>
      <c r="P232" s="116">
        <v>26</v>
      </c>
      <c r="Q232" s="116">
        <v>31</v>
      </c>
      <c r="R232" s="116">
        <v>4</v>
      </c>
      <c r="S232" s="116">
        <v>31</v>
      </c>
      <c r="T232" s="116">
        <v>1</v>
      </c>
      <c r="U232" s="116">
        <v>1</v>
      </c>
      <c r="V232" s="116">
        <v>0</v>
      </c>
      <c r="W232" s="116">
        <v>0</v>
      </c>
      <c r="X232" s="30"/>
      <c r="Y232" s="30"/>
      <c r="Z232" s="30">
        <v>50</v>
      </c>
      <c r="AA232" s="30"/>
      <c r="AB232" s="126"/>
      <c r="AC232" s="126"/>
      <c r="AD232" s="126"/>
      <c r="AE232" s="126"/>
      <c r="AF232" s="126"/>
      <c r="AG232" s="126"/>
      <c r="AH232" s="117">
        <v>3500</v>
      </c>
      <c r="AI232" s="116">
        <v>0</v>
      </c>
      <c r="AJ232" s="116">
        <v>0</v>
      </c>
      <c r="AK232" s="116">
        <v>0</v>
      </c>
      <c r="AL232" s="116">
        <v>0</v>
      </c>
      <c r="AM232" s="118">
        <v>0</v>
      </c>
      <c r="AN232" s="118">
        <v>0</v>
      </c>
      <c r="AO232" s="118" t="s">
        <v>475</v>
      </c>
      <c r="AP232" s="118">
        <v>31</v>
      </c>
    </row>
    <row r="233" spans="1:42" x14ac:dyDescent="0.15">
      <c r="A233" s="26" t="s">
        <v>555</v>
      </c>
      <c r="B233" s="26" t="s">
        <v>556</v>
      </c>
      <c r="C233" s="26" t="s">
        <v>471</v>
      </c>
      <c r="D233" s="26" t="s">
        <v>557</v>
      </c>
      <c r="E233" s="26" t="s">
        <v>473</v>
      </c>
      <c r="F233" s="26" t="s">
        <v>555</v>
      </c>
      <c r="G233" s="26">
        <v>0</v>
      </c>
      <c r="H233" s="26">
        <v>31</v>
      </c>
      <c r="I233" s="26">
        <v>5</v>
      </c>
      <c r="J233" s="119">
        <v>5</v>
      </c>
      <c r="K233" s="122">
        <v>5</v>
      </c>
      <c r="L233" s="122"/>
      <c r="M233" s="122"/>
      <c r="N233" s="122"/>
      <c r="O233" s="122"/>
      <c r="P233" s="116">
        <v>26</v>
      </c>
      <c r="Q233" s="116">
        <v>31</v>
      </c>
      <c r="R233" s="116">
        <v>5</v>
      </c>
      <c r="S233" s="116">
        <v>31</v>
      </c>
      <c r="T233" s="116">
        <v>0</v>
      </c>
      <c r="U233" s="116">
        <v>0</v>
      </c>
      <c r="V233" s="116">
        <v>0</v>
      </c>
      <c r="W233" s="116">
        <v>0</v>
      </c>
      <c r="X233" s="30"/>
      <c r="Y233" s="30"/>
      <c r="Z233" s="30"/>
      <c r="AA233" s="30"/>
      <c r="AB233" s="126"/>
      <c r="AC233" s="126"/>
      <c r="AD233" s="126"/>
      <c r="AE233" s="126"/>
      <c r="AF233" s="126"/>
      <c r="AG233" s="126"/>
      <c r="AH233" s="117">
        <v>0</v>
      </c>
      <c r="AI233" s="116">
        <v>0</v>
      </c>
      <c r="AJ233" s="116">
        <v>0</v>
      </c>
      <c r="AK233" s="116">
        <v>0</v>
      </c>
      <c r="AL233" s="116">
        <v>0</v>
      </c>
      <c r="AM233" s="118">
        <v>0</v>
      </c>
      <c r="AN233" s="118">
        <v>0</v>
      </c>
      <c r="AO233" s="118" t="s">
        <v>475</v>
      </c>
      <c r="AP233" s="118">
        <v>31</v>
      </c>
    </row>
    <row r="234" spans="1:42" x14ac:dyDescent="0.15">
      <c r="A234" s="26" t="s">
        <v>555</v>
      </c>
      <c r="B234" s="26" t="s">
        <v>558</v>
      </c>
      <c r="C234" s="26" t="s">
        <v>471</v>
      </c>
      <c r="D234" s="26" t="s">
        <v>559</v>
      </c>
      <c r="E234" s="26" t="s">
        <v>473</v>
      </c>
      <c r="F234" s="26" t="s">
        <v>555</v>
      </c>
      <c r="G234" s="26">
        <v>0</v>
      </c>
      <c r="H234" s="26">
        <v>31</v>
      </c>
      <c r="I234" s="26">
        <v>5</v>
      </c>
      <c r="J234" s="119">
        <v>6</v>
      </c>
      <c r="K234" s="122">
        <v>5</v>
      </c>
      <c r="L234" s="122"/>
      <c r="M234" s="122"/>
      <c r="N234" s="122"/>
      <c r="O234" s="122">
        <v>1</v>
      </c>
      <c r="P234" s="116">
        <v>25</v>
      </c>
      <c r="Q234" s="116">
        <v>31</v>
      </c>
      <c r="R234" s="116">
        <v>5</v>
      </c>
      <c r="S234" s="116">
        <v>31</v>
      </c>
      <c r="T234" s="116">
        <v>0</v>
      </c>
      <c r="U234" s="116">
        <v>0</v>
      </c>
      <c r="V234" s="116">
        <v>0</v>
      </c>
      <c r="W234" s="116">
        <v>0</v>
      </c>
      <c r="X234" s="30"/>
      <c r="Y234" s="30"/>
      <c r="Z234" s="30"/>
      <c r="AA234" s="30"/>
      <c r="AB234" s="126"/>
      <c r="AC234" s="126"/>
      <c r="AD234" s="126"/>
      <c r="AE234" s="126"/>
      <c r="AF234" s="126"/>
      <c r="AG234" s="126"/>
      <c r="AH234" s="117">
        <v>0</v>
      </c>
      <c r="AI234" s="116">
        <v>0</v>
      </c>
      <c r="AJ234" s="116">
        <v>0</v>
      </c>
      <c r="AK234" s="116">
        <v>0</v>
      </c>
      <c r="AL234" s="116">
        <v>0</v>
      </c>
      <c r="AM234" s="118">
        <v>0</v>
      </c>
      <c r="AN234" s="118">
        <v>0</v>
      </c>
      <c r="AO234" s="118" t="s">
        <v>475</v>
      </c>
      <c r="AP234" s="118">
        <v>31</v>
      </c>
    </row>
    <row r="235" spans="1:42" x14ac:dyDescent="0.15">
      <c r="A235" s="26" t="s">
        <v>555</v>
      </c>
      <c r="B235" s="26" t="s">
        <v>556</v>
      </c>
      <c r="C235" s="26" t="s">
        <v>471</v>
      </c>
      <c r="D235" s="26" t="s">
        <v>560</v>
      </c>
      <c r="E235" s="26" t="s">
        <v>473</v>
      </c>
      <c r="F235" s="26" t="s">
        <v>555</v>
      </c>
      <c r="G235" s="26">
        <v>0</v>
      </c>
      <c r="H235" s="26">
        <v>31</v>
      </c>
      <c r="I235" s="26">
        <v>5</v>
      </c>
      <c r="J235" s="119">
        <v>6</v>
      </c>
      <c r="K235" s="122">
        <v>5</v>
      </c>
      <c r="L235" s="122"/>
      <c r="M235" s="122"/>
      <c r="N235" s="122"/>
      <c r="O235" s="122">
        <v>1</v>
      </c>
      <c r="P235" s="116">
        <v>25</v>
      </c>
      <c r="Q235" s="116">
        <v>31</v>
      </c>
      <c r="R235" s="116">
        <v>5</v>
      </c>
      <c r="S235" s="116">
        <v>31</v>
      </c>
      <c r="T235" s="116">
        <v>0</v>
      </c>
      <c r="U235" s="116">
        <v>0</v>
      </c>
      <c r="V235" s="116">
        <v>0</v>
      </c>
      <c r="W235" s="116">
        <v>0</v>
      </c>
      <c r="X235" s="30"/>
      <c r="Y235" s="30"/>
      <c r="Z235" s="30"/>
      <c r="AA235" s="30"/>
      <c r="AB235" s="126"/>
      <c r="AC235" s="126"/>
      <c r="AD235" s="126"/>
      <c r="AE235" s="126"/>
      <c r="AF235" s="126"/>
      <c r="AG235" s="126"/>
      <c r="AH235" s="117">
        <v>0</v>
      </c>
      <c r="AI235" s="116">
        <v>0</v>
      </c>
      <c r="AJ235" s="116">
        <v>0</v>
      </c>
      <c r="AK235" s="116">
        <v>0</v>
      </c>
      <c r="AL235" s="116">
        <v>0</v>
      </c>
      <c r="AM235" s="118">
        <v>0</v>
      </c>
      <c r="AN235" s="118">
        <v>0</v>
      </c>
      <c r="AO235" s="118" t="s">
        <v>475</v>
      </c>
      <c r="AP235" s="118">
        <v>31</v>
      </c>
    </row>
    <row r="236" spans="1:42" x14ac:dyDescent="0.15">
      <c r="A236" s="26" t="s">
        <v>555</v>
      </c>
      <c r="B236" s="26" t="s">
        <v>558</v>
      </c>
      <c r="C236" s="26" t="s">
        <v>471</v>
      </c>
      <c r="D236" s="26" t="s">
        <v>561</v>
      </c>
      <c r="E236" s="26" t="s">
        <v>473</v>
      </c>
      <c r="F236" s="26" t="s">
        <v>555</v>
      </c>
      <c r="G236" s="26">
        <v>0</v>
      </c>
      <c r="H236" s="26">
        <v>31</v>
      </c>
      <c r="I236" s="26">
        <v>5</v>
      </c>
      <c r="J236" s="119">
        <v>7</v>
      </c>
      <c r="K236" s="122">
        <v>5</v>
      </c>
      <c r="L236" s="122"/>
      <c r="M236" s="122"/>
      <c r="N236" s="122"/>
      <c r="O236" s="122">
        <v>2</v>
      </c>
      <c r="P236" s="116">
        <v>24</v>
      </c>
      <c r="Q236" s="116">
        <v>31</v>
      </c>
      <c r="R236" s="116">
        <v>5</v>
      </c>
      <c r="S236" s="116">
        <v>31</v>
      </c>
      <c r="T236" s="116">
        <v>0</v>
      </c>
      <c r="U236" s="116">
        <v>0</v>
      </c>
      <c r="V236" s="116">
        <v>0</v>
      </c>
      <c r="W236" s="116">
        <v>0</v>
      </c>
      <c r="X236" s="30"/>
      <c r="Y236" s="30"/>
      <c r="Z236" s="30"/>
      <c r="AA236" s="30"/>
      <c r="AB236" s="126"/>
      <c r="AC236" s="126"/>
      <c r="AD236" s="126"/>
      <c r="AE236" s="126"/>
      <c r="AF236" s="126"/>
      <c r="AG236" s="126"/>
      <c r="AH236" s="117">
        <v>0</v>
      </c>
      <c r="AI236" s="116">
        <v>0</v>
      </c>
      <c r="AJ236" s="116">
        <v>0</v>
      </c>
      <c r="AK236" s="116">
        <v>0</v>
      </c>
      <c r="AL236" s="116">
        <v>0</v>
      </c>
      <c r="AM236" s="118">
        <v>0</v>
      </c>
      <c r="AN236" s="118">
        <v>0</v>
      </c>
      <c r="AO236" s="118" t="s">
        <v>475</v>
      </c>
      <c r="AP236" s="118">
        <v>31</v>
      </c>
    </row>
    <row r="237" spans="1:42" x14ac:dyDescent="0.15">
      <c r="A237" s="26" t="s">
        <v>555</v>
      </c>
      <c r="B237" s="26" t="s">
        <v>562</v>
      </c>
      <c r="C237" s="26" t="s">
        <v>471</v>
      </c>
      <c r="D237" s="26" t="s">
        <v>563</v>
      </c>
      <c r="E237" s="26" t="s">
        <v>473</v>
      </c>
      <c r="F237" s="26" t="s">
        <v>555</v>
      </c>
      <c r="G237" s="26">
        <v>0</v>
      </c>
      <c r="H237" s="26">
        <v>31</v>
      </c>
      <c r="I237" s="26">
        <v>5</v>
      </c>
      <c r="J237" s="119">
        <v>6</v>
      </c>
      <c r="K237" s="122">
        <v>6</v>
      </c>
      <c r="L237" s="122"/>
      <c r="M237" s="122"/>
      <c r="N237" s="122"/>
      <c r="O237" s="122"/>
      <c r="P237" s="116">
        <v>25</v>
      </c>
      <c r="Q237" s="116">
        <v>31</v>
      </c>
      <c r="R237" s="116">
        <v>5</v>
      </c>
      <c r="S237" s="116">
        <v>31</v>
      </c>
      <c r="T237" s="116">
        <v>1</v>
      </c>
      <c r="U237" s="116">
        <v>1</v>
      </c>
      <c r="V237" s="116">
        <v>0</v>
      </c>
      <c r="W237" s="116">
        <v>0</v>
      </c>
      <c r="X237" s="30"/>
      <c r="Y237" s="30"/>
      <c r="Z237" s="30"/>
      <c r="AA237" s="30"/>
      <c r="AB237" s="126"/>
      <c r="AC237" s="126"/>
      <c r="AD237" s="126"/>
      <c r="AE237" s="126"/>
      <c r="AF237" s="126"/>
      <c r="AG237" s="126"/>
      <c r="AH237" s="117">
        <v>0</v>
      </c>
      <c r="AI237" s="116">
        <v>0</v>
      </c>
      <c r="AJ237" s="116">
        <v>0</v>
      </c>
      <c r="AK237" s="116">
        <v>0</v>
      </c>
      <c r="AL237" s="116">
        <v>0</v>
      </c>
      <c r="AM237" s="118">
        <v>0</v>
      </c>
      <c r="AN237" s="118">
        <v>0</v>
      </c>
      <c r="AO237" s="118" t="s">
        <v>475</v>
      </c>
      <c r="AP237" s="118">
        <v>31</v>
      </c>
    </row>
    <row r="238" spans="1:42" x14ac:dyDescent="0.15">
      <c r="A238" s="26" t="s">
        <v>555</v>
      </c>
      <c r="B238" s="26" t="s">
        <v>564</v>
      </c>
      <c r="C238" s="26" t="s">
        <v>477</v>
      </c>
      <c r="D238" s="26" t="s">
        <v>565</v>
      </c>
      <c r="E238" s="26" t="s">
        <v>473</v>
      </c>
      <c r="F238" s="26" t="s">
        <v>564</v>
      </c>
      <c r="G238" s="26">
        <v>0</v>
      </c>
      <c r="H238" s="26">
        <v>31</v>
      </c>
      <c r="I238" s="26">
        <v>6</v>
      </c>
      <c r="J238" s="119">
        <v>6</v>
      </c>
      <c r="K238" s="122">
        <v>6</v>
      </c>
      <c r="L238" s="122"/>
      <c r="M238" s="122"/>
      <c r="N238" s="122"/>
      <c r="O238" s="122"/>
      <c r="P238" s="116">
        <v>25</v>
      </c>
      <c r="Q238" s="116">
        <v>31</v>
      </c>
      <c r="R238" s="116">
        <v>6</v>
      </c>
      <c r="S238" s="116">
        <v>31</v>
      </c>
      <c r="T238" s="116">
        <v>0</v>
      </c>
      <c r="U238" s="116">
        <v>0</v>
      </c>
      <c r="V238" s="116">
        <v>0</v>
      </c>
      <c r="W238" s="116">
        <v>0</v>
      </c>
      <c r="X238" s="30"/>
      <c r="Y238" s="30"/>
      <c r="Z238" s="30"/>
      <c r="AA238" s="30"/>
      <c r="AB238" s="126"/>
      <c r="AC238" s="126"/>
      <c r="AD238" s="126"/>
      <c r="AE238" s="126"/>
      <c r="AF238" s="126"/>
      <c r="AG238" s="126"/>
      <c r="AH238" s="117">
        <v>0</v>
      </c>
      <c r="AI238" s="116">
        <v>0</v>
      </c>
      <c r="AJ238" s="116">
        <v>0</v>
      </c>
      <c r="AK238" s="116">
        <v>0</v>
      </c>
      <c r="AL238" s="116">
        <v>0</v>
      </c>
      <c r="AM238" s="118">
        <v>0</v>
      </c>
      <c r="AN238" s="118">
        <v>0</v>
      </c>
      <c r="AO238" s="118" t="s">
        <v>475</v>
      </c>
      <c r="AP238" s="118">
        <v>31</v>
      </c>
    </row>
    <row r="239" spans="1:42" x14ac:dyDescent="0.15">
      <c r="A239" s="26" t="s">
        <v>555</v>
      </c>
      <c r="B239" s="26" t="s">
        <v>564</v>
      </c>
      <c r="C239" s="26" t="s">
        <v>477</v>
      </c>
      <c r="D239" s="26" t="s">
        <v>566</v>
      </c>
      <c r="E239" s="26" t="s">
        <v>473</v>
      </c>
      <c r="F239" s="26" t="s">
        <v>564</v>
      </c>
      <c r="G239" s="26">
        <v>0</v>
      </c>
      <c r="H239" s="26">
        <v>31</v>
      </c>
      <c r="I239" s="26">
        <v>6</v>
      </c>
      <c r="J239" s="119">
        <v>6</v>
      </c>
      <c r="K239" s="122">
        <v>6</v>
      </c>
      <c r="L239" s="122"/>
      <c r="M239" s="122"/>
      <c r="N239" s="122"/>
      <c r="O239" s="122"/>
      <c r="P239" s="116">
        <v>25</v>
      </c>
      <c r="Q239" s="116">
        <v>31</v>
      </c>
      <c r="R239" s="116">
        <v>6</v>
      </c>
      <c r="S239" s="116">
        <v>31</v>
      </c>
      <c r="T239" s="116">
        <v>0</v>
      </c>
      <c r="U239" s="116">
        <v>0</v>
      </c>
      <c r="V239" s="116">
        <v>0</v>
      </c>
      <c r="W239" s="116">
        <v>0</v>
      </c>
      <c r="X239" s="30"/>
      <c r="Y239" s="30"/>
      <c r="Z239" s="30"/>
      <c r="AA239" s="30"/>
      <c r="AB239" s="126"/>
      <c r="AC239" s="126"/>
      <c r="AD239" s="126"/>
      <c r="AE239" s="126"/>
      <c r="AF239" s="126"/>
      <c r="AG239" s="126"/>
      <c r="AH239" s="117">
        <v>0</v>
      </c>
      <c r="AI239" s="116">
        <v>0</v>
      </c>
      <c r="AJ239" s="116">
        <v>0</v>
      </c>
      <c r="AK239" s="116">
        <v>0</v>
      </c>
      <c r="AL239" s="116">
        <v>0</v>
      </c>
      <c r="AM239" s="118">
        <v>0</v>
      </c>
      <c r="AN239" s="118">
        <v>0</v>
      </c>
      <c r="AO239" s="118" t="s">
        <v>475</v>
      </c>
      <c r="AP239" s="118">
        <v>31</v>
      </c>
    </row>
    <row r="240" spans="1:42" x14ac:dyDescent="0.15">
      <c r="A240" s="26" t="s">
        <v>555</v>
      </c>
      <c r="B240" s="26" t="s">
        <v>564</v>
      </c>
      <c r="C240" s="26" t="s">
        <v>477</v>
      </c>
      <c r="D240" s="26" t="s">
        <v>567</v>
      </c>
      <c r="E240" s="26" t="s">
        <v>473</v>
      </c>
      <c r="F240" s="26" t="s">
        <v>564</v>
      </c>
      <c r="G240" s="26">
        <v>0</v>
      </c>
      <c r="H240" s="26">
        <v>31</v>
      </c>
      <c r="I240" s="26">
        <v>6</v>
      </c>
      <c r="J240" s="119">
        <v>5</v>
      </c>
      <c r="K240" s="122">
        <v>5</v>
      </c>
      <c r="L240" s="122"/>
      <c r="M240" s="122"/>
      <c r="N240" s="122"/>
      <c r="O240" s="122"/>
      <c r="P240" s="116">
        <v>26</v>
      </c>
      <c r="Q240" s="116">
        <v>31</v>
      </c>
      <c r="R240" s="116">
        <v>6</v>
      </c>
      <c r="S240" s="116">
        <v>31</v>
      </c>
      <c r="T240" s="116">
        <v>0</v>
      </c>
      <c r="U240" s="116">
        <v>0</v>
      </c>
      <c r="V240" s="116">
        <v>1</v>
      </c>
      <c r="W240" s="116">
        <v>20</v>
      </c>
      <c r="X240" s="30"/>
      <c r="Y240" s="30"/>
      <c r="Z240" s="30"/>
      <c r="AA240" s="30"/>
      <c r="AB240" s="126"/>
      <c r="AC240" s="126"/>
      <c r="AD240" s="126"/>
      <c r="AE240" s="126"/>
      <c r="AF240" s="126"/>
      <c r="AG240" s="126"/>
      <c r="AH240" s="117">
        <v>0</v>
      </c>
      <c r="AI240" s="116">
        <v>0</v>
      </c>
      <c r="AJ240" s="116">
        <v>0</v>
      </c>
      <c r="AK240" s="116">
        <v>0</v>
      </c>
      <c r="AL240" s="116">
        <v>0</v>
      </c>
      <c r="AM240" s="118">
        <v>0</v>
      </c>
      <c r="AN240" s="118">
        <v>0</v>
      </c>
      <c r="AO240" s="118" t="s">
        <v>475</v>
      </c>
      <c r="AP240" s="118">
        <v>31</v>
      </c>
    </row>
    <row r="241" spans="1:42" x14ac:dyDescent="0.15">
      <c r="A241" s="26" t="s">
        <v>555</v>
      </c>
      <c r="B241" s="26" t="s">
        <v>568</v>
      </c>
      <c r="C241" s="26" t="s">
        <v>471</v>
      </c>
      <c r="D241" s="26" t="s">
        <v>569</v>
      </c>
      <c r="E241" s="26" t="s">
        <v>473</v>
      </c>
      <c r="F241" s="26" t="s">
        <v>555</v>
      </c>
      <c r="G241" s="26">
        <v>0</v>
      </c>
      <c r="H241" s="26">
        <v>31</v>
      </c>
      <c r="I241" s="26">
        <v>5</v>
      </c>
      <c r="J241" s="119">
        <v>5</v>
      </c>
      <c r="K241" s="122">
        <v>5</v>
      </c>
      <c r="L241" s="122"/>
      <c r="M241" s="122"/>
      <c r="N241" s="122"/>
      <c r="O241" s="122"/>
      <c r="P241" s="116">
        <v>26</v>
      </c>
      <c r="Q241" s="116">
        <v>31</v>
      </c>
      <c r="R241" s="116">
        <v>5</v>
      </c>
      <c r="S241" s="116">
        <v>31</v>
      </c>
      <c r="T241" s="116">
        <v>0</v>
      </c>
      <c r="U241" s="116">
        <v>0</v>
      </c>
      <c r="V241" s="116">
        <v>0</v>
      </c>
      <c r="W241" s="116">
        <v>0</v>
      </c>
      <c r="X241" s="30"/>
      <c r="Y241" s="30">
        <v>10</v>
      </c>
      <c r="Z241" s="30"/>
      <c r="AA241" s="30"/>
      <c r="AB241" s="126"/>
      <c r="AC241" s="126"/>
      <c r="AD241" s="126"/>
      <c r="AE241" s="126"/>
      <c r="AF241" s="126"/>
      <c r="AG241" s="126"/>
      <c r="AH241" s="117">
        <v>0</v>
      </c>
      <c r="AI241" s="116">
        <v>0</v>
      </c>
      <c r="AJ241" s="116">
        <v>0</v>
      </c>
      <c r="AK241" s="116">
        <v>0</v>
      </c>
      <c r="AL241" s="116">
        <v>0</v>
      </c>
      <c r="AM241" s="118">
        <v>0</v>
      </c>
      <c r="AN241" s="118">
        <v>0</v>
      </c>
      <c r="AO241" s="118" t="s">
        <v>475</v>
      </c>
      <c r="AP241" s="118">
        <v>31</v>
      </c>
    </row>
    <row r="242" spans="1:42" x14ac:dyDescent="0.15">
      <c r="A242" s="26" t="s">
        <v>555</v>
      </c>
      <c r="B242" s="26" t="s">
        <v>570</v>
      </c>
      <c r="C242" s="26" t="s">
        <v>471</v>
      </c>
      <c r="D242" s="26" t="s">
        <v>571</v>
      </c>
      <c r="E242" s="26" t="s">
        <v>473</v>
      </c>
      <c r="F242" s="26" t="s">
        <v>555</v>
      </c>
      <c r="G242" s="26">
        <v>0</v>
      </c>
      <c r="H242" s="26">
        <v>31</v>
      </c>
      <c r="I242" s="26">
        <v>5</v>
      </c>
      <c r="J242" s="119">
        <v>6</v>
      </c>
      <c r="K242" s="122">
        <v>5</v>
      </c>
      <c r="L242" s="122"/>
      <c r="M242" s="122"/>
      <c r="N242" s="122"/>
      <c r="O242" s="122">
        <v>1</v>
      </c>
      <c r="P242" s="116">
        <v>25</v>
      </c>
      <c r="Q242" s="116">
        <v>31</v>
      </c>
      <c r="R242" s="116">
        <v>5</v>
      </c>
      <c r="S242" s="116">
        <v>31</v>
      </c>
      <c r="T242" s="116">
        <v>0</v>
      </c>
      <c r="U242" s="116">
        <v>0</v>
      </c>
      <c r="V242" s="116">
        <v>0</v>
      </c>
      <c r="W242" s="116">
        <v>0</v>
      </c>
      <c r="X242" s="30"/>
      <c r="Y242" s="30"/>
      <c r="Z242" s="30"/>
      <c r="AA242" s="30"/>
      <c r="AB242" s="126"/>
      <c r="AC242" s="126"/>
      <c r="AD242" s="126"/>
      <c r="AE242" s="126"/>
      <c r="AF242" s="126"/>
      <c r="AG242" s="126"/>
      <c r="AH242" s="117">
        <v>0</v>
      </c>
      <c r="AI242" s="116">
        <v>0</v>
      </c>
      <c r="AJ242" s="116">
        <v>0</v>
      </c>
      <c r="AK242" s="116">
        <v>0</v>
      </c>
      <c r="AL242" s="116">
        <v>0</v>
      </c>
      <c r="AM242" s="118">
        <v>0</v>
      </c>
      <c r="AN242" s="118">
        <v>0</v>
      </c>
      <c r="AO242" s="118" t="s">
        <v>475</v>
      </c>
      <c r="AP242" s="118">
        <v>31</v>
      </c>
    </row>
    <row r="243" spans="1:42" x14ac:dyDescent="0.15">
      <c r="A243" s="26" t="s">
        <v>555</v>
      </c>
      <c r="B243" s="26" t="s">
        <v>568</v>
      </c>
      <c r="C243" s="26" t="s">
        <v>471</v>
      </c>
      <c r="D243" s="26" t="s">
        <v>572</v>
      </c>
      <c r="E243" s="26" t="s">
        <v>473</v>
      </c>
      <c r="F243" s="26" t="s">
        <v>555</v>
      </c>
      <c r="G243" s="26">
        <v>0</v>
      </c>
      <c r="H243" s="26">
        <v>31</v>
      </c>
      <c r="I243" s="26">
        <v>5</v>
      </c>
      <c r="J243" s="119">
        <v>5</v>
      </c>
      <c r="K243" s="122">
        <v>5</v>
      </c>
      <c r="L243" s="122"/>
      <c r="M243" s="122"/>
      <c r="N243" s="122"/>
      <c r="O243" s="122"/>
      <c r="P243" s="116">
        <v>26</v>
      </c>
      <c r="Q243" s="116">
        <v>31</v>
      </c>
      <c r="R243" s="116">
        <v>5</v>
      </c>
      <c r="S243" s="116">
        <v>31</v>
      </c>
      <c r="T243" s="116">
        <v>0</v>
      </c>
      <c r="U243" s="116">
        <v>0</v>
      </c>
      <c r="V243" s="116">
        <v>0</v>
      </c>
      <c r="W243" s="116">
        <v>0</v>
      </c>
      <c r="X243" s="30"/>
      <c r="Y243" s="30"/>
      <c r="Z243" s="30"/>
      <c r="AA243" s="30"/>
      <c r="AB243" s="126"/>
      <c r="AC243" s="126"/>
      <c r="AD243" s="126"/>
      <c r="AE243" s="126"/>
      <c r="AF243" s="126"/>
      <c r="AG243" s="126"/>
      <c r="AH243" s="117">
        <v>0</v>
      </c>
      <c r="AI243" s="116">
        <v>0</v>
      </c>
      <c r="AJ243" s="116">
        <v>0</v>
      </c>
      <c r="AK243" s="116">
        <v>0</v>
      </c>
      <c r="AL243" s="116">
        <v>0</v>
      </c>
      <c r="AM243" s="118">
        <v>0</v>
      </c>
      <c r="AN243" s="118">
        <v>0</v>
      </c>
      <c r="AO243" s="118" t="s">
        <v>475</v>
      </c>
      <c r="AP243" s="118">
        <v>31</v>
      </c>
    </row>
    <row r="244" spans="1:42" x14ac:dyDescent="0.15">
      <c r="A244" s="26" t="s">
        <v>555</v>
      </c>
      <c r="B244" s="26" t="s">
        <v>573</v>
      </c>
      <c r="C244" s="26" t="s">
        <v>471</v>
      </c>
      <c r="D244" s="26" t="s">
        <v>319</v>
      </c>
      <c r="E244" s="26" t="s">
        <v>473</v>
      </c>
      <c r="F244" s="26" t="s">
        <v>555</v>
      </c>
      <c r="G244" s="26">
        <v>0</v>
      </c>
      <c r="H244" s="26">
        <v>31</v>
      </c>
      <c r="I244" s="26">
        <v>5</v>
      </c>
      <c r="J244" s="119">
        <v>5</v>
      </c>
      <c r="K244" s="122">
        <v>1</v>
      </c>
      <c r="L244" s="122">
        <v>4</v>
      </c>
      <c r="M244" s="122"/>
      <c r="N244" s="122"/>
      <c r="O244" s="122"/>
      <c r="P244" s="116">
        <v>26</v>
      </c>
      <c r="Q244" s="116">
        <v>27</v>
      </c>
      <c r="R244" s="116">
        <v>4</v>
      </c>
      <c r="S244" s="116">
        <v>27</v>
      </c>
      <c r="T244" s="116">
        <v>0</v>
      </c>
      <c r="U244" s="116">
        <v>4</v>
      </c>
      <c r="V244" s="116">
        <v>3</v>
      </c>
      <c r="W244" s="116">
        <v>60</v>
      </c>
      <c r="X244" s="30"/>
      <c r="Y244" s="30"/>
      <c r="Z244" s="30"/>
      <c r="AA244" s="30"/>
      <c r="AB244" s="126"/>
      <c r="AC244" s="126"/>
      <c r="AD244" s="126"/>
      <c r="AE244" s="126"/>
      <c r="AF244" s="126"/>
      <c r="AG244" s="126"/>
      <c r="AH244" s="117">
        <v>0</v>
      </c>
      <c r="AI244" s="116">
        <v>0</v>
      </c>
      <c r="AJ244" s="116">
        <v>0</v>
      </c>
      <c r="AK244" s="116">
        <v>0</v>
      </c>
      <c r="AL244" s="116">
        <v>0</v>
      </c>
      <c r="AM244" s="118">
        <v>0</v>
      </c>
      <c r="AN244" s="118">
        <v>0</v>
      </c>
      <c r="AO244" s="118" t="s">
        <v>475</v>
      </c>
      <c r="AP244" s="118">
        <v>27</v>
      </c>
    </row>
    <row r="245" spans="1:42" x14ac:dyDescent="0.15">
      <c r="A245" s="26" t="s">
        <v>555</v>
      </c>
      <c r="B245" s="26" t="s">
        <v>574</v>
      </c>
      <c r="C245" s="26" t="s">
        <v>471</v>
      </c>
      <c r="D245" s="26" t="s">
        <v>575</v>
      </c>
      <c r="E245" s="26" t="s">
        <v>473</v>
      </c>
      <c r="F245" s="26" t="s">
        <v>555</v>
      </c>
      <c r="G245" s="26">
        <v>0</v>
      </c>
      <c r="H245" s="26">
        <v>13</v>
      </c>
      <c r="I245" s="26">
        <v>2</v>
      </c>
      <c r="J245" s="119">
        <v>5</v>
      </c>
      <c r="K245" s="122">
        <v>5</v>
      </c>
      <c r="L245" s="122"/>
      <c r="M245" s="122"/>
      <c r="N245" s="122"/>
      <c r="O245" s="122"/>
      <c r="P245" s="116">
        <v>8</v>
      </c>
      <c r="Q245" s="116">
        <v>13</v>
      </c>
      <c r="R245" s="116">
        <v>2</v>
      </c>
      <c r="S245" s="116">
        <v>13</v>
      </c>
      <c r="T245" s="116">
        <v>3</v>
      </c>
      <c r="U245" s="116">
        <v>3</v>
      </c>
      <c r="V245" s="116">
        <v>0</v>
      </c>
      <c r="W245" s="116">
        <v>0</v>
      </c>
      <c r="X245" s="30">
        <v>90</v>
      </c>
      <c r="Y245" s="30">
        <v>10</v>
      </c>
      <c r="Z245" s="30"/>
      <c r="AA245" s="30"/>
      <c r="AB245" s="126"/>
      <c r="AC245" s="126"/>
      <c r="AD245" s="126"/>
      <c r="AE245" s="126"/>
      <c r="AF245" s="126"/>
      <c r="AG245" s="126"/>
      <c r="AH245" s="117">
        <v>0</v>
      </c>
      <c r="AI245" s="116">
        <v>0</v>
      </c>
      <c r="AJ245" s="116">
        <v>0</v>
      </c>
      <c r="AK245" s="116">
        <v>0</v>
      </c>
      <c r="AL245" s="116">
        <v>0</v>
      </c>
      <c r="AM245" s="118">
        <v>0</v>
      </c>
      <c r="AN245" s="118">
        <v>0</v>
      </c>
      <c r="AO245" s="118" t="s">
        <v>475</v>
      </c>
      <c r="AP245" s="118">
        <v>13</v>
      </c>
    </row>
    <row r="246" spans="1:42" x14ac:dyDescent="0.15">
      <c r="A246" s="26" t="s">
        <v>555</v>
      </c>
      <c r="B246" s="26" t="s">
        <v>576</v>
      </c>
      <c r="C246" s="26" t="s">
        <v>471</v>
      </c>
      <c r="D246" s="26" t="s">
        <v>577</v>
      </c>
      <c r="E246" s="26" t="s">
        <v>473</v>
      </c>
      <c r="F246" s="26" t="s">
        <v>555</v>
      </c>
      <c r="G246" s="26">
        <v>0</v>
      </c>
      <c r="H246" s="26">
        <v>31</v>
      </c>
      <c r="I246" s="26">
        <v>5</v>
      </c>
      <c r="J246" s="119">
        <v>5</v>
      </c>
      <c r="K246" s="122">
        <v>4</v>
      </c>
      <c r="L246" s="122"/>
      <c r="M246" s="122">
        <v>1</v>
      </c>
      <c r="N246" s="122"/>
      <c r="O246" s="122"/>
      <c r="P246" s="116">
        <v>26</v>
      </c>
      <c r="Q246" s="116">
        <v>31</v>
      </c>
      <c r="R246" s="116">
        <v>5</v>
      </c>
      <c r="S246" s="116">
        <v>31</v>
      </c>
      <c r="T246" s="116">
        <v>0</v>
      </c>
      <c r="U246" s="116">
        <v>0</v>
      </c>
      <c r="V246" s="116">
        <v>1</v>
      </c>
      <c r="W246" s="116">
        <v>20</v>
      </c>
      <c r="X246" s="30"/>
      <c r="Y246" s="30"/>
      <c r="Z246" s="30"/>
      <c r="AA246" s="30"/>
      <c r="AB246" s="126"/>
      <c r="AC246" s="126"/>
      <c r="AD246" s="126"/>
      <c r="AE246" s="126"/>
      <c r="AF246" s="126"/>
      <c r="AG246" s="126"/>
      <c r="AH246" s="117">
        <v>0</v>
      </c>
      <c r="AI246" s="116">
        <v>0</v>
      </c>
      <c r="AJ246" s="116">
        <v>0</v>
      </c>
      <c r="AK246" s="116">
        <v>0</v>
      </c>
      <c r="AL246" s="116">
        <v>0</v>
      </c>
      <c r="AM246" s="118">
        <v>0</v>
      </c>
      <c r="AN246" s="118">
        <v>0</v>
      </c>
      <c r="AO246" s="118" t="s">
        <v>475</v>
      </c>
      <c r="AP246" s="118">
        <v>31</v>
      </c>
    </row>
    <row r="247" spans="1:42" x14ac:dyDescent="0.15">
      <c r="A247" s="26" t="s">
        <v>555</v>
      </c>
      <c r="B247" s="26" t="s">
        <v>578</v>
      </c>
      <c r="C247" s="26" t="s">
        <v>471</v>
      </c>
      <c r="D247" s="26" t="s">
        <v>579</v>
      </c>
      <c r="E247" s="26" t="s">
        <v>473</v>
      </c>
      <c r="F247" s="26" t="s">
        <v>474</v>
      </c>
      <c r="G247" s="26">
        <v>0</v>
      </c>
      <c r="H247" s="26">
        <v>31</v>
      </c>
      <c r="I247" s="26">
        <v>4</v>
      </c>
      <c r="J247" s="119">
        <v>5</v>
      </c>
      <c r="K247" s="122">
        <v>4</v>
      </c>
      <c r="L247" s="122">
        <v>1</v>
      </c>
      <c r="M247" s="122"/>
      <c r="N247" s="122"/>
      <c r="O247" s="122"/>
      <c r="P247" s="116">
        <v>26</v>
      </c>
      <c r="Q247" s="116">
        <v>30</v>
      </c>
      <c r="R247" s="116">
        <v>4</v>
      </c>
      <c r="S247" s="116">
        <v>30</v>
      </c>
      <c r="T247" s="116">
        <v>0</v>
      </c>
      <c r="U247" s="116">
        <v>1</v>
      </c>
      <c r="V247" s="116">
        <v>0</v>
      </c>
      <c r="W247" s="116">
        <v>0</v>
      </c>
      <c r="X247" s="30"/>
      <c r="Y247" s="30"/>
      <c r="Z247" s="30"/>
      <c r="AA247" s="30"/>
      <c r="AB247" s="126"/>
      <c r="AC247" s="126"/>
      <c r="AD247" s="126"/>
      <c r="AE247" s="126"/>
      <c r="AF247" s="126"/>
      <c r="AG247" s="126"/>
      <c r="AH247" s="117">
        <v>0</v>
      </c>
      <c r="AI247" s="116">
        <v>0</v>
      </c>
      <c r="AJ247" s="116">
        <v>0</v>
      </c>
      <c r="AK247" s="116">
        <v>0</v>
      </c>
      <c r="AL247" s="116">
        <v>0</v>
      </c>
      <c r="AM247" s="118">
        <v>0</v>
      </c>
      <c r="AN247" s="118">
        <v>0</v>
      </c>
      <c r="AO247" s="118" t="s">
        <v>475</v>
      </c>
      <c r="AP247" s="118">
        <v>30</v>
      </c>
    </row>
    <row r="248" spans="1:42" x14ac:dyDescent="0.15">
      <c r="A248" s="26" t="s">
        <v>555</v>
      </c>
      <c r="B248" s="26" t="s">
        <v>578</v>
      </c>
      <c r="C248" s="26" t="s">
        <v>471</v>
      </c>
      <c r="D248" s="26" t="s">
        <v>580</v>
      </c>
      <c r="E248" s="26" t="s">
        <v>473</v>
      </c>
      <c r="F248" s="26" t="s">
        <v>474</v>
      </c>
      <c r="G248" s="26">
        <v>0</v>
      </c>
      <c r="H248" s="26">
        <v>31</v>
      </c>
      <c r="I248" s="26">
        <v>4</v>
      </c>
      <c r="J248" s="119">
        <v>5</v>
      </c>
      <c r="K248" s="122">
        <v>4</v>
      </c>
      <c r="L248" s="122"/>
      <c r="M248" s="122">
        <v>1</v>
      </c>
      <c r="N248" s="122"/>
      <c r="O248" s="122"/>
      <c r="P248" s="116">
        <v>26</v>
      </c>
      <c r="Q248" s="116">
        <v>31</v>
      </c>
      <c r="R248" s="116">
        <v>4</v>
      </c>
      <c r="S248" s="116">
        <v>31</v>
      </c>
      <c r="T248" s="116">
        <v>0</v>
      </c>
      <c r="U248" s="116">
        <v>0</v>
      </c>
      <c r="V248" s="116">
        <v>0</v>
      </c>
      <c r="W248" s="116">
        <v>0</v>
      </c>
      <c r="X248" s="30">
        <v>20</v>
      </c>
      <c r="Y248" s="30"/>
      <c r="Z248" s="30"/>
      <c r="AA248" s="30"/>
      <c r="AB248" s="126"/>
      <c r="AC248" s="126"/>
      <c r="AD248" s="126"/>
      <c r="AE248" s="126"/>
      <c r="AF248" s="126"/>
      <c r="AG248" s="126"/>
      <c r="AH248" s="117">
        <v>0</v>
      </c>
      <c r="AI248" s="116">
        <v>0</v>
      </c>
      <c r="AJ248" s="116">
        <v>0</v>
      </c>
      <c r="AK248" s="116">
        <v>0</v>
      </c>
      <c r="AL248" s="116">
        <v>0</v>
      </c>
      <c r="AM248" s="118">
        <v>0</v>
      </c>
      <c r="AN248" s="118">
        <v>0</v>
      </c>
      <c r="AO248" s="118" t="s">
        <v>475</v>
      </c>
      <c r="AP248" s="118">
        <v>31</v>
      </c>
    </row>
    <row r="249" spans="1:42" x14ac:dyDescent="0.15">
      <c r="A249" s="26" t="s">
        <v>555</v>
      </c>
      <c r="B249" s="26" t="s">
        <v>581</v>
      </c>
      <c r="C249" s="26" t="s">
        <v>471</v>
      </c>
      <c r="D249" s="26" t="s">
        <v>582</v>
      </c>
      <c r="E249" s="26" t="s">
        <v>473</v>
      </c>
      <c r="F249" s="26" t="s">
        <v>474</v>
      </c>
      <c r="G249" s="26">
        <v>0</v>
      </c>
      <c r="H249" s="26">
        <v>31</v>
      </c>
      <c r="I249" s="26">
        <v>4</v>
      </c>
      <c r="J249" s="119">
        <v>3</v>
      </c>
      <c r="K249" s="122">
        <v>3</v>
      </c>
      <c r="L249" s="122"/>
      <c r="M249" s="122"/>
      <c r="N249" s="122"/>
      <c r="O249" s="122"/>
      <c r="P249" s="116">
        <v>28</v>
      </c>
      <c r="Q249" s="116">
        <v>31</v>
      </c>
      <c r="R249" s="116">
        <v>4</v>
      </c>
      <c r="S249" s="116">
        <v>31</v>
      </c>
      <c r="T249" s="116">
        <v>0</v>
      </c>
      <c r="U249" s="116">
        <v>0</v>
      </c>
      <c r="V249" s="116">
        <v>1</v>
      </c>
      <c r="W249" s="116">
        <v>20</v>
      </c>
      <c r="X249" s="30"/>
      <c r="Y249" s="30"/>
      <c r="Z249" s="30">
        <v>50</v>
      </c>
      <c r="AA249" s="30"/>
      <c r="AB249" s="126"/>
      <c r="AC249" s="126"/>
      <c r="AD249" s="126"/>
      <c r="AE249" s="126"/>
      <c r="AF249" s="126"/>
      <c r="AG249" s="126"/>
      <c r="AH249" s="117">
        <v>0</v>
      </c>
      <c r="AI249" s="116">
        <v>0</v>
      </c>
      <c r="AJ249" s="116">
        <v>0</v>
      </c>
      <c r="AK249" s="116">
        <v>0</v>
      </c>
      <c r="AL249" s="116">
        <v>0</v>
      </c>
      <c r="AM249" s="118">
        <v>0</v>
      </c>
      <c r="AN249" s="118">
        <v>0</v>
      </c>
      <c r="AO249" s="118" t="s">
        <v>475</v>
      </c>
      <c r="AP249" s="118">
        <v>31</v>
      </c>
    </row>
    <row r="250" spans="1:42" x14ac:dyDescent="0.15">
      <c r="A250" s="26" t="s">
        <v>555</v>
      </c>
      <c r="B250" s="26" t="s">
        <v>581</v>
      </c>
      <c r="C250" s="26" t="s">
        <v>471</v>
      </c>
      <c r="D250" s="26" t="s">
        <v>583</v>
      </c>
      <c r="E250" s="26" t="s">
        <v>473</v>
      </c>
      <c r="F250" s="26" t="s">
        <v>474</v>
      </c>
      <c r="G250" s="26">
        <v>0</v>
      </c>
      <c r="H250" s="26">
        <v>31</v>
      </c>
      <c r="I250" s="26">
        <v>4</v>
      </c>
      <c r="J250" s="119">
        <v>3</v>
      </c>
      <c r="K250" s="122">
        <v>3</v>
      </c>
      <c r="L250" s="122"/>
      <c r="M250" s="122"/>
      <c r="N250" s="122"/>
      <c r="O250" s="122"/>
      <c r="P250" s="116">
        <v>28</v>
      </c>
      <c r="Q250" s="116">
        <v>31</v>
      </c>
      <c r="R250" s="116">
        <v>4</v>
      </c>
      <c r="S250" s="116">
        <v>31</v>
      </c>
      <c r="T250" s="116">
        <v>0</v>
      </c>
      <c r="U250" s="116">
        <v>0</v>
      </c>
      <c r="V250" s="116">
        <v>0</v>
      </c>
      <c r="W250" s="116">
        <v>0</v>
      </c>
      <c r="X250" s="30">
        <v>20</v>
      </c>
      <c r="Y250" s="30"/>
      <c r="Z250" s="30"/>
      <c r="AA250" s="30"/>
      <c r="AB250" s="126"/>
      <c r="AC250" s="126"/>
      <c r="AD250" s="126"/>
      <c r="AE250" s="126"/>
      <c r="AF250" s="126"/>
      <c r="AG250" s="126"/>
      <c r="AH250" s="117">
        <v>0</v>
      </c>
      <c r="AI250" s="116">
        <v>0</v>
      </c>
      <c r="AJ250" s="116">
        <v>0</v>
      </c>
      <c r="AK250" s="116">
        <v>0</v>
      </c>
      <c r="AL250" s="116">
        <v>0</v>
      </c>
      <c r="AM250" s="118">
        <v>0</v>
      </c>
      <c r="AN250" s="118">
        <v>0</v>
      </c>
      <c r="AO250" s="118" t="s">
        <v>475</v>
      </c>
      <c r="AP250" s="118">
        <v>31</v>
      </c>
    </row>
    <row r="251" spans="1:42" x14ac:dyDescent="0.15">
      <c r="A251" s="26" t="s">
        <v>555</v>
      </c>
      <c r="B251" s="26" t="s">
        <v>584</v>
      </c>
      <c r="C251" s="26" t="s">
        <v>471</v>
      </c>
      <c r="D251" s="26" t="s">
        <v>585</v>
      </c>
      <c r="E251" s="26" t="s">
        <v>473</v>
      </c>
      <c r="F251" s="26" t="s">
        <v>555</v>
      </c>
      <c r="G251" s="26">
        <v>0</v>
      </c>
      <c r="H251" s="26">
        <v>31</v>
      </c>
      <c r="I251" s="26">
        <v>5</v>
      </c>
      <c r="J251" s="119">
        <v>6</v>
      </c>
      <c r="K251" s="122">
        <v>4</v>
      </c>
      <c r="L251" s="122">
        <v>2</v>
      </c>
      <c r="M251" s="122"/>
      <c r="N251" s="122"/>
      <c r="O251" s="122"/>
      <c r="P251" s="116">
        <v>25</v>
      </c>
      <c r="Q251" s="116">
        <v>29</v>
      </c>
      <c r="R251" s="116">
        <v>4</v>
      </c>
      <c r="S251" s="116">
        <v>29</v>
      </c>
      <c r="T251" s="116">
        <v>0</v>
      </c>
      <c r="U251" s="116">
        <v>2</v>
      </c>
      <c r="V251" s="116">
        <v>0</v>
      </c>
      <c r="W251" s="116">
        <v>0</v>
      </c>
      <c r="X251" s="30">
        <v>10</v>
      </c>
      <c r="Y251" s="30"/>
      <c r="Z251" s="30"/>
      <c r="AA251" s="30"/>
      <c r="AB251" s="126"/>
      <c r="AC251" s="126"/>
      <c r="AD251" s="126"/>
      <c r="AE251" s="126"/>
      <c r="AF251" s="126"/>
      <c r="AG251" s="126"/>
      <c r="AH251" s="117">
        <v>0</v>
      </c>
      <c r="AI251" s="116">
        <v>0</v>
      </c>
      <c r="AJ251" s="116">
        <v>0</v>
      </c>
      <c r="AK251" s="116">
        <v>0</v>
      </c>
      <c r="AL251" s="116">
        <v>0</v>
      </c>
      <c r="AM251" s="118">
        <v>0</v>
      </c>
      <c r="AN251" s="118">
        <v>0</v>
      </c>
      <c r="AO251" s="118" t="s">
        <v>475</v>
      </c>
      <c r="AP251" s="118">
        <v>29</v>
      </c>
    </row>
    <row r="252" spans="1:42" x14ac:dyDescent="0.15">
      <c r="A252" s="26" t="s">
        <v>555</v>
      </c>
      <c r="B252" s="26" t="s">
        <v>584</v>
      </c>
      <c r="C252" s="26" t="s">
        <v>471</v>
      </c>
      <c r="D252" s="26" t="s">
        <v>586</v>
      </c>
      <c r="E252" s="26" t="s">
        <v>473</v>
      </c>
      <c r="F252" s="26" t="s">
        <v>555</v>
      </c>
      <c r="G252" s="26">
        <v>0</v>
      </c>
      <c r="H252" s="26">
        <v>31</v>
      </c>
      <c r="I252" s="26">
        <v>5</v>
      </c>
      <c r="J252" s="119">
        <v>12</v>
      </c>
      <c r="K252" s="122">
        <v>3</v>
      </c>
      <c r="L252" s="122">
        <v>9</v>
      </c>
      <c r="M252" s="122"/>
      <c r="N252" s="122"/>
      <c r="O252" s="122"/>
      <c r="P252" s="116">
        <v>19</v>
      </c>
      <c r="Q252" s="116">
        <v>22</v>
      </c>
      <c r="R252" s="116">
        <v>3</v>
      </c>
      <c r="S252" s="116">
        <v>22</v>
      </c>
      <c r="T252" s="116">
        <v>0</v>
      </c>
      <c r="U252" s="116">
        <v>9</v>
      </c>
      <c r="V252" s="116">
        <v>0</v>
      </c>
      <c r="W252" s="116">
        <v>0</v>
      </c>
      <c r="X252" s="30"/>
      <c r="Y252" s="30"/>
      <c r="Z252" s="30"/>
      <c r="AA252" s="30"/>
      <c r="AB252" s="126"/>
      <c r="AC252" s="126"/>
      <c r="AD252" s="126"/>
      <c r="AE252" s="126"/>
      <c r="AF252" s="126"/>
      <c r="AG252" s="126"/>
      <c r="AH252" s="117">
        <v>0</v>
      </c>
      <c r="AI252" s="116">
        <v>0</v>
      </c>
      <c r="AJ252" s="116">
        <v>0</v>
      </c>
      <c r="AK252" s="116">
        <v>0</v>
      </c>
      <c r="AL252" s="116">
        <v>0</v>
      </c>
      <c r="AM252" s="118">
        <v>0</v>
      </c>
      <c r="AN252" s="118">
        <v>0</v>
      </c>
      <c r="AO252" s="118" t="s">
        <v>475</v>
      </c>
      <c r="AP252" s="118">
        <v>22</v>
      </c>
    </row>
    <row r="253" spans="1:42" x14ac:dyDescent="0.15">
      <c r="A253" s="26" t="s">
        <v>555</v>
      </c>
      <c r="B253" s="26" t="s">
        <v>587</v>
      </c>
      <c r="C253" s="26" t="s">
        <v>471</v>
      </c>
      <c r="D253" s="26" t="s">
        <v>588</v>
      </c>
      <c r="E253" s="26" t="s">
        <v>473</v>
      </c>
      <c r="F253" s="26" t="s">
        <v>555</v>
      </c>
      <c r="G253" s="26">
        <v>0</v>
      </c>
      <c r="H253" s="26">
        <v>31</v>
      </c>
      <c r="I253" s="26">
        <v>5</v>
      </c>
      <c r="J253" s="119">
        <v>4</v>
      </c>
      <c r="K253" s="122">
        <v>4</v>
      </c>
      <c r="L253" s="122"/>
      <c r="M253" s="122"/>
      <c r="N253" s="122"/>
      <c r="O253" s="122"/>
      <c r="P253" s="116">
        <v>27</v>
      </c>
      <c r="Q253" s="116">
        <v>31</v>
      </c>
      <c r="R253" s="116">
        <v>5</v>
      </c>
      <c r="S253" s="116">
        <v>31</v>
      </c>
      <c r="T253" s="116">
        <v>0</v>
      </c>
      <c r="U253" s="116">
        <v>0</v>
      </c>
      <c r="V253" s="116">
        <v>1</v>
      </c>
      <c r="W253" s="116">
        <v>20</v>
      </c>
      <c r="X253" s="30"/>
      <c r="Y253" s="30"/>
      <c r="Z253" s="30">
        <v>50</v>
      </c>
      <c r="AA253" s="30"/>
      <c r="AB253" s="126"/>
      <c r="AC253" s="126"/>
      <c r="AD253" s="126"/>
      <c r="AE253" s="126"/>
      <c r="AF253" s="126"/>
      <c r="AG253" s="126"/>
      <c r="AH253" s="117">
        <v>0</v>
      </c>
      <c r="AI253" s="116">
        <v>0</v>
      </c>
      <c r="AJ253" s="116">
        <v>0</v>
      </c>
      <c r="AK253" s="116">
        <v>0</v>
      </c>
      <c r="AL253" s="116">
        <v>0</v>
      </c>
      <c r="AM253" s="118">
        <v>0</v>
      </c>
      <c r="AN253" s="118">
        <v>0</v>
      </c>
      <c r="AO253" s="118" t="s">
        <v>475</v>
      </c>
      <c r="AP253" s="118">
        <v>31</v>
      </c>
    </row>
    <row r="254" spans="1:42" x14ac:dyDescent="0.15">
      <c r="A254" s="26" t="s">
        <v>555</v>
      </c>
      <c r="B254" s="26" t="s">
        <v>587</v>
      </c>
      <c r="C254" s="26" t="s">
        <v>471</v>
      </c>
      <c r="D254" s="26" t="s">
        <v>589</v>
      </c>
      <c r="E254" s="26" t="s">
        <v>473</v>
      </c>
      <c r="F254" s="26" t="s">
        <v>555</v>
      </c>
      <c r="G254" s="26">
        <v>0</v>
      </c>
      <c r="H254" s="26">
        <v>31</v>
      </c>
      <c r="I254" s="26">
        <v>5</v>
      </c>
      <c r="J254" s="119">
        <v>5</v>
      </c>
      <c r="K254" s="122">
        <v>5</v>
      </c>
      <c r="L254" s="122"/>
      <c r="M254" s="122"/>
      <c r="N254" s="122"/>
      <c r="O254" s="122"/>
      <c r="P254" s="116">
        <v>26</v>
      </c>
      <c r="Q254" s="116">
        <v>31</v>
      </c>
      <c r="R254" s="116">
        <v>5</v>
      </c>
      <c r="S254" s="116">
        <v>31</v>
      </c>
      <c r="T254" s="116">
        <v>0</v>
      </c>
      <c r="U254" s="116">
        <v>0</v>
      </c>
      <c r="V254" s="116">
        <v>0</v>
      </c>
      <c r="W254" s="116">
        <v>0</v>
      </c>
      <c r="X254" s="30"/>
      <c r="Y254" s="30"/>
      <c r="Z254" s="30"/>
      <c r="AA254" s="30"/>
      <c r="AB254" s="126"/>
      <c r="AC254" s="126"/>
      <c r="AD254" s="126"/>
      <c r="AE254" s="126"/>
      <c r="AF254" s="126"/>
      <c r="AG254" s="126"/>
      <c r="AH254" s="117">
        <v>0</v>
      </c>
      <c r="AI254" s="116">
        <v>0</v>
      </c>
      <c r="AJ254" s="116">
        <v>0</v>
      </c>
      <c r="AK254" s="116">
        <v>0</v>
      </c>
      <c r="AL254" s="116">
        <v>0</v>
      </c>
      <c r="AM254" s="118">
        <v>0</v>
      </c>
      <c r="AN254" s="118">
        <v>0</v>
      </c>
      <c r="AO254" s="118" t="s">
        <v>475</v>
      </c>
      <c r="AP254" s="118">
        <v>31</v>
      </c>
    </row>
    <row r="255" spans="1:42" x14ac:dyDescent="0.15">
      <c r="A255" s="26" t="s">
        <v>555</v>
      </c>
      <c r="B255" s="26" t="s">
        <v>587</v>
      </c>
      <c r="C255" s="26" t="s">
        <v>471</v>
      </c>
      <c r="D255" s="26" t="s">
        <v>590</v>
      </c>
      <c r="E255" s="26" t="s">
        <v>473</v>
      </c>
      <c r="F255" s="26" t="s">
        <v>555</v>
      </c>
      <c r="G255" s="26">
        <v>0</v>
      </c>
      <c r="H255" s="26">
        <v>31</v>
      </c>
      <c r="I255" s="26">
        <v>5</v>
      </c>
      <c r="J255" s="119">
        <v>5</v>
      </c>
      <c r="K255" s="122">
        <v>5</v>
      </c>
      <c r="L255" s="122"/>
      <c r="M255" s="122"/>
      <c r="N255" s="122"/>
      <c r="O255" s="122"/>
      <c r="P255" s="116">
        <v>26</v>
      </c>
      <c r="Q255" s="116">
        <v>31</v>
      </c>
      <c r="R255" s="116">
        <v>5</v>
      </c>
      <c r="S255" s="116">
        <v>31</v>
      </c>
      <c r="T255" s="116">
        <v>0</v>
      </c>
      <c r="U255" s="116">
        <v>0</v>
      </c>
      <c r="V255" s="116">
        <v>0</v>
      </c>
      <c r="W255" s="116">
        <v>0</v>
      </c>
      <c r="X255" s="30">
        <v>20</v>
      </c>
      <c r="Y255" s="30"/>
      <c r="Z255" s="30"/>
      <c r="AA255" s="30"/>
      <c r="AB255" s="126"/>
      <c r="AC255" s="126"/>
      <c r="AD255" s="126"/>
      <c r="AE255" s="126"/>
      <c r="AF255" s="126"/>
      <c r="AG255" s="126"/>
      <c r="AH255" s="117">
        <v>0</v>
      </c>
      <c r="AI255" s="116">
        <v>0</v>
      </c>
      <c r="AJ255" s="116">
        <v>0</v>
      </c>
      <c r="AK255" s="116">
        <v>0</v>
      </c>
      <c r="AL255" s="116">
        <v>0</v>
      </c>
      <c r="AM255" s="118">
        <v>0</v>
      </c>
      <c r="AN255" s="118">
        <v>0</v>
      </c>
      <c r="AO255" s="118" t="s">
        <v>475</v>
      </c>
      <c r="AP255" s="118">
        <v>31</v>
      </c>
    </row>
    <row r="256" spans="1:42" x14ac:dyDescent="0.15">
      <c r="A256" s="26" t="s">
        <v>555</v>
      </c>
      <c r="B256" s="26" t="s">
        <v>587</v>
      </c>
      <c r="C256" s="26" t="s">
        <v>471</v>
      </c>
      <c r="D256" s="26" t="s">
        <v>591</v>
      </c>
      <c r="E256" s="26" t="s">
        <v>473</v>
      </c>
      <c r="F256" s="26" t="s">
        <v>555</v>
      </c>
      <c r="G256" s="26">
        <v>0</v>
      </c>
      <c r="H256" s="26">
        <v>31</v>
      </c>
      <c r="I256" s="26">
        <v>5</v>
      </c>
      <c r="J256" s="119">
        <v>4</v>
      </c>
      <c r="K256" s="122">
        <v>4</v>
      </c>
      <c r="L256" s="122"/>
      <c r="M256" s="122"/>
      <c r="N256" s="122"/>
      <c r="O256" s="122"/>
      <c r="P256" s="116">
        <v>27</v>
      </c>
      <c r="Q256" s="116">
        <v>31</v>
      </c>
      <c r="R256" s="116">
        <v>5</v>
      </c>
      <c r="S256" s="116">
        <v>31</v>
      </c>
      <c r="T256" s="116">
        <v>0</v>
      </c>
      <c r="U256" s="116">
        <v>0</v>
      </c>
      <c r="V256" s="116">
        <v>0</v>
      </c>
      <c r="W256" s="116">
        <v>0</v>
      </c>
      <c r="X256" s="30">
        <v>20</v>
      </c>
      <c r="Y256" s="30">
        <v>20</v>
      </c>
      <c r="Z256" s="30"/>
      <c r="AA256" s="30"/>
      <c r="AB256" s="126"/>
      <c r="AC256" s="126"/>
      <c r="AD256" s="126"/>
      <c r="AE256" s="126"/>
      <c r="AF256" s="126"/>
      <c r="AG256" s="126"/>
      <c r="AH256" s="117">
        <v>0</v>
      </c>
      <c r="AI256" s="116">
        <v>0</v>
      </c>
      <c r="AJ256" s="116">
        <v>0</v>
      </c>
      <c r="AK256" s="116">
        <v>0</v>
      </c>
      <c r="AL256" s="116">
        <v>0</v>
      </c>
      <c r="AM256" s="118">
        <v>0</v>
      </c>
      <c r="AN256" s="118">
        <v>0</v>
      </c>
      <c r="AO256" s="118" t="s">
        <v>475</v>
      </c>
      <c r="AP256" s="118">
        <v>31</v>
      </c>
    </row>
    <row r="257" spans="1:42" x14ac:dyDescent="0.15">
      <c r="A257" s="26" t="s">
        <v>363</v>
      </c>
      <c r="B257" s="26" t="s">
        <v>479</v>
      </c>
      <c r="C257" s="26" t="s">
        <v>471</v>
      </c>
      <c r="D257" s="26" t="s">
        <v>592</v>
      </c>
      <c r="E257" s="26" t="s">
        <v>473</v>
      </c>
      <c r="F257" s="26" t="s">
        <v>474</v>
      </c>
      <c r="G257" s="26">
        <v>0</v>
      </c>
      <c r="H257" s="26">
        <v>31</v>
      </c>
      <c r="I257" s="26">
        <v>4</v>
      </c>
      <c r="J257" s="119">
        <v>4</v>
      </c>
      <c r="K257" s="122">
        <v>4</v>
      </c>
      <c r="L257" s="122"/>
      <c r="M257" s="122"/>
      <c r="N257" s="122"/>
      <c r="O257" s="122"/>
      <c r="P257" s="116">
        <v>27</v>
      </c>
      <c r="Q257" s="116">
        <v>31</v>
      </c>
      <c r="R257" s="116">
        <v>4</v>
      </c>
      <c r="S257" s="116">
        <v>31</v>
      </c>
      <c r="T257" s="116">
        <v>0</v>
      </c>
      <c r="U257" s="116">
        <v>0</v>
      </c>
      <c r="V257" s="116">
        <v>0</v>
      </c>
      <c r="W257" s="116">
        <v>0</v>
      </c>
      <c r="X257" s="30">
        <v>10</v>
      </c>
      <c r="Y257" s="30"/>
      <c r="Z257" s="30"/>
      <c r="AA257" s="30"/>
      <c r="AB257" s="126"/>
      <c r="AC257" s="126"/>
      <c r="AD257" s="126"/>
      <c r="AE257" s="126"/>
      <c r="AF257" s="126"/>
      <c r="AG257" s="126"/>
      <c r="AH257" s="117">
        <v>0</v>
      </c>
      <c r="AI257" s="116">
        <v>0</v>
      </c>
      <c r="AJ257" s="116">
        <v>0</v>
      </c>
      <c r="AK257" s="116">
        <v>0</v>
      </c>
      <c r="AL257" s="116">
        <v>0</v>
      </c>
      <c r="AM257" s="118">
        <v>0</v>
      </c>
      <c r="AN257" s="118">
        <v>0</v>
      </c>
      <c r="AO257" s="118" t="s">
        <v>475</v>
      </c>
      <c r="AP257" s="118">
        <v>31</v>
      </c>
    </row>
    <row r="258" spans="1:42" x14ac:dyDescent="0.15">
      <c r="A258" s="26" t="s">
        <v>363</v>
      </c>
      <c r="B258" s="26" t="s">
        <v>593</v>
      </c>
      <c r="C258" s="26" t="s">
        <v>471</v>
      </c>
      <c r="D258" s="26" t="s">
        <v>364</v>
      </c>
      <c r="E258" s="26" t="s">
        <v>473</v>
      </c>
      <c r="F258" s="26" t="s">
        <v>474</v>
      </c>
      <c r="G258" s="26">
        <v>0</v>
      </c>
      <c r="H258" s="26">
        <v>31</v>
      </c>
      <c r="I258" s="26">
        <v>4</v>
      </c>
      <c r="J258" s="119">
        <v>5</v>
      </c>
      <c r="K258" s="122">
        <v>4</v>
      </c>
      <c r="L258" s="122">
        <v>1</v>
      </c>
      <c r="M258" s="122"/>
      <c r="N258" s="122"/>
      <c r="O258" s="122"/>
      <c r="P258" s="116">
        <v>26</v>
      </c>
      <c r="Q258" s="116">
        <v>30</v>
      </c>
      <c r="R258" s="116">
        <v>4</v>
      </c>
      <c r="S258" s="116">
        <v>30</v>
      </c>
      <c r="T258" s="116">
        <v>0</v>
      </c>
      <c r="U258" s="116">
        <v>1</v>
      </c>
      <c r="V258" s="116">
        <v>0</v>
      </c>
      <c r="W258" s="116">
        <v>0</v>
      </c>
      <c r="X258" s="30">
        <v>90</v>
      </c>
      <c r="Y258" s="30">
        <v>10</v>
      </c>
      <c r="Z258" s="30"/>
      <c r="AA258" s="30"/>
      <c r="AB258" s="126"/>
      <c r="AC258" s="126"/>
      <c r="AD258" s="126"/>
      <c r="AE258" s="126"/>
      <c r="AF258" s="126"/>
      <c r="AG258" s="126"/>
      <c r="AH258" s="117">
        <v>0</v>
      </c>
      <c r="AI258" s="116">
        <v>0</v>
      </c>
      <c r="AJ258" s="116">
        <v>0</v>
      </c>
      <c r="AK258" s="116">
        <v>0</v>
      </c>
      <c r="AL258" s="116">
        <v>0</v>
      </c>
      <c r="AM258" s="118">
        <v>0</v>
      </c>
      <c r="AN258" s="118">
        <v>0</v>
      </c>
      <c r="AO258" s="118" t="s">
        <v>475</v>
      </c>
      <c r="AP258" s="118">
        <v>30</v>
      </c>
    </row>
    <row r="259" spans="1:42" x14ac:dyDescent="0.15">
      <c r="A259" s="26" t="s">
        <v>363</v>
      </c>
      <c r="B259" s="26" t="s">
        <v>594</v>
      </c>
      <c r="C259" s="26" t="s">
        <v>471</v>
      </c>
      <c r="D259" s="26" t="s">
        <v>365</v>
      </c>
      <c r="E259" s="26" t="s">
        <v>473</v>
      </c>
      <c r="F259" s="26" t="s">
        <v>474</v>
      </c>
      <c r="G259" s="26">
        <v>0</v>
      </c>
      <c r="H259" s="26">
        <v>31</v>
      </c>
      <c r="I259" s="26">
        <v>4</v>
      </c>
      <c r="J259" s="119">
        <v>4</v>
      </c>
      <c r="K259" s="122">
        <v>4</v>
      </c>
      <c r="L259" s="122"/>
      <c r="M259" s="122"/>
      <c r="N259" s="122"/>
      <c r="O259" s="122"/>
      <c r="P259" s="116">
        <v>27</v>
      </c>
      <c r="Q259" s="116">
        <v>31</v>
      </c>
      <c r="R259" s="116">
        <v>4</v>
      </c>
      <c r="S259" s="116">
        <v>31</v>
      </c>
      <c r="T259" s="116">
        <v>0</v>
      </c>
      <c r="U259" s="116">
        <v>0</v>
      </c>
      <c r="V259" s="116">
        <v>0</v>
      </c>
      <c r="W259" s="116">
        <v>0</v>
      </c>
      <c r="X259" s="30">
        <v>120</v>
      </c>
      <c r="Y259" s="30">
        <v>50</v>
      </c>
      <c r="Z259" s="30"/>
      <c r="AA259" s="30"/>
      <c r="AB259" s="126"/>
      <c r="AC259" s="126"/>
      <c r="AD259" s="126"/>
      <c r="AE259" s="126"/>
      <c r="AF259" s="126"/>
      <c r="AG259" s="126"/>
      <c r="AH259" s="117">
        <v>0</v>
      </c>
      <c r="AI259" s="116">
        <v>0</v>
      </c>
      <c r="AJ259" s="116">
        <v>0</v>
      </c>
      <c r="AK259" s="116">
        <v>0</v>
      </c>
      <c r="AL259" s="116">
        <v>0</v>
      </c>
      <c r="AM259" s="118">
        <v>0</v>
      </c>
      <c r="AN259" s="118">
        <v>0</v>
      </c>
      <c r="AO259" s="118" t="s">
        <v>475</v>
      </c>
      <c r="AP259" s="118">
        <v>31</v>
      </c>
    </row>
    <row r="260" spans="1:42" x14ac:dyDescent="0.15">
      <c r="A260" s="26" t="s">
        <v>363</v>
      </c>
      <c r="B260" s="26" t="s">
        <v>593</v>
      </c>
      <c r="C260" s="26" t="s">
        <v>471</v>
      </c>
      <c r="D260" s="26" t="s">
        <v>366</v>
      </c>
      <c r="E260" s="26" t="s">
        <v>473</v>
      </c>
      <c r="F260" s="26" t="s">
        <v>474</v>
      </c>
      <c r="G260" s="26">
        <v>0</v>
      </c>
      <c r="H260" s="26">
        <v>31</v>
      </c>
      <c r="I260" s="26">
        <v>4</v>
      </c>
      <c r="J260" s="119">
        <v>4</v>
      </c>
      <c r="K260" s="122">
        <v>4</v>
      </c>
      <c r="L260" s="122"/>
      <c r="M260" s="122"/>
      <c r="N260" s="122"/>
      <c r="O260" s="122"/>
      <c r="P260" s="116">
        <v>27</v>
      </c>
      <c r="Q260" s="116">
        <v>31</v>
      </c>
      <c r="R260" s="116">
        <v>4</v>
      </c>
      <c r="S260" s="116">
        <v>31</v>
      </c>
      <c r="T260" s="116">
        <v>0</v>
      </c>
      <c r="U260" s="116">
        <v>0</v>
      </c>
      <c r="V260" s="116">
        <v>0</v>
      </c>
      <c r="W260" s="116">
        <v>0</v>
      </c>
      <c r="X260" s="30"/>
      <c r="Y260" s="30"/>
      <c r="Z260" s="30"/>
      <c r="AA260" s="30"/>
      <c r="AB260" s="126"/>
      <c r="AC260" s="126"/>
      <c r="AD260" s="126"/>
      <c r="AE260" s="126"/>
      <c r="AF260" s="126"/>
      <c r="AG260" s="126"/>
      <c r="AH260" s="117">
        <v>0</v>
      </c>
      <c r="AI260" s="116">
        <v>0</v>
      </c>
      <c r="AJ260" s="116">
        <v>0</v>
      </c>
      <c r="AK260" s="116">
        <v>0</v>
      </c>
      <c r="AL260" s="116">
        <v>0</v>
      </c>
      <c r="AM260" s="118">
        <v>0</v>
      </c>
      <c r="AN260" s="118">
        <v>0</v>
      </c>
      <c r="AO260" s="118" t="s">
        <v>475</v>
      </c>
      <c r="AP260" s="118">
        <v>31</v>
      </c>
    </row>
    <row r="261" spans="1:42" x14ac:dyDescent="0.15">
      <c r="A261" s="26" t="s">
        <v>363</v>
      </c>
      <c r="B261" s="26" t="s">
        <v>594</v>
      </c>
      <c r="C261" s="26" t="s">
        <v>471</v>
      </c>
      <c r="D261" s="26" t="s">
        <v>367</v>
      </c>
      <c r="E261" s="26" t="s">
        <v>473</v>
      </c>
      <c r="F261" s="26" t="s">
        <v>474</v>
      </c>
      <c r="G261" s="26">
        <v>0</v>
      </c>
      <c r="H261" s="26">
        <v>31</v>
      </c>
      <c r="I261" s="26">
        <v>4</v>
      </c>
      <c r="J261" s="119">
        <v>4</v>
      </c>
      <c r="K261" s="122">
        <v>4</v>
      </c>
      <c r="L261" s="122"/>
      <c r="M261" s="122"/>
      <c r="N261" s="122"/>
      <c r="O261" s="122"/>
      <c r="P261" s="116">
        <v>27</v>
      </c>
      <c r="Q261" s="116">
        <v>31</v>
      </c>
      <c r="R261" s="116">
        <v>4</v>
      </c>
      <c r="S261" s="116">
        <v>31</v>
      </c>
      <c r="T261" s="116">
        <v>0</v>
      </c>
      <c r="U261" s="116">
        <v>0</v>
      </c>
      <c r="V261" s="116">
        <v>0</v>
      </c>
      <c r="W261" s="116">
        <v>0</v>
      </c>
      <c r="X261" s="30">
        <v>20</v>
      </c>
      <c r="Y261" s="30">
        <v>20</v>
      </c>
      <c r="Z261" s="30"/>
      <c r="AA261" s="30"/>
      <c r="AB261" s="126"/>
      <c r="AC261" s="126"/>
      <c r="AD261" s="126"/>
      <c r="AE261" s="126"/>
      <c r="AF261" s="126"/>
      <c r="AG261" s="126"/>
      <c r="AH261" s="117">
        <v>0</v>
      </c>
      <c r="AI261" s="116">
        <v>0</v>
      </c>
      <c r="AJ261" s="116">
        <v>0</v>
      </c>
      <c r="AK261" s="116">
        <v>0</v>
      </c>
      <c r="AL261" s="116">
        <v>0</v>
      </c>
      <c r="AM261" s="118">
        <v>0</v>
      </c>
      <c r="AN261" s="118">
        <v>0</v>
      </c>
      <c r="AO261" s="118" t="s">
        <v>475</v>
      </c>
      <c r="AP261" s="118">
        <v>31</v>
      </c>
    </row>
    <row r="262" spans="1:42" x14ac:dyDescent="0.15">
      <c r="A262" s="26" t="s">
        <v>363</v>
      </c>
      <c r="B262" s="26" t="s">
        <v>594</v>
      </c>
      <c r="C262" s="26" t="s">
        <v>471</v>
      </c>
      <c r="D262" s="26" t="s">
        <v>368</v>
      </c>
      <c r="E262" s="26" t="s">
        <v>473</v>
      </c>
      <c r="F262" s="26" t="s">
        <v>474</v>
      </c>
      <c r="G262" s="26">
        <v>0</v>
      </c>
      <c r="H262" s="26">
        <v>31</v>
      </c>
      <c r="I262" s="26">
        <v>4</v>
      </c>
      <c r="J262" s="119">
        <v>4</v>
      </c>
      <c r="K262" s="122">
        <v>4</v>
      </c>
      <c r="L262" s="122"/>
      <c r="M262" s="122"/>
      <c r="N262" s="122"/>
      <c r="O262" s="122"/>
      <c r="P262" s="116">
        <v>27</v>
      </c>
      <c r="Q262" s="116">
        <v>31</v>
      </c>
      <c r="R262" s="116">
        <v>4</v>
      </c>
      <c r="S262" s="116">
        <v>31</v>
      </c>
      <c r="T262" s="116">
        <v>0</v>
      </c>
      <c r="U262" s="116">
        <v>0</v>
      </c>
      <c r="V262" s="116">
        <v>0</v>
      </c>
      <c r="W262" s="116">
        <v>0</v>
      </c>
      <c r="X262" s="30"/>
      <c r="Y262" s="30"/>
      <c r="Z262" s="30"/>
      <c r="AA262" s="30"/>
      <c r="AB262" s="126"/>
      <c r="AC262" s="126"/>
      <c r="AD262" s="126"/>
      <c r="AE262" s="126"/>
      <c r="AF262" s="126"/>
      <c r="AG262" s="126"/>
      <c r="AH262" s="117">
        <v>0</v>
      </c>
      <c r="AI262" s="116">
        <v>0</v>
      </c>
      <c r="AJ262" s="116">
        <v>0</v>
      </c>
      <c r="AK262" s="116">
        <v>0</v>
      </c>
      <c r="AL262" s="116">
        <v>0</v>
      </c>
      <c r="AM262" s="118">
        <v>0</v>
      </c>
      <c r="AN262" s="118">
        <v>0</v>
      </c>
      <c r="AO262" s="118" t="s">
        <v>475</v>
      </c>
      <c r="AP262" s="118">
        <v>31</v>
      </c>
    </row>
    <row r="263" spans="1:42" x14ac:dyDescent="0.15">
      <c r="A263" s="26" t="s">
        <v>363</v>
      </c>
      <c r="B263" s="26" t="s">
        <v>594</v>
      </c>
      <c r="C263" s="26" t="s">
        <v>471</v>
      </c>
      <c r="D263" s="26" t="s">
        <v>369</v>
      </c>
      <c r="E263" s="26" t="s">
        <v>473</v>
      </c>
      <c r="F263" s="26" t="s">
        <v>474</v>
      </c>
      <c r="G263" s="26">
        <v>0</v>
      </c>
      <c r="H263" s="26">
        <v>31</v>
      </c>
      <c r="I263" s="26">
        <v>4</v>
      </c>
      <c r="J263" s="119">
        <v>4</v>
      </c>
      <c r="K263" s="122">
        <v>4</v>
      </c>
      <c r="L263" s="122"/>
      <c r="M263" s="122"/>
      <c r="N263" s="122"/>
      <c r="O263" s="122"/>
      <c r="P263" s="116">
        <v>27</v>
      </c>
      <c r="Q263" s="116">
        <v>31</v>
      </c>
      <c r="R263" s="116">
        <v>4</v>
      </c>
      <c r="S263" s="116">
        <v>31</v>
      </c>
      <c r="T263" s="116">
        <v>0</v>
      </c>
      <c r="U263" s="116">
        <v>0</v>
      </c>
      <c r="V263" s="116">
        <v>0</v>
      </c>
      <c r="W263" s="116">
        <v>0</v>
      </c>
      <c r="X263" s="30">
        <v>20</v>
      </c>
      <c r="Y263" s="30"/>
      <c r="Z263" s="30"/>
      <c r="AA263" s="30"/>
      <c r="AB263" s="126"/>
      <c r="AC263" s="126"/>
      <c r="AD263" s="126"/>
      <c r="AE263" s="126"/>
      <c r="AF263" s="126"/>
      <c r="AG263" s="126"/>
      <c r="AH263" s="117">
        <v>0</v>
      </c>
      <c r="AI263" s="116">
        <v>0</v>
      </c>
      <c r="AJ263" s="116">
        <v>0</v>
      </c>
      <c r="AK263" s="116">
        <v>0</v>
      </c>
      <c r="AL263" s="116">
        <v>0</v>
      </c>
      <c r="AM263" s="118">
        <v>0</v>
      </c>
      <c r="AN263" s="118">
        <v>0</v>
      </c>
      <c r="AO263" s="118" t="s">
        <v>475</v>
      </c>
      <c r="AP263" s="118">
        <v>31</v>
      </c>
    </row>
    <row r="264" spans="1:42" x14ac:dyDescent="0.15">
      <c r="A264" s="26" t="s">
        <v>370</v>
      </c>
      <c r="B264" s="26" t="s">
        <v>479</v>
      </c>
      <c r="C264" s="26" t="s">
        <v>471</v>
      </c>
      <c r="D264" s="26" t="s">
        <v>595</v>
      </c>
      <c r="E264" s="26" t="s">
        <v>473</v>
      </c>
      <c r="F264" s="26" t="s">
        <v>474</v>
      </c>
      <c r="G264" s="26">
        <v>0</v>
      </c>
      <c r="H264" s="26">
        <v>31</v>
      </c>
      <c r="I264" s="26">
        <v>4</v>
      </c>
      <c r="J264" s="119">
        <v>4</v>
      </c>
      <c r="K264" s="122">
        <v>4</v>
      </c>
      <c r="L264" s="122"/>
      <c r="M264" s="122"/>
      <c r="N264" s="122"/>
      <c r="O264" s="122"/>
      <c r="P264" s="116">
        <v>27</v>
      </c>
      <c r="Q264" s="116">
        <v>31</v>
      </c>
      <c r="R264" s="116">
        <v>4</v>
      </c>
      <c r="S264" s="116">
        <v>31</v>
      </c>
      <c r="T264" s="116">
        <v>0</v>
      </c>
      <c r="U264" s="116">
        <v>0</v>
      </c>
      <c r="V264" s="116">
        <v>0</v>
      </c>
      <c r="W264" s="116">
        <v>0</v>
      </c>
      <c r="X264" s="30"/>
      <c r="Y264" s="30">
        <v>10</v>
      </c>
      <c r="Z264" s="30"/>
      <c r="AA264" s="30"/>
      <c r="AB264" s="126"/>
      <c r="AC264" s="126"/>
      <c r="AD264" s="126"/>
      <c r="AE264" s="126"/>
      <c r="AF264" s="126"/>
      <c r="AG264" s="126"/>
      <c r="AH264" s="117">
        <v>0</v>
      </c>
      <c r="AI264" s="116">
        <v>0</v>
      </c>
      <c r="AJ264" s="116">
        <v>0</v>
      </c>
      <c r="AK264" s="116">
        <v>0</v>
      </c>
      <c r="AL264" s="116">
        <v>0</v>
      </c>
      <c r="AM264" s="118">
        <v>0</v>
      </c>
      <c r="AN264" s="118">
        <v>0</v>
      </c>
      <c r="AO264" s="118" t="s">
        <v>475</v>
      </c>
      <c r="AP264" s="118">
        <v>31</v>
      </c>
    </row>
    <row r="265" spans="1:42" x14ac:dyDescent="0.15">
      <c r="A265" s="26" t="s">
        <v>370</v>
      </c>
      <c r="B265" s="26" t="s">
        <v>594</v>
      </c>
      <c r="C265" s="26" t="s">
        <v>471</v>
      </c>
      <c r="D265" s="26" t="s">
        <v>371</v>
      </c>
      <c r="E265" s="26" t="s">
        <v>473</v>
      </c>
      <c r="F265" s="26" t="s">
        <v>474</v>
      </c>
      <c r="G265" s="26">
        <v>0</v>
      </c>
      <c r="H265" s="26">
        <v>31</v>
      </c>
      <c r="I265" s="26">
        <v>4</v>
      </c>
      <c r="J265" s="119">
        <v>4</v>
      </c>
      <c r="K265" s="122">
        <v>4</v>
      </c>
      <c r="L265" s="122"/>
      <c r="M265" s="122"/>
      <c r="N265" s="122"/>
      <c r="O265" s="122"/>
      <c r="P265" s="116">
        <v>27</v>
      </c>
      <c r="Q265" s="116">
        <v>31</v>
      </c>
      <c r="R265" s="116">
        <v>4</v>
      </c>
      <c r="S265" s="116">
        <v>31</v>
      </c>
      <c r="T265" s="116">
        <v>0</v>
      </c>
      <c r="U265" s="116">
        <v>0</v>
      </c>
      <c r="V265" s="116">
        <v>0</v>
      </c>
      <c r="W265" s="116">
        <v>0</v>
      </c>
      <c r="X265" s="30"/>
      <c r="Y265" s="30">
        <v>30</v>
      </c>
      <c r="Z265" s="30"/>
      <c r="AA265" s="30"/>
      <c r="AB265" s="126"/>
      <c r="AC265" s="126"/>
      <c r="AD265" s="126"/>
      <c r="AE265" s="126"/>
      <c r="AF265" s="126"/>
      <c r="AG265" s="126"/>
      <c r="AH265" s="117">
        <v>0</v>
      </c>
      <c r="AI265" s="116">
        <v>0</v>
      </c>
      <c r="AJ265" s="116">
        <v>0</v>
      </c>
      <c r="AK265" s="116">
        <v>0</v>
      </c>
      <c r="AL265" s="116">
        <v>0</v>
      </c>
      <c r="AM265" s="118">
        <v>0</v>
      </c>
      <c r="AN265" s="118">
        <v>0</v>
      </c>
      <c r="AO265" s="118" t="s">
        <v>475</v>
      </c>
      <c r="AP265" s="118">
        <v>31</v>
      </c>
    </row>
    <row r="266" spans="1:42" x14ac:dyDescent="0.15">
      <c r="A266" s="26" t="s">
        <v>370</v>
      </c>
      <c r="B266" s="26" t="s">
        <v>594</v>
      </c>
      <c r="C266" s="26" t="s">
        <v>471</v>
      </c>
      <c r="D266" s="26" t="s">
        <v>372</v>
      </c>
      <c r="E266" s="26" t="s">
        <v>473</v>
      </c>
      <c r="F266" s="26" t="s">
        <v>474</v>
      </c>
      <c r="G266" s="26">
        <v>0</v>
      </c>
      <c r="H266" s="26">
        <v>31</v>
      </c>
      <c r="I266" s="26">
        <v>4</v>
      </c>
      <c r="J266" s="119">
        <v>4</v>
      </c>
      <c r="K266" s="122">
        <v>4</v>
      </c>
      <c r="L266" s="122"/>
      <c r="M266" s="122"/>
      <c r="N266" s="122"/>
      <c r="O266" s="122"/>
      <c r="P266" s="116">
        <v>27</v>
      </c>
      <c r="Q266" s="116">
        <v>31</v>
      </c>
      <c r="R266" s="116">
        <v>4</v>
      </c>
      <c r="S266" s="116">
        <v>31</v>
      </c>
      <c r="T266" s="116">
        <v>0</v>
      </c>
      <c r="U266" s="116">
        <v>0</v>
      </c>
      <c r="V266" s="116">
        <v>0</v>
      </c>
      <c r="W266" s="116">
        <v>0</v>
      </c>
      <c r="X266" s="30"/>
      <c r="Y266" s="30"/>
      <c r="Z266" s="30"/>
      <c r="AA266" s="30"/>
      <c r="AB266" s="126"/>
      <c r="AC266" s="126"/>
      <c r="AD266" s="126"/>
      <c r="AE266" s="126"/>
      <c r="AF266" s="126"/>
      <c r="AG266" s="126"/>
      <c r="AH266" s="117">
        <v>0</v>
      </c>
      <c r="AI266" s="116">
        <v>0</v>
      </c>
      <c r="AJ266" s="116">
        <v>0</v>
      </c>
      <c r="AK266" s="116">
        <v>0</v>
      </c>
      <c r="AL266" s="116">
        <v>0</v>
      </c>
      <c r="AM266" s="118">
        <v>0</v>
      </c>
      <c r="AN266" s="118">
        <v>0</v>
      </c>
      <c r="AO266" s="118" t="s">
        <v>475</v>
      </c>
      <c r="AP266" s="118">
        <v>31</v>
      </c>
    </row>
    <row r="267" spans="1:42" x14ac:dyDescent="0.15">
      <c r="A267" s="26" t="s">
        <v>370</v>
      </c>
      <c r="B267" s="26" t="s">
        <v>594</v>
      </c>
      <c r="C267" s="26" t="s">
        <v>471</v>
      </c>
      <c r="D267" s="26" t="s">
        <v>373</v>
      </c>
      <c r="E267" s="26" t="s">
        <v>473</v>
      </c>
      <c r="F267" s="26" t="s">
        <v>474</v>
      </c>
      <c r="G267" s="26">
        <v>0</v>
      </c>
      <c r="H267" s="26">
        <v>31</v>
      </c>
      <c r="I267" s="26">
        <v>4</v>
      </c>
      <c r="J267" s="119">
        <v>4</v>
      </c>
      <c r="K267" s="122">
        <v>4</v>
      </c>
      <c r="L267" s="122"/>
      <c r="M267" s="122"/>
      <c r="N267" s="122"/>
      <c r="O267" s="122"/>
      <c r="P267" s="116">
        <v>27</v>
      </c>
      <c r="Q267" s="116">
        <v>31</v>
      </c>
      <c r="R267" s="116">
        <v>4</v>
      </c>
      <c r="S267" s="116">
        <v>31</v>
      </c>
      <c r="T267" s="116">
        <v>0</v>
      </c>
      <c r="U267" s="116">
        <v>0</v>
      </c>
      <c r="V267" s="116">
        <v>0</v>
      </c>
      <c r="W267" s="116">
        <v>0</v>
      </c>
      <c r="X267" s="30">
        <v>20</v>
      </c>
      <c r="Y267" s="30">
        <v>30</v>
      </c>
      <c r="Z267" s="30"/>
      <c r="AA267" s="30"/>
      <c r="AB267" s="126"/>
      <c r="AC267" s="126"/>
      <c r="AD267" s="126"/>
      <c r="AE267" s="126"/>
      <c r="AF267" s="126"/>
      <c r="AG267" s="126"/>
      <c r="AH267" s="117">
        <v>0</v>
      </c>
      <c r="AI267" s="116">
        <v>0</v>
      </c>
      <c r="AJ267" s="116">
        <v>0</v>
      </c>
      <c r="AK267" s="116">
        <v>0</v>
      </c>
      <c r="AL267" s="116">
        <v>0</v>
      </c>
      <c r="AM267" s="118">
        <v>0</v>
      </c>
      <c r="AN267" s="118">
        <v>0</v>
      </c>
      <c r="AO267" s="118" t="s">
        <v>475</v>
      </c>
      <c r="AP267" s="118">
        <v>31</v>
      </c>
    </row>
    <row r="268" spans="1:42" x14ac:dyDescent="0.15">
      <c r="A268" s="26" t="s">
        <v>370</v>
      </c>
      <c r="B268" s="26" t="s">
        <v>594</v>
      </c>
      <c r="C268" s="26" t="s">
        <v>471</v>
      </c>
      <c r="D268" s="26" t="s">
        <v>374</v>
      </c>
      <c r="E268" s="26" t="s">
        <v>473</v>
      </c>
      <c r="F268" s="26" t="s">
        <v>474</v>
      </c>
      <c r="G268" s="26">
        <v>0</v>
      </c>
      <c r="H268" s="26">
        <v>31</v>
      </c>
      <c r="I268" s="26">
        <v>4</v>
      </c>
      <c r="J268" s="119">
        <v>4</v>
      </c>
      <c r="K268" s="122">
        <v>4</v>
      </c>
      <c r="L268" s="122"/>
      <c r="M268" s="122"/>
      <c r="N268" s="122"/>
      <c r="O268" s="122"/>
      <c r="P268" s="116">
        <v>27</v>
      </c>
      <c r="Q268" s="116">
        <v>31</v>
      </c>
      <c r="R268" s="116">
        <v>4</v>
      </c>
      <c r="S268" s="116">
        <v>31</v>
      </c>
      <c r="T268" s="116">
        <v>0</v>
      </c>
      <c r="U268" s="116">
        <v>0</v>
      </c>
      <c r="V268" s="116">
        <v>0</v>
      </c>
      <c r="W268" s="116">
        <v>0</v>
      </c>
      <c r="X268" s="30"/>
      <c r="Y268" s="30">
        <v>10</v>
      </c>
      <c r="Z268" s="30"/>
      <c r="AA268" s="30"/>
      <c r="AB268" s="126"/>
      <c r="AC268" s="126"/>
      <c r="AD268" s="126"/>
      <c r="AE268" s="126"/>
      <c r="AF268" s="126"/>
      <c r="AG268" s="126"/>
      <c r="AH268" s="117">
        <v>0</v>
      </c>
      <c r="AI268" s="116">
        <v>0</v>
      </c>
      <c r="AJ268" s="116">
        <v>0</v>
      </c>
      <c r="AK268" s="116">
        <v>0</v>
      </c>
      <c r="AL268" s="116">
        <v>0</v>
      </c>
      <c r="AM268" s="118">
        <v>0</v>
      </c>
      <c r="AN268" s="118">
        <v>0</v>
      </c>
      <c r="AO268" s="118" t="s">
        <v>475</v>
      </c>
      <c r="AP268" s="118">
        <v>31</v>
      </c>
    </row>
    <row r="269" spans="1:42" x14ac:dyDescent="0.15">
      <c r="A269" s="26" t="s">
        <v>370</v>
      </c>
      <c r="B269" s="26" t="s">
        <v>594</v>
      </c>
      <c r="C269" s="26" t="s">
        <v>471</v>
      </c>
      <c r="D269" s="26" t="s">
        <v>375</v>
      </c>
      <c r="E269" s="26" t="s">
        <v>473</v>
      </c>
      <c r="F269" s="26" t="s">
        <v>474</v>
      </c>
      <c r="G269" s="26">
        <v>0</v>
      </c>
      <c r="H269" s="26">
        <v>31</v>
      </c>
      <c r="I269" s="26">
        <v>4</v>
      </c>
      <c r="J269" s="119">
        <v>0</v>
      </c>
      <c r="K269" s="122"/>
      <c r="L269" s="122"/>
      <c r="M269" s="122"/>
      <c r="N269" s="122"/>
      <c r="O269" s="122"/>
      <c r="P269" s="116">
        <v>31</v>
      </c>
      <c r="Q269" s="116">
        <v>31</v>
      </c>
      <c r="R269" s="116">
        <v>4</v>
      </c>
      <c r="S269" s="116">
        <v>31</v>
      </c>
      <c r="T269" s="116">
        <v>0</v>
      </c>
      <c r="U269" s="116">
        <v>0</v>
      </c>
      <c r="V269" s="116">
        <v>4</v>
      </c>
      <c r="W269" s="116">
        <v>80</v>
      </c>
      <c r="X269" s="30"/>
      <c r="Y269" s="30"/>
      <c r="Z269" s="30"/>
      <c r="AA269" s="30"/>
      <c r="AB269" s="126"/>
      <c r="AC269" s="126"/>
      <c r="AD269" s="126"/>
      <c r="AE269" s="126"/>
      <c r="AF269" s="126"/>
      <c r="AG269" s="126"/>
      <c r="AH269" s="117">
        <v>0</v>
      </c>
      <c r="AI269" s="116">
        <v>0</v>
      </c>
      <c r="AJ269" s="116">
        <v>0</v>
      </c>
      <c r="AK269" s="116">
        <v>0</v>
      </c>
      <c r="AL269" s="116">
        <v>0</v>
      </c>
      <c r="AM269" s="118">
        <v>0</v>
      </c>
      <c r="AN269" s="118">
        <v>0</v>
      </c>
      <c r="AO269" s="118" t="s">
        <v>475</v>
      </c>
      <c r="AP269" s="118">
        <v>31</v>
      </c>
    </row>
    <row r="270" spans="1:42" x14ac:dyDescent="0.15">
      <c r="A270" s="26" t="s">
        <v>555</v>
      </c>
      <c r="B270" s="26" t="s">
        <v>596</v>
      </c>
      <c r="C270" s="26">
        <v>0</v>
      </c>
      <c r="D270" s="26" t="s">
        <v>597</v>
      </c>
      <c r="E270" s="26" t="s">
        <v>473</v>
      </c>
      <c r="F270" s="26" t="s">
        <v>474</v>
      </c>
      <c r="G270" s="26">
        <v>0</v>
      </c>
      <c r="H270" s="26">
        <v>31</v>
      </c>
      <c r="I270" s="26">
        <v>4</v>
      </c>
      <c r="J270" s="119">
        <v>0</v>
      </c>
      <c r="K270" s="122"/>
      <c r="L270" s="122"/>
      <c r="M270" s="122"/>
      <c r="N270" s="122"/>
      <c r="O270" s="122"/>
      <c r="P270" s="116">
        <v>31</v>
      </c>
      <c r="Q270" s="116">
        <v>31</v>
      </c>
      <c r="R270" s="116">
        <v>4</v>
      </c>
      <c r="S270" s="116">
        <v>31</v>
      </c>
      <c r="T270" s="116">
        <v>0</v>
      </c>
      <c r="U270" s="116">
        <v>0</v>
      </c>
      <c r="V270" s="116">
        <v>0</v>
      </c>
      <c r="W270" s="116">
        <v>0</v>
      </c>
      <c r="X270" s="30"/>
      <c r="Y270" s="30"/>
      <c r="Z270" s="30"/>
      <c r="AA270" s="30"/>
      <c r="AB270" s="126"/>
      <c r="AC270" s="126"/>
      <c r="AD270" s="126"/>
      <c r="AE270" s="126"/>
      <c r="AF270" s="126"/>
      <c r="AG270" s="126"/>
      <c r="AH270" s="117">
        <v>600</v>
      </c>
      <c r="AI270" s="116">
        <v>0</v>
      </c>
      <c r="AJ270" s="116">
        <v>0</v>
      </c>
      <c r="AK270" s="116">
        <v>0</v>
      </c>
      <c r="AL270" s="116">
        <v>0</v>
      </c>
      <c r="AM270" s="118">
        <v>0</v>
      </c>
      <c r="AN270" s="118">
        <v>0</v>
      </c>
      <c r="AO270" s="118" t="s">
        <v>475</v>
      </c>
      <c r="AP270" s="118">
        <v>31</v>
      </c>
    </row>
    <row r="271" spans="1:42" x14ac:dyDescent="0.15">
      <c r="A271" s="26" t="s">
        <v>177</v>
      </c>
      <c r="B271" s="26" t="s">
        <v>596</v>
      </c>
      <c r="C271" s="26">
        <v>0</v>
      </c>
      <c r="D271" s="26" t="s">
        <v>598</v>
      </c>
      <c r="E271" s="26" t="s">
        <v>473</v>
      </c>
      <c r="F271" s="26" t="s">
        <v>474</v>
      </c>
      <c r="G271" s="26">
        <v>0</v>
      </c>
      <c r="H271" s="26">
        <v>31</v>
      </c>
      <c r="I271" s="26">
        <v>4</v>
      </c>
      <c r="J271" s="119">
        <v>0</v>
      </c>
      <c r="K271" s="122"/>
      <c r="L271" s="122"/>
      <c r="M271" s="122"/>
      <c r="N271" s="122"/>
      <c r="O271" s="122"/>
      <c r="P271" s="116">
        <v>31</v>
      </c>
      <c r="Q271" s="116">
        <v>31</v>
      </c>
      <c r="R271" s="116">
        <v>4</v>
      </c>
      <c r="S271" s="116">
        <v>31</v>
      </c>
      <c r="T271" s="116">
        <v>0</v>
      </c>
      <c r="U271" s="116">
        <v>0</v>
      </c>
      <c r="V271" s="116">
        <v>0</v>
      </c>
      <c r="W271" s="116">
        <v>0</v>
      </c>
      <c r="X271" s="30"/>
      <c r="Y271" s="30"/>
      <c r="Z271" s="30"/>
      <c r="AA271" s="30"/>
      <c r="AB271" s="126"/>
      <c r="AC271" s="126"/>
      <c r="AD271" s="126"/>
      <c r="AE271" s="126"/>
      <c r="AF271" s="126"/>
      <c r="AG271" s="126"/>
      <c r="AH271" s="117">
        <v>1400</v>
      </c>
      <c r="AI271" s="116">
        <v>0</v>
      </c>
      <c r="AJ271" s="116">
        <v>0</v>
      </c>
      <c r="AK271" s="116">
        <v>0</v>
      </c>
      <c r="AL271" s="116">
        <v>0</v>
      </c>
      <c r="AM271" s="118">
        <v>0</v>
      </c>
      <c r="AN271" s="118">
        <v>0</v>
      </c>
      <c r="AO271" s="118" t="s">
        <v>475</v>
      </c>
      <c r="AP271" s="118">
        <v>31</v>
      </c>
    </row>
    <row r="272" spans="1:42" x14ac:dyDescent="0.15">
      <c r="A272" s="26" t="s">
        <v>120</v>
      </c>
      <c r="B272" s="26" t="s">
        <v>596</v>
      </c>
      <c r="C272" s="26">
        <v>0</v>
      </c>
      <c r="D272" s="26" t="s">
        <v>599</v>
      </c>
      <c r="E272" s="26" t="s">
        <v>473</v>
      </c>
      <c r="F272" s="26" t="s">
        <v>474</v>
      </c>
      <c r="G272" s="26">
        <v>0</v>
      </c>
      <c r="H272" s="26">
        <v>31</v>
      </c>
      <c r="I272" s="26">
        <v>4</v>
      </c>
      <c r="J272" s="119">
        <v>0</v>
      </c>
      <c r="K272" s="122"/>
      <c r="L272" s="122"/>
      <c r="M272" s="122"/>
      <c r="N272" s="122"/>
      <c r="O272" s="122"/>
      <c r="P272" s="116">
        <v>31</v>
      </c>
      <c r="Q272" s="116">
        <v>31</v>
      </c>
      <c r="R272" s="116">
        <v>4</v>
      </c>
      <c r="S272" s="116">
        <v>31</v>
      </c>
      <c r="T272" s="116">
        <v>0</v>
      </c>
      <c r="U272" s="116">
        <v>0</v>
      </c>
      <c r="V272" s="116">
        <v>0</v>
      </c>
      <c r="W272" s="116">
        <v>0</v>
      </c>
      <c r="X272" s="30"/>
      <c r="Y272" s="30"/>
      <c r="Z272" s="30"/>
      <c r="AA272" s="30"/>
      <c r="AB272" s="126"/>
      <c r="AC272" s="126"/>
      <c r="AD272" s="126"/>
      <c r="AE272" s="126"/>
      <c r="AF272" s="126"/>
      <c r="AG272" s="126"/>
      <c r="AH272" s="117">
        <v>1000</v>
      </c>
      <c r="AI272" s="116">
        <v>0</v>
      </c>
      <c r="AJ272" s="116">
        <v>0</v>
      </c>
      <c r="AK272" s="116">
        <v>0</v>
      </c>
      <c r="AL272" s="116">
        <v>0</v>
      </c>
      <c r="AM272" s="118">
        <v>0</v>
      </c>
      <c r="AN272" s="118">
        <v>0</v>
      </c>
      <c r="AO272" s="118" t="s">
        <v>475</v>
      </c>
      <c r="AP272" s="118">
        <v>31</v>
      </c>
    </row>
    <row r="273" spans="1:42" x14ac:dyDescent="0.15">
      <c r="A273" s="26">
        <v>468</v>
      </c>
      <c r="B273" s="26" t="s">
        <v>596</v>
      </c>
      <c r="C273" s="26">
        <v>0</v>
      </c>
      <c r="D273" s="26" t="s">
        <v>599</v>
      </c>
      <c r="E273" s="26" t="s">
        <v>473</v>
      </c>
      <c r="F273" s="26" t="s">
        <v>474</v>
      </c>
      <c r="G273" s="26">
        <v>0</v>
      </c>
      <c r="H273" s="26">
        <v>31</v>
      </c>
      <c r="I273" s="26">
        <v>4</v>
      </c>
      <c r="J273" s="119">
        <v>0</v>
      </c>
      <c r="K273" s="122"/>
      <c r="L273" s="122"/>
      <c r="M273" s="122"/>
      <c r="N273" s="122"/>
      <c r="O273" s="122"/>
      <c r="P273" s="116">
        <v>31</v>
      </c>
      <c r="Q273" s="116">
        <v>31</v>
      </c>
      <c r="R273" s="116">
        <v>4</v>
      </c>
      <c r="S273" s="116">
        <v>31</v>
      </c>
      <c r="T273" s="116">
        <v>0</v>
      </c>
      <c r="U273" s="116">
        <v>0</v>
      </c>
      <c r="V273" s="116">
        <v>0</v>
      </c>
      <c r="W273" s="116">
        <v>0</v>
      </c>
      <c r="X273" s="30"/>
      <c r="Y273" s="30"/>
      <c r="Z273" s="30"/>
      <c r="AA273" s="30"/>
      <c r="AB273" s="126"/>
      <c r="AC273" s="126"/>
      <c r="AD273" s="126"/>
      <c r="AE273" s="126"/>
      <c r="AF273" s="126"/>
      <c r="AG273" s="126"/>
      <c r="AH273" s="117">
        <v>1000</v>
      </c>
      <c r="AI273" s="116">
        <v>0</v>
      </c>
      <c r="AJ273" s="116">
        <v>0</v>
      </c>
      <c r="AK273" s="116">
        <v>0</v>
      </c>
      <c r="AL273" s="116">
        <v>0</v>
      </c>
      <c r="AM273" s="118">
        <v>0</v>
      </c>
      <c r="AN273" s="118">
        <v>0</v>
      </c>
      <c r="AO273" s="118" t="s">
        <v>475</v>
      </c>
      <c r="AP273" s="118">
        <v>31</v>
      </c>
    </row>
    <row r="274" spans="1:42" x14ac:dyDescent="0.15">
      <c r="A274" s="26" t="s">
        <v>51</v>
      </c>
      <c r="B274" s="26" t="s">
        <v>596</v>
      </c>
      <c r="C274" s="26">
        <v>0</v>
      </c>
      <c r="D274" s="26" t="s">
        <v>600</v>
      </c>
      <c r="E274" s="26" t="s">
        <v>473</v>
      </c>
      <c r="F274" s="26" t="s">
        <v>474</v>
      </c>
      <c r="G274" s="26">
        <v>0</v>
      </c>
      <c r="H274" s="26">
        <v>31</v>
      </c>
      <c r="I274" s="26">
        <v>4</v>
      </c>
      <c r="J274" s="119">
        <v>0</v>
      </c>
      <c r="K274" s="122"/>
      <c r="L274" s="122"/>
      <c r="M274" s="122"/>
      <c r="N274" s="122"/>
      <c r="O274" s="122"/>
      <c r="P274" s="116">
        <v>31</v>
      </c>
      <c r="Q274" s="116">
        <v>31</v>
      </c>
      <c r="R274" s="116">
        <v>4</v>
      </c>
      <c r="S274" s="116">
        <v>31</v>
      </c>
      <c r="T274" s="116">
        <v>0</v>
      </c>
      <c r="U274" s="116">
        <v>0</v>
      </c>
      <c r="V274" s="116">
        <v>0</v>
      </c>
      <c r="W274" s="116">
        <v>0</v>
      </c>
      <c r="X274" s="30"/>
      <c r="Y274" s="30"/>
      <c r="Z274" s="30"/>
      <c r="AA274" s="30"/>
      <c r="AB274" s="126"/>
      <c r="AC274" s="126"/>
      <c r="AD274" s="126"/>
      <c r="AE274" s="126"/>
      <c r="AF274" s="126"/>
      <c r="AG274" s="126"/>
      <c r="AH274" s="117">
        <v>3200</v>
      </c>
      <c r="AI274" s="116">
        <v>0</v>
      </c>
      <c r="AJ274" s="116">
        <v>0</v>
      </c>
      <c r="AK274" s="116">
        <v>0</v>
      </c>
      <c r="AL274" s="116">
        <v>0</v>
      </c>
      <c r="AM274" s="118">
        <v>0</v>
      </c>
      <c r="AN274" s="118">
        <v>0</v>
      </c>
      <c r="AO274" s="118" t="s">
        <v>475</v>
      </c>
      <c r="AP274" s="118">
        <v>31</v>
      </c>
    </row>
    <row r="275" spans="1:42" x14ac:dyDescent="0.15">
      <c r="A275" s="26" t="s">
        <v>198</v>
      </c>
      <c r="B275" s="26" t="s">
        <v>596</v>
      </c>
      <c r="C275" s="26">
        <v>0</v>
      </c>
      <c r="D275" s="26" t="s">
        <v>601</v>
      </c>
      <c r="E275" s="26" t="s">
        <v>473</v>
      </c>
      <c r="F275" s="26" t="s">
        <v>474</v>
      </c>
      <c r="G275" s="26">
        <v>0</v>
      </c>
      <c r="H275" s="26">
        <v>31</v>
      </c>
      <c r="I275" s="26">
        <v>4</v>
      </c>
      <c r="J275" s="119">
        <v>0</v>
      </c>
      <c r="K275" s="122"/>
      <c r="L275" s="122"/>
      <c r="M275" s="122"/>
      <c r="N275" s="122"/>
      <c r="O275" s="122"/>
      <c r="P275" s="116">
        <v>31</v>
      </c>
      <c r="Q275" s="116">
        <v>31</v>
      </c>
      <c r="R275" s="116">
        <v>4</v>
      </c>
      <c r="S275" s="116">
        <v>31</v>
      </c>
      <c r="T275" s="116">
        <v>0</v>
      </c>
      <c r="U275" s="116">
        <v>0</v>
      </c>
      <c r="V275" s="116">
        <v>0</v>
      </c>
      <c r="W275" s="116">
        <v>0</v>
      </c>
      <c r="X275" s="30"/>
      <c r="Y275" s="30"/>
      <c r="Z275" s="30"/>
      <c r="AA275" s="30"/>
      <c r="AB275" s="126"/>
      <c r="AC275" s="126"/>
      <c r="AD275" s="126"/>
      <c r="AE275" s="126"/>
      <c r="AF275" s="126"/>
      <c r="AG275" s="126"/>
      <c r="AH275" s="117">
        <v>3200</v>
      </c>
      <c r="AI275" s="116">
        <v>0</v>
      </c>
      <c r="AJ275" s="116">
        <v>0</v>
      </c>
      <c r="AK275" s="116">
        <v>0</v>
      </c>
      <c r="AL275" s="116">
        <v>0</v>
      </c>
      <c r="AM275" s="118">
        <v>0</v>
      </c>
      <c r="AN275" s="118">
        <v>0</v>
      </c>
      <c r="AO275" s="118" t="s">
        <v>475</v>
      </c>
      <c r="AP275" s="118">
        <v>31</v>
      </c>
    </row>
    <row r="276" spans="1:42" x14ac:dyDescent="0.15">
      <c r="A276" s="26" t="s">
        <v>129</v>
      </c>
      <c r="B276" s="26" t="s">
        <v>596</v>
      </c>
      <c r="C276" s="26">
        <v>0</v>
      </c>
      <c r="D276" s="26" t="s">
        <v>602</v>
      </c>
      <c r="E276" s="26" t="s">
        <v>473</v>
      </c>
      <c r="F276" s="26" t="s">
        <v>474</v>
      </c>
      <c r="G276" s="26">
        <v>0</v>
      </c>
      <c r="H276" s="26">
        <v>31</v>
      </c>
      <c r="I276" s="26">
        <v>4</v>
      </c>
      <c r="J276" s="119">
        <v>0</v>
      </c>
      <c r="K276" s="122"/>
      <c r="L276" s="122"/>
      <c r="M276" s="122"/>
      <c r="N276" s="122"/>
      <c r="O276" s="122"/>
      <c r="P276" s="116">
        <v>31</v>
      </c>
      <c r="Q276" s="116">
        <v>31</v>
      </c>
      <c r="R276" s="116">
        <v>4</v>
      </c>
      <c r="S276" s="116">
        <v>31</v>
      </c>
      <c r="T276" s="116">
        <v>0</v>
      </c>
      <c r="U276" s="116">
        <v>0</v>
      </c>
      <c r="V276" s="116">
        <v>0</v>
      </c>
      <c r="W276" s="116">
        <v>0</v>
      </c>
      <c r="X276" s="30"/>
      <c r="Y276" s="30"/>
      <c r="Z276" s="30"/>
      <c r="AA276" s="30"/>
      <c r="AB276" s="126"/>
      <c r="AC276" s="126"/>
      <c r="AD276" s="126"/>
      <c r="AE276" s="126"/>
      <c r="AF276" s="126"/>
      <c r="AG276" s="126"/>
      <c r="AH276" s="117">
        <v>1200</v>
      </c>
      <c r="AI276" s="116">
        <v>0</v>
      </c>
      <c r="AJ276" s="116">
        <v>0</v>
      </c>
      <c r="AK276" s="116">
        <v>0</v>
      </c>
      <c r="AL276" s="116">
        <v>0</v>
      </c>
      <c r="AM276" s="118">
        <v>0</v>
      </c>
      <c r="AN276" s="118">
        <v>0</v>
      </c>
      <c r="AO276" s="118" t="s">
        <v>475</v>
      </c>
      <c r="AP276" s="118">
        <v>31</v>
      </c>
    </row>
    <row r="277" spans="1:42" x14ac:dyDescent="0.15">
      <c r="A277" s="26" t="s">
        <v>225</v>
      </c>
      <c r="B277" s="26" t="s">
        <v>596</v>
      </c>
      <c r="C277" s="26">
        <v>0</v>
      </c>
      <c r="D277" s="26" t="s">
        <v>603</v>
      </c>
      <c r="E277" s="26" t="s">
        <v>473</v>
      </c>
      <c r="F277" s="26" t="s">
        <v>474</v>
      </c>
      <c r="G277" s="26">
        <v>0</v>
      </c>
      <c r="H277" s="26">
        <v>31</v>
      </c>
      <c r="I277" s="26">
        <v>4</v>
      </c>
      <c r="J277" s="119">
        <v>0</v>
      </c>
      <c r="K277" s="122"/>
      <c r="L277" s="122"/>
      <c r="M277" s="122"/>
      <c r="N277" s="122"/>
      <c r="O277" s="122"/>
      <c r="P277" s="116">
        <v>31</v>
      </c>
      <c r="Q277" s="116">
        <v>31</v>
      </c>
      <c r="R277" s="116">
        <v>4</v>
      </c>
      <c r="S277" s="116">
        <v>31</v>
      </c>
      <c r="T277" s="116">
        <v>0</v>
      </c>
      <c r="U277" s="116">
        <v>0</v>
      </c>
      <c r="V277" s="116">
        <v>0</v>
      </c>
      <c r="W277" s="116">
        <v>0</v>
      </c>
      <c r="X277" s="30"/>
      <c r="Y277" s="30"/>
      <c r="Z277" s="30"/>
      <c r="AA277" s="30"/>
      <c r="AB277" s="126"/>
      <c r="AC277" s="126"/>
      <c r="AD277" s="126"/>
      <c r="AE277" s="126"/>
      <c r="AF277" s="126"/>
      <c r="AG277" s="126"/>
      <c r="AH277" s="117">
        <v>1200</v>
      </c>
      <c r="AI277" s="116">
        <v>0</v>
      </c>
      <c r="AJ277" s="116">
        <v>0</v>
      </c>
      <c r="AK277" s="116">
        <v>0</v>
      </c>
      <c r="AL277" s="116">
        <v>0</v>
      </c>
      <c r="AM277" s="118">
        <v>0</v>
      </c>
      <c r="AN277" s="118">
        <v>0</v>
      </c>
      <c r="AO277" s="118" t="s">
        <v>475</v>
      </c>
      <c r="AP277" s="118">
        <v>31</v>
      </c>
    </row>
    <row r="278" spans="1:42" x14ac:dyDescent="0.15">
      <c r="A278" s="26" t="s">
        <v>209</v>
      </c>
      <c r="B278" s="26" t="s">
        <v>596</v>
      </c>
      <c r="C278" s="26">
        <v>0</v>
      </c>
      <c r="D278" s="26" t="s">
        <v>604</v>
      </c>
      <c r="E278" s="26" t="s">
        <v>473</v>
      </c>
      <c r="F278" s="26" t="s">
        <v>474</v>
      </c>
      <c r="G278" s="26">
        <v>0</v>
      </c>
      <c r="H278" s="26">
        <v>31</v>
      </c>
      <c r="I278" s="26">
        <v>4</v>
      </c>
      <c r="J278" s="119">
        <v>0</v>
      </c>
      <c r="K278" s="122"/>
      <c r="L278" s="122"/>
      <c r="M278" s="122"/>
      <c r="N278" s="122"/>
      <c r="O278" s="122"/>
      <c r="P278" s="116">
        <v>31</v>
      </c>
      <c r="Q278" s="116">
        <v>31</v>
      </c>
      <c r="R278" s="116">
        <v>4</v>
      </c>
      <c r="S278" s="116">
        <v>31</v>
      </c>
      <c r="T278" s="116">
        <v>0</v>
      </c>
      <c r="U278" s="116">
        <v>0</v>
      </c>
      <c r="V278" s="116">
        <v>0</v>
      </c>
      <c r="W278" s="116">
        <v>0</v>
      </c>
      <c r="X278" s="30"/>
      <c r="Y278" s="30"/>
      <c r="Z278" s="30"/>
      <c r="AA278" s="30"/>
      <c r="AB278" s="126"/>
      <c r="AC278" s="126"/>
      <c r="AD278" s="126"/>
      <c r="AE278" s="126"/>
      <c r="AF278" s="126"/>
      <c r="AG278" s="126"/>
      <c r="AH278" s="117">
        <v>1300</v>
      </c>
      <c r="AI278" s="116">
        <v>0</v>
      </c>
      <c r="AJ278" s="116">
        <v>0</v>
      </c>
      <c r="AK278" s="116">
        <v>0</v>
      </c>
      <c r="AL278" s="116">
        <v>0</v>
      </c>
      <c r="AM278" s="118">
        <v>0</v>
      </c>
      <c r="AN278" s="118">
        <v>0</v>
      </c>
      <c r="AO278" s="118" t="s">
        <v>475</v>
      </c>
      <c r="AP278" s="118">
        <v>31</v>
      </c>
    </row>
    <row r="279" spans="1:42" x14ac:dyDescent="0.15">
      <c r="A279" s="26" t="s">
        <v>75</v>
      </c>
      <c r="B279" s="26" t="s">
        <v>596</v>
      </c>
      <c r="C279" s="26">
        <v>0</v>
      </c>
      <c r="D279" s="26" t="s">
        <v>605</v>
      </c>
      <c r="E279" s="26" t="s">
        <v>473</v>
      </c>
      <c r="F279" s="26" t="s">
        <v>474</v>
      </c>
      <c r="G279" s="26">
        <v>0</v>
      </c>
      <c r="H279" s="26">
        <v>31</v>
      </c>
      <c r="I279" s="26">
        <v>4</v>
      </c>
      <c r="J279" s="119">
        <v>0</v>
      </c>
      <c r="K279" s="122"/>
      <c r="L279" s="122"/>
      <c r="M279" s="122"/>
      <c r="N279" s="122"/>
      <c r="O279" s="122"/>
      <c r="P279" s="116">
        <v>31</v>
      </c>
      <c r="Q279" s="116">
        <v>31</v>
      </c>
      <c r="R279" s="116">
        <v>4</v>
      </c>
      <c r="S279" s="116">
        <v>31</v>
      </c>
      <c r="T279" s="116">
        <v>0</v>
      </c>
      <c r="U279" s="116">
        <v>0</v>
      </c>
      <c r="V279" s="116">
        <v>0</v>
      </c>
      <c r="W279" s="116">
        <v>0</v>
      </c>
      <c r="X279" s="30"/>
      <c r="Y279" s="30"/>
      <c r="Z279" s="30"/>
      <c r="AA279" s="30"/>
      <c r="AB279" s="126"/>
      <c r="AC279" s="126"/>
      <c r="AD279" s="126"/>
      <c r="AE279" s="126"/>
      <c r="AF279" s="126"/>
      <c r="AG279" s="126"/>
      <c r="AH279" s="117">
        <v>1000</v>
      </c>
      <c r="AI279" s="116">
        <v>0</v>
      </c>
      <c r="AJ279" s="116">
        <v>0</v>
      </c>
      <c r="AK279" s="116">
        <v>0</v>
      </c>
      <c r="AL279" s="116">
        <v>0</v>
      </c>
      <c r="AM279" s="118">
        <v>0</v>
      </c>
      <c r="AN279" s="118">
        <v>0</v>
      </c>
      <c r="AO279" s="118" t="s">
        <v>475</v>
      </c>
      <c r="AP279" s="118">
        <v>31</v>
      </c>
    </row>
    <row r="280" spans="1:42" x14ac:dyDescent="0.15">
      <c r="A280" s="26" t="s">
        <v>112</v>
      </c>
      <c r="B280" s="26" t="s">
        <v>596</v>
      </c>
      <c r="C280" s="26">
        <v>0</v>
      </c>
      <c r="D280" s="26" t="s">
        <v>606</v>
      </c>
      <c r="E280" s="26" t="s">
        <v>473</v>
      </c>
      <c r="F280" s="26" t="s">
        <v>474</v>
      </c>
      <c r="G280" s="26">
        <v>0</v>
      </c>
      <c r="H280" s="26">
        <v>31</v>
      </c>
      <c r="I280" s="26">
        <v>4</v>
      </c>
      <c r="J280" s="119">
        <v>0</v>
      </c>
      <c r="K280" s="122"/>
      <c r="L280" s="122"/>
      <c r="M280" s="122"/>
      <c r="N280" s="122"/>
      <c r="O280" s="122"/>
      <c r="P280" s="116">
        <v>31</v>
      </c>
      <c r="Q280" s="116">
        <v>31</v>
      </c>
      <c r="R280" s="116">
        <v>4</v>
      </c>
      <c r="S280" s="116">
        <v>31</v>
      </c>
      <c r="T280" s="116">
        <v>0</v>
      </c>
      <c r="U280" s="116">
        <v>0</v>
      </c>
      <c r="V280" s="116">
        <v>0</v>
      </c>
      <c r="W280" s="116">
        <v>0</v>
      </c>
      <c r="X280" s="30"/>
      <c r="Y280" s="30"/>
      <c r="Z280" s="30"/>
      <c r="AA280" s="30"/>
      <c r="AB280" s="126"/>
      <c r="AC280" s="126"/>
      <c r="AD280" s="126"/>
      <c r="AE280" s="126"/>
      <c r="AF280" s="126"/>
      <c r="AG280" s="126"/>
      <c r="AH280" s="117">
        <v>320</v>
      </c>
      <c r="AI280" s="116">
        <v>0</v>
      </c>
      <c r="AJ280" s="116">
        <v>0</v>
      </c>
      <c r="AK280" s="116">
        <v>0</v>
      </c>
      <c r="AL280" s="116">
        <v>0</v>
      </c>
      <c r="AM280" s="118">
        <v>0</v>
      </c>
      <c r="AN280" s="118">
        <v>0</v>
      </c>
      <c r="AO280" s="118" t="s">
        <v>475</v>
      </c>
      <c r="AP280" s="118">
        <v>31</v>
      </c>
    </row>
    <row r="281" spans="1:42" x14ac:dyDescent="0.15">
      <c r="A281" s="26" t="s">
        <v>102</v>
      </c>
      <c r="B281" s="26" t="s">
        <v>596</v>
      </c>
      <c r="C281" s="26">
        <v>0</v>
      </c>
      <c r="D281" s="26" t="s">
        <v>607</v>
      </c>
      <c r="E281" s="26" t="s">
        <v>473</v>
      </c>
      <c r="F281" s="26" t="s">
        <v>474</v>
      </c>
      <c r="G281" s="26">
        <v>0</v>
      </c>
      <c r="H281" s="26">
        <v>31</v>
      </c>
      <c r="I281" s="26">
        <v>4</v>
      </c>
      <c r="J281" s="119">
        <v>0</v>
      </c>
      <c r="K281" s="122"/>
      <c r="L281" s="122"/>
      <c r="M281" s="122"/>
      <c r="N281" s="122"/>
      <c r="O281" s="122"/>
      <c r="P281" s="116">
        <v>31</v>
      </c>
      <c r="Q281" s="116">
        <v>31</v>
      </c>
      <c r="R281" s="116">
        <v>4</v>
      </c>
      <c r="S281" s="116">
        <v>31</v>
      </c>
      <c r="T281" s="116">
        <v>0</v>
      </c>
      <c r="U281" s="116">
        <v>0</v>
      </c>
      <c r="V281" s="116">
        <v>0</v>
      </c>
      <c r="W281" s="116">
        <v>0</v>
      </c>
      <c r="X281" s="30"/>
      <c r="Y281" s="30"/>
      <c r="Z281" s="30"/>
      <c r="AA281" s="30"/>
      <c r="AB281" s="126"/>
      <c r="AC281" s="126"/>
      <c r="AD281" s="126"/>
      <c r="AE281" s="126"/>
      <c r="AF281" s="126"/>
      <c r="AG281" s="126"/>
      <c r="AH281" s="117">
        <v>2903.22580645161</v>
      </c>
      <c r="AI281" s="116">
        <v>0</v>
      </c>
      <c r="AJ281" s="116">
        <v>0</v>
      </c>
      <c r="AK281" s="116">
        <v>0</v>
      </c>
      <c r="AL281" s="116">
        <v>0</v>
      </c>
      <c r="AM281" s="118">
        <v>0</v>
      </c>
      <c r="AN281" s="118">
        <v>0</v>
      </c>
      <c r="AO281" s="118" t="s">
        <v>475</v>
      </c>
      <c r="AP281" s="118">
        <v>31</v>
      </c>
    </row>
    <row r="282" spans="1:42" x14ac:dyDescent="0.15">
      <c r="A282" s="26" t="s">
        <v>66</v>
      </c>
      <c r="B282" s="26" t="s">
        <v>596</v>
      </c>
      <c r="C282" s="26">
        <v>0</v>
      </c>
      <c r="D282" s="26" t="s">
        <v>608</v>
      </c>
      <c r="E282" s="26" t="s">
        <v>473</v>
      </c>
      <c r="F282" s="26" t="s">
        <v>474</v>
      </c>
      <c r="G282" s="26">
        <v>0</v>
      </c>
      <c r="H282" s="26">
        <v>31</v>
      </c>
      <c r="I282" s="26">
        <v>4</v>
      </c>
      <c r="J282" s="119">
        <v>0</v>
      </c>
      <c r="K282" s="122"/>
      <c r="L282" s="122"/>
      <c r="M282" s="122"/>
      <c r="N282" s="122"/>
      <c r="O282" s="122"/>
      <c r="P282" s="116">
        <v>31</v>
      </c>
      <c r="Q282" s="116">
        <v>31</v>
      </c>
      <c r="R282" s="116">
        <v>4</v>
      </c>
      <c r="S282" s="116">
        <v>31</v>
      </c>
      <c r="T282" s="116">
        <v>0</v>
      </c>
      <c r="U282" s="116">
        <v>0</v>
      </c>
      <c r="V282" s="116">
        <v>0</v>
      </c>
      <c r="W282" s="116">
        <v>0</v>
      </c>
      <c r="X282" s="30"/>
      <c r="Y282" s="30"/>
      <c r="Z282" s="30"/>
      <c r="AA282" s="30"/>
      <c r="AB282" s="126"/>
      <c r="AC282" s="126"/>
      <c r="AD282" s="126"/>
      <c r="AE282" s="126"/>
      <c r="AF282" s="126"/>
      <c r="AG282" s="126"/>
      <c r="AH282" s="117">
        <v>1200</v>
      </c>
      <c r="AI282" s="116">
        <v>0</v>
      </c>
      <c r="AJ282" s="116">
        <v>0</v>
      </c>
      <c r="AK282" s="116">
        <v>0</v>
      </c>
      <c r="AL282" s="116">
        <v>0</v>
      </c>
      <c r="AM282" s="118">
        <v>0</v>
      </c>
      <c r="AN282" s="118">
        <v>0</v>
      </c>
      <c r="AO282" s="118" t="s">
        <v>475</v>
      </c>
      <c r="AP282" s="118">
        <v>31</v>
      </c>
    </row>
    <row r="283" spans="1:42" x14ac:dyDescent="0.15">
      <c r="A283" s="26" t="s">
        <v>233</v>
      </c>
      <c r="B283" s="26" t="s">
        <v>596</v>
      </c>
      <c r="C283" s="26">
        <v>0</v>
      </c>
      <c r="D283" s="26" t="s">
        <v>609</v>
      </c>
      <c r="E283" s="26" t="s">
        <v>473</v>
      </c>
      <c r="F283" s="26" t="s">
        <v>474</v>
      </c>
      <c r="G283" s="26">
        <v>0</v>
      </c>
      <c r="H283" s="26">
        <v>31</v>
      </c>
      <c r="I283" s="26">
        <v>4</v>
      </c>
      <c r="J283" s="119">
        <v>0</v>
      </c>
      <c r="K283" s="122"/>
      <c r="L283" s="122"/>
      <c r="M283" s="122"/>
      <c r="N283" s="122"/>
      <c r="O283" s="122"/>
      <c r="P283" s="116">
        <v>31</v>
      </c>
      <c r="Q283" s="116">
        <v>31</v>
      </c>
      <c r="R283" s="116">
        <v>4</v>
      </c>
      <c r="S283" s="116">
        <v>31</v>
      </c>
      <c r="T283" s="116">
        <v>0</v>
      </c>
      <c r="U283" s="116">
        <v>0</v>
      </c>
      <c r="V283" s="116">
        <v>0</v>
      </c>
      <c r="W283" s="116">
        <v>0</v>
      </c>
      <c r="X283" s="30"/>
      <c r="Y283" s="30"/>
      <c r="Z283" s="30"/>
      <c r="AA283" s="30"/>
      <c r="AB283" s="126"/>
      <c r="AC283" s="126"/>
      <c r="AD283" s="126"/>
      <c r="AE283" s="126"/>
      <c r="AF283" s="126"/>
      <c r="AG283" s="126"/>
      <c r="AH283" s="117">
        <v>1300</v>
      </c>
      <c r="AI283" s="116">
        <v>0</v>
      </c>
      <c r="AJ283" s="116">
        <v>0</v>
      </c>
      <c r="AK283" s="116">
        <v>0</v>
      </c>
      <c r="AL283" s="116">
        <v>0</v>
      </c>
      <c r="AM283" s="118">
        <v>0</v>
      </c>
      <c r="AN283" s="118">
        <v>0</v>
      </c>
      <c r="AO283" s="118" t="s">
        <v>475</v>
      </c>
      <c r="AP283" s="118">
        <v>31</v>
      </c>
    </row>
    <row r="284" spans="1:42" x14ac:dyDescent="0.15">
      <c r="A284" s="26" t="s">
        <v>238</v>
      </c>
      <c r="B284" s="26" t="s">
        <v>596</v>
      </c>
      <c r="C284" s="26">
        <v>0</v>
      </c>
      <c r="D284" s="26" t="s">
        <v>610</v>
      </c>
      <c r="E284" s="26" t="s">
        <v>473</v>
      </c>
      <c r="F284" s="26" t="s">
        <v>474</v>
      </c>
      <c r="G284" s="26">
        <v>0</v>
      </c>
      <c r="H284" s="26">
        <v>31</v>
      </c>
      <c r="I284" s="26">
        <v>4</v>
      </c>
      <c r="J284" s="119">
        <v>0</v>
      </c>
      <c r="K284" s="122"/>
      <c r="L284" s="122"/>
      <c r="M284" s="122"/>
      <c r="N284" s="122"/>
      <c r="O284" s="122"/>
      <c r="P284" s="116">
        <v>31</v>
      </c>
      <c r="Q284" s="116">
        <v>31</v>
      </c>
      <c r="R284" s="116">
        <v>4</v>
      </c>
      <c r="S284" s="116">
        <v>31</v>
      </c>
      <c r="T284" s="116">
        <v>0</v>
      </c>
      <c r="U284" s="116">
        <v>0</v>
      </c>
      <c r="V284" s="116">
        <v>0</v>
      </c>
      <c r="W284" s="116">
        <v>0</v>
      </c>
      <c r="X284" s="30"/>
      <c r="Y284" s="30"/>
      <c r="Z284" s="30"/>
      <c r="AA284" s="30"/>
      <c r="AB284" s="126"/>
      <c r="AC284" s="126"/>
      <c r="AD284" s="126"/>
      <c r="AE284" s="126"/>
      <c r="AF284" s="126"/>
      <c r="AG284" s="126"/>
      <c r="AH284" s="117">
        <v>1200</v>
      </c>
      <c r="AI284" s="116">
        <v>0</v>
      </c>
      <c r="AJ284" s="116">
        <v>0</v>
      </c>
      <c r="AK284" s="116">
        <v>0</v>
      </c>
      <c r="AL284" s="116">
        <v>0</v>
      </c>
      <c r="AM284" s="118">
        <v>0</v>
      </c>
      <c r="AN284" s="118">
        <v>0</v>
      </c>
      <c r="AO284" s="118" t="s">
        <v>475</v>
      </c>
      <c r="AP284" s="118">
        <v>31</v>
      </c>
    </row>
    <row r="285" spans="1:42" x14ac:dyDescent="0.15">
      <c r="A285" s="26" t="s">
        <v>145</v>
      </c>
      <c r="B285" s="26" t="s">
        <v>596</v>
      </c>
      <c r="C285" s="26">
        <v>0</v>
      </c>
      <c r="D285" s="26" t="s">
        <v>611</v>
      </c>
      <c r="E285" s="26" t="s">
        <v>473</v>
      </c>
      <c r="F285" s="26" t="s">
        <v>474</v>
      </c>
      <c r="G285" s="26">
        <v>0</v>
      </c>
      <c r="H285" s="26">
        <v>31</v>
      </c>
      <c r="I285" s="26">
        <v>4</v>
      </c>
      <c r="J285" s="119">
        <v>0</v>
      </c>
      <c r="K285" s="122"/>
      <c r="L285" s="122"/>
      <c r="M285" s="122"/>
      <c r="N285" s="122"/>
      <c r="O285" s="122"/>
      <c r="P285" s="116">
        <v>31</v>
      </c>
      <c r="Q285" s="116">
        <v>31</v>
      </c>
      <c r="R285" s="116">
        <v>4</v>
      </c>
      <c r="S285" s="116">
        <v>31</v>
      </c>
      <c r="T285" s="116">
        <v>0</v>
      </c>
      <c r="U285" s="116">
        <v>0</v>
      </c>
      <c r="V285" s="116">
        <v>0</v>
      </c>
      <c r="W285" s="116">
        <v>0</v>
      </c>
      <c r="X285" s="30"/>
      <c r="Y285" s="30"/>
      <c r="Z285" s="30"/>
      <c r="AA285" s="30"/>
      <c r="AB285" s="126"/>
      <c r="AC285" s="126"/>
      <c r="AD285" s="126"/>
      <c r="AE285" s="126"/>
      <c r="AF285" s="126"/>
      <c r="AG285" s="126"/>
      <c r="AH285" s="117">
        <v>1200</v>
      </c>
      <c r="AI285" s="116">
        <v>0</v>
      </c>
      <c r="AJ285" s="116">
        <v>0</v>
      </c>
      <c r="AK285" s="116">
        <v>0</v>
      </c>
      <c r="AL285" s="116">
        <v>0</v>
      </c>
      <c r="AM285" s="118">
        <v>0</v>
      </c>
      <c r="AN285" s="118">
        <v>0</v>
      </c>
      <c r="AO285" s="118" t="s">
        <v>475</v>
      </c>
      <c r="AP285" s="118">
        <v>31</v>
      </c>
    </row>
    <row r="286" spans="1:42" x14ac:dyDescent="0.15">
      <c r="A286" s="26" t="s">
        <v>162</v>
      </c>
      <c r="B286" s="26" t="s">
        <v>596</v>
      </c>
      <c r="C286" s="26">
        <v>0</v>
      </c>
      <c r="D286" s="26" t="s">
        <v>612</v>
      </c>
      <c r="E286" s="26" t="s">
        <v>473</v>
      </c>
      <c r="F286" s="26" t="s">
        <v>474</v>
      </c>
      <c r="G286" s="26">
        <v>0</v>
      </c>
      <c r="H286" s="26">
        <v>31</v>
      </c>
      <c r="I286" s="26">
        <v>4</v>
      </c>
      <c r="J286" s="119">
        <v>0</v>
      </c>
      <c r="K286" s="122"/>
      <c r="L286" s="122"/>
      <c r="M286" s="122"/>
      <c r="N286" s="122"/>
      <c r="O286" s="122"/>
      <c r="P286" s="116">
        <v>31</v>
      </c>
      <c r="Q286" s="116">
        <v>31</v>
      </c>
      <c r="R286" s="116">
        <v>4</v>
      </c>
      <c r="S286" s="116">
        <v>31</v>
      </c>
      <c r="T286" s="116">
        <v>0</v>
      </c>
      <c r="U286" s="116">
        <v>0</v>
      </c>
      <c r="V286" s="116">
        <v>0</v>
      </c>
      <c r="W286" s="116">
        <v>0</v>
      </c>
      <c r="X286" s="30"/>
      <c r="Y286" s="30"/>
      <c r="Z286" s="30"/>
      <c r="AA286" s="30"/>
      <c r="AB286" s="126"/>
      <c r="AC286" s="126"/>
      <c r="AD286" s="126"/>
      <c r="AE286" s="126"/>
      <c r="AF286" s="126"/>
      <c r="AG286" s="126"/>
      <c r="AH286" s="117">
        <v>1400</v>
      </c>
      <c r="AI286" s="116">
        <v>0</v>
      </c>
      <c r="AJ286" s="116">
        <v>0</v>
      </c>
      <c r="AK286" s="116">
        <v>0</v>
      </c>
      <c r="AL286" s="116">
        <v>0</v>
      </c>
      <c r="AM286" s="118">
        <v>0</v>
      </c>
      <c r="AN286" s="118">
        <v>0</v>
      </c>
      <c r="AO286" s="118" t="s">
        <v>475</v>
      </c>
      <c r="AP286" s="118">
        <v>31</v>
      </c>
    </row>
    <row r="287" spans="1:42" x14ac:dyDescent="0.15">
      <c r="A287" s="26" t="s">
        <v>217</v>
      </c>
      <c r="B287" s="26" t="s">
        <v>596</v>
      </c>
      <c r="C287" s="26">
        <v>0</v>
      </c>
      <c r="D287" s="26" t="s">
        <v>613</v>
      </c>
      <c r="E287" s="26" t="s">
        <v>473</v>
      </c>
      <c r="F287" s="26" t="s">
        <v>474</v>
      </c>
      <c r="G287" s="26">
        <v>0</v>
      </c>
      <c r="H287" s="26">
        <v>31</v>
      </c>
      <c r="I287" s="26">
        <v>4</v>
      </c>
      <c r="J287" s="119">
        <v>0</v>
      </c>
      <c r="K287" s="122"/>
      <c r="L287" s="122"/>
      <c r="M287" s="122"/>
      <c r="N287" s="122"/>
      <c r="O287" s="122"/>
      <c r="P287" s="116">
        <v>31</v>
      </c>
      <c r="Q287" s="116">
        <v>31</v>
      </c>
      <c r="R287" s="116">
        <v>4</v>
      </c>
      <c r="S287" s="116">
        <v>31</v>
      </c>
      <c r="T287" s="116">
        <v>0</v>
      </c>
      <c r="U287" s="116">
        <v>0</v>
      </c>
      <c r="V287" s="116">
        <v>0</v>
      </c>
      <c r="W287" s="116">
        <v>0</v>
      </c>
      <c r="X287" s="30"/>
      <c r="Y287" s="30"/>
      <c r="Z287" s="30"/>
      <c r="AA287" s="30"/>
      <c r="AB287" s="126"/>
      <c r="AC287" s="126"/>
      <c r="AD287" s="126"/>
      <c r="AE287" s="126"/>
      <c r="AF287" s="126"/>
      <c r="AG287" s="126"/>
      <c r="AH287" s="117">
        <v>1500</v>
      </c>
      <c r="AI287" s="116">
        <v>0</v>
      </c>
      <c r="AJ287" s="116">
        <v>0</v>
      </c>
      <c r="AK287" s="116">
        <v>0</v>
      </c>
      <c r="AL287" s="116">
        <v>0</v>
      </c>
      <c r="AM287" s="118">
        <v>0</v>
      </c>
      <c r="AN287" s="118">
        <v>0</v>
      </c>
      <c r="AO287" s="118" t="s">
        <v>475</v>
      </c>
      <c r="AP287" s="118">
        <v>31</v>
      </c>
    </row>
    <row r="288" spans="1:42" x14ac:dyDescent="0.15">
      <c r="A288" s="26" t="s">
        <v>251</v>
      </c>
      <c r="B288" s="26" t="s">
        <v>596</v>
      </c>
      <c r="C288" s="26">
        <v>0</v>
      </c>
      <c r="D288" s="26" t="s">
        <v>614</v>
      </c>
      <c r="E288" s="26" t="s">
        <v>473</v>
      </c>
      <c r="F288" s="26" t="s">
        <v>474</v>
      </c>
      <c r="G288" s="26">
        <v>0</v>
      </c>
      <c r="H288" s="26">
        <v>31</v>
      </c>
      <c r="I288" s="26">
        <v>4</v>
      </c>
      <c r="J288" s="119">
        <v>0</v>
      </c>
      <c r="K288" s="122"/>
      <c r="L288" s="122"/>
      <c r="M288" s="122"/>
      <c r="N288" s="122"/>
      <c r="O288" s="122"/>
      <c r="P288" s="116">
        <v>31</v>
      </c>
      <c r="Q288" s="116">
        <v>31</v>
      </c>
      <c r="R288" s="116">
        <v>4</v>
      </c>
      <c r="S288" s="116">
        <v>31</v>
      </c>
      <c r="T288" s="116">
        <v>0</v>
      </c>
      <c r="U288" s="116">
        <v>0</v>
      </c>
      <c r="V288" s="116">
        <v>0</v>
      </c>
      <c r="W288" s="116">
        <v>0</v>
      </c>
      <c r="X288" s="30"/>
      <c r="Y288" s="30"/>
      <c r="Z288" s="30"/>
      <c r="AA288" s="30"/>
      <c r="AB288" s="126"/>
      <c r="AC288" s="126"/>
      <c r="AD288" s="126"/>
      <c r="AE288" s="126"/>
      <c r="AF288" s="126"/>
      <c r="AG288" s="126"/>
      <c r="AH288" s="117">
        <v>1400</v>
      </c>
      <c r="AI288" s="116">
        <v>0</v>
      </c>
      <c r="AJ288" s="116">
        <v>0</v>
      </c>
      <c r="AK288" s="116">
        <v>0</v>
      </c>
      <c r="AL288" s="116">
        <v>0</v>
      </c>
      <c r="AM288" s="118">
        <v>0</v>
      </c>
      <c r="AN288" s="118">
        <v>0</v>
      </c>
      <c r="AO288" s="118" t="s">
        <v>475</v>
      </c>
      <c r="AP288" s="118">
        <v>31</v>
      </c>
    </row>
    <row r="289" spans="1:42" x14ac:dyDescent="0.15">
      <c r="A289" s="26" t="s">
        <v>41</v>
      </c>
      <c r="B289" s="26" t="s">
        <v>596</v>
      </c>
      <c r="C289" s="26">
        <v>0</v>
      </c>
      <c r="D289" s="26" t="s">
        <v>615</v>
      </c>
      <c r="E289" s="26" t="s">
        <v>473</v>
      </c>
      <c r="F289" s="26" t="s">
        <v>474</v>
      </c>
      <c r="G289" s="26">
        <v>0</v>
      </c>
      <c r="H289" s="26">
        <v>31</v>
      </c>
      <c r="I289" s="26">
        <v>4</v>
      </c>
      <c r="J289" s="119">
        <v>0</v>
      </c>
      <c r="K289" s="122"/>
      <c r="L289" s="122"/>
      <c r="M289" s="122"/>
      <c r="N289" s="122"/>
      <c r="O289" s="122"/>
      <c r="P289" s="116">
        <v>31</v>
      </c>
      <c r="Q289" s="116">
        <v>31</v>
      </c>
      <c r="R289" s="116">
        <v>4</v>
      </c>
      <c r="S289" s="116">
        <v>31</v>
      </c>
      <c r="T289" s="116">
        <v>0</v>
      </c>
      <c r="U289" s="116">
        <v>0</v>
      </c>
      <c r="V289" s="116">
        <v>0</v>
      </c>
      <c r="W289" s="116">
        <v>0</v>
      </c>
      <c r="X289" s="30"/>
      <c r="Y289" s="30"/>
      <c r="Z289" s="30"/>
      <c r="AA289" s="30"/>
      <c r="AB289" s="126"/>
      <c r="AC289" s="126"/>
      <c r="AD289" s="126"/>
      <c r="AE289" s="126"/>
      <c r="AF289" s="126"/>
      <c r="AG289" s="126"/>
      <c r="AH289" s="117">
        <v>1300</v>
      </c>
      <c r="AI289" s="116">
        <v>0</v>
      </c>
      <c r="AJ289" s="116">
        <v>0</v>
      </c>
      <c r="AK289" s="116">
        <v>0</v>
      </c>
      <c r="AL289" s="116">
        <v>0</v>
      </c>
      <c r="AM289" s="118">
        <v>0</v>
      </c>
      <c r="AN289" s="118">
        <v>0</v>
      </c>
      <c r="AO289" s="118" t="s">
        <v>475</v>
      </c>
      <c r="AP289" s="118">
        <v>31</v>
      </c>
    </row>
    <row r="290" spans="1:42" x14ac:dyDescent="0.15">
      <c r="A290" s="26" t="s">
        <v>136</v>
      </c>
      <c r="B290" s="26" t="s">
        <v>596</v>
      </c>
      <c r="C290" s="26">
        <v>0</v>
      </c>
      <c r="D290" s="26" t="s">
        <v>616</v>
      </c>
      <c r="E290" s="26" t="s">
        <v>473</v>
      </c>
      <c r="F290" s="26" t="s">
        <v>474</v>
      </c>
      <c r="G290" s="26">
        <v>0</v>
      </c>
      <c r="H290" s="26">
        <v>31</v>
      </c>
      <c r="I290" s="26">
        <v>4</v>
      </c>
      <c r="J290" s="119">
        <v>0</v>
      </c>
      <c r="K290" s="122"/>
      <c r="L290" s="122"/>
      <c r="M290" s="122"/>
      <c r="N290" s="122"/>
      <c r="O290" s="122"/>
      <c r="P290" s="116">
        <v>31</v>
      </c>
      <c r="Q290" s="116">
        <v>31</v>
      </c>
      <c r="R290" s="116">
        <v>4</v>
      </c>
      <c r="S290" s="116">
        <v>31</v>
      </c>
      <c r="T290" s="116">
        <v>0</v>
      </c>
      <c r="U290" s="116">
        <v>0</v>
      </c>
      <c r="V290" s="116">
        <v>0</v>
      </c>
      <c r="W290" s="116">
        <v>0</v>
      </c>
      <c r="X290" s="30"/>
      <c r="Y290" s="30"/>
      <c r="Z290" s="30"/>
      <c r="AA290" s="30"/>
      <c r="AB290" s="126"/>
      <c r="AC290" s="126"/>
      <c r="AD290" s="126"/>
      <c r="AE290" s="126"/>
      <c r="AF290" s="126"/>
      <c r="AG290" s="126"/>
      <c r="AH290" s="117">
        <v>1200</v>
      </c>
      <c r="AI290" s="116">
        <v>0</v>
      </c>
      <c r="AJ290" s="116">
        <v>0</v>
      </c>
      <c r="AK290" s="116">
        <v>0</v>
      </c>
      <c r="AL290" s="116">
        <v>0</v>
      </c>
      <c r="AM290" s="118">
        <v>0</v>
      </c>
      <c r="AN290" s="118">
        <v>0</v>
      </c>
      <c r="AO290" s="118" t="s">
        <v>475</v>
      </c>
      <c r="AP290" s="118">
        <v>31</v>
      </c>
    </row>
    <row r="291" spans="1:42" x14ac:dyDescent="0.15">
      <c r="A291" s="26" t="s">
        <v>81</v>
      </c>
      <c r="B291" s="26" t="s">
        <v>596</v>
      </c>
      <c r="C291" s="26">
        <v>0</v>
      </c>
      <c r="D291" s="26" t="s">
        <v>617</v>
      </c>
      <c r="E291" s="26" t="s">
        <v>473</v>
      </c>
      <c r="F291" s="26" t="s">
        <v>474</v>
      </c>
      <c r="G291" s="26">
        <v>0</v>
      </c>
      <c r="H291" s="26">
        <v>31</v>
      </c>
      <c r="I291" s="26">
        <v>4</v>
      </c>
      <c r="J291" s="119">
        <v>0</v>
      </c>
      <c r="K291" s="122"/>
      <c r="L291" s="122"/>
      <c r="M291" s="122"/>
      <c r="N291" s="122"/>
      <c r="O291" s="122"/>
      <c r="P291" s="116">
        <v>31</v>
      </c>
      <c r="Q291" s="116">
        <v>31</v>
      </c>
      <c r="R291" s="116">
        <v>4</v>
      </c>
      <c r="S291" s="116">
        <v>31</v>
      </c>
      <c r="T291" s="116">
        <v>0</v>
      </c>
      <c r="U291" s="116">
        <v>0</v>
      </c>
      <c r="V291" s="116">
        <v>0</v>
      </c>
      <c r="W291" s="116">
        <v>0</v>
      </c>
      <c r="X291" s="30"/>
      <c r="Y291" s="30"/>
      <c r="Z291" s="30"/>
      <c r="AA291" s="30"/>
      <c r="AB291" s="126"/>
      <c r="AC291" s="126"/>
      <c r="AD291" s="126"/>
      <c r="AE291" s="126"/>
      <c r="AF291" s="126"/>
      <c r="AG291" s="126"/>
      <c r="AH291" s="117">
        <v>1100</v>
      </c>
      <c r="AI291" s="116">
        <v>0</v>
      </c>
      <c r="AJ291" s="116">
        <v>0</v>
      </c>
      <c r="AK291" s="116">
        <v>0</v>
      </c>
      <c r="AL291" s="116">
        <v>0</v>
      </c>
      <c r="AM291" s="118">
        <v>0</v>
      </c>
      <c r="AN291" s="118">
        <v>0</v>
      </c>
      <c r="AO291" s="118" t="s">
        <v>475</v>
      </c>
      <c r="AP291" s="118">
        <v>31</v>
      </c>
    </row>
    <row r="292" spans="1:42" x14ac:dyDescent="0.15">
      <c r="A292" s="26" t="s">
        <v>90</v>
      </c>
      <c r="B292" s="26" t="s">
        <v>596</v>
      </c>
      <c r="C292" s="26">
        <v>0</v>
      </c>
      <c r="D292" s="26" t="s">
        <v>618</v>
      </c>
      <c r="E292" s="26" t="s">
        <v>473</v>
      </c>
      <c r="F292" s="26" t="s">
        <v>474</v>
      </c>
      <c r="G292" s="26">
        <v>0</v>
      </c>
      <c r="H292" s="26">
        <v>31</v>
      </c>
      <c r="I292" s="26">
        <v>4</v>
      </c>
      <c r="J292" s="119">
        <v>0</v>
      </c>
      <c r="K292" s="122"/>
      <c r="L292" s="122"/>
      <c r="M292" s="122"/>
      <c r="N292" s="122"/>
      <c r="O292" s="122"/>
      <c r="P292" s="116">
        <v>31</v>
      </c>
      <c r="Q292" s="116">
        <v>31</v>
      </c>
      <c r="R292" s="116">
        <v>4</v>
      </c>
      <c r="S292" s="116">
        <v>31</v>
      </c>
      <c r="T292" s="116">
        <v>0</v>
      </c>
      <c r="U292" s="116">
        <v>0</v>
      </c>
      <c r="V292" s="116">
        <v>0</v>
      </c>
      <c r="W292" s="116">
        <v>0</v>
      </c>
      <c r="X292" s="30"/>
      <c r="Y292" s="30"/>
      <c r="Z292" s="30"/>
      <c r="AA292" s="30"/>
      <c r="AB292" s="126"/>
      <c r="AC292" s="126"/>
      <c r="AD292" s="126"/>
      <c r="AE292" s="126"/>
      <c r="AF292" s="126"/>
      <c r="AG292" s="126"/>
      <c r="AH292" s="117">
        <v>1400</v>
      </c>
      <c r="AI292" s="116">
        <v>0</v>
      </c>
      <c r="AJ292" s="116">
        <v>0</v>
      </c>
      <c r="AK292" s="116">
        <v>0</v>
      </c>
      <c r="AL292" s="116">
        <v>0</v>
      </c>
      <c r="AM292" s="118">
        <v>0</v>
      </c>
      <c r="AN292" s="118">
        <v>0</v>
      </c>
      <c r="AO292" s="118" t="s">
        <v>475</v>
      </c>
      <c r="AP292" s="118">
        <v>31</v>
      </c>
    </row>
    <row r="293" spans="1:42" x14ac:dyDescent="0.15">
      <c r="A293" s="26" t="s">
        <v>184</v>
      </c>
      <c r="B293" s="26" t="s">
        <v>596</v>
      </c>
      <c r="C293" s="26">
        <v>0</v>
      </c>
      <c r="D293" s="26" t="s">
        <v>619</v>
      </c>
      <c r="E293" s="26" t="s">
        <v>473</v>
      </c>
      <c r="F293" s="26" t="s">
        <v>474</v>
      </c>
      <c r="G293" s="26">
        <v>0</v>
      </c>
      <c r="H293" s="26">
        <v>31</v>
      </c>
      <c r="I293" s="26">
        <v>4</v>
      </c>
      <c r="J293" s="119">
        <v>0</v>
      </c>
      <c r="K293" s="122"/>
      <c r="L293" s="122"/>
      <c r="M293" s="122"/>
      <c r="N293" s="122"/>
      <c r="O293" s="122"/>
      <c r="P293" s="116">
        <v>31</v>
      </c>
      <c r="Q293" s="116">
        <v>31</v>
      </c>
      <c r="R293" s="116">
        <v>4</v>
      </c>
      <c r="S293" s="116">
        <v>31</v>
      </c>
      <c r="T293" s="116">
        <v>0</v>
      </c>
      <c r="U293" s="116">
        <v>0</v>
      </c>
      <c r="V293" s="116">
        <v>0</v>
      </c>
      <c r="W293" s="116">
        <v>0</v>
      </c>
      <c r="X293" s="30"/>
      <c r="Y293" s="30"/>
      <c r="Z293" s="30"/>
      <c r="AA293" s="30"/>
      <c r="AB293" s="126"/>
      <c r="AC293" s="126"/>
      <c r="AD293" s="126"/>
      <c r="AE293" s="126"/>
      <c r="AF293" s="126"/>
      <c r="AG293" s="126"/>
      <c r="AH293" s="117">
        <v>1445.16129032258</v>
      </c>
      <c r="AI293" s="116">
        <v>0</v>
      </c>
      <c r="AJ293" s="116">
        <v>0</v>
      </c>
      <c r="AK293" s="116">
        <v>0</v>
      </c>
      <c r="AL293" s="116">
        <v>0</v>
      </c>
      <c r="AM293" s="118">
        <v>0</v>
      </c>
      <c r="AN293" s="118">
        <v>0</v>
      </c>
      <c r="AO293" s="118" t="s">
        <v>475</v>
      </c>
      <c r="AP293" s="118">
        <v>31</v>
      </c>
    </row>
    <row r="294" spans="1:42" x14ac:dyDescent="0.15">
      <c r="A294" s="26" t="s">
        <v>245</v>
      </c>
      <c r="B294" s="26" t="s">
        <v>596</v>
      </c>
      <c r="C294" s="26">
        <v>0</v>
      </c>
      <c r="D294" s="26" t="s">
        <v>620</v>
      </c>
      <c r="E294" s="26" t="s">
        <v>473</v>
      </c>
      <c r="F294" s="26" t="s">
        <v>474</v>
      </c>
      <c r="G294" s="26">
        <v>0</v>
      </c>
      <c r="H294" s="26">
        <v>31</v>
      </c>
      <c r="I294" s="26">
        <v>4</v>
      </c>
      <c r="J294" s="119">
        <v>0</v>
      </c>
      <c r="K294" s="122"/>
      <c r="L294" s="122"/>
      <c r="M294" s="122"/>
      <c r="N294" s="122"/>
      <c r="O294" s="122"/>
      <c r="P294" s="116">
        <v>31</v>
      </c>
      <c r="Q294" s="116">
        <v>31</v>
      </c>
      <c r="R294" s="116">
        <v>4</v>
      </c>
      <c r="S294" s="116">
        <v>31</v>
      </c>
      <c r="T294" s="116">
        <v>0</v>
      </c>
      <c r="U294" s="116">
        <v>0</v>
      </c>
      <c r="V294" s="116">
        <v>0</v>
      </c>
      <c r="W294" s="116">
        <v>0</v>
      </c>
      <c r="X294" s="30"/>
      <c r="Y294" s="30"/>
      <c r="Z294" s="30"/>
      <c r="AA294" s="30"/>
      <c r="AB294" s="126"/>
      <c r="AC294" s="126"/>
      <c r="AD294" s="126"/>
      <c r="AE294" s="126"/>
      <c r="AF294" s="126"/>
      <c r="AG294" s="126"/>
      <c r="AH294" s="117">
        <v>1200</v>
      </c>
      <c r="AI294" s="116">
        <v>0</v>
      </c>
      <c r="AJ294" s="116">
        <v>0</v>
      </c>
      <c r="AK294" s="116">
        <v>0</v>
      </c>
      <c r="AL294" s="116">
        <v>0</v>
      </c>
      <c r="AM294" s="118">
        <v>0</v>
      </c>
      <c r="AN294" s="118">
        <v>0</v>
      </c>
      <c r="AO294" s="118" t="s">
        <v>475</v>
      </c>
      <c r="AP294" s="118">
        <v>31</v>
      </c>
    </row>
    <row r="295" spans="1:42" x14ac:dyDescent="0.15">
      <c r="A295" s="26" t="s">
        <v>60</v>
      </c>
      <c r="B295" s="26" t="s">
        <v>596</v>
      </c>
      <c r="C295" s="26">
        <v>0</v>
      </c>
      <c r="D295" s="26" t="s">
        <v>621</v>
      </c>
      <c r="E295" s="26" t="s">
        <v>473</v>
      </c>
      <c r="F295" s="26" t="s">
        <v>474</v>
      </c>
      <c r="G295" s="26">
        <v>0</v>
      </c>
      <c r="H295" s="26">
        <v>31</v>
      </c>
      <c r="I295" s="26">
        <v>4</v>
      </c>
      <c r="J295" s="119">
        <v>0</v>
      </c>
      <c r="K295" s="122"/>
      <c r="L295" s="122"/>
      <c r="M295" s="122"/>
      <c r="N295" s="122"/>
      <c r="O295" s="122"/>
      <c r="P295" s="116">
        <v>31</v>
      </c>
      <c r="Q295" s="116">
        <v>31</v>
      </c>
      <c r="R295" s="116">
        <v>4</v>
      </c>
      <c r="S295" s="116">
        <v>31</v>
      </c>
      <c r="T295" s="116">
        <v>0</v>
      </c>
      <c r="U295" s="116">
        <v>0</v>
      </c>
      <c r="V295" s="116">
        <v>0</v>
      </c>
      <c r="W295" s="116">
        <v>0</v>
      </c>
      <c r="X295" s="30"/>
      <c r="Y295" s="30"/>
      <c r="Z295" s="30"/>
      <c r="AA295" s="30"/>
      <c r="AB295" s="126"/>
      <c r="AC295" s="126"/>
      <c r="AD295" s="126"/>
      <c r="AE295" s="126"/>
      <c r="AF295" s="126"/>
      <c r="AG295" s="126"/>
      <c r="AH295" s="117">
        <v>1161.2903225806499</v>
      </c>
      <c r="AI295" s="116">
        <v>0</v>
      </c>
      <c r="AJ295" s="116">
        <v>0</v>
      </c>
      <c r="AK295" s="116">
        <v>0</v>
      </c>
      <c r="AL295" s="116">
        <v>0</v>
      </c>
      <c r="AM295" s="118">
        <v>0</v>
      </c>
      <c r="AN295" s="118">
        <v>0</v>
      </c>
      <c r="AO295" s="118" t="s">
        <v>475</v>
      </c>
      <c r="AP295" s="118">
        <v>31</v>
      </c>
    </row>
    <row r="296" spans="1:42" x14ac:dyDescent="0.15">
      <c r="A296" s="26" t="s">
        <v>97</v>
      </c>
      <c r="B296" s="26" t="s">
        <v>596</v>
      </c>
      <c r="C296" s="26">
        <v>0</v>
      </c>
      <c r="D296" s="26" t="s">
        <v>622</v>
      </c>
      <c r="E296" s="26" t="s">
        <v>473</v>
      </c>
      <c r="F296" s="26" t="s">
        <v>474</v>
      </c>
      <c r="G296" s="26">
        <v>0</v>
      </c>
      <c r="H296" s="26">
        <v>31</v>
      </c>
      <c r="I296" s="26">
        <v>4</v>
      </c>
      <c r="J296" s="119">
        <v>0</v>
      </c>
      <c r="K296" s="122"/>
      <c r="L296" s="122"/>
      <c r="M296" s="122"/>
      <c r="N296" s="122"/>
      <c r="O296" s="122"/>
      <c r="P296" s="116">
        <v>31</v>
      </c>
      <c r="Q296" s="116">
        <v>31</v>
      </c>
      <c r="R296" s="116">
        <v>4</v>
      </c>
      <c r="S296" s="116">
        <v>31</v>
      </c>
      <c r="T296" s="116">
        <v>0</v>
      </c>
      <c r="U296" s="116">
        <v>0</v>
      </c>
      <c r="V296" s="116">
        <v>0</v>
      </c>
      <c r="W296" s="116">
        <v>0</v>
      </c>
      <c r="X296" s="30"/>
      <c r="Y296" s="30"/>
      <c r="Z296" s="30"/>
      <c r="AA296" s="30"/>
      <c r="AB296" s="126"/>
      <c r="AC296" s="126"/>
      <c r="AD296" s="126"/>
      <c r="AE296" s="126"/>
      <c r="AF296" s="126"/>
      <c r="AG296" s="126"/>
      <c r="AH296" s="117">
        <v>1064.5161290322601</v>
      </c>
      <c r="AI296" s="116">
        <v>0</v>
      </c>
      <c r="AJ296" s="116">
        <v>0</v>
      </c>
      <c r="AK296" s="116">
        <v>0</v>
      </c>
      <c r="AL296" s="116">
        <v>0</v>
      </c>
      <c r="AM296" s="118">
        <v>0</v>
      </c>
      <c r="AN296" s="118">
        <v>0</v>
      </c>
      <c r="AO296" s="118" t="s">
        <v>475</v>
      </c>
      <c r="AP296" s="118">
        <v>31</v>
      </c>
    </row>
    <row r="297" spans="1:42" x14ac:dyDescent="0.15">
      <c r="A297" s="26" t="s">
        <v>193</v>
      </c>
      <c r="B297" s="26" t="s">
        <v>596</v>
      </c>
      <c r="C297" s="26">
        <v>0</v>
      </c>
      <c r="D297" s="26" t="s">
        <v>623</v>
      </c>
      <c r="E297" s="26" t="s">
        <v>473</v>
      </c>
      <c r="F297" s="26" t="s">
        <v>474</v>
      </c>
      <c r="G297" s="26">
        <v>0</v>
      </c>
      <c r="H297" s="26">
        <v>31</v>
      </c>
      <c r="I297" s="26">
        <v>4</v>
      </c>
      <c r="J297" s="119">
        <v>0</v>
      </c>
      <c r="K297" s="122"/>
      <c r="L297" s="122"/>
      <c r="M297" s="122"/>
      <c r="N297" s="122"/>
      <c r="O297" s="122"/>
      <c r="P297" s="116">
        <v>31</v>
      </c>
      <c r="Q297" s="116">
        <v>31</v>
      </c>
      <c r="R297" s="116">
        <v>4</v>
      </c>
      <c r="S297" s="116">
        <v>31</v>
      </c>
      <c r="T297" s="116">
        <v>0</v>
      </c>
      <c r="U297" s="116">
        <v>0</v>
      </c>
      <c r="V297" s="116">
        <v>0</v>
      </c>
      <c r="W297" s="116">
        <v>0</v>
      </c>
      <c r="X297" s="30"/>
      <c r="Y297" s="30"/>
      <c r="Z297" s="30"/>
      <c r="AA297" s="30"/>
      <c r="AB297" s="126"/>
      <c r="AC297" s="126"/>
      <c r="AD297" s="126"/>
      <c r="AE297" s="126"/>
      <c r="AF297" s="126"/>
      <c r="AG297" s="126"/>
      <c r="AH297" s="117">
        <v>1300</v>
      </c>
      <c r="AI297" s="116">
        <v>0</v>
      </c>
      <c r="AJ297" s="116">
        <v>0</v>
      </c>
      <c r="AK297" s="116">
        <v>0</v>
      </c>
      <c r="AL297" s="116">
        <v>0</v>
      </c>
      <c r="AM297" s="118">
        <v>0</v>
      </c>
      <c r="AN297" s="118">
        <v>0</v>
      </c>
      <c r="AO297" s="118" t="s">
        <v>475</v>
      </c>
      <c r="AP297" s="118">
        <v>31</v>
      </c>
    </row>
    <row r="298" spans="1:42" x14ac:dyDescent="0.15">
      <c r="A298" s="26" t="s">
        <v>153</v>
      </c>
      <c r="B298" s="26" t="s">
        <v>596</v>
      </c>
      <c r="C298" s="26">
        <v>0</v>
      </c>
      <c r="D298" s="26" t="s">
        <v>624</v>
      </c>
      <c r="E298" s="26" t="s">
        <v>473</v>
      </c>
      <c r="F298" s="26" t="s">
        <v>474</v>
      </c>
      <c r="G298" s="26">
        <v>0</v>
      </c>
      <c r="H298" s="26">
        <v>31</v>
      </c>
      <c r="I298" s="26">
        <v>4</v>
      </c>
      <c r="J298" s="119">
        <v>0</v>
      </c>
      <c r="K298" s="122"/>
      <c r="L298" s="122"/>
      <c r="M298" s="122"/>
      <c r="N298" s="122"/>
      <c r="O298" s="122"/>
      <c r="P298" s="116">
        <v>31</v>
      </c>
      <c r="Q298" s="116">
        <v>31</v>
      </c>
      <c r="R298" s="116">
        <v>4</v>
      </c>
      <c r="S298" s="116">
        <v>31</v>
      </c>
      <c r="T298" s="116">
        <v>0</v>
      </c>
      <c r="U298" s="116">
        <v>0</v>
      </c>
      <c r="V298" s="116">
        <v>0</v>
      </c>
      <c r="W298" s="116">
        <v>0</v>
      </c>
      <c r="X298" s="30"/>
      <c r="Y298" s="30"/>
      <c r="Z298" s="30"/>
      <c r="AA298" s="30"/>
      <c r="AB298" s="126"/>
      <c r="AC298" s="126"/>
      <c r="AD298" s="126"/>
      <c r="AE298" s="126"/>
      <c r="AF298" s="126"/>
      <c r="AG298" s="126"/>
      <c r="AH298" s="117">
        <v>1200</v>
      </c>
      <c r="AI298" s="116">
        <v>0</v>
      </c>
      <c r="AJ298" s="116">
        <v>0</v>
      </c>
      <c r="AK298" s="116">
        <v>0</v>
      </c>
      <c r="AL298" s="116">
        <v>0</v>
      </c>
      <c r="AM298" s="118">
        <v>0</v>
      </c>
      <c r="AN298" s="118">
        <v>0</v>
      </c>
      <c r="AO298" s="118" t="s">
        <v>475</v>
      </c>
      <c r="AP298" s="118">
        <v>31</v>
      </c>
    </row>
    <row r="299" spans="1:42" s="131" customFormat="1" x14ac:dyDescent="0.15">
      <c r="A299" s="120" t="s">
        <v>169</v>
      </c>
      <c r="B299" s="120" t="s">
        <v>596</v>
      </c>
      <c r="C299" s="120">
        <v>0</v>
      </c>
      <c r="D299" s="120" t="s">
        <v>625</v>
      </c>
      <c r="E299" s="120" t="s">
        <v>473</v>
      </c>
      <c r="F299" s="120" t="s">
        <v>474</v>
      </c>
      <c r="G299" s="120">
        <v>0</v>
      </c>
      <c r="H299" s="120">
        <v>31</v>
      </c>
      <c r="I299" s="120">
        <v>4</v>
      </c>
      <c r="J299" s="131">
        <v>0</v>
      </c>
      <c r="K299" s="132"/>
      <c r="L299" s="132"/>
      <c r="M299" s="132"/>
      <c r="N299" s="132"/>
      <c r="O299" s="132"/>
      <c r="P299" s="120">
        <v>31</v>
      </c>
      <c r="Q299" s="120">
        <v>31</v>
      </c>
      <c r="R299" s="120">
        <v>4</v>
      </c>
      <c r="S299" s="120">
        <v>31</v>
      </c>
      <c r="T299" s="120">
        <v>0</v>
      </c>
      <c r="U299" s="120">
        <v>0</v>
      </c>
      <c r="V299" s="120">
        <v>0</v>
      </c>
      <c r="W299" s="120">
        <v>0</v>
      </c>
      <c r="X299" s="132"/>
      <c r="Y299" s="132"/>
      <c r="Z299" s="132"/>
      <c r="AA299" s="132"/>
      <c r="AB299" s="133"/>
      <c r="AC299" s="133"/>
      <c r="AD299" s="133">
        <v>130</v>
      </c>
      <c r="AE299" s="133"/>
      <c r="AF299" s="133"/>
      <c r="AG299" s="133"/>
      <c r="AH299" s="134">
        <v>3000</v>
      </c>
      <c r="AI299" s="120">
        <v>0</v>
      </c>
      <c r="AJ299" s="116">
        <v>0</v>
      </c>
      <c r="AK299" s="116">
        <v>0</v>
      </c>
      <c r="AL299" s="116">
        <v>0</v>
      </c>
      <c r="AM299" s="118">
        <v>0</v>
      </c>
      <c r="AN299" s="118">
        <v>0</v>
      </c>
      <c r="AO299" s="118" t="s">
        <v>475</v>
      </c>
      <c r="AP299" s="118">
        <v>31</v>
      </c>
    </row>
    <row r="300" spans="1:42" x14ac:dyDescent="0.15">
      <c r="A300" s="26" t="s">
        <v>90</v>
      </c>
      <c r="B300" s="26" t="s">
        <v>6</v>
      </c>
      <c r="C300" s="26" t="s">
        <v>477</v>
      </c>
      <c r="D300" s="26" t="s">
        <v>433</v>
      </c>
      <c r="E300" s="26" t="s">
        <v>473</v>
      </c>
      <c r="F300" s="26" t="s">
        <v>474</v>
      </c>
      <c r="G300" s="26">
        <v>0</v>
      </c>
      <c r="H300" s="26">
        <v>31</v>
      </c>
      <c r="I300" s="26">
        <v>4</v>
      </c>
      <c r="J300" s="119">
        <v>2</v>
      </c>
      <c r="K300" s="122">
        <v>2</v>
      </c>
      <c r="L300" s="122"/>
      <c r="M300" s="122"/>
      <c r="N300" s="122"/>
      <c r="O300" s="122"/>
      <c r="P300" s="116">
        <v>29</v>
      </c>
      <c r="Q300" s="116">
        <v>31</v>
      </c>
      <c r="R300" s="116">
        <v>4</v>
      </c>
      <c r="S300" s="116">
        <v>31</v>
      </c>
      <c r="T300" s="116">
        <v>0</v>
      </c>
      <c r="U300" s="116">
        <v>0</v>
      </c>
      <c r="V300" s="116">
        <v>2</v>
      </c>
      <c r="W300" s="116">
        <v>40</v>
      </c>
      <c r="X300" s="30"/>
      <c r="Y300" s="30"/>
      <c r="Z300" s="30"/>
      <c r="AA300" s="30"/>
      <c r="AB300" s="126"/>
      <c r="AC300" s="126"/>
      <c r="AD300" s="126">
        <v>130</v>
      </c>
      <c r="AE300" s="126"/>
      <c r="AF300" s="126"/>
      <c r="AG300" s="126"/>
      <c r="AH300" s="117">
        <v>0</v>
      </c>
      <c r="AI300" s="116">
        <v>120</v>
      </c>
      <c r="AJ300" s="116">
        <v>0</v>
      </c>
      <c r="AK300" s="116">
        <v>540</v>
      </c>
      <c r="AL300" s="116">
        <v>0</v>
      </c>
      <c r="AM300" s="118">
        <v>22</v>
      </c>
      <c r="AN300" s="118">
        <v>0</v>
      </c>
      <c r="AO300" s="118" t="s">
        <v>475</v>
      </c>
      <c r="AP300" s="118">
        <v>22</v>
      </c>
    </row>
    <row r="301" spans="1:42" x14ac:dyDescent="0.15">
      <c r="A301" s="26" t="s">
        <v>177</v>
      </c>
      <c r="B301" s="26" t="s">
        <v>6</v>
      </c>
      <c r="C301" s="26" t="s">
        <v>477</v>
      </c>
      <c r="D301" s="26" t="s">
        <v>437</v>
      </c>
      <c r="E301" s="26" t="s">
        <v>473</v>
      </c>
      <c r="F301" s="26" t="s">
        <v>474</v>
      </c>
      <c r="G301" s="26">
        <v>0</v>
      </c>
      <c r="H301" s="26">
        <v>29</v>
      </c>
      <c r="I301" s="26">
        <v>4</v>
      </c>
      <c r="J301" s="119">
        <v>2</v>
      </c>
      <c r="K301" s="122">
        <v>2</v>
      </c>
      <c r="L301" s="122"/>
      <c r="M301" s="122"/>
      <c r="N301" s="122"/>
      <c r="O301" s="122"/>
      <c r="P301" s="116">
        <v>27</v>
      </c>
      <c r="Q301" s="116">
        <v>29</v>
      </c>
      <c r="R301" s="116">
        <v>4</v>
      </c>
      <c r="S301" s="116">
        <v>29</v>
      </c>
      <c r="T301" s="116">
        <v>0</v>
      </c>
      <c r="U301" s="116">
        <v>0</v>
      </c>
      <c r="V301" s="116">
        <v>2</v>
      </c>
      <c r="W301" s="116">
        <v>40</v>
      </c>
      <c r="X301" s="30"/>
      <c r="Y301" s="30"/>
      <c r="Z301" s="30"/>
      <c r="AA301" s="30"/>
      <c r="AB301" s="126"/>
      <c r="AC301" s="126"/>
      <c r="AD301" s="126">
        <v>130</v>
      </c>
      <c r="AE301" s="126"/>
      <c r="AF301" s="126"/>
      <c r="AG301" s="126"/>
      <c r="AH301" s="117">
        <v>0</v>
      </c>
      <c r="AI301" s="116">
        <v>660</v>
      </c>
      <c r="AJ301" s="116">
        <v>0</v>
      </c>
      <c r="AK301" s="116">
        <v>0</v>
      </c>
      <c r="AL301" s="116">
        <v>0</v>
      </c>
      <c r="AM301" s="118">
        <v>18</v>
      </c>
      <c r="AN301" s="118">
        <v>0</v>
      </c>
      <c r="AO301" s="118" t="s">
        <v>475</v>
      </c>
      <c r="AP301" s="118">
        <v>18</v>
      </c>
    </row>
    <row r="302" spans="1:42" x14ac:dyDescent="0.15">
      <c r="A302" s="26" t="s">
        <v>209</v>
      </c>
      <c r="B302" s="26" t="s">
        <v>476</v>
      </c>
      <c r="C302" s="26" t="s">
        <v>477</v>
      </c>
      <c r="D302" s="26" t="s">
        <v>626</v>
      </c>
      <c r="E302" s="26" t="s">
        <v>473</v>
      </c>
      <c r="F302" s="26" t="s">
        <v>474</v>
      </c>
      <c r="G302" s="26">
        <v>0</v>
      </c>
      <c r="H302" s="26">
        <v>23</v>
      </c>
      <c r="I302" s="26">
        <v>3</v>
      </c>
      <c r="J302" s="119">
        <v>2</v>
      </c>
      <c r="K302" s="122">
        <v>2</v>
      </c>
      <c r="L302" s="122"/>
      <c r="M302" s="122"/>
      <c r="N302" s="122"/>
      <c r="O302" s="122"/>
      <c r="P302" s="116">
        <v>21</v>
      </c>
      <c r="Q302" s="116">
        <v>23</v>
      </c>
      <c r="R302" s="116">
        <v>3</v>
      </c>
      <c r="S302" s="116">
        <v>23</v>
      </c>
      <c r="T302" s="116">
        <v>0</v>
      </c>
      <c r="U302" s="116">
        <v>0</v>
      </c>
      <c r="V302" s="116">
        <v>0</v>
      </c>
      <c r="W302" s="116">
        <v>0</v>
      </c>
      <c r="X302" s="30"/>
      <c r="Y302" s="30"/>
      <c r="Z302" s="30"/>
      <c r="AA302" s="30"/>
      <c r="AB302" s="126"/>
      <c r="AC302" s="126"/>
      <c r="AD302" s="126">
        <v>130</v>
      </c>
      <c r="AE302" s="126"/>
      <c r="AF302" s="126"/>
      <c r="AG302" s="126"/>
      <c r="AH302" s="117">
        <v>1806.4516129032299</v>
      </c>
      <c r="AI302" s="116">
        <v>420</v>
      </c>
      <c r="AJ302" s="116">
        <v>0</v>
      </c>
      <c r="AK302" s="116">
        <v>0</v>
      </c>
      <c r="AL302" s="116">
        <v>0</v>
      </c>
      <c r="AM302" s="118">
        <v>16</v>
      </c>
      <c r="AN302" s="118">
        <v>0</v>
      </c>
      <c r="AO302" s="118" t="s">
        <v>475</v>
      </c>
      <c r="AP302" s="118">
        <v>16</v>
      </c>
    </row>
    <row r="303" spans="1:42" x14ac:dyDescent="0.15">
      <c r="A303" s="26" t="s">
        <v>233</v>
      </c>
      <c r="B303" s="26" t="s">
        <v>6</v>
      </c>
      <c r="C303" s="26" t="s">
        <v>477</v>
      </c>
      <c r="D303" s="26" t="s">
        <v>439</v>
      </c>
      <c r="E303" s="26" t="s">
        <v>473</v>
      </c>
      <c r="F303" s="26" t="s">
        <v>474</v>
      </c>
      <c r="G303" s="26">
        <v>0</v>
      </c>
      <c r="H303" s="26">
        <v>21</v>
      </c>
      <c r="I303" s="26">
        <v>3</v>
      </c>
      <c r="J303" s="119">
        <v>2</v>
      </c>
      <c r="K303" s="122">
        <v>2</v>
      </c>
      <c r="L303" s="122"/>
      <c r="M303" s="122"/>
      <c r="N303" s="122"/>
      <c r="O303" s="122"/>
      <c r="P303" s="116">
        <v>19</v>
      </c>
      <c r="Q303" s="116">
        <v>21</v>
      </c>
      <c r="R303" s="116">
        <v>3</v>
      </c>
      <c r="S303" s="116">
        <v>21</v>
      </c>
      <c r="T303" s="116">
        <v>0</v>
      </c>
      <c r="U303" s="116">
        <v>0</v>
      </c>
      <c r="V303" s="116">
        <v>1</v>
      </c>
      <c r="W303" s="116">
        <v>20</v>
      </c>
      <c r="X303" s="30"/>
      <c r="Y303" s="30"/>
      <c r="Z303" s="30"/>
      <c r="AA303" s="30"/>
      <c r="AB303" s="126"/>
      <c r="AC303" s="126"/>
      <c r="AD303" s="126">
        <v>130</v>
      </c>
      <c r="AE303" s="126"/>
      <c r="AF303" s="126"/>
      <c r="AG303" s="126"/>
      <c r="AH303" s="117">
        <v>0</v>
      </c>
      <c r="AI303" s="116">
        <v>480</v>
      </c>
      <c r="AJ303" s="116">
        <v>0</v>
      </c>
      <c r="AK303" s="116">
        <v>0</v>
      </c>
      <c r="AL303" s="116">
        <v>0</v>
      </c>
      <c r="AM303" s="118">
        <v>13</v>
      </c>
      <c r="AN303" s="118">
        <v>0</v>
      </c>
      <c r="AO303" s="118" t="s">
        <v>475</v>
      </c>
      <c r="AP303" s="118">
        <v>13</v>
      </c>
    </row>
    <row r="304" spans="1:42" x14ac:dyDescent="0.15">
      <c r="A304" s="26" t="s">
        <v>245</v>
      </c>
      <c r="B304" s="26" t="s">
        <v>6</v>
      </c>
      <c r="C304" s="26" t="s">
        <v>477</v>
      </c>
      <c r="D304" s="26" t="s">
        <v>441</v>
      </c>
      <c r="E304" s="26" t="s">
        <v>473</v>
      </c>
      <c r="F304" s="26" t="s">
        <v>474</v>
      </c>
      <c r="G304" s="26">
        <v>0</v>
      </c>
      <c r="H304" s="26">
        <v>20</v>
      </c>
      <c r="I304" s="26">
        <v>2</v>
      </c>
      <c r="J304" s="119">
        <v>2</v>
      </c>
      <c r="K304" s="122">
        <v>2</v>
      </c>
      <c r="L304" s="122"/>
      <c r="M304" s="122"/>
      <c r="N304" s="122"/>
      <c r="O304" s="122"/>
      <c r="P304" s="116">
        <v>18</v>
      </c>
      <c r="Q304" s="116">
        <v>20</v>
      </c>
      <c r="R304" s="116">
        <v>2</v>
      </c>
      <c r="S304" s="116">
        <v>20</v>
      </c>
      <c r="T304" s="116">
        <v>0</v>
      </c>
      <c r="U304" s="116">
        <v>0</v>
      </c>
      <c r="V304" s="116">
        <v>0</v>
      </c>
      <c r="W304" s="116">
        <v>0</v>
      </c>
      <c r="X304" s="30"/>
      <c r="Y304" s="30"/>
      <c r="Z304" s="30"/>
      <c r="AA304" s="30"/>
      <c r="AB304" s="126"/>
      <c r="AC304" s="126"/>
      <c r="AD304" s="126"/>
      <c r="AE304" s="126">
        <v>300</v>
      </c>
      <c r="AF304" s="126"/>
      <c r="AG304" s="126" t="s">
        <v>628</v>
      </c>
      <c r="AH304" s="117">
        <v>0</v>
      </c>
      <c r="AI304" s="116">
        <v>300</v>
      </c>
      <c r="AJ304" s="116">
        <v>200</v>
      </c>
      <c r="AK304" s="116">
        <v>0</v>
      </c>
      <c r="AL304" s="116">
        <v>0</v>
      </c>
      <c r="AM304" s="118">
        <v>15</v>
      </c>
      <c r="AN304" s="118">
        <v>0</v>
      </c>
      <c r="AO304" s="118" t="s">
        <v>475</v>
      </c>
      <c r="AP304" s="118">
        <v>15</v>
      </c>
    </row>
    <row r="305" spans="1:42" x14ac:dyDescent="0.15">
      <c r="A305" s="26" t="s">
        <v>370</v>
      </c>
      <c r="B305" s="26" t="s">
        <v>594</v>
      </c>
      <c r="C305" s="26" t="s">
        <v>471</v>
      </c>
      <c r="D305" s="26" t="s">
        <v>627</v>
      </c>
      <c r="E305" s="26" t="s">
        <v>473</v>
      </c>
      <c r="F305" s="26" t="s">
        <v>474</v>
      </c>
      <c r="G305" s="26">
        <v>0</v>
      </c>
      <c r="H305" s="26">
        <v>15</v>
      </c>
      <c r="I305" s="26">
        <v>2</v>
      </c>
      <c r="J305" s="119">
        <v>2</v>
      </c>
      <c r="K305" s="122">
        <v>2</v>
      </c>
      <c r="L305" s="122"/>
      <c r="M305" s="122"/>
      <c r="N305" s="122"/>
      <c r="O305" s="122"/>
      <c r="P305" s="116">
        <v>13</v>
      </c>
      <c r="Q305" s="116">
        <v>15</v>
      </c>
      <c r="R305" s="116">
        <v>2</v>
      </c>
      <c r="S305" s="116">
        <v>15</v>
      </c>
      <c r="T305" s="116">
        <v>0</v>
      </c>
      <c r="U305" s="116">
        <v>0</v>
      </c>
      <c r="V305" s="116">
        <v>0</v>
      </c>
      <c r="W305" s="116">
        <v>0</v>
      </c>
      <c r="X305" s="30"/>
      <c r="Y305" s="30"/>
      <c r="Z305" s="30"/>
      <c r="AA305" s="30"/>
      <c r="AB305" s="126"/>
      <c r="AC305" s="126"/>
      <c r="AD305" s="126">
        <v>130</v>
      </c>
      <c r="AE305" s="126"/>
      <c r="AF305" s="126"/>
      <c r="AG305" s="126"/>
      <c r="AH305" s="117">
        <v>0</v>
      </c>
      <c r="AI305" s="116">
        <v>560</v>
      </c>
      <c r="AJ305" s="116">
        <v>0</v>
      </c>
      <c r="AK305" s="116">
        <v>0</v>
      </c>
      <c r="AL305" s="116">
        <v>0</v>
      </c>
      <c r="AM305" s="118">
        <v>8</v>
      </c>
      <c r="AN305" s="118">
        <v>0</v>
      </c>
      <c r="AO305" s="118" t="s">
        <v>475</v>
      </c>
      <c r="AP305" s="118">
        <v>8</v>
      </c>
    </row>
    <row r="306" spans="1:42" x14ac:dyDescent="0.15">
      <c r="A306" s="26" t="s">
        <v>169</v>
      </c>
      <c r="B306" s="26" t="s">
        <v>6</v>
      </c>
      <c r="C306" s="26" t="s">
        <v>477</v>
      </c>
      <c r="D306" s="26" t="s">
        <v>436</v>
      </c>
      <c r="E306" s="26" t="s">
        <v>473</v>
      </c>
      <c r="F306" s="26" t="s">
        <v>474</v>
      </c>
      <c r="G306" s="26">
        <v>0</v>
      </c>
      <c r="H306" s="26">
        <v>18</v>
      </c>
      <c r="I306" s="26">
        <v>2</v>
      </c>
      <c r="J306" s="119">
        <v>1</v>
      </c>
      <c r="K306" s="122">
        <v>1</v>
      </c>
      <c r="L306" s="122"/>
      <c r="M306" s="122"/>
      <c r="N306" s="122"/>
      <c r="O306" s="122"/>
      <c r="P306" s="116">
        <v>17</v>
      </c>
      <c r="Q306" s="116">
        <v>18</v>
      </c>
      <c r="R306" s="116">
        <v>2</v>
      </c>
      <c r="S306" s="116">
        <v>18</v>
      </c>
      <c r="T306" s="116">
        <v>0</v>
      </c>
      <c r="U306" s="116">
        <v>0</v>
      </c>
      <c r="V306" s="116">
        <v>1</v>
      </c>
      <c r="W306" s="116">
        <v>20</v>
      </c>
      <c r="X306" s="30"/>
      <c r="Y306" s="30"/>
      <c r="Z306" s="30"/>
      <c r="AA306" s="30"/>
      <c r="AB306" s="126"/>
      <c r="AC306" s="126"/>
      <c r="AD306" s="126">
        <v>130</v>
      </c>
      <c r="AE306" s="126"/>
      <c r="AF306" s="126"/>
      <c r="AG306" s="126"/>
      <c r="AH306" s="117">
        <v>0</v>
      </c>
      <c r="AI306" s="116">
        <v>540</v>
      </c>
      <c r="AJ306" s="116">
        <v>0</v>
      </c>
      <c r="AK306" s="116">
        <v>0</v>
      </c>
      <c r="AL306" s="116">
        <v>0</v>
      </c>
      <c r="AM306" s="118">
        <v>9</v>
      </c>
      <c r="AN306" s="118">
        <v>0</v>
      </c>
      <c r="AO306" s="118" t="s">
        <v>475</v>
      </c>
      <c r="AP306" s="118">
        <v>9</v>
      </c>
    </row>
    <row r="307" spans="1:42" x14ac:dyDescent="0.15">
      <c r="A307" s="26" t="s">
        <v>233</v>
      </c>
      <c r="B307" s="26" t="s">
        <v>6</v>
      </c>
      <c r="C307" s="26" t="s">
        <v>477</v>
      </c>
      <c r="D307" s="26" t="s">
        <v>440</v>
      </c>
      <c r="E307" s="26" t="s">
        <v>473</v>
      </c>
      <c r="F307" s="26" t="s">
        <v>474</v>
      </c>
      <c r="G307" s="26">
        <v>0</v>
      </c>
      <c r="H307" s="26">
        <v>18</v>
      </c>
      <c r="I307" s="26">
        <v>2</v>
      </c>
      <c r="J307" s="119">
        <v>2</v>
      </c>
      <c r="K307" s="122">
        <v>2</v>
      </c>
      <c r="L307" s="122"/>
      <c r="M307" s="122"/>
      <c r="N307" s="122"/>
      <c r="O307" s="122"/>
      <c r="P307" s="116">
        <v>16</v>
      </c>
      <c r="Q307" s="116">
        <v>18</v>
      </c>
      <c r="R307" s="116">
        <v>2</v>
      </c>
      <c r="S307" s="116">
        <v>18</v>
      </c>
      <c r="T307" s="116">
        <v>0</v>
      </c>
      <c r="U307" s="116">
        <v>0</v>
      </c>
      <c r="V307" s="116">
        <v>0</v>
      </c>
      <c r="W307" s="116">
        <v>0</v>
      </c>
      <c r="X307" s="30"/>
      <c r="Y307" s="30"/>
      <c r="Z307" s="30"/>
      <c r="AA307" s="30"/>
      <c r="AB307" s="126"/>
      <c r="AC307" s="126"/>
      <c r="AD307" s="126"/>
      <c r="AE307" s="126"/>
      <c r="AF307" s="126"/>
      <c r="AG307" s="126"/>
      <c r="AH307" s="117">
        <v>0</v>
      </c>
      <c r="AI307" s="116">
        <v>600</v>
      </c>
      <c r="AJ307" s="116">
        <v>0</v>
      </c>
      <c r="AK307" s="116">
        <v>0</v>
      </c>
      <c r="AL307" s="116">
        <v>0</v>
      </c>
      <c r="AM307" s="118">
        <v>8</v>
      </c>
      <c r="AN307" s="118">
        <v>0</v>
      </c>
      <c r="AO307" s="118" t="s">
        <v>475</v>
      </c>
      <c r="AP307" s="118">
        <v>8</v>
      </c>
    </row>
    <row r="308" spans="1:42" x14ac:dyDescent="0.15">
      <c r="A308" s="26" t="s">
        <v>555</v>
      </c>
      <c r="B308" s="26" t="s">
        <v>587</v>
      </c>
      <c r="C308" s="26" t="s">
        <v>471</v>
      </c>
      <c r="D308" s="26" t="s">
        <v>629</v>
      </c>
      <c r="E308" s="26" t="s">
        <v>473</v>
      </c>
      <c r="F308" s="26" t="s">
        <v>555</v>
      </c>
      <c r="G308" s="26">
        <v>0</v>
      </c>
      <c r="H308" s="26">
        <v>18</v>
      </c>
      <c r="I308" s="26">
        <v>3</v>
      </c>
      <c r="J308" s="119">
        <v>2</v>
      </c>
      <c r="K308" s="129">
        <v>2</v>
      </c>
      <c r="L308" s="122"/>
      <c r="M308" s="122"/>
      <c r="N308" s="122"/>
      <c r="O308" s="122"/>
      <c r="P308" s="116">
        <v>16</v>
      </c>
      <c r="Q308" s="116">
        <v>18</v>
      </c>
      <c r="R308" s="116">
        <v>3</v>
      </c>
      <c r="S308" s="116">
        <v>18</v>
      </c>
      <c r="T308" s="116">
        <v>0</v>
      </c>
      <c r="U308" s="116">
        <v>0</v>
      </c>
      <c r="V308" s="116">
        <v>0</v>
      </c>
      <c r="W308" s="116">
        <v>0</v>
      </c>
      <c r="X308" s="30"/>
      <c r="Y308" s="30"/>
      <c r="Z308" s="30"/>
      <c r="AA308" s="30"/>
      <c r="AB308" s="126"/>
      <c r="AC308" s="126"/>
      <c r="AD308" s="126">
        <v>130</v>
      </c>
      <c r="AE308" s="126"/>
      <c r="AF308" s="126"/>
      <c r="AG308" s="126"/>
      <c r="AH308" s="117">
        <v>2483.8709677419401</v>
      </c>
      <c r="AI308" s="116">
        <v>560</v>
      </c>
      <c r="AJ308" s="116">
        <v>0</v>
      </c>
      <c r="AK308" s="116">
        <v>0</v>
      </c>
      <c r="AL308" s="116">
        <v>0</v>
      </c>
      <c r="AM308" s="118">
        <v>11</v>
      </c>
      <c r="AN308" s="118">
        <v>0</v>
      </c>
      <c r="AO308" s="118" t="s">
        <v>475</v>
      </c>
      <c r="AP308" s="118">
        <v>11</v>
      </c>
    </row>
    <row r="309" spans="1:42" x14ac:dyDescent="0.15">
      <c r="A309" s="26" t="s">
        <v>75</v>
      </c>
      <c r="B309" s="26" t="s">
        <v>6</v>
      </c>
      <c r="C309" s="26" t="s">
        <v>477</v>
      </c>
      <c r="D309" s="26" t="s">
        <v>432</v>
      </c>
      <c r="E309" s="26" t="s">
        <v>473</v>
      </c>
      <c r="F309" s="26" t="s">
        <v>474</v>
      </c>
      <c r="G309" s="26">
        <v>0</v>
      </c>
      <c r="H309" s="26">
        <v>17</v>
      </c>
      <c r="I309" s="26">
        <v>2</v>
      </c>
      <c r="J309" s="119">
        <v>1</v>
      </c>
      <c r="K309" s="122">
        <v>1</v>
      </c>
      <c r="L309" s="122"/>
      <c r="M309" s="122"/>
      <c r="N309" s="122"/>
      <c r="O309" s="122"/>
      <c r="P309" s="116">
        <v>16</v>
      </c>
      <c r="Q309" s="116">
        <v>17</v>
      </c>
      <c r="R309" s="116">
        <v>2</v>
      </c>
      <c r="S309" s="116">
        <v>17</v>
      </c>
      <c r="T309" s="116">
        <v>0</v>
      </c>
      <c r="U309" s="116">
        <v>0</v>
      </c>
      <c r="V309" s="116">
        <v>1</v>
      </c>
      <c r="W309" s="116">
        <v>20</v>
      </c>
      <c r="X309" s="30"/>
      <c r="Y309" s="30"/>
      <c r="Z309" s="30"/>
      <c r="AA309" s="30"/>
      <c r="AB309" s="126"/>
      <c r="AC309" s="126"/>
      <c r="AD309" s="126">
        <v>130</v>
      </c>
      <c r="AE309" s="126"/>
      <c r="AF309" s="126"/>
      <c r="AG309" s="126"/>
      <c r="AH309" s="117">
        <v>0</v>
      </c>
      <c r="AI309" s="116">
        <v>420</v>
      </c>
      <c r="AJ309" s="116">
        <v>240</v>
      </c>
      <c r="AK309" s="116">
        <v>0</v>
      </c>
      <c r="AL309" s="116">
        <v>0</v>
      </c>
      <c r="AM309" s="118">
        <v>10</v>
      </c>
      <c r="AN309" s="118">
        <v>0</v>
      </c>
      <c r="AO309" s="118" t="s">
        <v>475</v>
      </c>
      <c r="AP309" s="118">
        <v>10</v>
      </c>
    </row>
    <row r="310" spans="1:42" x14ac:dyDescent="0.15">
      <c r="A310" s="26" t="s">
        <v>193</v>
      </c>
      <c r="B310" s="26" t="s">
        <v>6</v>
      </c>
      <c r="C310" s="26" t="s">
        <v>477</v>
      </c>
      <c r="D310" s="26" t="s">
        <v>438</v>
      </c>
      <c r="E310" s="26" t="s">
        <v>473</v>
      </c>
      <c r="F310" s="26" t="s">
        <v>474</v>
      </c>
      <c r="G310" s="26">
        <v>0</v>
      </c>
      <c r="H310" s="26">
        <v>17</v>
      </c>
      <c r="I310" s="26">
        <v>2</v>
      </c>
      <c r="J310" s="119">
        <v>1</v>
      </c>
      <c r="K310" s="122">
        <v>1</v>
      </c>
      <c r="L310" s="122"/>
      <c r="M310" s="122"/>
      <c r="N310" s="122"/>
      <c r="O310" s="122"/>
      <c r="P310" s="116">
        <v>16</v>
      </c>
      <c r="Q310" s="116">
        <v>17</v>
      </c>
      <c r="R310" s="116">
        <v>2</v>
      </c>
      <c r="S310" s="116">
        <v>17</v>
      </c>
      <c r="T310" s="116">
        <v>0</v>
      </c>
      <c r="U310" s="116">
        <v>0</v>
      </c>
      <c r="V310" s="116">
        <v>1</v>
      </c>
      <c r="W310" s="116">
        <v>20</v>
      </c>
      <c r="X310" s="30"/>
      <c r="Y310" s="30"/>
      <c r="Z310" s="30"/>
      <c r="AA310" s="30"/>
      <c r="AB310" s="126"/>
      <c r="AC310" s="126"/>
      <c r="AD310" s="126"/>
      <c r="AE310" s="126"/>
      <c r="AF310" s="126"/>
      <c r="AG310" s="126"/>
      <c r="AH310" s="117">
        <v>0</v>
      </c>
      <c r="AI310" s="116">
        <v>0</v>
      </c>
      <c r="AJ310" s="116">
        <v>0</v>
      </c>
      <c r="AK310" s="116">
        <v>0</v>
      </c>
      <c r="AL310" s="116">
        <v>0</v>
      </c>
      <c r="AM310" s="118">
        <v>10</v>
      </c>
      <c r="AN310" s="118">
        <v>0</v>
      </c>
      <c r="AO310" s="118" t="s">
        <v>475</v>
      </c>
      <c r="AP310" s="118">
        <v>10</v>
      </c>
    </row>
    <row r="311" spans="1:42" x14ac:dyDescent="0.15">
      <c r="A311" s="26" t="s">
        <v>102</v>
      </c>
      <c r="B311" s="26" t="s">
        <v>483</v>
      </c>
      <c r="C311" s="26" t="s">
        <v>471</v>
      </c>
      <c r="D311" s="26" t="s">
        <v>630</v>
      </c>
      <c r="E311" s="26" t="s">
        <v>473</v>
      </c>
      <c r="F311" s="26" t="s">
        <v>474</v>
      </c>
      <c r="G311" s="26">
        <v>0</v>
      </c>
      <c r="H311" s="26">
        <v>16</v>
      </c>
      <c r="I311" s="26">
        <v>2</v>
      </c>
      <c r="J311" s="119">
        <v>1</v>
      </c>
      <c r="K311" s="122">
        <v>1</v>
      </c>
      <c r="L311" s="122"/>
      <c r="M311" s="122"/>
      <c r="N311" s="122"/>
      <c r="O311" s="122"/>
      <c r="P311" s="116">
        <v>15</v>
      </c>
      <c r="Q311" s="116">
        <v>16</v>
      </c>
      <c r="R311" s="116">
        <v>2</v>
      </c>
      <c r="S311" s="116">
        <v>16</v>
      </c>
      <c r="T311" s="116">
        <v>0</v>
      </c>
      <c r="U311" s="116">
        <v>0</v>
      </c>
      <c r="V311" s="116">
        <v>1</v>
      </c>
      <c r="W311" s="116">
        <v>20</v>
      </c>
      <c r="X311" s="30"/>
      <c r="Y311" s="30"/>
      <c r="Z311" s="30"/>
      <c r="AA311" s="30"/>
      <c r="AB311" s="126"/>
      <c r="AC311" s="126"/>
      <c r="AD311" s="126"/>
      <c r="AE311" s="126"/>
      <c r="AF311" s="126"/>
      <c r="AG311" s="126"/>
      <c r="AH311" s="117">
        <v>0</v>
      </c>
      <c r="AI311" s="116">
        <v>0</v>
      </c>
      <c r="AJ311" s="116">
        <v>0</v>
      </c>
      <c r="AK311" s="116">
        <v>0</v>
      </c>
      <c r="AL311" s="116">
        <v>0</v>
      </c>
      <c r="AM311" s="118">
        <v>0</v>
      </c>
      <c r="AN311" s="118">
        <v>0</v>
      </c>
      <c r="AO311" s="118" t="s">
        <v>475</v>
      </c>
      <c r="AP311" s="118">
        <v>16</v>
      </c>
    </row>
    <row r="312" spans="1:42" x14ac:dyDescent="0.15">
      <c r="A312" s="26" t="s">
        <v>363</v>
      </c>
      <c r="B312" s="26" t="s">
        <v>594</v>
      </c>
      <c r="C312" s="26" t="s">
        <v>471</v>
      </c>
      <c r="D312" s="26" t="s">
        <v>631</v>
      </c>
      <c r="E312" s="26" t="s">
        <v>473</v>
      </c>
      <c r="F312" s="26" t="s">
        <v>474</v>
      </c>
      <c r="G312" s="26">
        <v>0</v>
      </c>
      <c r="H312" s="26">
        <v>17</v>
      </c>
      <c r="I312" s="26">
        <v>2</v>
      </c>
      <c r="J312" s="119">
        <v>1</v>
      </c>
      <c r="K312" s="122">
        <v>1</v>
      </c>
      <c r="L312" s="122"/>
      <c r="M312" s="122"/>
      <c r="N312" s="122"/>
      <c r="O312" s="122"/>
      <c r="P312" s="116">
        <v>16</v>
      </c>
      <c r="Q312" s="116">
        <v>17</v>
      </c>
      <c r="R312" s="116">
        <v>2</v>
      </c>
      <c r="S312" s="116">
        <v>17</v>
      </c>
      <c r="T312" s="116">
        <v>0</v>
      </c>
      <c r="U312" s="116">
        <v>0</v>
      </c>
      <c r="V312" s="116">
        <v>0</v>
      </c>
      <c r="W312" s="116">
        <v>0</v>
      </c>
      <c r="X312" s="30"/>
      <c r="Y312" s="30"/>
      <c r="Z312" s="30"/>
      <c r="AA312" s="30"/>
      <c r="AB312" s="126"/>
      <c r="AC312" s="126"/>
      <c r="AD312" s="126"/>
      <c r="AE312" s="126"/>
      <c r="AF312" s="126"/>
      <c r="AG312" s="126"/>
      <c r="AH312" s="117">
        <v>1774.1935483871</v>
      </c>
      <c r="AI312" s="116">
        <v>560</v>
      </c>
      <c r="AJ312" s="116">
        <v>0</v>
      </c>
      <c r="AK312" s="116">
        <v>0</v>
      </c>
      <c r="AL312" s="116">
        <v>0</v>
      </c>
      <c r="AM312" s="118">
        <v>0</v>
      </c>
      <c r="AN312" s="118">
        <v>0</v>
      </c>
      <c r="AO312" s="118" t="s">
        <v>475</v>
      </c>
      <c r="AP312" s="118">
        <v>17</v>
      </c>
    </row>
    <row r="313" spans="1:42" x14ac:dyDescent="0.15">
      <c r="A313" s="26" t="s">
        <v>363</v>
      </c>
      <c r="B313" s="26" t="s">
        <v>594</v>
      </c>
      <c r="C313" s="26" t="s">
        <v>471</v>
      </c>
      <c r="D313" s="26" t="s">
        <v>632</v>
      </c>
      <c r="E313" s="26" t="s">
        <v>473</v>
      </c>
      <c r="F313" s="26" t="s">
        <v>474</v>
      </c>
      <c r="G313" s="26">
        <v>0</v>
      </c>
      <c r="H313" s="26">
        <v>29</v>
      </c>
      <c r="I313" s="26">
        <v>4</v>
      </c>
      <c r="J313" s="119">
        <v>1</v>
      </c>
      <c r="K313" s="122">
        <v>1</v>
      </c>
      <c r="L313" s="122"/>
      <c r="M313" s="122"/>
      <c r="N313" s="122"/>
      <c r="O313" s="122"/>
      <c r="P313" s="116">
        <v>28</v>
      </c>
      <c r="Q313" s="116">
        <v>29</v>
      </c>
      <c r="R313" s="116">
        <v>4</v>
      </c>
      <c r="S313" s="116">
        <v>29</v>
      </c>
      <c r="T313" s="116">
        <v>0</v>
      </c>
      <c r="U313" s="116">
        <v>0</v>
      </c>
      <c r="V313" s="116">
        <v>3</v>
      </c>
      <c r="W313" s="116">
        <v>60</v>
      </c>
      <c r="X313" s="30"/>
      <c r="Y313" s="30"/>
      <c r="Z313" s="30"/>
      <c r="AA313" s="30"/>
      <c r="AB313" s="126"/>
      <c r="AC313" s="126"/>
      <c r="AD313" s="126"/>
      <c r="AE313" s="126"/>
      <c r="AF313" s="126"/>
      <c r="AG313" s="126"/>
      <c r="AH313" s="117">
        <v>0</v>
      </c>
      <c r="AI313" s="116">
        <v>0</v>
      </c>
      <c r="AJ313" s="116">
        <v>0</v>
      </c>
      <c r="AK313" s="116">
        <v>0</v>
      </c>
      <c r="AL313" s="116">
        <v>0</v>
      </c>
      <c r="AM313" s="118">
        <v>0</v>
      </c>
      <c r="AN313" s="118">
        <v>0</v>
      </c>
      <c r="AO313" s="118" t="s">
        <v>475</v>
      </c>
      <c r="AP313" s="118">
        <v>29</v>
      </c>
    </row>
    <row r="314" spans="1:42" x14ac:dyDescent="0.15">
      <c r="A314" s="26" t="s">
        <v>370</v>
      </c>
      <c r="B314" s="26" t="s">
        <v>594</v>
      </c>
      <c r="C314" s="26" t="s">
        <v>471</v>
      </c>
      <c r="D314" s="26" t="s">
        <v>633</v>
      </c>
      <c r="E314" s="26" t="s">
        <v>473</v>
      </c>
      <c r="F314" s="26" t="s">
        <v>474</v>
      </c>
      <c r="G314" s="26" t="s">
        <v>531</v>
      </c>
      <c r="H314" s="26">
        <v>12</v>
      </c>
      <c r="I314" s="26">
        <v>1</v>
      </c>
      <c r="J314" s="119">
        <v>1</v>
      </c>
      <c r="K314" s="122">
        <v>1</v>
      </c>
      <c r="L314" s="122"/>
      <c r="M314" s="122"/>
      <c r="N314" s="122"/>
      <c r="O314" s="122"/>
      <c r="P314" s="116">
        <v>11</v>
      </c>
      <c r="Q314" s="116">
        <v>12</v>
      </c>
      <c r="R314" s="116">
        <v>1</v>
      </c>
      <c r="S314" s="116">
        <v>12</v>
      </c>
      <c r="T314" s="116">
        <v>0</v>
      </c>
      <c r="U314" s="116">
        <v>0</v>
      </c>
      <c r="V314" s="116">
        <v>0</v>
      </c>
      <c r="W314" s="116">
        <v>0</v>
      </c>
      <c r="X314" s="30"/>
      <c r="Y314" s="30"/>
      <c r="Z314" s="30"/>
      <c r="AA314" s="30"/>
      <c r="AB314" s="126"/>
      <c r="AC314" s="126"/>
      <c r="AD314" s="126"/>
      <c r="AE314" s="126"/>
      <c r="AF314" s="126"/>
      <c r="AG314" s="126"/>
      <c r="AH314" s="117">
        <v>0</v>
      </c>
      <c r="AI314" s="116">
        <v>560</v>
      </c>
      <c r="AJ314" s="116">
        <v>0</v>
      </c>
      <c r="AK314" s="116">
        <v>0</v>
      </c>
      <c r="AL314" s="116">
        <v>0</v>
      </c>
      <c r="AM314" s="118">
        <v>5</v>
      </c>
      <c r="AN314" s="118">
        <v>0</v>
      </c>
      <c r="AO314" s="118" t="s">
        <v>475</v>
      </c>
      <c r="AP314" s="118">
        <v>5</v>
      </c>
    </row>
    <row r="315" spans="1:42" x14ac:dyDescent="0.15">
      <c r="A315" s="26" t="s">
        <v>363</v>
      </c>
      <c r="B315" s="26" t="s">
        <v>594</v>
      </c>
      <c r="C315" s="26" t="s">
        <v>471</v>
      </c>
      <c r="D315" s="26" t="s">
        <v>634</v>
      </c>
      <c r="E315" s="26" t="s">
        <v>473</v>
      </c>
      <c r="F315" s="26" t="s">
        <v>474</v>
      </c>
      <c r="G315" s="26">
        <v>0</v>
      </c>
      <c r="H315" s="26">
        <v>17</v>
      </c>
      <c r="I315" s="26">
        <v>2</v>
      </c>
      <c r="J315" s="119">
        <v>0</v>
      </c>
      <c r="K315" s="122">
        <v>0</v>
      </c>
      <c r="L315" s="122"/>
      <c r="M315" s="122"/>
      <c r="N315" s="122"/>
      <c r="O315" s="122"/>
      <c r="P315" s="116">
        <v>17</v>
      </c>
      <c r="Q315" s="116">
        <v>17</v>
      </c>
      <c r="R315" s="116">
        <v>2</v>
      </c>
      <c r="S315" s="116">
        <v>17</v>
      </c>
      <c r="T315" s="116">
        <v>0</v>
      </c>
      <c r="U315" s="116">
        <v>0</v>
      </c>
      <c r="V315" s="116">
        <v>0</v>
      </c>
      <c r="W315" s="116">
        <v>0</v>
      </c>
      <c r="X315" s="30"/>
      <c r="Y315" s="30"/>
      <c r="Z315" s="30"/>
      <c r="AA315" s="30"/>
      <c r="AB315" s="126"/>
      <c r="AC315" s="126"/>
      <c r="AD315" s="126">
        <v>130</v>
      </c>
      <c r="AE315" s="126"/>
      <c r="AF315" s="126"/>
      <c r="AG315" s="126"/>
      <c r="AH315" s="117">
        <v>2258.0645161290299</v>
      </c>
      <c r="AI315" s="116">
        <v>560</v>
      </c>
      <c r="AJ315" s="116">
        <v>0</v>
      </c>
      <c r="AK315" s="116">
        <v>0</v>
      </c>
      <c r="AL315" s="116">
        <v>0</v>
      </c>
      <c r="AM315" s="118">
        <v>10</v>
      </c>
      <c r="AN315" s="118">
        <v>0</v>
      </c>
      <c r="AO315" s="118" t="s">
        <v>475</v>
      </c>
      <c r="AP315" s="118">
        <v>10</v>
      </c>
    </row>
    <row r="316" spans="1:42" x14ac:dyDescent="0.15">
      <c r="A316" s="26" t="s">
        <v>162</v>
      </c>
      <c r="B316" s="26" t="s">
        <v>6</v>
      </c>
      <c r="C316" s="26" t="s">
        <v>477</v>
      </c>
      <c r="D316" s="26" t="s">
        <v>635</v>
      </c>
      <c r="E316" s="26" t="s">
        <v>473</v>
      </c>
      <c r="F316" s="26" t="s">
        <v>474</v>
      </c>
      <c r="G316" s="26">
        <v>0</v>
      </c>
      <c r="H316" s="26">
        <v>13</v>
      </c>
      <c r="I316" s="26">
        <v>1</v>
      </c>
      <c r="J316" s="119">
        <v>0</v>
      </c>
      <c r="K316" s="122"/>
      <c r="L316" s="122"/>
      <c r="M316" s="122"/>
      <c r="N316" s="122"/>
      <c r="O316" s="122"/>
      <c r="P316" s="116">
        <v>13</v>
      </c>
      <c r="Q316" s="116">
        <v>13</v>
      </c>
      <c r="R316" s="116">
        <v>1</v>
      </c>
      <c r="S316" s="116">
        <v>13</v>
      </c>
      <c r="T316" s="116">
        <v>0</v>
      </c>
      <c r="U316" s="116">
        <v>0</v>
      </c>
      <c r="V316" s="116">
        <v>1</v>
      </c>
      <c r="W316" s="116">
        <v>20</v>
      </c>
      <c r="X316" s="30"/>
      <c r="Y316" s="30"/>
      <c r="Z316" s="30"/>
      <c r="AA316" s="30"/>
      <c r="AB316" s="126"/>
      <c r="AC316" s="126"/>
      <c r="AD316" s="126"/>
      <c r="AE316" s="126"/>
      <c r="AF316" s="126"/>
      <c r="AG316" s="126"/>
      <c r="AH316" s="117">
        <v>0</v>
      </c>
      <c r="AI316" s="116">
        <v>780</v>
      </c>
      <c r="AJ316" s="116">
        <v>0</v>
      </c>
      <c r="AK316" s="116">
        <v>0</v>
      </c>
      <c r="AL316" s="116">
        <v>0</v>
      </c>
      <c r="AM316" s="118">
        <v>0</v>
      </c>
      <c r="AN316" s="118">
        <v>0</v>
      </c>
      <c r="AO316" s="118" t="s">
        <v>475</v>
      </c>
      <c r="AP316" s="118">
        <v>13</v>
      </c>
    </row>
    <row r="317" spans="1:42" x14ac:dyDescent="0.15">
      <c r="A317" s="26" t="s">
        <v>217</v>
      </c>
      <c r="B317" s="26" t="s">
        <v>6</v>
      </c>
      <c r="C317" s="26" t="s">
        <v>477</v>
      </c>
      <c r="D317" s="26" t="s">
        <v>636</v>
      </c>
      <c r="E317" s="26" t="s">
        <v>473</v>
      </c>
      <c r="F317" s="26" t="s">
        <v>474</v>
      </c>
      <c r="G317" s="26" t="s">
        <v>531</v>
      </c>
      <c r="H317" s="26">
        <v>12</v>
      </c>
      <c r="I317" s="26">
        <v>1</v>
      </c>
      <c r="J317" s="119">
        <v>0</v>
      </c>
      <c r="K317" s="122"/>
      <c r="L317" s="122"/>
      <c r="M317" s="122"/>
      <c r="N317" s="122"/>
      <c r="O317" s="122"/>
      <c r="P317" s="116">
        <v>12</v>
      </c>
      <c r="Q317" s="116">
        <v>12</v>
      </c>
      <c r="R317" s="116">
        <v>1</v>
      </c>
      <c r="S317" s="116">
        <v>12</v>
      </c>
      <c r="T317" s="116">
        <v>0</v>
      </c>
      <c r="U317" s="116">
        <v>0</v>
      </c>
      <c r="V317" s="116">
        <v>1</v>
      </c>
      <c r="W317" s="116">
        <v>20</v>
      </c>
      <c r="X317" s="30"/>
      <c r="Y317" s="30"/>
      <c r="Z317" s="30"/>
      <c r="AA317" s="30"/>
      <c r="AB317" s="126"/>
      <c r="AC317" s="126"/>
      <c r="AD317" s="126"/>
      <c r="AE317" s="126"/>
      <c r="AF317" s="126"/>
      <c r="AG317" s="126"/>
      <c r="AH317" s="117">
        <v>0</v>
      </c>
      <c r="AI317" s="116">
        <v>0</v>
      </c>
      <c r="AJ317" s="116">
        <v>0</v>
      </c>
      <c r="AK317" s="116">
        <v>0</v>
      </c>
      <c r="AL317" s="116">
        <v>0</v>
      </c>
      <c r="AM317" s="118">
        <v>0</v>
      </c>
      <c r="AN317" s="118">
        <v>0</v>
      </c>
      <c r="AO317" s="118" t="s">
        <v>475</v>
      </c>
      <c r="AP317" s="118">
        <v>12</v>
      </c>
    </row>
    <row r="318" spans="1:42" x14ac:dyDescent="0.15">
      <c r="A318" s="26" t="s">
        <v>225</v>
      </c>
      <c r="B318" s="26" t="s">
        <v>6</v>
      </c>
      <c r="C318" s="26" t="s">
        <v>477</v>
      </c>
      <c r="D318" s="26" t="s">
        <v>637</v>
      </c>
      <c r="E318" s="26" t="s">
        <v>473</v>
      </c>
      <c r="F318" s="26" t="s">
        <v>474</v>
      </c>
      <c r="G318" s="26" t="s">
        <v>531</v>
      </c>
      <c r="H318" s="26">
        <v>12</v>
      </c>
      <c r="I318" s="26">
        <v>1</v>
      </c>
      <c r="J318" s="119">
        <v>0</v>
      </c>
      <c r="K318" s="122"/>
      <c r="L318" s="122"/>
      <c r="M318" s="122"/>
      <c r="N318" s="122"/>
      <c r="O318" s="122"/>
      <c r="P318" s="116">
        <v>12</v>
      </c>
      <c r="Q318" s="116">
        <v>12</v>
      </c>
      <c r="R318" s="116">
        <v>1</v>
      </c>
      <c r="S318" s="116">
        <v>12</v>
      </c>
      <c r="T318" s="116">
        <v>0</v>
      </c>
      <c r="U318" s="116">
        <v>0</v>
      </c>
      <c r="V318" s="116">
        <v>1</v>
      </c>
      <c r="W318" s="116">
        <v>20</v>
      </c>
      <c r="X318" s="30"/>
      <c r="Y318" s="30"/>
      <c r="Z318" s="30"/>
      <c r="AA318" s="30"/>
      <c r="AB318" s="126"/>
      <c r="AC318" s="126"/>
      <c r="AD318" s="126"/>
      <c r="AE318" s="126"/>
      <c r="AF318" s="126"/>
      <c r="AG318" s="126"/>
      <c r="AH318" s="117">
        <v>0</v>
      </c>
      <c r="AI318" s="116">
        <v>0</v>
      </c>
      <c r="AJ318" s="116">
        <v>0</v>
      </c>
      <c r="AK318" s="116">
        <v>0</v>
      </c>
      <c r="AL318" s="116">
        <v>0</v>
      </c>
      <c r="AM318" s="118">
        <v>0</v>
      </c>
      <c r="AN318" s="118">
        <v>0</v>
      </c>
      <c r="AO318" s="118" t="s">
        <v>475</v>
      </c>
      <c r="AP318" s="118">
        <v>12</v>
      </c>
    </row>
    <row r="319" spans="1:42" x14ac:dyDescent="0.15">
      <c r="A319" s="26">
        <v>0</v>
      </c>
      <c r="B319" s="26" t="s">
        <v>6</v>
      </c>
      <c r="C319" s="26" t="s">
        <v>477</v>
      </c>
      <c r="D319" s="26" t="s">
        <v>638</v>
      </c>
      <c r="E319" s="26" t="s">
        <v>473</v>
      </c>
      <c r="F319" s="26" t="s">
        <v>474</v>
      </c>
      <c r="G319" s="26" t="s">
        <v>531</v>
      </c>
      <c r="H319" s="26">
        <v>9</v>
      </c>
      <c r="I319" s="26">
        <v>1</v>
      </c>
      <c r="J319" s="119">
        <v>0</v>
      </c>
      <c r="K319" s="122"/>
      <c r="L319" s="122"/>
      <c r="M319" s="122"/>
      <c r="N319" s="122"/>
      <c r="O319" s="122"/>
      <c r="P319" s="116">
        <v>9</v>
      </c>
      <c r="Q319" s="116">
        <v>9</v>
      </c>
      <c r="R319" s="116">
        <v>1</v>
      </c>
      <c r="S319" s="116">
        <v>9</v>
      </c>
      <c r="T319" s="116">
        <v>0</v>
      </c>
      <c r="U319" s="116">
        <v>0</v>
      </c>
      <c r="V319" s="116">
        <v>1</v>
      </c>
      <c r="W319" s="116">
        <v>20</v>
      </c>
      <c r="X319" s="30"/>
      <c r="Y319" s="30"/>
      <c r="Z319" s="30"/>
      <c r="AA319" s="30"/>
      <c r="AB319" s="126"/>
      <c r="AC319" s="126"/>
      <c r="AD319" s="126"/>
      <c r="AE319" s="126"/>
      <c r="AF319" s="126"/>
      <c r="AG319" s="126"/>
      <c r="AH319" s="117">
        <v>0</v>
      </c>
      <c r="AI319" s="116">
        <v>0</v>
      </c>
      <c r="AJ319" s="116">
        <v>0</v>
      </c>
      <c r="AK319" s="116">
        <v>0</v>
      </c>
      <c r="AL319" s="116">
        <v>0</v>
      </c>
      <c r="AM319" s="118">
        <v>0</v>
      </c>
      <c r="AN319" s="118">
        <v>0</v>
      </c>
      <c r="AO319" s="118" t="s">
        <v>475</v>
      </c>
      <c r="AP319" s="118">
        <v>9</v>
      </c>
    </row>
    <row r="320" spans="1:42" x14ac:dyDescent="0.15">
      <c r="A320" s="26">
        <v>0</v>
      </c>
      <c r="B320" s="26" t="s">
        <v>6</v>
      </c>
      <c r="C320" s="26" t="s">
        <v>477</v>
      </c>
      <c r="D320" s="26" t="s">
        <v>639</v>
      </c>
      <c r="E320" s="26" t="s">
        <v>473</v>
      </c>
      <c r="F320" s="26" t="s">
        <v>474</v>
      </c>
      <c r="G320" s="26" t="s">
        <v>531</v>
      </c>
      <c r="H320" s="26">
        <v>9</v>
      </c>
      <c r="I320" s="26">
        <v>1</v>
      </c>
      <c r="J320" s="119">
        <v>0</v>
      </c>
      <c r="K320" s="122"/>
      <c r="L320" s="122"/>
      <c r="M320" s="122"/>
      <c r="N320" s="122"/>
      <c r="O320" s="122"/>
      <c r="P320" s="116">
        <v>9</v>
      </c>
      <c r="Q320" s="116">
        <v>9</v>
      </c>
      <c r="R320" s="116">
        <v>1</v>
      </c>
      <c r="S320" s="116">
        <v>9</v>
      </c>
      <c r="T320" s="116">
        <v>0</v>
      </c>
      <c r="U320" s="116">
        <v>0</v>
      </c>
      <c r="V320" s="116">
        <v>1</v>
      </c>
      <c r="W320" s="116">
        <v>20</v>
      </c>
      <c r="X320" s="30"/>
      <c r="Y320" s="30"/>
      <c r="Z320" s="30"/>
      <c r="AA320" s="30"/>
      <c r="AB320" s="126"/>
      <c r="AC320" s="126"/>
      <c r="AD320" s="126"/>
      <c r="AE320" s="126"/>
      <c r="AF320" s="126"/>
      <c r="AG320" s="126"/>
      <c r="AH320" s="117">
        <v>0</v>
      </c>
      <c r="AI320" s="116">
        <v>0</v>
      </c>
      <c r="AJ320" s="116">
        <v>0</v>
      </c>
      <c r="AK320" s="116">
        <v>0</v>
      </c>
      <c r="AL320" s="116">
        <v>0</v>
      </c>
      <c r="AM320" s="118">
        <v>0</v>
      </c>
      <c r="AN320" s="118">
        <v>0</v>
      </c>
      <c r="AO320" s="118" t="s">
        <v>475</v>
      </c>
      <c r="AP320" s="118">
        <v>9</v>
      </c>
    </row>
    <row r="321" spans="1:42" x14ac:dyDescent="0.15">
      <c r="A321" s="26">
        <v>0</v>
      </c>
      <c r="B321" s="26" t="s">
        <v>6</v>
      </c>
      <c r="C321" s="26" t="s">
        <v>477</v>
      </c>
      <c r="D321" s="26" t="s">
        <v>640</v>
      </c>
      <c r="E321" s="26" t="s">
        <v>473</v>
      </c>
      <c r="F321" s="26" t="s">
        <v>474</v>
      </c>
      <c r="G321" s="26" t="s">
        <v>531</v>
      </c>
      <c r="H321" s="26">
        <v>9</v>
      </c>
      <c r="I321" s="26">
        <v>1</v>
      </c>
      <c r="J321" s="119">
        <v>0</v>
      </c>
      <c r="K321" s="122"/>
      <c r="L321" s="122"/>
      <c r="M321" s="122"/>
      <c r="N321" s="122"/>
      <c r="O321" s="122"/>
      <c r="P321" s="116">
        <v>9</v>
      </c>
      <c r="Q321" s="116">
        <v>9</v>
      </c>
      <c r="R321" s="116">
        <v>1</v>
      </c>
      <c r="S321" s="116">
        <v>9</v>
      </c>
      <c r="T321" s="116">
        <v>0</v>
      </c>
      <c r="U321" s="116">
        <v>0</v>
      </c>
      <c r="V321" s="116">
        <v>1</v>
      </c>
      <c r="W321" s="116">
        <v>20</v>
      </c>
      <c r="X321" s="30"/>
      <c r="Y321" s="30"/>
      <c r="Z321" s="30"/>
      <c r="AA321" s="30"/>
      <c r="AB321" s="126"/>
      <c r="AC321" s="126"/>
      <c r="AD321" s="126"/>
      <c r="AE321" s="126"/>
      <c r="AF321" s="126"/>
      <c r="AG321" s="126"/>
      <c r="AH321" s="117">
        <v>0</v>
      </c>
      <c r="AI321" s="116">
        <v>0</v>
      </c>
      <c r="AJ321" s="116">
        <v>0</v>
      </c>
      <c r="AK321" s="116">
        <v>0</v>
      </c>
      <c r="AL321" s="116">
        <v>0</v>
      </c>
      <c r="AM321" s="118">
        <v>0</v>
      </c>
      <c r="AN321" s="118">
        <v>0</v>
      </c>
      <c r="AO321" s="118" t="s">
        <v>475</v>
      </c>
      <c r="AP321" s="118">
        <v>9</v>
      </c>
    </row>
    <row r="322" spans="1:42" x14ac:dyDescent="0.15">
      <c r="A322" s="26">
        <v>0</v>
      </c>
      <c r="B322" s="26" t="s">
        <v>6</v>
      </c>
      <c r="C322" s="26" t="s">
        <v>477</v>
      </c>
      <c r="D322" s="26" t="s">
        <v>641</v>
      </c>
      <c r="E322" s="26" t="s">
        <v>473</v>
      </c>
      <c r="F322" s="26" t="s">
        <v>474</v>
      </c>
      <c r="G322" s="26" t="s">
        <v>531</v>
      </c>
      <c r="H322" s="26">
        <v>8</v>
      </c>
      <c r="I322" s="26">
        <v>1</v>
      </c>
      <c r="J322" s="119">
        <v>0</v>
      </c>
      <c r="K322" s="122"/>
      <c r="L322" s="122"/>
      <c r="M322" s="122"/>
      <c r="N322" s="122"/>
      <c r="O322" s="122"/>
      <c r="P322" s="116">
        <v>8</v>
      </c>
      <c r="Q322" s="116">
        <v>8</v>
      </c>
      <c r="R322" s="116">
        <v>1</v>
      </c>
      <c r="S322" s="116">
        <v>8</v>
      </c>
      <c r="T322" s="116">
        <v>0</v>
      </c>
      <c r="U322" s="116">
        <v>0</v>
      </c>
      <c r="V322" s="116">
        <v>1</v>
      </c>
      <c r="W322" s="116">
        <v>20</v>
      </c>
      <c r="X322" s="30"/>
      <c r="Y322" s="30"/>
      <c r="Z322" s="30"/>
      <c r="AA322" s="30"/>
      <c r="AB322" s="126"/>
      <c r="AC322" s="126"/>
      <c r="AD322" s="126"/>
      <c r="AE322" s="126"/>
      <c r="AF322" s="126"/>
      <c r="AG322" s="126"/>
      <c r="AH322" s="117">
        <v>0</v>
      </c>
      <c r="AI322" s="116">
        <v>0</v>
      </c>
      <c r="AJ322" s="116">
        <v>0</v>
      </c>
      <c r="AK322" s="116">
        <v>0</v>
      </c>
      <c r="AL322" s="116">
        <v>0</v>
      </c>
      <c r="AM322" s="118">
        <v>0</v>
      </c>
      <c r="AN322" s="118">
        <v>0</v>
      </c>
      <c r="AO322" s="118" t="s">
        <v>475</v>
      </c>
      <c r="AP322" s="118">
        <v>8</v>
      </c>
    </row>
    <row r="323" spans="1:42" x14ac:dyDescent="0.15">
      <c r="A323" s="26">
        <v>0</v>
      </c>
      <c r="B323" s="26" t="s">
        <v>6</v>
      </c>
      <c r="C323" s="26" t="s">
        <v>477</v>
      </c>
      <c r="D323" s="26" t="s">
        <v>642</v>
      </c>
      <c r="E323" s="26" t="s">
        <v>473</v>
      </c>
      <c r="F323" s="26" t="s">
        <v>474</v>
      </c>
      <c r="G323" s="26" t="s">
        <v>531</v>
      </c>
      <c r="H323" s="26">
        <v>4</v>
      </c>
      <c r="I323" s="26">
        <v>0</v>
      </c>
      <c r="J323" s="119">
        <v>0</v>
      </c>
      <c r="K323" s="122"/>
      <c r="L323" s="122"/>
      <c r="M323" s="122"/>
      <c r="N323" s="122"/>
      <c r="O323" s="122"/>
      <c r="P323" s="116">
        <v>4</v>
      </c>
      <c r="Q323" s="116">
        <v>4</v>
      </c>
      <c r="R323" s="116">
        <v>0</v>
      </c>
      <c r="S323" s="116">
        <v>4</v>
      </c>
      <c r="T323" s="116">
        <v>0</v>
      </c>
      <c r="U323" s="116">
        <v>0</v>
      </c>
      <c r="V323" s="116">
        <v>0</v>
      </c>
      <c r="W323" s="116">
        <v>0</v>
      </c>
      <c r="X323" s="30"/>
      <c r="Y323" s="30"/>
      <c r="Z323" s="30"/>
      <c r="AA323" s="30"/>
      <c r="AB323" s="126"/>
      <c r="AC323" s="126"/>
      <c r="AD323" s="126"/>
      <c r="AE323" s="126"/>
      <c r="AF323" s="126"/>
      <c r="AG323" s="126"/>
      <c r="AH323" s="117">
        <v>0</v>
      </c>
      <c r="AI323" s="116">
        <v>0</v>
      </c>
      <c r="AJ323" s="116">
        <v>0</v>
      </c>
      <c r="AK323" s="116">
        <v>0</v>
      </c>
      <c r="AL323" s="116">
        <v>0</v>
      </c>
      <c r="AM323" s="118">
        <v>0</v>
      </c>
      <c r="AN323" s="118">
        <v>0</v>
      </c>
      <c r="AO323" s="118" t="s">
        <v>475</v>
      </c>
      <c r="AP323" s="118">
        <v>4</v>
      </c>
    </row>
    <row r="324" spans="1:42" x14ac:dyDescent="0.15">
      <c r="A324" s="26">
        <v>0</v>
      </c>
      <c r="B324" s="26" t="s">
        <v>6</v>
      </c>
      <c r="C324" s="26" t="s">
        <v>477</v>
      </c>
      <c r="D324" s="26" t="s">
        <v>643</v>
      </c>
      <c r="E324" s="26" t="s">
        <v>473</v>
      </c>
      <c r="F324" s="26" t="s">
        <v>474</v>
      </c>
      <c r="G324" s="26" t="s">
        <v>531</v>
      </c>
      <c r="H324" s="26">
        <v>2</v>
      </c>
      <c r="I324" s="26">
        <v>0</v>
      </c>
      <c r="J324" s="119">
        <v>0</v>
      </c>
      <c r="K324" s="122"/>
      <c r="L324" s="122"/>
      <c r="M324" s="122"/>
      <c r="N324" s="122"/>
      <c r="O324" s="122"/>
      <c r="P324" s="116">
        <v>2</v>
      </c>
      <c r="Q324" s="116">
        <v>2</v>
      </c>
      <c r="R324" s="116">
        <v>0</v>
      </c>
      <c r="S324" s="116">
        <v>2</v>
      </c>
      <c r="T324" s="116">
        <v>0</v>
      </c>
      <c r="U324" s="116">
        <v>0</v>
      </c>
      <c r="V324" s="116">
        <v>0</v>
      </c>
      <c r="W324" s="116">
        <v>0</v>
      </c>
      <c r="X324" s="30"/>
      <c r="Y324" s="30"/>
      <c r="Z324" s="30"/>
      <c r="AA324" s="30"/>
      <c r="AB324" s="126"/>
      <c r="AC324" s="126"/>
      <c r="AD324" s="126"/>
      <c r="AE324" s="126"/>
      <c r="AF324" s="126"/>
      <c r="AG324" s="126"/>
      <c r="AH324" s="117">
        <v>0</v>
      </c>
      <c r="AI324" s="116">
        <v>0</v>
      </c>
      <c r="AJ324" s="116">
        <v>0</v>
      </c>
      <c r="AK324" s="116">
        <v>0</v>
      </c>
      <c r="AL324" s="116">
        <v>0</v>
      </c>
      <c r="AM324" s="118">
        <v>0</v>
      </c>
      <c r="AN324" s="118">
        <v>0</v>
      </c>
      <c r="AO324" s="118" t="s">
        <v>475</v>
      </c>
      <c r="AP324" s="118">
        <v>2</v>
      </c>
    </row>
    <row r="325" spans="1:42" x14ac:dyDescent="0.15">
      <c r="A325" s="26">
        <v>0</v>
      </c>
      <c r="B325" s="26" t="s">
        <v>6</v>
      </c>
      <c r="C325" s="26" t="s">
        <v>477</v>
      </c>
      <c r="D325" s="26" t="s">
        <v>644</v>
      </c>
      <c r="E325" s="26" t="s">
        <v>473</v>
      </c>
      <c r="F325" s="26" t="s">
        <v>474</v>
      </c>
      <c r="G325" s="26" t="s">
        <v>531</v>
      </c>
      <c r="H325" s="26">
        <v>7</v>
      </c>
      <c r="I325" s="26">
        <v>1</v>
      </c>
      <c r="J325" s="119">
        <v>0</v>
      </c>
      <c r="K325" s="122"/>
      <c r="L325" s="122"/>
      <c r="M325" s="122"/>
      <c r="N325" s="122"/>
      <c r="O325" s="122"/>
      <c r="P325" s="116">
        <v>7</v>
      </c>
      <c r="Q325" s="116">
        <v>7</v>
      </c>
      <c r="R325" s="116">
        <v>1</v>
      </c>
      <c r="S325" s="116">
        <v>7</v>
      </c>
      <c r="T325" s="116">
        <v>0</v>
      </c>
      <c r="U325" s="116">
        <v>0</v>
      </c>
      <c r="V325" s="116">
        <v>1</v>
      </c>
      <c r="W325" s="116">
        <v>20</v>
      </c>
      <c r="X325" s="30"/>
      <c r="Y325" s="30"/>
      <c r="Z325" s="30"/>
      <c r="AA325" s="30"/>
      <c r="AB325" s="126"/>
      <c r="AC325" s="126"/>
      <c r="AD325" s="126"/>
      <c r="AE325" s="126"/>
      <c r="AF325" s="126"/>
      <c r="AG325" s="126"/>
      <c r="AH325" s="117">
        <v>0</v>
      </c>
      <c r="AI325" s="116">
        <v>420</v>
      </c>
      <c r="AJ325" s="116">
        <v>0</v>
      </c>
      <c r="AK325" s="116">
        <v>0</v>
      </c>
      <c r="AL325" s="116">
        <v>0</v>
      </c>
      <c r="AM325" s="118">
        <v>0</v>
      </c>
      <c r="AN325" s="118">
        <v>0</v>
      </c>
      <c r="AO325" s="118" t="s">
        <v>475</v>
      </c>
      <c r="AP325" s="118">
        <v>7</v>
      </c>
    </row>
    <row r="326" spans="1:42" x14ac:dyDescent="0.15">
      <c r="A326" s="26">
        <v>0</v>
      </c>
      <c r="B326" s="26" t="s">
        <v>6</v>
      </c>
      <c r="C326" s="26" t="s">
        <v>477</v>
      </c>
      <c r="D326" s="26" t="s">
        <v>645</v>
      </c>
      <c r="E326" s="26" t="s">
        <v>473</v>
      </c>
      <c r="F326" s="26" t="s">
        <v>474</v>
      </c>
      <c r="G326" s="26" t="s">
        <v>531</v>
      </c>
      <c r="H326" s="26">
        <v>5</v>
      </c>
      <c r="I326" s="26">
        <v>0</v>
      </c>
      <c r="J326" s="119">
        <v>0</v>
      </c>
      <c r="K326" s="122"/>
      <c r="L326" s="122"/>
      <c r="M326" s="122"/>
      <c r="N326" s="122"/>
      <c r="O326" s="122"/>
      <c r="P326" s="116">
        <v>5</v>
      </c>
      <c r="Q326" s="116">
        <v>5</v>
      </c>
      <c r="R326" s="116">
        <v>0</v>
      </c>
      <c r="S326" s="116">
        <v>5</v>
      </c>
      <c r="T326" s="116">
        <v>0</v>
      </c>
      <c r="U326" s="116">
        <v>0</v>
      </c>
      <c r="V326" s="116">
        <v>0</v>
      </c>
      <c r="W326" s="116">
        <v>0</v>
      </c>
      <c r="X326" s="30"/>
      <c r="Y326" s="30"/>
      <c r="Z326" s="30"/>
      <c r="AA326" s="30"/>
      <c r="AB326" s="126"/>
      <c r="AC326" s="126"/>
      <c r="AD326" s="126"/>
      <c r="AE326" s="126"/>
      <c r="AF326" s="126"/>
      <c r="AG326" s="126"/>
      <c r="AH326" s="117">
        <v>0</v>
      </c>
      <c r="AI326" s="116">
        <v>300</v>
      </c>
      <c r="AJ326" s="116">
        <v>0</v>
      </c>
      <c r="AK326" s="116">
        <v>0</v>
      </c>
      <c r="AL326" s="116">
        <v>0</v>
      </c>
      <c r="AM326" s="118">
        <v>0</v>
      </c>
      <c r="AN326" s="118">
        <v>0</v>
      </c>
      <c r="AO326" s="118" t="s">
        <v>475</v>
      </c>
      <c r="AP326" s="118">
        <v>5</v>
      </c>
    </row>
    <row r="327" spans="1:42" x14ac:dyDescent="0.15">
      <c r="K327" s="122"/>
      <c r="L327" s="122"/>
      <c r="M327" s="122"/>
      <c r="N327" s="122"/>
      <c r="O327" s="122"/>
      <c r="X327" s="30"/>
      <c r="Y327" s="30"/>
      <c r="Z327" s="30"/>
      <c r="AA327" s="30"/>
      <c r="AB327" s="126"/>
      <c r="AC327" s="126"/>
      <c r="AD327" s="126"/>
      <c r="AE327" s="126"/>
      <c r="AF327" s="126"/>
      <c r="AG327" s="126"/>
    </row>
    <row r="328" spans="1:42" x14ac:dyDescent="0.15">
      <c r="K328" s="122"/>
      <c r="L328" s="122"/>
      <c r="M328" s="122"/>
      <c r="N328" s="122"/>
      <c r="O328" s="122"/>
      <c r="X328" s="30"/>
      <c r="Y328" s="30"/>
      <c r="Z328" s="30"/>
      <c r="AA328" s="30"/>
      <c r="AB328" s="126"/>
      <c r="AC328" s="126"/>
      <c r="AD328" s="126"/>
      <c r="AE328" s="126"/>
      <c r="AF328" s="126"/>
      <c r="AG328" s="126"/>
    </row>
  </sheetData>
  <autoFilter ref="A3:AK315" xr:uid="{E95AC5AA-06CC-4F24-AEB7-7D6C936A782E}"/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B4DF5-7A29-4A7D-9BC9-43F263A2789E}">
  <sheetPr>
    <tabColor rgb="FF92D050"/>
  </sheetPr>
  <dimension ref="A1:T212"/>
  <sheetViews>
    <sheetView workbookViewId="0">
      <selection activeCell="G23" sqref="G23"/>
    </sheetView>
  </sheetViews>
  <sheetFormatPr defaultColWidth="9" defaultRowHeight="14.25" x14ac:dyDescent="0.15"/>
  <cols>
    <col min="1" max="1" width="9.5" style="84" bestFit="1" customWidth="1"/>
    <col min="2" max="2" width="14.125" style="84" bestFit="1" customWidth="1"/>
    <col min="3" max="3" width="11.25" style="84" bestFit="1" customWidth="1"/>
    <col min="4" max="4" width="11.375" style="138" bestFit="1" customWidth="1"/>
    <col min="5" max="5" width="9.5" style="138" bestFit="1" customWidth="1"/>
    <col min="6" max="6" width="13.625" style="138" customWidth="1"/>
    <col min="7" max="7" width="17.5" style="84" bestFit="1" customWidth="1"/>
    <col min="8" max="8" width="9" style="53" bestFit="1" customWidth="1"/>
    <col min="9" max="9" width="11.625" style="112" bestFit="1" customWidth="1"/>
    <col min="10" max="10" width="14.375" style="112" customWidth="1"/>
    <col min="11" max="11" width="8.375" style="112" customWidth="1"/>
    <col min="12" max="12" width="11.25" style="112" customWidth="1"/>
    <col min="13" max="13" width="6" style="112" bestFit="1" customWidth="1"/>
    <col min="14" max="14" width="16.75" style="112" customWidth="1"/>
    <col min="15" max="15" width="9" style="112"/>
    <col min="16" max="16" width="8.25" style="112" customWidth="1"/>
    <col min="17" max="17" width="9" style="112"/>
    <col min="18" max="18" width="12.125" style="112" customWidth="1"/>
    <col min="19" max="16384" width="9" style="112"/>
  </cols>
  <sheetData>
    <row r="1" spans="1:18" x14ac:dyDescent="0.15">
      <c r="A1" s="136" t="s">
        <v>647</v>
      </c>
      <c r="B1" s="136" t="s">
        <v>376</v>
      </c>
      <c r="C1" s="136" t="s">
        <v>377</v>
      </c>
      <c r="D1" s="137" t="s">
        <v>16</v>
      </c>
      <c r="E1" s="137" t="s">
        <v>15</v>
      </c>
      <c r="F1" s="137" t="s">
        <v>17</v>
      </c>
      <c r="G1" s="137" t="s">
        <v>648</v>
      </c>
      <c r="H1" s="137" t="s">
        <v>649</v>
      </c>
      <c r="J1" s="142"/>
      <c r="K1" s="112" t="s">
        <v>654</v>
      </c>
      <c r="M1" s="148">
        <f>M3-M2</f>
        <v>0</v>
      </c>
      <c r="N1" s="148">
        <f t="shared" ref="N1:O1" si="0">N3-N2</f>
        <v>0</v>
      </c>
      <c r="O1" s="148">
        <f t="shared" si="0"/>
        <v>0</v>
      </c>
    </row>
    <row r="2" spans="1:18" x14ac:dyDescent="0.15">
      <c r="A2" s="84" t="s">
        <v>370</v>
      </c>
      <c r="B2" s="84" t="s">
        <v>370</v>
      </c>
      <c r="C2" s="84" t="s">
        <v>633</v>
      </c>
      <c r="D2" s="138">
        <v>6</v>
      </c>
      <c r="E2" s="138">
        <v>6800</v>
      </c>
      <c r="F2" s="138">
        <v>180</v>
      </c>
      <c r="G2" s="84">
        <v>0</v>
      </c>
      <c r="H2" s="141">
        <v>180</v>
      </c>
      <c r="J2" s="142"/>
      <c r="M2" s="112">
        <f>期初设置!X3</f>
        <v>17158</v>
      </c>
      <c r="N2" s="112">
        <f>期初设置!W3</f>
        <v>4541671.8099999977</v>
      </c>
      <c r="O2" s="112">
        <f>期初设置!Y3</f>
        <v>209987</v>
      </c>
    </row>
    <row r="3" spans="1:18" x14ac:dyDescent="0.15">
      <c r="A3" s="84" t="s">
        <v>370</v>
      </c>
      <c r="B3" s="84" t="s">
        <v>370</v>
      </c>
      <c r="C3" s="84" t="s">
        <v>372</v>
      </c>
      <c r="D3" s="138">
        <v>132</v>
      </c>
      <c r="E3" s="138">
        <v>122913.82</v>
      </c>
      <c r="F3" s="138">
        <v>2555</v>
      </c>
      <c r="G3" s="84">
        <v>0</v>
      </c>
      <c r="H3" s="141">
        <v>2555</v>
      </c>
      <c r="J3" s="142"/>
      <c r="L3" s="112" t="s">
        <v>650</v>
      </c>
      <c r="M3" s="112">
        <f>SUM(M7:M36)</f>
        <v>17158</v>
      </c>
      <c r="N3" s="112">
        <f t="shared" ref="N3:P3" si="1">SUM(N7:N36)</f>
        <v>4541671.8100000005</v>
      </c>
      <c r="O3" s="112">
        <f t="shared" si="1"/>
        <v>209987</v>
      </c>
      <c r="P3" s="112">
        <f t="shared" si="1"/>
        <v>13037.5</v>
      </c>
    </row>
    <row r="4" spans="1:18" x14ac:dyDescent="0.15">
      <c r="A4" s="84" t="s">
        <v>370</v>
      </c>
      <c r="B4" s="84" t="s">
        <v>370</v>
      </c>
      <c r="C4" s="84" t="s">
        <v>627</v>
      </c>
      <c r="D4" s="138">
        <v>4</v>
      </c>
      <c r="E4" s="138">
        <v>7950</v>
      </c>
      <c r="F4" s="138">
        <v>90</v>
      </c>
      <c r="G4" s="84">
        <v>0</v>
      </c>
      <c r="H4" s="53">
        <v>90</v>
      </c>
      <c r="L4" s="112" t="str" cm="1">
        <f t="array" ref="L4:L36">_xlfn.UNIQUE(B:B)</f>
        <v>门店/部门</v>
      </c>
      <c r="M4" s="137" t="s">
        <v>16</v>
      </c>
      <c r="N4" s="137" t="s">
        <v>15</v>
      </c>
      <c r="O4" s="137" t="s">
        <v>17</v>
      </c>
      <c r="P4" s="137" t="s">
        <v>651</v>
      </c>
    </row>
    <row r="5" spans="1:18" x14ac:dyDescent="0.15">
      <c r="A5" s="84" t="s">
        <v>370</v>
      </c>
      <c r="B5" s="84" t="s">
        <v>370</v>
      </c>
      <c r="C5" s="84" t="s">
        <v>375</v>
      </c>
      <c r="D5" s="138">
        <v>114</v>
      </c>
      <c r="E5" s="138">
        <v>137026.67000000001</v>
      </c>
      <c r="F5" s="138">
        <v>3405</v>
      </c>
      <c r="G5" s="84">
        <v>0</v>
      </c>
      <c r="H5" s="141">
        <v>3405</v>
      </c>
      <c r="L5" s="112" t="str">
        <v>科技二部</v>
      </c>
      <c r="M5" s="112">
        <f>SUMIFS(D:D,B:B,L5)</f>
        <v>644</v>
      </c>
      <c r="N5" s="112">
        <f t="shared" ref="N5:N36" si="2">SUMIFS(E:E,B:B,L5)</f>
        <v>668033.6</v>
      </c>
      <c r="O5" s="112">
        <f>SUMIFS(F:F,B:B,L5)</f>
        <v>15190</v>
      </c>
      <c r="P5" s="112">
        <f>SUMIFS(G:G,B:B,L5)</f>
        <v>0</v>
      </c>
    </row>
    <row r="6" spans="1:18" x14ac:dyDescent="0.15">
      <c r="A6" s="84" t="s">
        <v>370</v>
      </c>
      <c r="B6" s="84" t="s">
        <v>370</v>
      </c>
      <c r="C6" s="84" t="s">
        <v>373</v>
      </c>
      <c r="D6" s="138">
        <v>105</v>
      </c>
      <c r="E6" s="138">
        <v>122893.57</v>
      </c>
      <c r="F6" s="138">
        <v>3015</v>
      </c>
      <c r="G6" s="84">
        <v>0</v>
      </c>
      <c r="H6" s="141">
        <v>3015</v>
      </c>
      <c r="L6" s="112" t="str">
        <v>科技一部</v>
      </c>
      <c r="M6" s="112">
        <f t="shared" ref="M6:M36" si="3">SUMIFS(D:D,B:B,L6)</f>
        <v>835</v>
      </c>
      <c r="N6" s="112">
        <f t="shared" si="2"/>
        <v>1119047.28</v>
      </c>
      <c r="O6" s="112">
        <f t="shared" ref="O6:O36" si="4">SUMIFS(F:F,B:B,L6)</f>
        <v>21875</v>
      </c>
      <c r="P6" s="112">
        <f t="shared" ref="P6:P36" si="5">SUMIFS(G:G,B:B,L6)</f>
        <v>0</v>
      </c>
    </row>
    <row r="7" spans="1:18" x14ac:dyDescent="0.15">
      <c r="A7" s="84" t="s">
        <v>370</v>
      </c>
      <c r="B7" s="84" t="s">
        <v>370</v>
      </c>
      <c r="C7" s="84" t="s">
        <v>374</v>
      </c>
      <c r="D7" s="138">
        <v>134</v>
      </c>
      <c r="E7" s="138">
        <v>125320.94</v>
      </c>
      <c r="F7" s="138">
        <v>2670</v>
      </c>
      <c r="G7" s="84">
        <v>0</v>
      </c>
      <c r="H7" s="141">
        <v>2670</v>
      </c>
      <c r="J7" s="142"/>
      <c r="L7" s="112" t="str">
        <v>优品道</v>
      </c>
      <c r="M7" s="112">
        <f t="shared" si="3"/>
        <v>724</v>
      </c>
      <c r="N7" s="112">
        <f t="shared" si="2"/>
        <v>147256.83000000002</v>
      </c>
      <c r="O7" s="112">
        <f t="shared" si="4"/>
        <v>8750</v>
      </c>
      <c r="P7" s="112">
        <f t="shared" si="5"/>
        <v>750</v>
      </c>
      <c r="Q7" s="112">
        <f>SUMIFS(期初设置!W:W,期初设置!B:B,L7)</f>
        <v>147256.83000000002</v>
      </c>
      <c r="R7" s="112">
        <f>Q7-N7</f>
        <v>0</v>
      </c>
    </row>
    <row r="8" spans="1:18" x14ac:dyDescent="0.15">
      <c r="A8" s="84" t="s">
        <v>370</v>
      </c>
      <c r="B8" s="84" t="s">
        <v>370</v>
      </c>
      <c r="C8" s="84" t="s">
        <v>371</v>
      </c>
      <c r="D8" s="138">
        <v>149</v>
      </c>
      <c r="E8" s="138">
        <v>145128.6</v>
      </c>
      <c r="F8" s="138">
        <v>3275</v>
      </c>
      <c r="G8" s="84">
        <v>0</v>
      </c>
      <c r="H8" s="53">
        <v>3275</v>
      </c>
      <c r="L8" s="112" t="str">
        <v>大源</v>
      </c>
      <c r="M8" s="112">
        <f t="shared" si="3"/>
        <v>566</v>
      </c>
      <c r="N8" s="112">
        <f t="shared" si="2"/>
        <v>82307.44</v>
      </c>
      <c r="O8" s="112">
        <f t="shared" si="4"/>
        <v>6623</v>
      </c>
      <c r="P8" s="112">
        <f t="shared" si="5"/>
        <v>495</v>
      </c>
      <c r="Q8" s="112">
        <f>SUMIFS(期初设置!W:W,期初设置!B:B,L8)</f>
        <v>82307.44</v>
      </c>
      <c r="R8" s="112">
        <f t="shared" ref="R8:R36" si="6">Q8-N8</f>
        <v>0</v>
      </c>
    </row>
    <row r="9" spans="1:18" x14ac:dyDescent="0.15">
      <c r="A9" s="84" t="s">
        <v>363</v>
      </c>
      <c r="B9" s="84" t="s">
        <v>363</v>
      </c>
      <c r="C9" s="84" t="s">
        <v>368</v>
      </c>
      <c r="D9" s="138">
        <v>98</v>
      </c>
      <c r="E9" s="138">
        <v>121186.53</v>
      </c>
      <c r="F9" s="138">
        <v>2940</v>
      </c>
      <c r="G9" s="84">
        <v>0</v>
      </c>
      <c r="H9" s="141">
        <v>2940</v>
      </c>
      <c r="L9" s="112" t="str">
        <v>保利</v>
      </c>
      <c r="M9" s="112">
        <f t="shared" si="3"/>
        <v>517</v>
      </c>
      <c r="N9" s="112">
        <f t="shared" si="2"/>
        <v>65547.239999999991</v>
      </c>
      <c r="O9" s="112">
        <f t="shared" si="4"/>
        <v>6123</v>
      </c>
      <c r="P9" s="112">
        <f t="shared" si="5"/>
        <v>155</v>
      </c>
      <c r="Q9" s="112">
        <f>SUMIFS(期初设置!W:W,期初设置!B:B,L9)</f>
        <v>65547.240000000005</v>
      </c>
      <c r="R9" s="112">
        <f t="shared" si="6"/>
        <v>0</v>
      </c>
    </row>
    <row r="10" spans="1:18" x14ac:dyDescent="0.15">
      <c r="A10" s="84" t="s">
        <v>363</v>
      </c>
      <c r="B10" s="84" t="s">
        <v>363</v>
      </c>
      <c r="C10" s="84" t="s">
        <v>367</v>
      </c>
      <c r="D10" s="138">
        <v>162</v>
      </c>
      <c r="E10" s="138">
        <v>194602.29</v>
      </c>
      <c r="F10" s="138">
        <v>3570</v>
      </c>
      <c r="G10" s="84">
        <v>0</v>
      </c>
      <c r="H10" s="141">
        <v>3570</v>
      </c>
      <c r="L10" s="112" t="str">
        <v>千禧</v>
      </c>
      <c r="M10" s="112">
        <f t="shared" si="3"/>
        <v>493</v>
      </c>
      <c r="N10" s="112">
        <f t="shared" si="2"/>
        <v>112895.98</v>
      </c>
      <c r="O10" s="112">
        <f t="shared" si="4"/>
        <v>5959</v>
      </c>
      <c r="P10" s="112">
        <f t="shared" si="5"/>
        <v>310</v>
      </c>
      <c r="Q10" s="112">
        <f>SUMIFS(期初设置!W:W,期初设置!B:B,L10)</f>
        <v>112895.98</v>
      </c>
      <c r="R10" s="112">
        <f t="shared" si="6"/>
        <v>0</v>
      </c>
    </row>
    <row r="11" spans="1:18" x14ac:dyDescent="0.15">
      <c r="A11" s="84" t="s">
        <v>363</v>
      </c>
      <c r="B11" s="84" t="s">
        <v>363</v>
      </c>
      <c r="C11" s="84" t="s">
        <v>369</v>
      </c>
      <c r="D11" s="138">
        <v>124</v>
      </c>
      <c r="E11" s="138">
        <v>170456.18</v>
      </c>
      <c r="F11" s="138">
        <v>3795</v>
      </c>
      <c r="G11" s="84">
        <v>0</v>
      </c>
      <c r="H11" s="141">
        <v>3795</v>
      </c>
      <c r="J11" s="142"/>
      <c r="L11" s="112" t="str">
        <v>凤凰山</v>
      </c>
      <c r="M11" s="112">
        <f t="shared" si="3"/>
        <v>499</v>
      </c>
      <c r="N11" s="112">
        <f t="shared" si="2"/>
        <v>88696.57</v>
      </c>
      <c r="O11" s="112">
        <f t="shared" si="4"/>
        <v>6134</v>
      </c>
      <c r="P11" s="112">
        <f t="shared" si="5"/>
        <v>255</v>
      </c>
      <c r="Q11" s="112">
        <f>SUMIFS(期初设置!W:W,期初设置!B:B,L11)</f>
        <v>88696.57</v>
      </c>
      <c r="R11" s="112">
        <f t="shared" si="6"/>
        <v>0</v>
      </c>
    </row>
    <row r="12" spans="1:18" x14ac:dyDescent="0.15">
      <c r="A12" s="84" t="s">
        <v>363</v>
      </c>
      <c r="B12" s="84" t="s">
        <v>363</v>
      </c>
      <c r="C12" s="84" t="s">
        <v>364</v>
      </c>
      <c r="D12" s="138">
        <v>116</v>
      </c>
      <c r="E12" s="138">
        <v>253652.65</v>
      </c>
      <c r="F12" s="138">
        <v>4150</v>
      </c>
      <c r="G12" s="84">
        <v>0</v>
      </c>
      <c r="H12" s="53">
        <v>4150</v>
      </c>
      <c r="L12" s="112" t="str">
        <v>大丰</v>
      </c>
      <c r="M12" s="112">
        <f t="shared" si="3"/>
        <v>707</v>
      </c>
      <c r="N12" s="112">
        <f t="shared" si="2"/>
        <v>193836.26000000004</v>
      </c>
      <c r="O12" s="112">
        <f t="shared" si="4"/>
        <v>9134</v>
      </c>
      <c r="P12" s="112">
        <f t="shared" si="5"/>
        <v>610</v>
      </c>
      <c r="Q12" s="112">
        <f>SUMIFS(期初设置!W:W,期初设置!B:B,L12)</f>
        <v>193836.26</v>
      </c>
      <c r="R12" s="112">
        <f t="shared" si="6"/>
        <v>0</v>
      </c>
    </row>
    <row r="13" spans="1:18" x14ac:dyDescent="0.15">
      <c r="A13" s="84" t="s">
        <v>363</v>
      </c>
      <c r="B13" s="84" t="s">
        <v>363</v>
      </c>
      <c r="C13" s="84" t="s">
        <v>365</v>
      </c>
      <c r="D13" s="138">
        <v>138</v>
      </c>
      <c r="E13" s="138">
        <v>143186.04</v>
      </c>
      <c r="F13" s="138">
        <v>3290</v>
      </c>
      <c r="G13" s="84">
        <v>0</v>
      </c>
      <c r="H13" s="53">
        <v>3290</v>
      </c>
      <c r="L13" s="112" t="str">
        <v>中和</v>
      </c>
      <c r="M13" s="112">
        <f t="shared" si="3"/>
        <v>520</v>
      </c>
      <c r="N13" s="112">
        <f t="shared" si="2"/>
        <v>103423.12</v>
      </c>
      <c r="O13" s="112">
        <f t="shared" si="4"/>
        <v>7071</v>
      </c>
      <c r="P13" s="112">
        <f t="shared" si="5"/>
        <v>585</v>
      </c>
      <c r="Q13" s="112">
        <f>SUMIFS(期初设置!W:W,期初设置!B:B,L13)</f>
        <v>103423.12</v>
      </c>
      <c r="R13" s="112">
        <f t="shared" si="6"/>
        <v>0</v>
      </c>
    </row>
    <row r="14" spans="1:18" x14ac:dyDescent="0.15">
      <c r="A14" s="84" t="s">
        <v>363</v>
      </c>
      <c r="B14" s="84" t="s">
        <v>363</v>
      </c>
      <c r="C14" s="84" t="s">
        <v>631</v>
      </c>
      <c r="D14" s="138">
        <v>2</v>
      </c>
      <c r="E14" s="138">
        <v>3129.33</v>
      </c>
      <c r="F14" s="138">
        <v>60</v>
      </c>
      <c r="G14" s="84">
        <v>0</v>
      </c>
      <c r="H14" s="53">
        <v>60</v>
      </c>
      <c r="L14" s="112" t="str">
        <v>涌泉</v>
      </c>
      <c r="M14" s="112">
        <f t="shared" si="3"/>
        <v>448</v>
      </c>
      <c r="N14" s="112">
        <f t="shared" si="2"/>
        <v>138799.93</v>
      </c>
      <c r="O14" s="112">
        <f t="shared" si="4"/>
        <v>5485</v>
      </c>
      <c r="P14" s="112">
        <f t="shared" si="5"/>
        <v>230</v>
      </c>
      <c r="Q14" s="112">
        <f>SUMIFS(期初设置!W:W,期初设置!B:B,L14)</f>
        <v>138799.93</v>
      </c>
      <c r="R14" s="112">
        <f t="shared" si="6"/>
        <v>0</v>
      </c>
    </row>
    <row r="15" spans="1:18" x14ac:dyDescent="0.15">
      <c r="A15" s="84" t="s">
        <v>363</v>
      </c>
      <c r="B15" s="84" t="s">
        <v>363</v>
      </c>
      <c r="C15" s="84" t="s">
        <v>634</v>
      </c>
      <c r="D15" s="138">
        <v>5</v>
      </c>
      <c r="E15" s="138">
        <v>7121.33</v>
      </c>
      <c r="F15" s="138">
        <v>120</v>
      </c>
      <c r="G15" s="84">
        <v>0</v>
      </c>
      <c r="H15" s="53">
        <v>120</v>
      </c>
      <c r="L15" s="112" t="str">
        <v>沙河</v>
      </c>
      <c r="M15" s="112">
        <f t="shared" si="3"/>
        <v>680</v>
      </c>
      <c r="N15" s="112">
        <f t="shared" si="2"/>
        <v>142453.84</v>
      </c>
      <c r="O15" s="112">
        <f t="shared" si="4"/>
        <v>8767</v>
      </c>
      <c r="P15" s="112">
        <f t="shared" si="5"/>
        <v>750</v>
      </c>
      <c r="Q15" s="112">
        <f>SUMIFS(期初设置!W:W,期初设置!B:B,L15)</f>
        <v>142453.84</v>
      </c>
      <c r="R15" s="112">
        <f t="shared" si="6"/>
        <v>0</v>
      </c>
    </row>
    <row r="16" spans="1:18" x14ac:dyDescent="0.15">
      <c r="A16" s="84" t="s">
        <v>363</v>
      </c>
      <c r="B16" s="84" t="s">
        <v>363</v>
      </c>
      <c r="C16" s="84" t="s">
        <v>366</v>
      </c>
      <c r="D16" s="138">
        <v>115</v>
      </c>
      <c r="E16" s="138">
        <v>138410.29</v>
      </c>
      <c r="F16" s="138">
        <v>2100</v>
      </c>
      <c r="G16" s="84">
        <v>0</v>
      </c>
      <c r="H16" s="53">
        <v>2100</v>
      </c>
      <c r="L16" s="112" t="str">
        <v>融创</v>
      </c>
      <c r="M16" s="112">
        <f t="shared" si="3"/>
        <v>503</v>
      </c>
      <c r="N16" s="112">
        <f t="shared" si="2"/>
        <v>118467.22</v>
      </c>
      <c r="O16" s="112">
        <f t="shared" si="4"/>
        <v>6197</v>
      </c>
      <c r="P16" s="112">
        <f t="shared" si="5"/>
        <v>330</v>
      </c>
      <c r="Q16" s="112">
        <f>SUMIFS(期初设置!W:W,期初设置!B:B,L16)</f>
        <v>118467.22</v>
      </c>
      <c r="R16" s="112">
        <f t="shared" si="6"/>
        <v>0</v>
      </c>
    </row>
    <row r="17" spans="1:20" x14ac:dyDescent="0.15">
      <c r="A17" s="84" t="s">
        <v>363</v>
      </c>
      <c r="B17" s="84" t="s">
        <v>363</v>
      </c>
      <c r="C17" s="84" t="s">
        <v>632</v>
      </c>
      <c r="D17" s="138">
        <v>75</v>
      </c>
      <c r="E17" s="138">
        <v>87302.64</v>
      </c>
      <c r="F17" s="138">
        <v>1850</v>
      </c>
      <c r="G17" s="84">
        <v>0</v>
      </c>
      <c r="H17" s="53">
        <v>1850</v>
      </c>
      <c r="L17" s="112" t="str">
        <v>荣华南路</v>
      </c>
      <c r="M17" s="112">
        <f t="shared" si="3"/>
        <v>444</v>
      </c>
      <c r="N17" s="112">
        <f t="shared" si="2"/>
        <v>89170.5</v>
      </c>
      <c r="O17" s="112">
        <f t="shared" si="4"/>
        <v>6020</v>
      </c>
      <c r="P17" s="112">
        <f t="shared" si="5"/>
        <v>500</v>
      </c>
      <c r="Q17" s="112">
        <f>SUMIFS(期初设置!W:W,期初设置!B:B,L17)</f>
        <v>89170.5</v>
      </c>
      <c r="R17" s="112">
        <f t="shared" si="6"/>
        <v>0</v>
      </c>
    </row>
    <row r="18" spans="1:20" x14ac:dyDescent="0.15">
      <c r="A18" s="84" t="s">
        <v>358</v>
      </c>
      <c r="B18" s="84" t="s">
        <v>81</v>
      </c>
      <c r="C18" s="84" t="s">
        <v>84</v>
      </c>
      <c r="D18" s="138">
        <v>118</v>
      </c>
      <c r="E18" s="138">
        <v>19040.330000000002</v>
      </c>
      <c r="F18" s="138">
        <v>1637</v>
      </c>
      <c r="G18" s="84">
        <v>195</v>
      </c>
      <c r="H18" s="53">
        <v>1832</v>
      </c>
      <c r="L18" s="112" t="str">
        <v>骑士郡</v>
      </c>
      <c r="M18" s="112">
        <f t="shared" si="3"/>
        <v>601</v>
      </c>
      <c r="N18" s="112">
        <f t="shared" si="2"/>
        <v>122832.32000000001</v>
      </c>
      <c r="O18" s="112">
        <f t="shared" si="4"/>
        <v>7125</v>
      </c>
      <c r="P18" s="112">
        <f t="shared" si="5"/>
        <v>270</v>
      </c>
      <c r="Q18" s="112">
        <f>SUMIFS(期初设置!W:W,期初设置!B:B,L18)</f>
        <v>122832.31999999999</v>
      </c>
      <c r="R18" s="112">
        <f t="shared" si="6"/>
        <v>0</v>
      </c>
    </row>
    <row r="19" spans="1:20" x14ac:dyDescent="0.15">
      <c r="A19" s="84" t="s">
        <v>358</v>
      </c>
      <c r="B19" s="84" t="s">
        <v>81</v>
      </c>
      <c r="C19" s="84" t="s">
        <v>87</v>
      </c>
      <c r="D19" s="138">
        <v>108</v>
      </c>
      <c r="E19" s="138">
        <v>15154.56</v>
      </c>
      <c r="F19" s="138">
        <v>1498</v>
      </c>
      <c r="G19" s="84">
        <v>220</v>
      </c>
      <c r="H19" s="53">
        <v>1718</v>
      </c>
      <c r="L19" s="112" t="str">
        <v>川音</v>
      </c>
      <c r="M19" s="112">
        <f t="shared" si="3"/>
        <v>523</v>
      </c>
      <c r="N19" s="112">
        <f t="shared" si="2"/>
        <v>114963.60000000002</v>
      </c>
      <c r="O19" s="112">
        <f t="shared" si="4"/>
        <v>6060</v>
      </c>
      <c r="P19" s="112">
        <f t="shared" si="5"/>
        <v>110</v>
      </c>
      <c r="Q19" s="112">
        <f>SUMIFS(期初设置!W:W,期初设置!B:B,L19)</f>
        <v>114963.6</v>
      </c>
      <c r="R19" s="112">
        <f t="shared" si="6"/>
        <v>0</v>
      </c>
      <c r="T19" s="84"/>
    </row>
    <row r="20" spans="1:20" x14ac:dyDescent="0.15">
      <c r="A20" s="84" t="s">
        <v>358</v>
      </c>
      <c r="B20" s="84" t="s">
        <v>81</v>
      </c>
      <c r="C20" s="84" t="s">
        <v>83</v>
      </c>
      <c r="D20" s="138">
        <v>136</v>
      </c>
      <c r="E20" s="138">
        <v>36278.51</v>
      </c>
      <c r="F20" s="138">
        <v>1730</v>
      </c>
      <c r="G20" s="84">
        <v>220</v>
      </c>
      <c r="H20" s="53">
        <v>1950</v>
      </c>
      <c r="L20" s="112" t="str">
        <v>紫荆</v>
      </c>
      <c r="M20" s="112">
        <f t="shared" si="3"/>
        <v>749.5</v>
      </c>
      <c r="N20" s="112">
        <f t="shared" si="2"/>
        <v>342098.76999999996</v>
      </c>
      <c r="O20" s="112">
        <f t="shared" si="4"/>
        <v>8911</v>
      </c>
      <c r="P20" s="112">
        <f t="shared" si="5"/>
        <v>605</v>
      </c>
      <c r="Q20" s="112">
        <f>SUMIFS(期初设置!W:W,期初设置!B:B,L20)</f>
        <v>371563.98</v>
      </c>
      <c r="R20" s="143">
        <f t="shared" si="6"/>
        <v>29465.210000000021</v>
      </c>
    </row>
    <row r="21" spans="1:20" x14ac:dyDescent="0.15">
      <c r="A21" s="84" t="s">
        <v>358</v>
      </c>
      <c r="B21" s="84" t="s">
        <v>81</v>
      </c>
      <c r="C21" s="84" t="s">
        <v>85</v>
      </c>
      <c r="D21" s="138">
        <v>102</v>
      </c>
      <c r="E21" s="138">
        <v>6417.83</v>
      </c>
      <c r="F21" s="138">
        <v>1229</v>
      </c>
      <c r="G21" s="84">
        <v>0</v>
      </c>
      <c r="H21" s="53">
        <v>1229</v>
      </c>
      <c r="L21" s="112" t="str">
        <v>双流</v>
      </c>
      <c r="M21" s="112">
        <f t="shared" si="3"/>
        <v>697.5</v>
      </c>
      <c r="N21" s="112">
        <f t="shared" si="2"/>
        <v>291117.99</v>
      </c>
      <c r="O21" s="112">
        <f t="shared" si="4"/>
        <v>8086</v>
      </c>
      <c r="P21" s="112">
        <f t="shared" si="5"/>
        <v>472.5</v>
      </c>
      <c r="Q21" s="112">
        <f>SUMIFS(期初设置!W:W,期初设置!B:B,L21)</f>
        <v>291117.99</v>
      </c>
      <c r="R21" s="112">
        <f t="shared" si="6"/>
        <v>0</v>
      </c>
    </row>
    <row r="22" spans="1:20" x14ac:dyDescent="0.15">
      <c r="A22" s="84" t="s">
        <v>358</v>
      </c>
      <c r="B22" s="84" t="s">
        <v>81</v>
      </c>
      <c r="C22" s="84" t="s">
        <v>88</v>
      </c>
      <c r="D22" s="138">
        <v>104</v>
      </c>
      <c r="E22" s="138">
        <v>16263.86</v>
      </c>
      <c r="F22" s="138">
        <v>1159</v>
      </c>
      <c r="G22" s="84">
        <v>0</v>
      </c>
      <c r="H22" s="53">
        <v>1159</v>
      </c>
      <c r="L22" s="112" t="str">
        <v>荣华北路</v>
      </c>
      <c r="M22" s="112">
        <f t="shared" si="3"/>
        <v>584.5</v>
      </c>
      <c r="N22" s="112">
        <f t="shared" si="2"/>
        <v>141828.58000000002</v>
      </c>
      <c r="O22" s="112">
        <f t="shared" si="4"/>
        <v>7528</v>
      </c>
      <c r="P22" s="112">
        <f t="shared" si="5"/>
        <v>530</v>
      </c>
      <c r="Q22" s="112">
        <f>SUMIFS(期初设置!W:W,期初设置!B:B,L22)</f>
        <v>141828.58000000002</v>
      </c>
      <c r="R22" s="112">
        <f t="shared" si="6"/>
        <v>0</v>
      </c>
    </row>
    <row r="23" spans="1:20" x14ac:dyDescent="0.15">
      <c r="A23" s="84" t="s">
        <v>358</v>
      </c>
      <c r="B23" s="84" t="s">
        <v>81</v>
      </c>
      <c r="C23" s="84" t="s">
        <v>89</v>
      </c>
      <c r="D23" s="138">
        <v>113</v>
      </c>
      <c r="E23" s="138">
        <v>13041.74</v>
      </c>
      <c r="F23" s="138">
        <v>1493</v>
      </c>
      <c r="G23" s="84">
        <v>115</v>
      </c>
      <c r="H23" s="53">
        <v>1608</v>
      </c>
      <c r="L23" s="112" t="str">
        <v>南湖</v>
      </c>
      <c r="M23" s="112">
        <f t="shared" si="3"/>
        <v>690.5</v>
      </c>
      <c r="N23" s="112">
        <f t="shared" si="2"/>
        <v>126826.83000000002</v>
      </c>
      <c r="O23" s="112">
        <f t="shared" si="4"/>
        <v>7838</v>
      </c>
      <c r="P23" s="112">
        <f t="shared" si="5"/>
        <v>522.5</v>
      </c>
      <c r="Q23" s="112">
        <f>SUMIFS(期初设置!W:W,期初设置!B:B,L23)</f>
        <v>126826.83</v>
      </c>
      <c r="R23" s="112">
        <f t="shared" si="6"/>
        <v>0</v>
      </c>
    </row>
    <row r="24" spans="1:20" x14ac:dyDescent="0.15">
      <c r="A24" s="84" t="s">
        <v>358</v>
      </c>
      <c r="B24" s="84" t="s">
        <v>81</v>
      </c>
      <c r="C24" s="84" t="s">
        <v>266</v>
      </c>
      <c r="D24" s="138">
        <v>43</v>
      </c>
      <c r="E24" s="138">
        <v>41060</v>
      </c>
      <c r="F24" s="138">
        <v>4</v>
      </c>
      <c r="G24" s="84">
        <v>0</v>
      </c>
      <c r="H24" s="53">
        <v>4</v>
      </c>
      <c r="L24" s="112" t="str">
        <v>鹭岛</v>
      </c>
      <c r="M24" s="112">
        <f t="shared" si="3"/>
        <v>572.5</v>
      </c>
      <c r="N24" s="112">
        <f t="shared" si="2"/>
        <v>94580.72</v>
      </c>
      <c r="O24" s="112">
        <f t="shared" si="4"/>
        <v>7339</v>
      </c>
      <c r="P24" s="112">
        <f t="shared" si="5"/>
        <v>440</v>
      </c>
      <c r="Q24" s="112">
        <f>SUMIFS(期初设置!W:W,期初设置!B:B,L24)</f>
        <v>94580.72</v>
      </c>
      <c r="R24" s="112">
        <f t="shared" si="6"/>
        <v>0</v>
      </c>
    </row>
    <row r="25" spans="1:20" x14ac:dyDescent="0.15">
      <c r="A25" s="84" t="s">
        <v>358</v>
      </c>
      <c r="B25" s="84" t="s">
        <v>90</v>
      </c>
      <c r="C25" s="84" t="s">
        <v>433</v>
      </c>
      <c r="D25" s="138">
        <v>36</v>
      </c>
      <c r="E25" s="138">
        <v>1887.22</v>
      </c>
      <c r="F25" s="138">
        <v>508</v>
      </c>
      <c r="G25" s="84">
        <v>0</v>
      </c>
      <c r="H25" s="53">
        <v>508</v>
      </c>
      <c r="L25" s="112" t="str">
        <v>龙湖</v>
      </c>
      <c r="M25" s="112">
        <f t="shared" si="3"/>
        <v>691</v>
      </c>
      <c r="N25" s="112">
        <f t="shared" si="2"/>
        <v>209444.51</v>
      </c>
      <c r="O25" s="112">
        <f t="shared" si="4"/>
        <v>8051</v>
      </c>
      <c r="P25" s="112">
        <f t="shared" si="5"/>
        <v>680</v>
      </c>
      <c r="Q25" s="112">
        <f>SUMIFS(期初设置!W:W,期初设置!B:B,L25)</f>
        <v>209444.51000000004</v>
      </c>
      <c r="R25" s="112">
        <f t="shared" si="6"/>
        <v>0</v>
      </c>
    </row>
    <row r="26" spans="1:20" x14ac:dyDescent="0.15">
      <c r="A26" s="84" t="s">
        <v>358</v>
      </c>
      <c r="B26" s="84" t="s">
        <v>90</v>
      </c>
      <c r="C26" s="84" t="s">
        <v>91</v>
      </c>
      <c r="D26" s="138">
        <v>120</v>
      </c>
      <c r="E26" s="138">
        <v>20407.3</v>
      </c>
      <c r="F26" s="138">
        <v>2023</v>
      </c>
      <c r="G26" s="84">
        <v>240</v>
      </c>
      <c r="H26" s="53">
        <v>2263</v>
      </c>
      <c r="L26" s="112" t="str">
        <v>光华</v>
      </c>
      <c r="M26" s="112">
        <f t="shared" si="3"/>
        <v>613.5</v>
      </c>
      <c r="N26" s="112">
        <f t="shared" si="2"/>
        <v>151727.96</v>
      </c>
      <c r="O26" s="112">
        <f t="shared" si="4"/>
        <v>8125</v>
      </c>
      <c r="P26" s="112">
        <f t="shared" si="5"/>
        <v>735</v>
      </c>
      <c r="Q26" s="112">
        <f>SUMIFS(期初设置!W:W,期初设置!B:B,L26)</f>
        <v>122262.75</v>
      </c>
      <c r="R26" s="143">
        <f t="shared" si="6"/>
        <v>-29465.209999999992</v>
      </c>
    </row>
    <row r="27" spans="1:20" x14ac:dyDescent="0.15">
      <c r="A27" s="84" t="s">
        <v>358</v>
      </c>
      <c r="B27" s="84" t="s">
        <v>90</v>
      </c>
      <c r="C27" s="84" t="s">
        <v>267</v>
      </c>
      <c r="D27" s="138">
        <v>93</v>
      </c>
      <c r="E27" s="138">
        <v>30811.75</v>
      </c>
      <c r="F27" s="138">
        <v>0</v>
      </c>
      <c r="G27" s="84">
        <v>0</v>
      </c>
      <c r="H27" s="53">
        <v>0</v>
      </c>
      <c r="L27" s="112" t="str">
        <v>亚洲湾</v>
      </c>
      <c r="M27" s="112">
        <f t="shared" si="3"/>
        <v>542</v>
      </c>
      <c r="N27" s="112">
        <f t="shared" si="2"/>
        <v>103072.62</v>
      </c>
      <c r="O27" s="112">
        <f t="shared" si="4"/>
        <v>6135</v>
      </c>
      <c r="P27" s="112">
        <f t="shared" si="5"/>
        <v>290</v>
      </c>
      <c r="Q27" s="112">
        <f>SUMIFS(期初设置!W:W,期初设置!B:B,L27)</f>
        <v>103072.62</v>
      </c>
      <c r="R27" s="112">
        <f t="shared" si="6"/>
        <v>0</v>
      </c>
    </row>
    <row r="28" spans="1:20" x14ac:dyDescent="0.15">
      <c r="A28" s="84" t="s">
        <v>358</v>
      </c>
      <c r="B28" s="84" t="s">
        <v>90</v>
      </c>
      <c r="C28" s="84" t="s">
        <v>92</v>
      </c>
      <c r="D28" s="138">
        <v>97</v>
      </c>
      <c r="E28" s="138">
        <v>5717.98</v>
      </c>
      <c r="F28" s="138">
        <v>1261</v>
      </c>
      <c r="G28" s="84">
        <v>45</v>
      </c>
      <c r="H28" s="53">
        <v>1306</v>
      </c>
      <c r="L28" s="112" t="str">
        <v>明信</v>
      </c>
      <c r="M28" s="112">
        <f t="shared" si="3"/>
        <v>485</v>
      </c>
      <c r="N28" s="112">
        <f t="shared" si="2"/>
        <v>58169.61</v>
      </c>
      <c r="O28" s="112">
        <f t="shared" si="4"/>
        <v>6081</v>
      </c>
      <c r="P28" s="112">
        <f t="shared" si="5"/>
        <v>260</v>
      </c>
      <c r="Q28" s="112">
        <f>SUMIFS(期初设置!W:W,期初设置!B:B,L28)</f>
        <v>58169.61</v>
      </c>
      <c r="R28" s="112">
        <f t="shared" si="6"/>
        <v>0</v>
      </c>
    </row>
    <row r="29" spans="1:20" x14ac:dyDescent="0.15">
      <c r="A29" s="84" t="s">
        <v>358</v>
      </c>
      <c r="B29" s="84" t="s">
        <v>90</v>
      </c>
      <c r="C29" s="139" t="s">
        <v>96</v>
      </c>
      <c r="D29" s="140">
        <v>2</v>
      </c>
      <c r="E29" s="140">
        <v>81.13</v>
      </c>
      <c r="F29" s="140">
        <v>30</v>
      </c>
      <c r="G29" s="139">
        <v>0</v>
      </c>
      <c r="H29" s="95">
        <v>30</v>
      </c>
      <c r="I29" s="112">
        <v>81.3</v>
      </c>
      <c r="L29" s="112" t="str">
        <v>川师</v>
      </c>
      <c r="M29" s="112">
        <f t="shared" si="3"/>
        <v>598</v>
      </c>
      <c r="N29" s="112">
        <f t="shared" si="2"/>
        <v>192690.38</v>
      </c>
      <c r="O29" s="112">
        <f t="shared" si="4"/>
        <v>6270</v>
      </c>
      <c r="P29" s="112">
        <f t="shared" si="5"/>
        <v>205</v>
      </c>
      <c r="Q29" s="112">
        <f>SUMIFS(期初设置!W:W,期初设置!B:B,L29)</f>
        <v>192690.38</v>
      </c>
      <c r="R29" s="112">
        <f t="shared" si="6"/>
        <v>0</v>
      </c>
    </row>
    <row r="30" spans="1:20" x14ac:dyDescent="0.15">
      <c r="A30" s="84" t="s">
        <v>358</v>
      </c>
      <c r="B30" s="84" t="s">
        <v>90</v>
      </c>
      <c r="C30" s="84" t="s">
        <v>94</v>
      </c>
      <c r="D30" s="138">
        <v>96</v>
      </c>
      <c r="E30" s="138">
        <v>9214.99</v>
      </c>
      <c r="F30" s="138">
        <v>1186</v>
      </c>
      <c r="G30" s="84">
        <v>90</v>
      </c>
      <c r="H30" s="53">
        <v>1276</v>
      </c>
      <c r="L30" s="112" t="str">
        <v>犀浦</v>
      </c>
      <c r="M30" s="112">
        <f t="shared" si="3"/>
        <v>702</v>
      </c>
      <c r="N30" s="112">
        <f t="shared" si="2"/>
        <v>120226.82</v>
      </c>
      <c r="O30" s="112">
        <f t="shared" si="4"/>
        <v>8846</v>
      </c>
      <c r="P30" s="112">
        <f t="shared" si="5"/>
        <v>560</v>
      </c>
      <c r="Q30" s="112">
        <f>SUMIFS(期初设置!W:W,期初设置!B:B,L30)</f>
        <v>120226.82</v>
      </c>
      <c r="R30" s="112">
        <f t="shared" si="6"/>
        <v>0</v>
      </c>
    </row>
    <row r="31" spans="1:20" x14ac:dyDescent="0.15">
      <c r="A31" s="84" t="s">
        <v>358</v>
      </c>
      <c r="B31" s="84" t="s">
        <v>90</v>
      </c>
      <c r="C31" s="84" t="s">
        <v>95</v>
      </c>
      <c r="D31" s="138">
        <v>122</v>
      </c>
      <c r="E31" s="138">
        <v>14187.07</v>
      </c>
      <c r="F31" s="138">
        <v>1615</v>
      </c>
      <c r="G31" s="84">
        <v>120</v>
      </c>
      <c r="H31" s="53">
        <v>1735</v>
      </c>
      <c r="L31" s="112" t="str">
        <v>龙城国际</v>
      </c>
      <c r="M31" s="112">
        <f t="shared" si="3"/>
        <v>360</v>
      </c>
      <c r="N31" s="112">
        <f t="shared" si="2"/>
        <v>117423.44</v>
      </c>
      <c r="O31" s="112">
        <f t="shared" si="4"/>
        <v>4502</v>
      </c>
      <c r="P31" s="112">
        <f t="shared" si="5"/>
        <v>222.5</v>
      </c>
      <c r="Q31" s="112">
        <f>SUMIFS(期初设置!W:W,期初设置!B:B,L31)</f>
        <v>117423.44</v>
      </c>
      <c r="R31" s="112">
        <f t="shared" si="6"/>
        <v>0</v>
      </c>
    </row>
    <row r="32" spans="1:20" x14ac:dyDescent="0.15">
      <c r="A32" s="84" t="s">
        <v>358</v>
      </c>
      <c r="B32" s="84" t="s">
        <v>97</v>
      </c>
      <c r="C32" s="84" t="s">
        <v>268</v>
      </c>
      <c r="D32" s="138">
        <v>21</v>
      </c>
      <c r="E32" s="138">
        <v>21218</v>
      </c>
      <c r="F32" s="138">
        <v>0</v>
      </c>
      <c r="G32" s="84">
        <v>0</v>
      </c>
      <c r="H32" s="53">
        <v>0</v>
      </c>
      <c r="L32" s="112" t="str">
        <v>静居寺</v>
      </c>
      <c r="M32" s="112">
        <f t="shared" si="3"/>
        <v>850</v>
      </c>
      <c r="N32" s="112">
        <f t="shared" si="2"/>
        <v>519029.29000000004</v>
      </c>
      <c r="O32" s="112">
        <f t="shared" si="4"/>
        <v>10030</v>
      </c>
      <c r="P32" s="112">
        <f t="shared" si="5"/>
        <v>570</v>
      </c>
      <c r="Q32" s="112">
        <f>SUMIFS(期初设置!W:W,期初设置!B:B,L32)</f>
        <v>519029.29000000004</v>
      </c>
      <c r="R32" s="112">
        <f t="shared" si="6"/>
        <v>0</v>
      </c>
    </row>
    <row r="33" spans="1:18" x14ac:dyDescent="0.15">
      <c r="A33" s="84" t="s">
        <v>358</v>
      </c>
      <c r="B33" s="84" t="s">
        <v>97</v>
      </c>
      <c r="C33" s="84" t="s">
        <v>101</v>
      </c>
      <c r="D33" s="138">
        <v>114</v>
      </c>
      <c r="E33" s="138">
        <v>11825.28</v>
      </c>
      <c r="F33" s="138">
        <v>1474</v>
      </c>
      <c r="G33" s="84">
        <v>125</v>
      </c>
      <c r="H33" s="53">
        <v>1599</v>
      </c>
      <c r="L33" s="112" t="str">
        <v>华润</v>
      </c>
      <c r="M33" s="112">
        <f t="shared" si="3"/>
        <v>615</v>
      </c>
      <c r="N33" s="112">
        <f t="shared" si="2"/>
        <v>181529.51</v>
      </c>
      <c r="O33" s="112">
        <f t="shared" si="4"/>
        <v>8045</v>
      </c>
      <c r="P33" s="112">
        <f t="shared" si="5"/>
        <v>465</v>
      </c>
      <c r="Q33" s="112">
        <f>SUMIFS(期初设置!W:W,期初设置!B:B,L33)</f>
        <v>181529.51</v>
      </c>
      <c r="R33" s="112">
        <f t="shared" si="6"/>
        <v>0</v>
      </c>
    </row>
    <row r="34" spans="1:18" x14ac:dyDescent="0.15">
      <c r="A34" s="84" t="s">
        <v>358</v>
      </c>
      <c r="B34" s="84" t="s">
        <v>97</v>
      </c>
      <c r="C34" s="84" t="s">
        <v>98</v>
      </c>
      <c r="D34" s="138">
        <v>111</v>
      </c>
      <c r="E34" s="138">
        <v>14027.7</v>
      </c>
      <c r="F34" s="138">
        <v>1234</v>
      </c>
      <c r="G34" s="84">
        <v>15</v>
      </c>
      <c r="H34" s="53">
        <v>1249</v>
      </c>
      <c r="L34" s="112" t="str">
        <v>红光</v>
      </c>
      <c r="M34" s="112">
        <f t="shared" si="3"/>
        <v>476</v>
      </c>
      <c r="N34" s="112">
        <f t="shared" si="2"/>
        <v>180471.16</v>
      </c>
      <c r="O34" s="112">
        <f t="shared" si="4"/>
        <v>6343</v>
      </c>
      <c r="P34" s="112">
        <f t="shared" si="5"/>
        <v>505</v>
      </c>
      <c r="Q34" s="112">
        <f>SUMIFS(期初设置!W:W,期初设置!B:B,L34)</f>
        <v>180471.16</v>
      </c>
      <c r="R34" s="112">
        <f t="shared" si="6"/>
        <v>0</v>
      </c>
    </row>
    <row r="35" spans="1:18" x14ac:dyDescent="0.15">
      <c r="A35" s="84" t="s">
        <v>358</v>
      </c>
      <c r="B35" s="84" t="s">
        <v>97</v>
      </c>
      <c r="C35" s="84" t="s">
        <v>100</v>
      </c>
      <c r="D35" s="138">
        <v>101</v>
      </c>
      <c r="E35" s="138">
        <v>6892.7</v>
      </c>
      <c r="F35" s="138">
        <v>1337</v>
      </c>
      <c r="G35" s="84">
        <v>0</v>
      </c>
      <c r="H35" s="53">
        <v>1337</v>
      </c>
      <c r="L35" s="112">
        <v>468</v>
      </c>
      <c r="M35" s="112">
        <f t="shared" si="3"/>
        <v>706</v>
      </c>
      <c r="N35" s="112">
        <f t="shared" si="2"/>
        <v>190782.77000000002</v>
      </c>
      <c r="O35" s="112">
        <f t="shared" si="4"/>
        <v>8409</v>
      </c>
      <c r="P35" s="112">
        <f t="shared" si="5"/>
        <v>625</v>
      </c>
      <c r="Q35" s="112">
        <f>SUMIFS(期初设置!W:W,期初设置!B:B,L35)</f>
        <v>190782.77</v>
      </c>
      <c r="R35" s="112">
        <f t="shared" si="6"/>
        <v>0</v>
      </c>
    </row>
    <row r="36" spans="1:18" x14ac:dyDescent="0.15">
      <c r="A36" s="84" t="s">
        <v>358</v>
      </c>
      <c r="B36" s="84" t="s">
        <v>97</v>
      </c>
      <c r="C36" s="139" t="s">
        <v>362</v>
      </c>
      <c r="D36" s="140">
        <v>68</v>
      </c>
      <c r="E36" s="140">
        <v>3721.76</v>
      </c>
      <c r="F36" s="140">
        <v>938</v>
      </c>
      <c r="G36" s="139">
        <v>0</v>
      </c>
      <c r="H36" s="95">
        <v>938</v>
      </c>
      <c r="L36" s="112">
        <v>0</v>
      </c>
      <c r="M36" s="112">
        <f t="shared" si="3"/>
        <v>0</v>
      </c>
      <c r="N36" s="112">
        <f t="shared" si="2"/>
        <v>0</v>
      </c>
      <c r="O36" s="112">
        <f t="shared" si="4"/>
        <v>0</v>
      </c>
      <c r="P36" s="112">
        <f t="shared" si="5"/>
        <v>0</v>
      </c>
      <c r="Q36" s="112">
        <f>SUMIFS(期初设置!W:W,期初设置!B:B,L36)</f>
        <v>0</v>
      </c>
      <c r="R36" s="112">
        <f t="shared" si="6"/>
        <v>0</v>
      </c>
    </row>
    <row r="37" spans="1:18" x14ac:dyDescent="0.15">
      <c r="A37" s="84" t="s">
        <v>358</v>
      </c>
      <c r="B37" s="84" t="s">
        <v>97</v>
      </c>
      <c r="C37" s="84" t="s">
        <v>99</v>
      </c>
      <c r="D37" s="138">
        <v>102</v>
      </c>
      <c r="E37" s="138">
        <v>7861.8</v>
      </c>
      <c r="F37" s="138">
        <v>1140</v>
      </c>
      <c r="G37" s="84">
        <v>15</v>
      </c>
      <c r="H37" s="53">
        <v>1155</v>
      </c>
    </row>
    <row r="38" spans="1:18" x14ac:dyDescent="0.15">
      <c r="A38" s="84" t="s">
        <v>361</v>
      </c>
      <c r="B38" s="84" t="s">
        <v>238</v>
      </c>
      <c r="C38" s="84" t="s">
        <v>242</v>
      </c>
      <c r="D38" s="138">
        <v>106</v>
      </c>
      <c r="E38" s="138">
        <v>67533.37</v>
      </c>
      <c r="F38" s="138">
        <v>1237</v>
      </c>
      <c r="G38" s="84">
        <v>135</v>
      </c>
      <c r="H38" s="53">
        <v>1372</v>
      </c>
    </row>
    <row r="39" spans="1:18" x14ac:dyDescent="0.15">
      <c r="A39" s="84" t="s">
        <v>361</v>
      </c>
      <c r="B39" s="84" t="s">
        <v>238</v>
      </c>
      <c r="C39" s="84" t="s">
        <v>243</v>
      </c>
      <c r="D39" s="138">
        <v>79</v>
      </c>
      <c r="E39" s="138">
        <v>5771.98</v>
      </c>
      <c r="F39" s="138">
        <v>1129</v>
      </c>
      <c r="G39" s="84">
        <v>0</v>
      </c>
      <c r="H39" s="53">
        <v>1129</v>
      </c>
    </row>
    <row r="40" spans="1:18" x14ac:dyDescent="0.15">
      <c r="A40" s="84" t="s">
        <v>361</v>
      </c>
      <c r="B40" s="84" t="s">
        <v>238</v>
      </c>
      <c r="C40" s="84" t="s">
        <v>244</v>
      </c>
      <c r="D40" s="138">
        <v>71</v>
      </c>
      <c r="E40" s="138">
        <v>4789.33</v>
      </c>
      <c r="F40" s="138">
        <v>952</v>
      </c>
      <c r="G40" s="84">
        <v>0</v>
      </c>
      <c r="H40" s="53">
        <v>952</v>
      </c>
    </row>
    <row r="41" spans="1:18" x14ac:dyDescent="0.15">
      <c r="A41" s="84" t="s">
        <v>361</v>
      </c>
      <c r="B41" s="84" t="s">
        <v>238</v>
      </c>
      <c r="C41" s="84" t="s">
        <v>285</v>
      </c>
      <c r="D41" s="138">
        <v>23</v>
      </c>
      <c r="E41" s="138">
        <v>2797.5</v>
      </c>
      <c r="F41" s="138">
        <v>0</v>
      </c>
      <c r="G41" s="84">
        <v>0</v>
      </c>
      <c r="H41" s="53">
        <v>0</v>
      </c>
    </row>
    <row r="42" spans="1:18" x14ac:dyDescent="0.15">
      <c r="A42" s="84" t="s">
        <v>361</v>
      </c>
      <c r="B42" s="84" t="s">
        <v>238</v>
      </c>
      <c r="C42" s="84" t="s">
        <v>240</v>
      </c>
      <c r="D42" s="138">
        <v>111</v>
      </c>
      <c r="E42" s="138">
        <v>8434.52</v>
      </c>
      <c r="F42" s="138">
        <v>1161</v>
      </c>
      <c r="G42" s="84">
        <v>0</v>
      </c>
      <c r="H42" s="53">
        <v>1161</v>
      </c>
    </row>
    <row r="43" spans="1:18" x14ac:dyDescent="0.15">
      <c r="A43" s="84" t="s">
        <v>361</v>
      </c>
      <c r="B43" s="84" t="s">
        <v>238</v>
      </c>
      <c r="C43" s="84" t="s">
        <v>241</v>
      </c>
      <c r="D43" s="138">
        <v>103</v>
      </c>
      <c r="E43" s="138">
        <v>23569.279999999999</v>
      </c>
      <c r="F43" s="138">
        <v>1480</v>
      </c>
      <c r="G43" s="84">
        <v>175</v>
      </c>
      <c r="H43" s="53">
        <v>1655</v>
      </c>
    </row>
    <row r="44" spans="1:18" x14ac:dyDescent="0.15">
      <c r="A44" s="84" t="s">
        <v>361</v>
      </c>
      <c r="B44" s="84" t="s">
        <v>251</v>
      </c>
      <c r="C44" s="84" t="s">
        <v>287</v>
      </c>
      <c r="D44" s="138">
        <v>25</v>
      </c>
      <c r="E44" s="138">
        <v>15219</v>
      </c>
      <c r="F44" s="138">
        <v>0</v>
      </c>
      <c r="G44" s="84">
        <v>0</v>
      </c>
      <c r="H44" s="53">
        <v>0</v>
      </c>
    </row>
    <row r="45" spans="1:18" x14ac:dyDescent="0.15">
      <c r="A45" s="84" t="s">
        <v>361</v>
      </c>
      <c r="B45" s="84" t="s">
        <v>251</v>
      </c>
      <c r="C45" s="84" t="s">
        <v>252</v>
      </c>
      <c r="D45" s="138">
        <v>99</v>
      </c>
      <c r="E45" s="138">
        <v>26333.16</v>
      </c>
      <c r="F45" s="138">
        <v>1450</v>
      </c>
      <c r="G45" s="84">
        <v>175</v>
      </c>
      <c r="H45" s="53">
        <v>1625</v>
      </c>
    </row>
    <row r="46" spans="1:18" x14ac:dyDescent="0.15">
      <c r="A46" s="84" t="s">
        <v>361</v>
      </c>
      <c r="B46" s="84" t="s">
        <v>251</v>
      </c>
      <c r="C46" s="84" t="s">
        <v>256</v>
      </c>
      <c r="D46" s="138">
        <v>92</v>
      </c>
      <c r="E46" s="138">
        <v>20649.43</v>
      </c>
      <c r="F46" s="138">
        <v>1160</v>
      </c>
      <c r="G46" s="84">
        <v>60</v>
      </c>
      <c r="H46" s="53">
        <v>1220</v>
      </c>
    </row>
    <row r="47" spans="1:18" x14ac:dyDescent="0.15">
      <c r="A47" s="84" t="s">
        <v>361</v>
      </c>
      <c r="B47" s="84" t="s">
        <v>251</v>
      </c>
      <c r="C47" s="84" t="s">
        <v>258</v>
      </c>
      <c r="D47" s="138">
        <v>105</v>
      </c>
      <c r="E47" s="138">
        <v>6608.24</v>
      </c>
      <c r="F47" s="138">
        <v>1263</v>
      </c>
      <c r="G47" s="84">
        <v>0</v>
      </c>
      <c r="H47" s="53">
        <v>1263</v>
      </c>
    </row>
    <row r="48" spans="1:18" x14ac:dyDescent="0.15">
      <c r="A48" s="84" t="s">
        <v>361</v>
      </c>
      <c r="B48" s="84" t="s">
        <v>251</v>
      </c>
      <c r="C48" s="84" t="s">
        <v>257</v>
      </c>
      <c r="D48" s="138">
        <v>12</v>
      </c>
      <c r="E48" s="138">
        <v>8727.02</v>
      </c>
      <c r="F48" s="138">
        <v>49</v>
      </c>
      <c r="G48" s="84">
        <v>0</v>
      </c>
      <c r="H48" s="53">
        <v>49</v>
      </c>
    </row>
    <row r="49" spans="1:8" x14ac:dyDescent="0.15">
      <c r="A49" s="84" t="s">
        <v>361</v>
      </c>
      <c r="B49" s="84" t="s">
        <v>251</v>
      </c>
      <c r="C49" s="84" t="s">
        <v>254</v>
      </c>
      <c r="D49" s="138">
        <v>81</v>
      </c>
      <c r="E49" s="138">
        <v>5713.5</v>
      </c>
      <c r="F49" s="138">
        <v>1123</v>
      </c>
      <c r="G49" s="84">
        <v>0</v>
      </c>
      <c r="H49" s="53">
        <v>1123</v>
      </c>
    </row>
    <row r="50" spans="1:8" x14ac:dyDescent="0.15">
      <c r="A50" s="84" t="s">
        <v>361</v>
      </c>
      <c r="B50" s="84" t="s">
        <v>251</v>
      </c>
      <c r="C50" s="84" t="s">
        <v>253</v>
      </c>
      <c r="D50" s="138">
        <v>85</v>
      </c>
      <c r="E50" s="138">
        <v>5446.22</v>
      </c>
      <c r="F50" s="138">
        <v>1089</v>
      </c>
      <c r="G50" s="84">
        <v>20</v>
      </c>
      <c r="H50" s="53">
        <v>1109</v>
      </c>
    </row>
    <row r="51" spans="1:8" x14ac:dyDescent="0.15">
      <c r="A51" s="84" t="s">
        <v>361</v>
      </c>
      <c r="B51" s="84" t="s">
        <v>245</v>
      </c>
      <c r="C51" s="84" t="s">
        <v>286</v>
      </c>
      <c r="D51" s="138">
        <v>47</v>
      </c>
      <c r="E51" s="138">
        <v>50751.5</v>
      </c>
      <c r="F51" s="138">
        <v>204</v>
      </c>
      <c r="G51" s="84">
        <v>0</v>
      </c>
      <c r="H51" s="53">
        <v>204</v>
      </c>
    </row>
    <row r="52" spans="1:8" x14ac:dyDescent="0.15">
      <c r="A52" s="84" t="s">
        <v>361</v>
      </c>
      <c r="B52" s="84" t="s">
        <v>245</v>
      </c>
      <c r="C52" s="84" t="s">
        <v>249</v>
      </c>
      <c r="D52" s="138">
        <v>156</v>
      </c>
      <c r="E52" s="138">
        <v>51418.54</v>
      </c>
      <c r="F52" s="138">
        <v>2340</v>
      </c>
      <c r="G52" s="84">
        <v>360</v>
      </c>
      <c r="H52" s="53">
        <v>2700</v>
      </c>
    </row>
    <row r="53" spans="1:8" x14ac:dyDescent="0.15">
      <c r="A53" s="84" t="s">
        <v>361</v>
      </c>
      <c r="B53" s="84" t="s">
        <v>245</v>
      </c>
      <c r="C53" s="84" t="s">
        <v>250</v>
      </c>
      <c r="D53" s="138">
        <v>97</v>
      </c>
      <c r="E53" s="138">
        <v>10085.799999999999</v>
      </c>
      <c r="F53" s="138">
        <v>1241</v>
      </c>
      <c r="G53" s="84">
        <v>15</v>
      </c>
      <c r="H53" s="53">
        <v>1256</v>
      </c>
    </row>
    <row r="54" spans="1:8" x14ac:dyDescent="0.15">
      <c r="A54" s="84" t="s">
        <v>361</v>
      </c>
      <c r="B54" s="84" t="s">
        <v>245</v>
      </c>
      <c r="C54" s="84" t="s">
        <v>247</v>
      </c>
      <c r="D54" s="138">
        <v>134</v>
      </c>
      <c r="E54" s="138">
        <v>17876.88</v>
      </c>
      <c r="F54" s="138">
        <v>1843</v>
      </c>
      <c r="G54" s="84">
        <v>175</v>
      </c>
      <c r="H54" s="53">
        <v>2018</v>
      </c>
    </row>
    <row r="55" spans="1:8" x14ac:dyDescent="0.15">
      <c r="A55" s="84" t="s">
        <v>361</v>
      </c>
      <c r="B55" s="84" t="s">
        <v>245</v>
      </c>
      <c r="C55" s="84" t="s">
        <v>246</v>
      </c>
      <c r="D55" s="138">
        <v>159</v>
      </c>
      <c r="E55" s="138">
        <v>57021.5</v>
      </c>
      <c r="F55" s="138">
        <v>2007</v>
      </c>
      <c r="G55" s="84">
        <v>60</v>
      </c>
      <c r="H55" s="53">
        <v>2067</v>
      </c>
    </row>
    <row r="56" spans="1:8" x14ac:dyDescent="0.15">
      <c r="A56" s="84" t="s">
        <v>361</v>
      </c>
      <c r="B56" s="84" t="s">
        <v>245</v>
      </c>
      <c r="C56" s="84" t="s">
        <v>248</v>
      </c>
      <c r="D56" s="138">
        <v>81</v>
      </c>
      <c r="E56" s="138">
        <v>4540.6499999999996</v>
      </c>
      <c r="F56" s="138">
        <v>1039</v>
      </c>
      <c r="G56" s="84">
        <v>0</v>
      </c>
      <c r="H56" s="53">
        <v>1039</v>
      </c>
    </row>
    <row r="57" spans="1:8" x14ac:dyDescent="0.15">
      <c r="A57" s="84" t="s">
        <v>361</v>
      </c>
      <c r="B57" s="84" t="s">
        <v>245</v>
      </c>
      <c r="C57" s="84" t="s">
        <v>441</v>
      </c>
      <c r="D57" s="138">
        <v>33</v>
      </c>
      <c r="E57" s="138">
        <v>2141.39</v>
      </c>
      <c r="F57" s="138">
        <v>460</v>
      </c>
      <c r="G57" s="84">
        <v>0</v>
      </c>
      <c r="H57" s="53">
        <v>460</v>
      </c>
    </row>
    <row r="58" spans="1:8" x14ac:dyDescent="0.15">
      <c r="A58" s="84" t="s">
        <v>356</v>
      </c>
      <c r="B58" s="84" t="s">
        <v>145</v>
      </c>
      <c r="C58" s="84" t="s">
        <v>151</v>
      </c>
      <c r="D58" s="138">
        <v>107</v>
      </c>
      <c r="E58" s="138">
        <v>20075.759999999998</v>
      </c>
      <c r="F58" s="138">
        <v>1546</v>
      </c>
      <c r="G58" s="84">
        <v>120</v>
      </c>
      <c r="H58" s="53">
        <v>1666</v>
      </c>
    </row>
    <row r="59" spans="1:8" x14ac:dyDescent="0.15">
      <c r="A59" s="84" t="s">
        <v>356</v>
      </c>
      <c r="B59" s="84" t="s">
        <v>145</v>
      </c>
      <c r="C59" s="84" t="s">
        <v>150</v>
      </c>
      <c r="D59" s="138">
        <v>108</v>
      </c>
      <c r="E59" s="138">
        <v>24816.880000000001</v>
      </c>
      <c r="F59" s="138">
        <v>1594</v>
      </c>
      <c r="G59" s="84">
        <v>220</v>
      </c>
      <c r="H59" s="53">
        <v>1814</v>
      </c>
    </row>
    <row r="60" spans="1:8" x14ac:dyDescent="0.15">
      <c r="A60" s="84" t="s">
        <v>356</v>
      </c>
      <c r="B60" s="84" t="s">
        <v>145</v>
      </c>
      <c r="C60" s="84" t="s">
        <v>147</v>
      </c>
      <c r="D60" s="138">
        <v>105.5</v>
      </c>
      <c r="E60" s="138">
        <v>21255.46</v>
      </c>
      <c r="F60" s="138">
        <v>1406</v>
      </c>
      <c r="G60" s="84">
        <v>155</v>
      </c>
      <c r="H60" s="53">
        <v>1561</v>
      </c>
    </row>
    <row r="61" spans="1:8" x14ac:dyDescent="0.15">
      <c r="A61" s="84" t="s">
        <v>356</v>
      </c>
      <c r="B61" s="84" t="s">
        <v>145</v>
      </c>
      <c r="C61" s="84" t="s">
        <v>152</v>
      </c>
      <c r="D61" s="138">
        <v>88</v>
      </c>
      <c r="E61" s="138">
        <v>7009.51</v>
      </c>
      <c r="F61" s="138">
        <v>1186</v>
      </c>
      <c r="G61" s="84">
        <v>0</v>
      </c>
      <c r="H61" s="53">
        <v>1186</v>
      </c>
    </row>
    <row r="62" spans="1:8" x14ac:dyDescent="0.15">
      <c r="A62" s="84" t="s">
        <v>356</v>
      </c>
      <c r="B62" s="84" t="s">
        <v>145</v>
      </c>
      <c r="C62" s="84" t="s">
        <v>148</v>
      </c>
      <c r="D62" s="138">
        <v>101.5</v>
      </c>
      <c r="E62" s="138">
        <v>11905.51</v>
      </c>
      <c r="F62" s="138">
        <v>1339</v>
      </c>
      <c r="G62" s="84">
        <v>90</v>
      </c>
      <c r="H62" s="53">
        <v>1429</v>
      </c>
    </row>
    <row r="63" spans="1:8" x14ac:dyDescent="0.15">
      <c r="A63" s="84" t="s">
        <v>356</v>
      </c>
      <c r="B63" s="84" t="s">
        <v>145</v>
      </c>
      <c r="C63" s="84" t="s">
        <v>274</v>
      </c>
      <c r="D63" s="138">
        <v>10</v>
      </c>
      <c r="E63" s="138">
        <v>18360</v>
      </c>
      <c r="F63" s="138">
        <v>0</v>
      </c>
      <c r="G63" s="84">
        <v>0</v>
      </c>
      <c r="H63" s="53">
        <v>0</v>
      </c>
    </row>
    <row r="64" spans="1:8" x14ac:dyDescent="0.15">
      <c r="A64" s="84" t="s">
        <v>356</v>
      </c>
      <c r="B64" s="84" t="s">
        <v>136</v>
      </c>
      <c r="C64" s="84" t="s">
        <v>144</v>
      </c>
      <c r="D64" s="138">
        <v>70.5</v>
      </c>
      <c r="E64" s="138">
        <v>5032.04</v>
      </c>
      <c r="F64" s="138">
        <v>963</v>
      </c>
      <c r="G64" s="84">
        <v>0</v>
      </c>
      <c r="H64" s="53">
        <v>963</v>
      </c>
    </row>
    <row r="65" spans="1:8" x14ac:dyDescent="0.15">
      <c r="A65" s="84" t="s">
        <v>356</v>
      </c>
      <c r="B65" s="84" t="s">
        <v>136</v>
      </c>
      <c r="C65" s="84" t="s">
        <v>143</v>
      </c>
      <c r="D65" s="138">
        <v>78</v>
      </c>
      <c r="E65" s="138">
        <v>5947.88</v>
      </c>
      <c r="F65" s="138">
        <v>980</v>
      </c>
      <c r="G65" s="84">
        <v>0</v>
      </c>
      <c r="H65" s="53">
        <v>980</v>
      </c>
    </row>
    <row r="66" spans="1:8" x14ac:dyDescent="0.15">
      <c r="A66" s="84" t="s">
        <v>356</v>
      </c>
      <c r="B66" s="84" t="s">
        <v>136</v>
      </c>
      <c r="C66" s="84" t="s">
        <v>273</v>
      </c>
      <c r="D66" s="138">
        <v>21</v>
      </c>
      <c r="E66" s="138">
        <v>64770</v>
      </c>
      <c r="F66" s="138">
        <v>0</v>
      </c>
      <c r="G66" s="84">
        <v>0</v>
      </c>
      <c r="H66" s="53">
        <v>0</v>
      </c>
    </row>
    <row r="67" spans="1:8" x14ac:dyDescent="0.15">
      <c r="A67" s="84" t="s">
        <v>356</v>
      </c>
      <c r="B67" s="84" t="s">
        <v>136</v>
      </c>
      <c r="C67" s="84" t="s">
        <v>138</v>
      </c>
      <c r="D67" s="138">
        <v>81.5</v>
      </c>
      <c r="E67" s="138">
        <v>28112.98</v>
      </c>
      <c r="F67" s="138">
        <v>1055</v>
      </c>
      <c r="G67" s="84">
        <v>100</v>
      </c>
      <c r="H67" s="53">
        <v>1155</v>
      </c>
    </row>
    <row r="68" spans="1:8" x14ac:dyDescent="0.15">
      <c r="A68" s="84" t="s">
        <v>356</v>
      </c>
      <c r="B68" s="84" t="s">
        <v>136</v>
      </c>
      <c r="C68" s="84" t="s">
        <v>141</v>
      </c>
      <c r="D68" s="138">
        <v>104</v>
      </c>
      <c r="E68" s="138">
        <v>26242.55</v>
      </c>
      <c r="F68" s="138">
        <v>1394</v>
      </c>
      <c r="G68" s="84">
        <v>130</v>
      </c>
      <c r="H68" s="53">
        <v>1524</v>
      </c>
    </row>
    <row r="69" spans="1:8" x14ac:dyDescent="0.15">
      <c r="A69" s="84" t="s">
        <v>356</v>
      </c>
      <c r="B69" s="84" t="s">
        <v>136</v>
      </c>
      <c r="C69" s="84" t="s">
        <v>139</v>
      </c>
      <c r="D69" s="138">
        <v>93</v>
      </c>
      <c r="E69" s="138">
        <v>8694.48</v>
      </c>
      <c r="F69" s="138">
        <v>1093</v>
      </c>
      <c r="G69" s="84">
        <v>0</v>
      </c>
      <c r="H69" s="53">
        <v>1093</v>
      </c>
    </row>
    <row r="70" spans="1:8" x14ac:dyDescent="0.15">
      <c r="A70" s="84" t="s">
        <v>356</v>
      </c>
      <c r="B70" s="84" t="s">
        <v>129</v>
      </c>
      <c r="C70" s="84" t="s">
        <v>272</v>
      </c>
      <c r="D70" s="138">
        <v>35</v>
      </c>
      <c r="E70" s="138">
        <v>10389</v>
      </c>
      <c r="F70" s="138">
        <v>20</v>
      </c>
      <c r="G70" s="84">
        <v>0</v>
      </c>
      <c r="H70" s="53">
        <v>20</v>
      </c>
    </row>
    <row r="71" spans="1:8" x14ac:dyDescent="0.15">
      <c r="A71" s="84" t="s">
        <v>356</v>
      </c>
      <c r="B71" s="84" t="s">
        <v>129</v>
      </c>
      <c r="C71" s="84" t="s">
        <v>133</v>
      </c>
      <c r="D71" s="138">
        <v>139</v>
      </c>
      <c r="E71" s="138">
        <v>31869.96</v>
      </c>
      <c r="F71" s="138">
        <v>1977</v>
      </c>
      <c r="G71" s="84">
        <v>205</v>
      </c>
      <c r="H71" s="53">
        <v>2182</v>
      </c>
    </row>
    <row r="72" spans="1:8" x14ac:dyDescent="0.15">
      <c r="A72" s="84" t="s">
        <v>356</v>
      </c>
      <c r="B72" s="84" t="s">
        <v>129</v>
      </c>
      <c r="C72" s="84" t="s">
        <v>134</v>
      </c>
      <c r="D72" s="138">
        <v>118.5</v>
      </c>
      <c r="E72" s="138">
        <v>15459.98</v>
      </c>
      <c r="F72" s="138">
        <v>1545</v>
      </c>
      <c r="G72" s="84">
        <v>107.5</v>
      </c>
      <c r="H72" s="53">
        <v>1652.5</v>
      </c>
    </row>
    <row r="73" spans="1:8" x14ac:dyDescent="0.15">
      <c r="A73" s="84" t="s">
        <v>356</v>
      </c>
      <c r="B73" s="84" t="s">
        <v>129</v>
      </c>
      <c r="C73" s="84" t="s">
        <v>132</v>
      </c>
      <c r="D73" s="138">
        <v>114</v>
      </c>
      <c r="E73" s="138">
        <v>15290.08</v>
      </c>
      <c r="F73" s="138">
        <v>1466</v>
      </c>
      <c r="G73" s="84">
        <v>0</v>
      </c>
      <c r="H73" s="53">
        <v>1466</v>
      </c>
    </row>
    <row r="74" spans="1:8" x14ac:dyDescent="0.15">
      <c r="A74" s="84" t="s">
        <v>356</v>
      </c>
      <c r="B74" s="84" t="s">
        <v>129</v>
      </c>
      <c r="C74" s="84" t="s">
        <v>131</v>
      </c>
      <c r="D74" s="138">
        <v>128.5</v>
      </c>
      <c r="E74" s="138">
        <v>36070.199999999997</v>
      </c>
      <c r="F74" s="138">
        <v>1632</v>
      </c>
      <c r="G74" s="84">
        <v>147.5</v>
      </c>
      <c r="H74" s="53">
        <v>1779.5</v>
      </c>
    </row>
    <row r="75" spans="1:8" x14ac:dyDescent="0.15">
      <c r="A75" s="84" t="s">
        <v>356</v>
      </c>
      <c r="B75" s="84" t="s">
        <v>129</v>
      </c>
      <c r="C75" s="84" t="s">
        <v>135</v>
      </c>
      <c r="D75" s="138">
        <v>145</v>
      </c>
      <c r="E75" s="138">
        <v>33374.620000000003</v>
      </c>
      <c r="F75" s="138">
        <v>2127</v>
      </c>
      <c r="G75" s="84">
        <v>290</v>
      </c>
      <c r="H75" s="53">
        <v>2417</v>
      </c>
    </row>
    <row r="76" spans="1:8" x14ac:dyDescent="0.15">
      <c r="A76" s="84" t="s">
        <v>356</v>
      </c>
      <c r="B76" s="84" t="s">
        <v>120</v>
      </c>
      <c r="C76" s="84" t="s">
        <v>127</v>
      </c>
      <c r="D76" s="138">
        <v>89</v>
      </c>
      <c r="E76" s="138">
        <v>34300.11</v>
      </c>
      <c r="F76" s="138">
        <v>1028</v>
      </c>
      <c r="G76" s="84">
        <v>65</v>
      </c>
      <c r="H76" s="53">
        <v>1093</v>
      </c>
    </row>
    <row r="77" spans="1:8" x14ac:dyDescent="0.15">
      <c r="A77" s="84" t="s">
        <v>356</v>
      </c>
      <c r="B77" s="84" t="s">
        <v>120</v>
      </c>
      <c r="C77" s="84" t="s">
        <v>122</v>
      </c>
      <c r="D77" s="138">
        <v>88</v>
      </c>
      <c r="E77" s="138">
        <v>22991.78</v>
      </c>
      <c r="F77" s="138">
        <v>1248</v>
      </c>
      <c r="G77" s="84">
        <v>170</v>
      </c>
      <c r="H77" s="53">
        <v>1418</v>
      </c>
    </row>
    <row r="78" spans="1:8" x14ac:dyDescent="0.15">
      <c r="A78" s="84" t="s">
        <v>356</v>
      </c>
      <c r="B78" s="84" t="s">
        <v>120</v>
      </c>
      <c r="C78" s="84" t="s">
        <v>126</v>
      </c>
      <c r="D78" s="138">
        <v>69</v>
      </c>
      <c r="E78" s="138">
        <v>18391.38</v>
      </c>
      <c r="F78" s="138">
        <v>979</v>
      </c>
      <c r="G78" s="84">
        <v>55</v>
      </c>
      <c r="H78" s="53">
        <v>1034</v>
      </c>
    </row>
    <row r="79" spans="1:8" x14ac:dyDescent="0.15">
      <c r="A79" s="84" t="s">
        <v>356</v>
      </c>
      <c r="B79" s="84" t="s">
        <v>120</v>
      </c>
      <c r="C79" s="84" t="s">
        <v>271</v>
      </c>
      <c r="D79" s="138">
        <v>19</v>
      </c>
      <c r="E79" s="138">
        <v>1320</v>
      </c>
      <c r="F79" s="138">
        <v>0</v>
      </c>
      <c r="G79" s="84">
        <v>0</v>
      </c>
      <c r="H79" s="53">
        <v>0</v>
      </c>
    </row>
    <row r="80" spans="1:8" x14ac:dyDescent="0.15">
      <c r="A80" s="84" t="s">
        <v>356</v>
      </c>
      <c r="B80" s="84" t="s">
        <v>120</v>
      </c>
      <c r="C80" s="84" t="s">
        <v>124</v>
      </c>
      <c r="D80" s="138">
        <v>70</v>
      </c>
      <c r="E80" s="138">
        <v>11679.15</v>
      </c>
      <c r="F80" s="138">
        <v>896</v>
      </c>
      <c r="G80" s="84">
        <v>0</v>
      </c>
      <c r="H80" s="53">
        <v>896</v>
      </c>
    </row>
    <row r="81" spans="1:8" x14ac:dyDescent="0.15">
      <c r="A81" s="84" t="s">
        <v>356</v>
      </c>
      <c r="B81" s="84" t="s">
        <v>120</v>
      </c>
      <c r="C81" s="84" t="s">
        <v>128</v>
      </c>
      <c r="D81" s="138">
        <v>82</v>
      </c>
      <c r="E81" s="138">
        <v>11535.34</v>
      </c>
      <c r="F81" s="138">
        <v>1032</v>
      </c>
      <c r="G81" s="84">
        <v>0</v>
      </c>
      <c r="H81" s="53">
        <v>1032</v>
      </c>
    </row>
    <row r="82" spans="1:8" x14ac:dyDescent="0.15">
      <c r="A82" s="84" t="s">
        <v>356</v>
      </c>
      <c r="B82" s="84" t="s">
        <v>120</v>
      </c>
      <c r="C82" s="84" t="s">
        <v>123</v>
      </c>
      <c r="D82" s="138">
        <v>86</v>
      </c>
      <c r="E82" s="138">
        <v>18249.46</v>
      </c>
      <c r="F82" s="138">
        <v>1014</v>
      </c>
      <c r="G82" s="84">
        <v>40</v>
      </c>
      <c r="H82" s="53">
        <v>1054</v>
      </c>
    </row>
    <row r="83" spans="1:8" x14ac:dyDescent="0.15">
      <c r="A83" s="84" t="s">
        <v>356</v>
      </c>
      <c r="B83" s="84" t="s">
        <v>112</v>
      </c>
      <c r="C83" s="84" t="s">
        <v>118</v>
      </c>
      <c r="D83" s="138">
        <v>94</v>
      </c>
      <c r="E83" s="138">
        <v>23088.240000000002</v>
      </c>
      <c r="F83" s="138">
        <v>1257</v>
      </c>
      <c r="G83" s="84">
        <v>185</v>
      </c>
      <c r="H83" s="53">
        <v>1442</v>
      </c>
    </row>
    <row r="84" spans="1:8" x14ac:dyDescent="0.15">
      <c r="A84" s="84" t="s">
        <v>356</v>
      </c>
      <c r="B84" s="84" t="s">
        <v>112</v>
      </c>
      <c r="C84" s="84" t="s">
        <v>115</v>
      </c>
      <c r="D84" s="138">
        <v>82</v>
      </c>
      <c r="E84" s="138">
        <v>8043.96</v>
      </c>
      <c r="F84" s="138">
        <v>1185</v>
      </c>
      <c r="G84" s="84">
        <v>70</v>
      </c>
      <c r="H84" s="53">
        <v>1255</v>
      </c>
    </row>
    <row r="85" spans="1:8" x14ac:dyDescent="0.15">
      <c r="A85" s="84" t="s">
        <v>356</v>
      </c>
      <c r="B85" s="84" t="s">
        <v>112</v>
      </c>
      <c r="C85" s="84" t="s">
        <v>117</v>
      </c>
      <c r="D85" s="138">
        <v>83</v>
      </c>
      <c r="E85" s="138">
        <v>27866.76</v>
      </c>
      <c r="F85" s="138">
        <v>979</v>
      </c>
      <c r="G85" s="84">
        <v>85</v>
      </c>
      <c r="H85" s="53">
        <v>1064</v>
      </c>
    </row>
    <row r="86" spans="1:8" x14ac:dyDescent="0.15">
      <c r="A86" s="84" t="s">
        <v>356</v>
      </c>
      <c r="B86" s="84" t="s">
        <v>112</v>
      </c>
      <c r="C86" s="84" t="s">
        <v>270</v>
      </c>
      <c r="D86" s="138">
        <v>3</v>
      </c>
      <c r="E86" s="138">
        <v>4592.87</v>
      </c>
      <c r="F86" s="138">
        <v>0</v>
      </c>
      <c r="G86" s="84">
        <v>0</v>
      </c>
      <c r="H86" s="53">
        <v>0</v>
      </c>
    </row>
    <row r="87" spans="1:8" x14ac:dyDescent="0.15">
      <c r="A87" s="84" t="s">
        <v>356</v>
      </c>
      <c r="B87" s="84" t="s">
        <v>112</v>
      </c>
      <c r="C87" s="84" t="s">
        <v>119</v>
      </c>
      <c r="D87" s="138">
        <v>78</v>
      </c>
      <c r="E87" s="138">
        <v>7520.64</v>
      </c>
      <c r="F87" s="138">
        <v>1066</v>
      </c>
      <c r="G87" s="84">
        <v>0</v>
      </c>
      <c r="H87" s="53">
        <v>1066</v>
      </c>
    </row>
    <row r="88" spans="1:8" x14ac:dyDescent="0.15">
      <c r="A88" s="84" t="s">
        <v>356</v>
      </c>
      <c r="B88" s="84" t="s">
        <v>112</v>
      </c>
      <c r="C88" s="84" t="s">
        <v>114</v>
      </c>
      <c r="D88" s="138">
        <v>104</v>
      </c>
      <c r="E88" s="138">
        <v>18058.03</v>
      </c>
      <c r="F88" s="138">
        <v>1533</v>
      </c>
      <c r="G88" s="84">
        <v>160</v>
      </c>
      <c r="H88" s="53">
        <v>1693</v>
      </c>
    </row>
    <row r="89" spans="1:8" x14ac:dyDescent="0.15">
      <c r="A89" s="84" t="s">
        <v>356</v>
      </c>
      <c r="B89" s="84" t="s">
        <v>102</v>
      </c>
      <c r="C89" s="84" t="s">
        <v>111</v>
      </c>
      <c r="D89" s="138">
        <v>85</v>
      </c>
      <c r="E89" s="138">
        <v>7126.18</v>
      </c>
      <c r="F89" s="138">
        <v>1095</v>
      </c>
      <c r="G89" s="84">
        <v>0</v>
      </c>
      <c r="H89" s="53">
        <v>1095</v>
      </c>
    </row>
    <row r="90" spans="1:8" x14ac:dyDescent="0.15">
      <c r="A90" s="84" t="s">
        <v>356</v>
      </c>
      <c r="B90" s="84" t="s">
        <v>102</v>
      </c>
      <c r="C90" s="84" t="s">
        <v>105</v>
      </c>
      <c r="D90" s="138">
        <v>101</v>
      </c>
      <c r="E90" s="138">
        <v>21310.35</v>
      </c>
      <c r="F90" s="138">
        <v>1292</v>
      </c>
      <c r="G90" s="84">
        <v>55</v>
      </c>
      <c r="H90" s="53">
        <v>1347</v>
      </c>
    </row>
    <row r="91" spans="1:8" x14ac:dyDescent="0.15">
      <c r="A91" s="84" t="s">
        <v>356</v>
      </c>
      <c r="B91" s="84" t="s">
        <v>102</v>
      </c>
      <c r="C91" s="84" t="s">
        <v>109</v>
      </c>
      <c r="D91" s="138">
        <v>106</v>
      </c>
      <c r="E91" s="138">
        <v>19482.240000000002</v>
      </c>
      <c r="F91" s="138">
        <v>1279</v>
      </c>
      <c r="G91" s="84">
        <v>75</v>
      </c>
      <c r="H91" s="53">
        <v>1354</v>
      </c>
    </row>
    <row r="92" spans="1:8" x14ac:dyDescent="0.15">
      <c r="A92" s="84" t="s">
        <v>356</v>
      </c>
      <c r="B92" s="84" t="s">
        <v>102</v>
      </c>
      <c r="C92" s="84" t="s">
        <v>269</v>
      </c>
      <c r="D92" s="138">
        <v>20</v>
      </c>
      <c r="E92" s="138">
        <v>4197.9799999999996</v>
      </c>
      <c r="F92" s="138">
        <v>0</v>
      </c>
      <c r="G92" s="84">
        <v>0</v>
      </c>
      <c r="H92" s="53">
        <v>0</v>
      </c>
    </row>
    <row r="93" spans="1:8" x14ac:dyDescent="0.15">
      <c r="A93" s="84" t="s">
        <v>356</v>
      </c>
      <c r="B93" s="84" t="s">
        <v>102</v>
      </c>
      <c r="C93" s="84" t="s">
        <v>106</v>
      </c>
      <c r="D93" s="138">
        <v>109</v>
      </c>
      <c r="E93" s="138">
        <v>12395.25</v>
      </c>
      <c r="F93" s="138">
        <v>1209</v>
      </c>
      <c r="G93" s="84">
        <v>0</v>
      </c>
      <c r="H93" s="53">
        <v>1209</v>
      </c>
    </row>
    <row r="94" spans="1:8" x14ac:dyDescent="0.15">
      <c r="A94" s="84" t="s">
        <v>356</v>
      </c>
      <c r="B94" s="84" t="s">
        <v>102</v>
      </c>
      <c r="C94" s="84" t="s">
        <v>110</v>
      </c>
      <c r="D94" s="138">
        <v>101</v>
      </c>
      <c r="E94" s="138">
        <v>18303.84</v>
      </c>
      <c r="F94" s="138">
        <v>1155</v>
      </c>
      <c r="G94" s="84">
        <v>0</v>
      </c>
      <c r="H94" s="53">
        <v>1155</v>
      </c>
    </row>
    <row r="95" spans="1:8" x14ac:dyDescent="0.15">
      <c r="A95" s="84" t="s">
        <v>356</v>
      </c>
      <c r="B95" s="84" t="s">
        <v>102</v>
      </c>
      <c r="C95" s="84" t="s">
        <v>108</v>
      </c>
      <c r="D95" s="138">
        <v>79</v>
      </c>
      <c r="E95" s="138">
        <v>40016.480000000003</v>
      </c>
      <c r="F95" s="138">
        <v>1095</v>
      </c>
      <c r="G95" s="84">
        <v>140</v>
      </c>
      <c r="H95" s="53">
        <v>1235</v>
      </c>
    </row>
    <row r="96" spans="1:8" x14ac:dyDescent="0.15">
      <c r="A96" s="84" t="s">
        <v>356</v>
      </c>
      <c r="B96" s="84" t="s">
        <v>153</v>
      </c>
      <c r="C96" s="84" t="s">
        <v>259</v>
      </c>
      <c r="D96" s="138">
        <v>53</v>
      </c>
      <c r="E96" s="138">
        <v>80699</v>
      </c>
      <c r="F96" s="138">
        <v>0</v>
      </c>
      <c r="G96" s="84">
        <v>0</v>
      </c>
      <c r="H96" s="53">
        <v>0</v>
      </c>
    </row>
    <row r="97" spans="1:8" x14ac:dyDescent="0.15">
      <c r="A97" s="84" t="s">
        <v>356</v>
      </c>
      <c r="B97" s="84" t="s">
        <v>153</v>
      </c>
      <c r="C97" s="84" t="s">
        <v>156</v>
      </c>
      <c r="D97" s="138">
        <v>67</v>
      </c>
      <c r="E97" s="138">
        <v>5211.9399999999996</v>
      </c>
      <c r="F97" s="138">
        <v>1062</v>
      </c>
      <c r="G97" s="84">
        <v>90</v>
      </c>
      <c r="H97" s="53">
        <v>1152</v>
      </c>
    </row>
    <row r="98" spans="1:8" x14ac:dyDescent="0.15">
      <c r="A98" s="84" t="s">
        <v>356</v>
      </c>
      <c r="B98" s="84" t="s">
        <v>153</v>
      </c>
      <c r="C98" s="84" t="s">
        <v>161</v>
      </c>
      <c r="D98" s="138">
        <v>56</v>
      </c>
      <c r="E98" s="138">
        <v>2668.06</v>
      </c>
      <c r="F98" s="138">
        <v>656</v>
      </c>
      <c r="G98" s="84">
        <v>0</v>
      </c>
      <c r="H98" s="53">
        <v>656</v>
      </c>
    </row>
    <row r="99" spans="1:8" x14ac:dyDescent="0.15">
      <c r="A99" s="84" t="s">
        <v>356</v>
      </c>
      <c r="B99" s="84" t="s">
        <v>153</v>
      </c>
      <c r="C99" s="84" t="s">
        <v>160</v>
      </c>
      <c r="D99" s="138">
        <v>45</v>
      </c>
      <c r="E99" s="138">
        <v>3082.38</v>
      </c>
      <c r="F99" s="138">
        <v>610</v>
      </c>
      <c r="G99" s="84">
        <v>0</v>
      </c>
      <c r="H99" s="53">
        <v>610</v>
      </c>
    </row>
    <row r="100" spans="1:8" x14ac:dyDescent="0.15">
      <c r="A100" s="84" t="s">
        <v>356</v>
      </c>
      <c r="B100" s="84" t="s">
        <v>153</v>
      </c>
      <c r="C100" s="84" t="s">
        <v>155</v>
      </c>
      <c r="D100" s="138">
        <v>59</v>
      </c>
      <c r="E100" s="138">
        <v>2856.63</v>
      </c>
      <c r="F100" s="138">
        <v>814</v>
      </c>
      <c r="G100" s="84">
        <v>0</v>
      </c>
      <c r="H100" s="53">
        <v>814</v>
      </c>
    </row>
    <row r="101" spans="1:8" x14ac:dyDescent="0.15">
      <c r="A101" s="84" t="s">
        <v>356</v>
      </c>
      <c r="B101" s="84" t="s">
        <v>153</v>
      </c>
      <c r="C101" s="84" t="s">
        <v>159</v>
      </c>
      <c r="D101" s="138">
        <v>56</v>
      </c>
      <c r="E101" s="138">
        <v>3540.96</v>
      </c>
      <c r="F101" s="138">
        <v>613</v>
      </c>
      <c r="G101" s="84">
        <v>0</v>
      </c>
      <c r="H101" s="53">
        <v>613</v>
      </c>
    </row>
    <row r="102" spans="1:8" x14ac:dyDescent="0.15">
      <c r="A102" s="84" t="s">
        <v>356</v>
      </c>
      <c r="B102" s="84" t="s">
        <v>153</v>
      </c>
      <c r="C102" s="84" t="s">
        <v>154</v>
      </c>
      <c r="D102" s="138">
        <v>74</v>
      </c>
      <c r="E102" s="138">
        <v>8653.2099999999991</v>
      </c>
      <c r="F102" s="138">
        <v>950</v>
      </c>
      <c r="G102" s="84">
        <v>0</v>
      </c>
      <c r="H102" s="53">
        <v>950</v>
      </c>
    </row>
    <row r="103" spans="1:8" x14ac:dyDescent="0.15">
      <c r="A103" s="84" t="s">
        <v>356</v>
      </c>
      <c r="B103" s="84" t="s">
        <v>153</v>
      </c>
      <c r="C103" s="84" t="s">
        <v>158</v>
      </c>
      <c r="D103" s="138">
        <v>56</v>
      </c>
      <c r="E103" s="138">
        <v>5148.9799999999996</v>
      </c>
      <c r="F103" s="138">
        <v>559</v>
      </c>
      <c r="G103" s="84">
        <v>20</v>
      </c>
      <c r="H103" s="53">
        <v>579</v>
      </c>
    </row>
    <row r="104" spans="1:8" x14ac:dyDescent="0.15">
      <c r="A104" s="84" t="s">
        <v>356</v>
      </c>
      <c r="B104" s="84" t="s">
        <v>153</v>
      </c>
      <c r="C104" s="84" t="s">
        <v>157</v>
      </c>
      <c r="D104" s="138">
        <v>57</v>
      </c>
      <c r="E104" s="138">
        <v>3102.44</v>
      </c>
      <c r="F104" s="138">
        <v>796</v>
      </c>
      <c r="G104" s="84">
        <v>0</v>
      </c>
      <c r="H104" s="53">
        <v>796</v>
      </c>
    </row>
    <row r="105" spans="1:8" x14ac:dyDescent="0.15">
      <c r="A105" s="84" t="s">
        <v>355</v>
      </c>
      <c r="B105" s="84" t="s">
        <v>198</v>
      </c>
      <c r="C105" s="84" t="s">
        <v>202</v>
      </c>
      <c r="D105" s="138">
        <v>99</v>
      </c>
      <c r="E105" s="138">
        <v>7885.26</v>
      </c>
      <c r="F105" s="138">
        <v>1208</v>
      </c>
      <c r="G105" s="84">
        <v>37.5</v>
      </c>
      <c r="H105" s="53">
        <v>1245.5</v>
      </c>
    </row>
    <row r="106" spans="1:8" x14ac:dyDescent="0.15">
      <c r="A106" s="84" t="s">
        <v>355</v>
      </c>
      <c r="B106" s="84" t="s">
        <v>198</v>
      </c>
      <c r="C106" s="84" t="s">
        <v>200</v>
      </c>
      <c r="D106" s="138">
        <v>120.5</v>
      </c>
      <c r="E106" s="138">
        <v>53433.05</v>
      </c>
      <c r="F106" s="138">
        <v>1692</v>
      </c>
      <c r="G106" s="84">
        <v>235</v>
      </c>
      <c r="H106" s="53">
        <v>1927</v>
      </c>
    </row>
    <row r="107" spans="1:8" x14ac:dyDescent="0.15">
      <c r="A107" s="84" t="s">
        <v>355</v>
      </c>
      <c r="B107" s="84" t="s">
        <v>198</v>
      </c>
      <c r="C107" s="84" t="s">
        <v>208</v>
      </c>
      <c r="D107" s="138">
        <v>83</v>
      </c>
      <c r="E107" s="138">
        <v>15849.5</v>
      </c>
      <c r="F107" s="138">
        <v>1037</v>
      </c>
      <c r="G107" s="84">
        <v>37.5</v>
      </c>
      <c r="H107" s="53">
        <v>1074.5</v>
      </c>
    </row>
    <row r="108" spans="1:8" x14ac:dyDescent="0.15">
      <c r="A108" s="84" t="s">
        <v>355</v>
      </c>
      <c r="B108" s="84" t="s">
        <v>198</v>
      </c>
      <c r="C108" s="84" t="s">
        <v>204</v>
      </c>
      <c r="D108" s="138">
        <v>88</v>
      </c>
      <c r="E108" s="138">
        <v>69681.67</v>
      </c>
      <c r="F108" s="138">
        <v>1160</v>
      </c>
      <c r="G108" s="84">
        <v>130</v>
      </c>
      <c r="H108" s="53">
        <v>1290</v>
      </c>
    </row>
    <row r="109" spans="1:8" x14ac:dyDescent="0.15">
      <c r="A109" s="84" t="s">
        <v>355</v>
      </c>
      <c r="B109" s="84" t="s">
        <v>198</v>
      </c>
      <c r="C109" s="84" t="s">
        <v>205</v>
      </c>
      <c r="D109" s="138">
        <v>114</v>
      </c>
      <c r="E109" s="138">
        <v>24707.94</v>
      </c>
      <c r="F109" s="138">
        <v>1173.5</v>
      </c>
      <c r="G109" s="84">
        <v>70</v>
      </c>
      <c r="H109" s="53">
        <v>1243.5</v>
      </c>
    </row>
    <row r="110" spans="1:8" x14ac:dyDescent="0.15">
      <c r="A110" s="84" t="s">
        <v>355</v>
      </c>
      <c r="B110" s="84" t="s">
        <v>198</v>
      </c>
      <c r="C110" s="84" t="s">
        <v>207</v>
      </c>
      <c r="D110" s="138">
        <v>100</v>
      </c>
      <c r="E110" s="138">
        <v>31398.68</v>
      </c>
      <c r="F110" s="138">
        <v>1087.5</v>
      </c>
      <c r="G110" s="84">
        <v>0</v>
      </c>
      <c r="H110" s="53">
        <v>1087.5</v>
      </c>
    </row>
    <row r="111" spans="1:8" x14ac:dyDescent="0.15">
      <c r="A111" s="84" t="s">
        <v>355</v>
      </c>
      <c r="B111" s="84" t="s">
        <v>198</v>
      </c>
      <c r="C111" s="84" t="s">
        <v>201</v>
      </c>
      <c r="D111" s="138">
        <v>128</v>
      </c>
      <c r="E111" s="138">
        <v>33731.67</v>
      </c>
      <c r="F111" s="138">
        <v>1541</v>
      </c>
      <c r="G111" s="84">
        <v>95</v>
      </c>
      <c r="H111" s="53">
        <v>1636</v>
      </c>
    </row>
    <row r="112" spans="1:8" x14ac:dyDescent="0.15">
      <c r="A112" s="84" t="s">
        <v>355</v>
      </c>
      <c r="B112" s="84" t="s">
        <v>198</v>
      </c>
      <c r="C112" s="84" t="s">
        <v>280</v>
      </c>
      <c r="D112" s="138">
        <v>17</v>
      </c>
      <c r="E112" s="138">
        <v>105411</v>
      </c>
      <c r="F112" s="138">
        <v>12</v>
      </c>
      <c r="G112" s="84">
        <v>0</v>
      </c>
      <c r="H112" s="53">
        <v>12</v>
      </c>
    </row>
    <row r="113" spans="1:8" x14ac:dyDescent="0.15">
      <c r="A113" s="84" t="s">
        <v>355</v>
      </c>
      <c r="B113" s="84" t="s">
        <v>209</v>
      </c>
      <c r="C113" s="84" t="s">
        <v>214</v>
      </c>
      <c r="D113" s="138">
        <v>129.5</v>
      </c>
      <c r="E113" s="138">
        <v>25042.22</v>
      </c>
      <c r="F113" s="138">
        <v>1869</v>
      </c>
      <c r="G113" s="84">
        <v>240</v>
      </c>
      <c r="H113" s="53">
        <v>2109</v>
      </c>
    </row>
    <row r="114" spans="1:8" x14ac:dyDescent="0.15">
      <c r="A114" s="84" t="s">
        <v>355</v>
      </c>
      <c r="B114" s="84" t="s">
        <v>209</v>
      </c>
      <c r="C114" s="84" t="s">
        <v>216</v>
      </c>
      <c r="D114" s="138">
        <v>114</v>
      </c>
      <c r="E114" s="138">
        <v>8687.26</v>
      </c>
      <c r="F114" s="138">
        <v>1449</v>
      </c>
      <c r="G114" s="84">
        <v>0</v>
      </c>
      <c r="H114" s="53">
        <v>1449</v>
      </c>
    </row>
    <row r="115" spans="1:8" x14ac:dyDescent="0.15">
      <c r="A115" s="84" t="s">
        <v>355</v>
      </c>
      <c r="B115" s="84" t="s">
        <v>209</v>
      </c>
      <c r="C115" s="84" t="s">
        <v>215</v>
      </c>
      <c r="D115" s="138">
        <v>130</v>
      </c>
      <c r="E115" s="138">
        <v>21667.48</v>
      </c>
      <c r="F115" s="138">
        <v>1322.5</v>
      </c>
      <c r="G115" s="84">
        <v>20</v>
      </c>
      <c r="H115" s="53">
        <v>1342.5</v>
      </c>
    </row>
    <row r="116" spans="1:8" x14ac:dyDescent="0.15">
      <c r="A116" s="84" t="s">
        <v>355</v>
      </c>
      <c r="B116" s="84" t="s">
        <v>209</v>
      </c>
      <c r="C116" s="84" t="s">
        <v>211</v>
      </c>
      <c r="D116" s="138">
        <v>144.5</v>
      </c>
      <c r="E116" s="138">
        <v>28989.86</v>
      </c>
      <c r="F116" s="138">
        <v>1752.5</v>
      </c>
      <c r="G116" s="84">
        <v>142.5</v>
      </c>
      <c r="H116" s="53">
        <v>1895</v>
      </c>
    </row>
    <row r="117" spans="1:8" x14ac:dyDescent="0.15">
      <c r="A117" s="84" t="s">
        <v>355</v>
      </c>
      <c r="B117" s="84" t="s">
        <v>209</v>
      </c>
      <c r="C117" s="84" t="s">
        <v>281</v>
      </c>
      <c r="D117" s="138">
        <v>40</v>
      </c>
      <c r="E117" s="138">
        <v>186417</v>
      </c>
      <c r="F117" s="138">
        <v>0</v>
      </c>
      <c r="G117" s="84">
        <v>0</v>
      </c>
      <c r="H117" s="53">
        <v>0</v>
      </c>
    </row>
    <row r="118" spans="1:8" x14ac:dyDescent="0.15">
      <c r="A118" s="84" t="s">
        <v>355</v>
      </c>
      <c r="B118" s="84" t="s">
        <v>209</v>
      </c>
      <c r="C118" s="84" t="s">
        <v>212</v>
      </c>
      <c r="D118" s="138">
        <v>139.5</v>
      </c>
      <c r="E118" s="138">
        <v>20314.169999999998</v>
      </c>
      <c r="F118" s="138">
        <v>1693</v>
      </c>
      <c r="G118" s="84">
        <v>70</v>
      </c>
      <c r="H118" s="53">
        <v>1763</v>
      </c>
    </row>
    <row r="119" spans="1:8" x14ac:dyDescent="0.15">
      <c r="A119" s="84" t="s">
        <v>355</v>
      </c>
      <c r="B119" s="84" t="s">
        <v>193</v>
      </c>
      <c r="C119" s="84" t="s">
        <v>197</v>
      </c>
      <c r="D119" s="138">
        <v>104.5</v>
      </c>
      <c r="E119" s="138">
        <v>14841.44</v>
      </c>
      <c r="F119" s="138">
        <v>1112</v>
      </c>
      <c r="G119" s="84">
        <v>0</v>
      </c>
      <c r="H119" s="53">
        <v>1112</v>
      </c>
    </row>
    <row r="120" spans="1:8" x14ac:dyDescent="0.15">
      <c r="A120" s="84" t="s">
        <v>355</v>
      </c>
      <c r="B120" s="84" t="s">
        <v>193</v>
      </c>
      <c r="C120" s="84" t="s">
        <v>360</v>
      </c>
      <c r="D120" s="138">
        <v>73</v>
      </c>
      <c r="E120" s="138">
        <v>4249.66</v>
      </c>
      <c r="F120" s="138">
        <v>865</v>
      </c>
      <c r="G120" s="84">
        <v>0</v>
      </c>
      <c r="H120" s="53">
        <v>865</v>
      </c>
    </row>
    <row r="121" spans="1:8" x14ac:dyDescent="0.15">
      <c r="A121" s="84" t="s">
        <v>355</v>
      </c>
      <c r="B121" s="84" t="s">
        <v>193</v>
      </c>
      <c r="C121" s="84" t="s">
        <v>196</v>
      </c>
      <c r="D121" s="138">
        <v>116</v>
      </c>
      <c r="E121" s="138">
        <v>37325.57</v>
      </c>
      <c r="F121" s="138">
        <v>1256</v>
      </c>
      <c r="G121" s="84">
        <v>45</v>
      </c>
      <c r="H121" s="53">
        <v>1301</v>
      </c>
    </row>
    <row r="122" spans="1:8" x14ac:dyDescent="0.15">
      <c r="A122" s="84" t="s">
        <v>355</v>
      </c>
      <c r="B122" s="84" t="s">
        <v>193</v>
      </c>
      <c r="C122" s="84" t="s">
        <v>438</v>
      </c>
      <c r="D122" s="138">
        <v>14</v>
      </c>
      <c r="E122" s="138">
        <v>1149.21</v>
      </c>
      <c r="F122" s="138">
        <v>178</v>
      </c>
      <c r="G122" s="84">
        <v>0</v>
      </c>
      <c r="H122" s="53">
        <v>178</v>
      </c>
    </row>
    <row r="123" spans="1:8" x14ac:dyDescent="0.15">
      <c r="A123" s="84" t="s">
        <v>355</v>
      </c>
      <c r="B123" s="84" t="s">
        <v>193</v>
      </c>
      <c r="C123" s="84" t="s">
        <v>279</v>
      </c>
      <c r="D123" s="138">
        <v>37</v>
      </c>
      <c r="E123" s="138">
        <v>15557</v>
      </c>
      <c r="F123" s="138">
        <v>231</v>
      </c>
      <c r="G123" s="84">
        <v>0</v>
      </c>
      <c r="H123" s="53">
        <v>231</v>
      </c>
    </row>
    <row r="124" spans="1:8" x14ac:dyDescent="0.15">
      <c r="A124" s="84" t="s">
        <v>355</v>
      </c>
      <c r="B124" s="84" t="s">
        <v>193</v>
      </c>
      <c r="C124" s="84" t="s">
        <v>194</v>
      </c>
      <c r="D124" s="138">
        <v>117</v>
      </c>
      <c r="E124" s="138">
        <v>42959.34</v>
      </c>
      <c r="F124" s="138">
        <v>1851</v>
      </c>
      <c r="G124" s="84">
        <v>235</v>
      </c>
      <c r="H124" s="53">
        <v>2086</v>
      </c>
    </row>
    <row r="125" spans="1:8" x14ac:dyDescent="0.15">
      <c r="A125" s="84" t="s">
        <v>355</v>
      </c>
      <c r="B125" s="84" t="s">
        <v>193</v>
      </c>
      <c r="C125" s="84" t="s">
        <v>195</v>
      </c>
      <c r="D125" s="138">
        <v>123</v>
      </c>
      <c r="E125" s="138">
        <v>25746.36</v>
      </c>
      <c r="F125" s="138">
        <v>2035</v>
      </c>
      <c r="G125" s="84">
        <v>250</v>
      </c>
      <c r="H125" s="53">
        <v>2285</v>
      </c>
    </row>
    <row r="126" spans="1:8" x14ac:dyDescent="0.15">
      <c r="A126" s="84" t="s">
        <v>355</v>
      </c>
      <c r="B126" s="84" t="s">
        <v>184</v>
      </c>
      <c r="C126" s="84" t="s">
        <v>192</v>
      </c>
      <c r="D126" s="138">
        <v>79.5</v>
      </c>
      <c r="E126" s="138">
        <v>5287.65</v>
      </c>
      <c r="F126" s="138">
        <v>1021</v>
      </c>
      <c r="G126" s="84">
        <v>0</v>
      </c>
      <c r="H126" s="53">
        <v>1021</v>
      </c>
    </row>
    <row r="127" spans="1:8" x14ac:dyDescent="0.15">
      <c r="A127" s="84" t="s">
        <v>355</v>
      </c>
      <c r="B127" s="84" t="s">
        <v>184</v>
      </c>
      <c r="C127" s="84" t="s">
        <v>191</v>
      </c>
      <c r="D127" s="138">
        <v>130</v>
      </c>
      <c r="E127" s="138">
        <v>6148.22</v>
      </c>
      <c r="F127" s="138">
        <v>1339</v>
      </c>
      <c r="G127" s="84">
        <v>45</v>
      </c>
      <c r="H127" s="53">
        <v>1384</v>
      </c>
    </row>
    <row r="128" spans="1:8" x14ac:dyDescent="0.15">
      <c r="A128" s="84" t="s">
        <v>355</v>
      </c>
      <c r="B128" s="84" t="s">
        <v>184</v>
      </c>
      <c r="C128" s="84" t="s">
        <v>187</v>
      </c>
      <c r="D128" s="138">
        <v>106</v>
      </c>
      <c r="E128" s="138">
        <v>9635.01</v>
      </c>
      <c r="F128" s="138">
        <v>1748</v>
      </c>
      <c r="G128" s="84">
        <v>217.5</v>
      </c>
      <c r="H128" s="53">
        <v>1965.5</v>
      </c>
    </row>
    <row r="129" spans="1:8" x14ac:dyDescent="0.15">
      <c r="A129" s="84" t="s">
        <v>355</v>
      </c>
      <c r="B129" s="84" t="s">
        <v>184</v>
      </c>
      <c r="C129" s="84" t="s">
        <v>189</v>
      </c>
      <c r="D129" s="138">
        <v>100</v>
      </c>
      <c r="E129" s="138">
        <v>14073.36</v>
      </c>
      <c r="F129" s="138">
        <v>854</v>
      </c>
      <c r="G129" s="84">
        <v>0</v>
      </c>
      <c r="H129" s="53">
        <v>854</v>
      </c>
    </row>
    <row r="130" spans="1:8" x14ac:dyDescent="0.15">
      <c r="A130" s="84" t="s">
        <v>355</v>
      </c>
      <c r="B130" s="84" t="s">
        <v>184</v>
      </c>
      <c r="C130" s="84" t="s">
        <v>186</v>
      </c>
      <c r="D130" s="138">
        <v>121</v>
      </c>
      <c r="E130" s="138">
        <v>20521.48</v>
      </c>
      <c r="F130" s="138">
        <v>1662</v>
      </c>
      <c r="G130" s="84">
        <v>245</v>
      </c>
      <c r="H130" s="53">
        <v>1907</v>
      </c>
    </row>
    <row r="131" spans="1:8" x14ac:dyDescent="0.15">
      <c r="A131" s="84" t="s">
        <v>355</v>
      </c>
      <c r="B131" s="84" t="s">
        <v>184</v>
      </c>
      <c r="C131" s="84" t="s">
        <v>278</v>
      </c>
      <c r="D131" s="138">
        <v>44</v>
      </c>
      <c r="E131" s="138">
        <v>61499.07</v>
      </c>
      <c r="F131" s="138">
        <v>75</v>
      </c>
      <c r="G131" s="84">
        <v>0</v>
      </c>
      <c r="H131" s="53">
        <v>75</v>
      </c>
    </row>
    <row r="132" spans="1:8" x14ac:dyDescent="0.15">
      <c r="A132" s="84" t="s">
        <v>355</v>
      </c>
      <c r="B132" s="84" t="s">
        <v>184</v>
      </c>
      <c r="C132" s="84" t="s">
        <v>190</v>
      </c>
      <c r="D132" s="138">
        <v>110</v>
      </c>
      <c r="E132" s="138">
        <v>9662.0400000000009</v>
      </c>
      <c r="F132" s="138">
        <v>1139</v>
      </c>
      <c r="G132" s="84">
        <v>15</v>
      </c>
      <c r="H132" s="53">
        <v>1154</v>
      </c>
    </row>
    <row r="133" spans="1:8" x14ac:dyDescent="0.15">
      <c r="A133" s="84" t="s">
        <v>355</v>
      </c>
      <c r="B133" s="84" t="s">
        <v>177</v>
      </c>
      <c r="C133" s="84" t="s">
        <v>437</v>
      </c>
      <c r="D133" s="138">
        <v>37</v>
      </c>
      <c r="E133" s="138">
        <v>2623.68</v>
      </c>
      <c r="F133" s="138">
        <v>493</v>
      </c>
      <c r="G133" s="84">
        <v>0</v>
      </c>
      <c r="H133" s="53">
        <v>493</v>
      </c>
    </row>
    <row r="134" spans="1:8" x14ac:dyDescent="0.15">
      <c r="A134" s="84" t="s">
        <v>355</v>
      </c>
      <c r="B134" s="84" t="s">
        <v>177</v>
      </c>
      <c r="C134" s="84" t="s">
        <v>181</v>
      </c>
      <c r="D134" s="138">
        <v>105</v>
      </c>
      <c r="E134" s="138">
        <v>20239.59</v>
      </c>
      <c r="F134" s="138">
        <v>1394</v>
      </c>
      <c r="G134" s="84">
        <v>135</v>
      </c>
      <c r="H134" s="53">
        <v>1529</v>
      </c>
    </row>
    <row r="135" spans="1:8" x14ac:dyDescent="0.15">
      <c r="A135" s="84" t="s">
        <v>355</v>
      </c>
      <c r="B135" s="84" t="s">
        <v>177</v>
      </c>
      <c r="C135" s="84" t="s">
        <v>178</v>
      </c>
      <c r="D135" s="138">
        <v>121</v>
      </c>
      <c r="E135" s="138">
        <v>16834.400000000001</v>
      </c>
      <c r="F135" s="138">
        <v>1746</v>
      </c>
      <c r="G135" s="84">
        <v>130</v>
      </c>
      <c r="H135" s="53">
        <v>1876</v>
      </c>
    </row>
    <row r="136" spans="1:8" x14ac:dyDescent="0.15">
      <c r="A136" s="84" t="s">
        <v>355</v>
      </c>
      <c r="B136" s="84" t="s">
        <v>177</v>
      </c>
      <c r="C136" s="84" t="s">
        <v>179</v>
      </c>
      <c r="D136" s="138">
        <v>135.5</v>
      </c>
      <c r="E136" s="138">
        <v>17565.3</v>
      </c>
      <c r="F136" s="138">
        <v>1800</v>
      </c>
      <c r="G136" s="84">
        <v>105</v>
      </c>
      <c r="H136" s="53">
        <v>1905</v>
      </c>
    </row>
    <row r="137" spans="1:8" x14ac:dyDescent="0.15">
      <c r="A137" s="84" t="s">
        <v>355</v>
      </c>
      <c r="B137" s="84" t="s">
        <v>177</v>
      </c>
      <c r="C137" s="84" t="s">
        <v>183</v>
      </c>
      <c r="D137" s="138">
        <v>108</v>
      </c>
      <c r="E137" s="138">
        <v>21935.93</v>
      </c>
      <c r="F137" s="138">
        <v>1301</v>
      </c>
      <c r="G137" s="84">
        <v>70</v>
      </c>
      <c r="H137" s="53">
        <v>1371</v>
      </c>
    </row>
    <row r="138" spans="1:8" x14ac:dyDescent="0.15">
      <c r="A138" s="84" t="s">
        <v>355</v>
      </c>
      <c r="B138" s="84" t="s">
        <v>177</v>
      </c>
      <c r="C138" s="84" t="s">
        <v>277</v>
      </c>
      <c r="D138" s="138">
        <v>14</v>
      </c>
      <c r="E138" s="138">
        <v>11817.05</v>
      </c>
      <c r="F138" s="138">
        <v>0</v>
      </c>
      <c r="G138" s="84">
        <v>0</v>
      </c>
      <c r="H138" s="53">
        <v>0</v>
      </c>
    </row>
    <row r="139" spans="1:8" x14ac:dyDescent="0.15">
      <c r="A139" s="84" t="s">
        <v>355</v>
      </c>
      <c r="B139" s="84" t="s">
        <v>177</v>
      </c>
      <c r="C139" s="84" t="s">
        <v>182</v>
      </c>
      <c r="D139" s="138">
        <v>52</v>
      </c>
      <c r="E139" s="138">
        <v>3564.77</v>
      </c>
      <c r="F139" s="138">
        <v>605</v>
      </c>
      <c r="G139" s="84">
        <v>0</v>
      </c>
      <c r="H139" s="53">
        <v>605</v>
      </c>
    </row>
    <row r="140" spans="1:8" x14ac:dyDescent="0.15">
      <c r="A140" s="84" t="s">
        <v>355</v>
      </c>
      <c r="B140" s="84" t="s">
        <v>169</v>
      </c>
      <c r="C140" s="84" t="s">
        <v>436</v>
      </c>
      <c r="D140" s="138">
        <v>23</v>
      </c>
      <c r="E140" s="138">
        <v>1647.92</v>
      </c>
      <c r="F140" s="138">
        <v>283</v>
      </c>
      <c r="G140" s="84">
        <v>0</v>
      </c>
      <c r="H140" s="53">
        <v>283</v>
      </c>
    </row>
    <row r="141" spans="1:8" x14ac:dyDescent="0.15">
      <c r="A141" s="84" t="s">
        <v>355</v>
      </c>
      <c r="B141" s="84" t="s">
        <v>169</v>
      </c>
      <c r="C141" s="84" t="s">
        <v>171</v>
      </c>
      <c r="D141" s="138">
        <v>142</v>
      </c>
      <c r="E141" s="138">
        <v>28082.959999999999</v>
      </c>
      <c r="F141" s="138">
        <v>1843</v>
      </c>
      <c r="G141" s="84">
        <v>185</v>
      </c>
      <c r="H141" s="53">
        <v>2028</v>
      </c>
    </row>
    <row r="142" spans="1:8" x14ac:dyDescent="0.15">
      <c r="A142" s="84" t="s">
        <v>355</v>
      </c>
      <c r="B142" s="84" t="s">
        <v>169</v>
      </c>
      <c r="C142" s="84" t="s">
        <v>175</v>
      </c>
      <c r="D142" s="138">
        <v>116</v>
      </c>
      <c r="E142" s="138">
        <v>18564.669999999998</v>
      </c>
      <c r="F142" s="138">
        <v>1268</v>
      </c>
      <c r="G142" s="84">
        <v>45</v>
      </c>
      <c r="H142" s="53">
        <v>1313</v>
      </c>
    </row>
    <row r="143" spans="1:8" x14ac:dyDescent="0.15">
      <c r="A143" s="84" t="s">
        <v>355</v>
      </c>
      <c r="B143" s="84" t="s">
        <v>169</v>
      </c>
      <c r="C143" s="84" t="s">
        <v>172</v>
      </c>
      <c r="D143" s="138">
        <v>138</v>
      </c>
      <c r="E143" s="138">
        <v>24568.3</v>
      </c>
      <c r="F143" s="138">
        <v>1674</v>
      </c>
      <c r="G143" s="84">
        <v>90</v>
      </c>
      <c r="H143" s="53">
        <v>1764</v>
      </c>
    </row>
    <row r="144" spans="1:8" x14ac:dyDescent="0.15">
      <c r="A144" s="84" t="s">
        <v>355</v>
      </c>
      <c r="B144" s="84" t="s">
        <v>169</v>
      </c>
      <c r="C144" s="84" t="s">
        <v>176</v>
      </c>
      <c r="D144" s="138">
        <v>114</v>
      </c>
      <c r="E144" s="138">
        <v>46164.46</v>
      </c>
      <c r="F144" s="138">
        <v>1296</v>
      </c>
      <c r="G144" s="84">
        <v>70</v>
      </c>
      <c r="H144" s="53">
        <v>1366</v>
      </c>
    </row>
    <row r="145" spans="1:8" x14ac:dyDescent="0.15">
      <c r="A145" s="84" t="s">
        <v>355</v>
      </c>
      <c r="B145" s="84" t="s">
        <v>169</v>
      </c>
      <c r="C145" s="84" t="s">
        <v>276</v>
      </c>
      <c r="D145" s="138">
        <v>25</v>
      </c>
      <c r="E145" s="138">
        <v>32053.26</v>
      </c>
      <c r="F145" s="138">
        <v>0</v>
      </c>
      <c r="G145" s="84">
        <v>0</v>
      </c>
      <c r="H145" s="53">
        <v>0</v>
      </c>
    </row>
    <row r="146" spans="1:8" x14ac:dyDescent="0.15">
      <c r="A146" s="84" t="s">
        <v>355</v>
      </c>
      <c r="B146" s="84" t="s">
        <v>169</v>
      </c>
      <c r="C146" s="84" t="s">
        <v>174</v>
      </c>
      <c r="D146" s="138">
        <v>133</v>
      </c>
      <c r="E146" s="138">
        <v>58362.94</v>
      </c>
      <c r="F146" s="138">
        <v>1687</v>
      </c>
      <c r="G146" s="84">
        <v>290</v>
      </c>
      <c r="H146" s="53">
        <v>1977</v>
      </c>
    </row>
    <row r="147" spans="1:8" x14ac:dyDescent="0.15">
      <c r="A147" s="84" t="s">
        <v>355</v>
      </c>
      <c r="B147" s="84" t="s">
        <v>162</v>
      </c>
      <c r="C147" s="84" t="s">
        <v>165</v>
      </c>
      <c r="D147" s="138">
        <v>110</v>
      </c>
      <c r="E147" s="138">
        <v>12768.22</v>
      </c>
      <c r="F147" s="138">
        <v>1312</v>
      </c>
      <c r="G147" s="84">
        <v>35</v>
      </c>
      <c r="H147" s="53">
        <v>1347</v>
      </c>
    </row>
    <row r="148" spans="1:8" x14ac:dyDescent="0.15">
      <c r="A148" s="84" t="s">
        <v>355</v>
      </c>
      <c r="B148" s="84" t="s">
        <v>162</v>
      </c>
      <c r="C148" s="84" t="s">
        <v>275</v>
      </c>
      <c r="D148" s="138">
        <v>11</v>
      </c>
      <c r="E148" s="138">
        <v>1789.33</v>
      </c>
      <c r="F148" s="138">
        <v>32</v>
      </c>
      <c r="G148" s="84">
        <v>0</v>
      </c>
      <c r="H148" s="53">
        <v>32</v>
      </c>
    </row>
    <row r="149" spans="1:8" x14ac:dyDescent="0.15">
      <c r="A149" s="84" t="s">
        <v>355</v>
      </c>
      <c r="B149" s="84" t="s">
        <v>162</v>
      </c>
      <c r="C149" s="84" t="s">
        <v>164</v>
      </c>
      <c r="D149" s="138">
        <v>115</v>
      </c>
      <c r="E149" s="138">
        <v>40480.21</v>
      </c>
      <c r="F149" s="138">
        <v>1739</v>
      </c>
      <c r="G149" s="84">
        <v>250</v>
      </c>
      <c r="H149" s="53">
        <v>1989</v>
      </c>
    </row>
    <row r="150" spans="1:8" x14ac:dyDescent="0.15">
      <c r="A150" s="84" t="s">
        <v>355</v>
      </c>
      <c r="B150" s="84" t="s">
        <v>162</v>
      </c>
      <c r="C150" s="84" t="s">
        <v>168</v>
      </c>
      <c r="D150" s="138">
        <v>122</v>
      </c>
      <c r="E150" s="138">
        <v>18967.5</v>
      </c>
      <c r="F150" s="138">
        <v>1520</v>
      </c>
      <c r="G150" s="84">
        <v>80</v>
      </c>
      <c r="H150" s="53">
        <v>1600</v>
      </c>
    </row>
    <row r="151" spans="1:8" x14ac:dyDescent="0.15">
      <c r="A151" s="84" t="s">
        <v>355</v>
      </c>
      <c r="B151" s="84" t="s">
        <v>162</v>
      </c>
      <c r="C151" s="84" t="s">
        <v>167</v>
      </c>
      <c r="D151" s="138">
        <v>135</v>
      </c>
      <c r="E151" s="138">
        <v>48257.49</v>
      </c>
      <c r="F151" s="138">
        <v>1937</v>
      </c>
      <c r="G151" s="84">
        <v>220</v>
      </c>
      <c r="H151" s="53">
        <v>2157</v>
      </c>
    </row>
    <row r="152" spans="1:8" x14ac:dyDescent="0.15">
      <c r="A152" s="84" t="s">
        <v>355</v>
      </c>
      <c r="B152" s="84" t="s">
        <v>162</v>
      </c>
      <c r="C152" s="84" t="s">
        <v>206</v>
      </c>
      <c r="D152" s="138">
        <v>120.5</v>
      </c>
      <c r="E152" s="138">
        <v>29465.21</v>
      </c>
      <c r="F152" s="138">
        <v>1585</v>
      </c>
      <c r="G152" s="84">
        <v>150</v>
      </c>
      <c r="H152" s="53">
        <v>1735</v>
      </c>
    </row>
    <row r="153" spans="1:8" x14ac:dyDescent="0.15">
      <c r="A153" s="84" t="s">
        <v>359</v>
      </c>
      <c r="B153" s="84" t="s">
        <v>217</v>
      </c>
      <c r="C153" s="84" t="s">
        <v>221</v>
      </c>
      <c r="D153" s="138">
        <v>102</v>
      </c>
      <c r="E153" s="138">
        <v>5913.88</v>
      </c>
      <c r="F153" s="138">
        <v>1110</v>
      </c>
      <c r="G153" s="84">
        <v>5</v>
      </c>
      <c r="H153" s="53">
        <v>1115</v>
      </c>
    </row>
    <row r="154" spans="1:8" x14ac:dyDescent="0.15">
      <c r="A154" s="84" t="s">
        <v>359</v>
      </c>
      <c r="B154" s="84" t="s">
        <v>217</v>
      </c>
      <c r="C154" s="84" t="s">
        <v>224</v>
      </c>
      <c r="D154" s="138">
        <v>115.5</v>
      </c>
      <c r="E154" s="138">
        <v>8021.09</v>
      </c>
      <c r="F154" s="138">
        <v>1344</v>
      </c>
      <c r="G154" s="84">
        <v>0</v>
      </c>
      <c r="H154" s="53">
        <v>1344</v>
      </c>
    </row>
    <row r="155" spans="1:8" x14ac:dyDescent="0.15">
      <c r="A155" s="84" t="s">
        <v>359</v>
      </c>
      <c r="B155" s="84" t="s">
        <v>217</v>
      </c>
      <c r="C155" s="84" t="s">
        <v>223</v>
      </c>
      <c r="D155" s="138">
        <v>118</v>
      </c>
      <c r="E155" s="138">
        <v>17541.330000000002</v>
      </c>
      <c r="F155" s="138">
        <v>1707</v>
      </c>
      <c r="G155" s="84">
        <v>240</v>
      </c>
      <c r="H155" s="53">
        <v>1947</v>
      </c>
    </row>
    <row r="156" spans="1:8" x14ac:dyDescent="0.15">
      <c r="A156" s="84" t="s">
        <v>359</v>
      </c>
      <c r="B156" s="84" t="s">
        <v>217</v>
      </c>
      <c r="C156" s="84" t="s">
        <v>219</v>
      </c>
      <c r="D156" s="138">
        <v>78</v>
      </c>
      <c r="E156" s="138">
        <v>12053.89</v>
      </c>
      <c r="F156" s="138">
        <v>819</v>
      </c>
      <c r="G156" s="84">
        <v>0</v>
      </c>
      <c r="H156" s="53">
        <v>819</v>
      </c>
    </row>
    <row r="157" spans="1:8" x14ac:dyDescent="0.15">
      <c r="A157" s="84" t="s">
        <v>359</v>
      </c>
      <c r="B157" s="84" t="s">
        <v>217</v>
      </c>
      <c r="C157" s="84" t="s">
        <v>220</v>
      </c>
      <c r="D157" s="138">
        <v>94.5</v>
      </c>
      <c r="E157" s="138">
        <v>13323.72</v>
      </c>
      <c r="F157" s="138">
        <v>1155</v>
      </c>
      <c r="G157" s="84">
        <v>45</v>
      </c>
      <c r="H157" s="53">
        <v>1200</v>
      </c>
    </row>
    <row r="158" spans="1:8" x14ac:dyDescent="0.15">
      <c r="A158" s="84" t="s">
        <v>359</v>
      </c>
      <c r="B158" s="84" t="s">
        <v>217</v>
      </c>
      <c r="C158" s="84" t="s">
        <v>282</v>
      </c>
      <c r="D158" s="138">
        <v>34</v>
      </c>
      <c r="E158" s="138">
        <v>46218.71</v>
      </c>
      <c r="F158" s="138">
        <v>0</v>
      </c>
      <c r="G158" s="84">
        <v>0</v>
      </c>
      <c r="H158" s="53">
        <v>0</v>
      </c>
    </row>
    <row r="159" spans="1:8" x14ac:dyDescent="0.15">
      <c r="A159" s="84" t="s">
        <v>359</v>
      </c>
      <c r="B159" s="84" t="s">
        <v>233</v>
      </c>
      <c r="C159" s="84" t="s">
        <v>235</v>
      </c>
      <c r="D159" s="138">
        <v>71</v>
      </c>
      <c r="E159" s="138">
        <v>7654.79</v>
      </c>
      <c r="F159" s="138">
        <v>892</v>
      </c>
      <c r="G159" s="84">
        <v>0</v>
      </c>
      <c r="H159" s="53">
        <v>892</v>
      </c>
    </row>
    <row r="160" spans="1:8" x14ac:dyDescent="0.15">
      <c r="A160" s="84" t="s">
        <v>359</v>
      </c>
      <c r="B160" s="84" t="s">
        <v>233</v>
      </c>
      <c r="C160" s="84" t="s">
        <v>234</v>
      </c>
      <c r="D160" s="138">
        <v>140</v>
      </c>
      <c r="E160" s="138">
        <v>25735.17</v>
      </c>
      <c r="F160" s="138">
        <v>1889</v>
      </c>
      <c r="G160" s="84">
        <v>175</v>
      </c>
      <c r="H160" s="53">
        <v>2064</v>
      </c>
    </row>
    <row r="161" spans="1:8" x14ac:dyDescent="0.15">
      <c r="A161" s="84" t="s">
        <v>359</v>
      </c>
      <c r="B161" s="84" t="s">
        <v>233</v>
      </c>
      <c r="C161" s="84" t="s">
        <v>284</v>
      </c>
      <c r="D161" s="138">
        <v>31.5</v>
      </c>
      <c r="E161" s="138">
        <v>4996.3</v>
      </c>
      <c r="F161" s="138">
        <v>0</v>
      </c>
      <c r="G161" s="84">
        <v>0</v>
      </c>
      <c r="H161" s="53">
        <v>0</v>
      </c>
    </row>
    <row r="162" spans="1:8" x14ac:dyDescent="0.15">
      <c r="A162" s="84" t="s">
        <v>359</v>
      </c>
      <c r="B162" s="84" t="s">
        <v>233</v>
      </c>
      <c r="C162" s="84" t="s">
        <v>237</v>
      </c>
      <c r="D162" s="138">
        <v>76</v>
      </c>
      <c r="E162" s="138">
        <v>4125.03</v>
      </c>
      <c r="F162" s="138">
        <v>1064</v>
      </c>
      <c r="G162" s="84">
        <v>0</v>
      </c>
      <c r="H162" s="53">
        <v>1064</v>
      </c>
    </row>
    <row r="163" spans="1:8" x14ac:dyDescent="0.15">
      <c r="A163" s="84" t="s">
        <v>359</v>
      </c>
      <c r="B163" s="84" t="s">
        <v>233</v>
      </c>
      <c r="C163" s="84" t="s">
        <v>236</v>
      </c>
      <c r="D163" s="138">
        <v>109.5</v>
      </c>
      <c r="E163" s="138">
        <v>11864.38</v>
      </c>
      <c r="F163" s="138">
        <v>1467</v>
      </c>
      <c r="G163" s="84">
        <v>85</v>
      </c>
      <c r="H163" s="53">
        <v>1552</v>
      </c>
    </row>
    <row r="164" spans="1:8" x14ac:dyDescent="0.15">
      <c r="A164" s="84" t="s">
        <v>359</v>
      </c>
      <c r="B164" s="84" t="s">
        <v>233</v>
      </c>
      <c r="C164" s="84" t="s">
        <v>439</v>
      </c>
      <c r="D164" s="138">
        <v>39</v>
      </c>
      <c r="E164" s="138">
        <v>2543.87</v>
      </c>
      <c r="F164" s="138">
        <v>536</v>
      </c>
      <c r="G164" s="84">
        <v>0</v>
      </c>
      <c r="H164" s="53">
        <v>536</v>
      </c>
    </row>
    <row r="165" spans="1:8" x14ac:dyDescent="0.15">
      <c r="A165" s="84" t="s">
        <v>359</v>
      </c>
      <c r="B165" s="84" t="s">
        <v>233</v>
      </c>
      <c r="C165" s="84" t="s">
        <v>440</v>
      </c>
      <c r="D165" s="138">
        <v>18</v>
      </c>
      <c r="E165" s="138">
        <v>1250.07</v>
      </c>
      <c r="F165" s="138">
        <v>233</v>
      </c>
      <c r="G165" s="84">
        <v>0</v>
      </c>
      <c r="H165" s="53">
        <v>233</v>
      </c>
    </row>
    <row r="166" spans="1:8" x14ac:dyDescent="0.15">
      <c r="A166" s="84" t="s">
        <v>359</v>
      </c>
      <c r="B166" s="84" t="s">
        <v>225</v>
      </c>
      <c r="C166" s="84" t="s">
        <v>283</v>
      </c>
      <c r="D166" s="138">
        <v>58</v>
      </c>
      <c r="E166" s="138">
        <v>65106.42</v>
      </c>
      <c r="F166" s="138">
        <v>0</v>
      </c>
      <c r="G166" s="84">
        <v>0</v>
      </c>
      <c r="H166" s="53">
        <v>0</v>
      </c>
    </row>
    <row r="167" spans="1:8" x14ac:dyDescent="0.15">
      <c r="A167" s="84" t="s">
        <v>359</v>
      </c>
      <c r="B167" s="84" t="s">
        <v>225</v>
      </c>
      <c r="C167" s="84" t="s">
        <v>228</v>
      </c>
      <c r="D167" s="138">
        <v>95</v>
      </c>
      <c r="E167" s="138">
        <v>14369.11</v>
      </c>
      <c r="F167" s="138">
        <v>1073</v>
      </c>
      <c r="G167" s="84">
        <v>0</v>
      </c>
      <c r="H167" s="53">
        <v>1073</v>
      </c>
    </row>
    <row r="168" spans="1:8" x14ac:dyDescent="0.15">
      <c r="A168" s="84" t="s">
        <v>359</v>
      </c>
      <c r="B168" s="84" t="s">
        <v>225</v>
      </c>
      <c r="C168" s="84" t="s">
        <v>227</v>
      </c>
      <c r="D168" s="138">
        <v>110</v>
      </c>
      <c r="E168" s="138">
        <v>43190.45</v>
      </c>
      <c r="F168" s="138">
        <v>1112</v>
      </c>
      <c r="G168" s="84">
        <v>0</v>
      </c>
      <c r="H168" s="53">
        <v>1112</v>
      </c>
    </row>
    <row r="169" spans="1:8" x14ac:dyDescent="0.15">
      <c r="A169" s="139" t="s">
        <v>359</v>
      </c>
      <c r="B169" s="139" t="s">
        <v>225</v>
      </c>
      <c r="C169" s="139" t="s">
        <v>229</v>
      </c>
      <c r="D169" s="140">
        <v>97</v>
      </c>
      <c r="E169" s="140">
        <v>12371.53</v>
      </c>
      <c r="F169" s="140">
        <v>1064</v>
      </c>
      <c r="G169" s="139">
        <v>0</v>
      </c>
      <c r="H169" s="95">
        <v>1064</v>
      </c>
    </row>
    <row r="170" spans="1:8" x14ac:dyDescent="0.15">
      <c r="A170" s="84" t="s">
        <v>359</v>
      </c>
      <c r="B170" s="84" t="s">
        <v>225</v>
      </c>
      <c r="C170" s="84" t="s">
        <v>231</v>
      </c>
      <c r="D170" s="138">
        <v>125</v>
      </c>
      <c r="E170" s="138">
        <v>25702.1</v>
      </c>
      <c r="F170" s="138">
        <v>1840</v>
      </c>
      <c r="G170" s="84">
        <v>155</v>
      </c>
      <c r="H170" s="53">
        <v>1995</v>
      </c>
    </row>
    <row r="171" spans="1:8" x14ac:dyDescent="0.15">
      <c r="A171" s="84" t="s">
        <v>359</v>
      </c>
      <c r="B171" s="84" t="s">
        <v>225</v>
      </c>
      <c r="C171" s="84" t="s">
        <v>232</v>
      </c>
      <c r="D171" s="138">
        <v>113</v>
      </c>
      <c r="E171" s="138">
        <v>31950.77</v>
      </c>
      <c r="F171" s="138">
        <v>1181</v>
      </c>
      <c r="G171" s="84">
        <v>50</v>
      </c>
      <c r="H171" s="53">
        <v>1231</v>
      </c>
    </row>
    <row r="172" spans="1:8" x14ac:dyDescent="0.15">
      <c r="A172" s="84" t="s">
        <v>357</v>
      </c>
      <c r="B172" s="84" t="s">
        <v>66</v>
      </c>
      <c r="C172" s="84" t="s">
        <v>73</v>
      </c>
      <c r="D172" s="138">
        <v>119</v>
      </c>
      <c r="E172" s="138">
        <v>16872.439999999999</v>
      </c>
      <c r="F172" s="138">
        <v>1489</v>
      </c>
      <c r="G172" s="84">
        <v>95</v>
      </c>
      <c r="H172" s="53">
        <v>1584</v>
      </c>
    </row>
    <row r="173" spans="1:8" x14ac:dyDescent="0.15">
      <c r="A173" s="84" t="s">
        <v>357</v>
      </c>
      <c r="B173" s="84" t="s">
        <v>66</v>
      </c>
      <c r="C173" s="84" t="s">
        <v>68</v>
      </c>
      <c r="D173" s="138">
        <v>129</v>
      </c>
      <c r="E173" s="138">
        <v>48184.25</v>
      </c>
      <c r="F173" s="138">
        <v>1894</v>
      </c>
      <c r="G173" s="84">
        <v>270</v>
      </c>
      <c r="H173" s="53">
        <v>2164</v>
      </c>
    </row>
    <row r="174" spans="1:8" x14ac:dyDescent="0.15">
      <c r="A174" s="84" t="s">
        <v>357</v>
      </c>
      <c r="B174" s="84" t="s">
        <v>66</v>
      </c>
      <c r="C174" s="84" t="s">
        <v>70</v>
      </c>
      <c r="D174" s="138">
        <v>104</v>
      </c>
      <c r="E174" s="138">
        <v>7445.38</v>
      </c>
      <c r="F174" s="138">
        <v>1252</v>
      </c>
      <c r="G174" s="84">
        <v>0</v>
      </c>
      <c r="H174" s="53">
        <v>1252</v>
      </c>
    </row>
    <row r="175" spans="1:8" x14ac:dyDescent="0.15">
      <c r="A175" s="84" t="s">
        <v>357</v>
      </c>
      <c r="B175" s="84" t="s">
        <v>66</v>
      </c>
      <c r="C175" s="84" t="s">
        <v>69</v>
      </c>
      <c r="D175" s="138">
        <v>111</v>
      </c>
      <c r="E175" s="138">
        <v>19882.2</v>
      </c>
      <c r="F175" s="138">
        <v>1352</v>
      </c>
      <c r="G175" s="84">
        <v>50</v>
      </c>
      <c r="H175" s="53">
        <v>1402</v>
      </c>
    </row>
    <row r="176" spans="1:8" x14ac:dyDescent="0.15">
      <c r="A176" s="84" t="s">
        <v>357</v>
      </c>
      <c r="B176" s="84" t="s">
        <v>66</v>
      </c>
      <c r="C176" s="84" t="s">
        <v>264</v>
      </c>
      <c r="D176" s="138">
        <v>12</v>
      </c>
      <c r="E176" s="138">
        <v>0</v>
      </c>
      <c r="F176" s="138">
        <v>0</v>
      </c>
      <c r="G176" s="84">
        <v>0</v>
      </c>
      <c r="H176" s="53">
        <v>0</v>
      </c>
    </row>
    <row r="177" spans="1:8" x14ac:dyDescent="0.15">
      <c r="A177" s="84" t="s">
        <v>357</v>
      </c>
      <c r="B177" s="84" t="s">
        <v>66</v>
      </c>
      <c r="C177" s="84" t="s">
        <v>74</v>
      </c>
      <c r="D177" s="138">
        <v>101</v>
      </c>
      <c r="E177" s="138">
        <v>15050.06</v>
      </c>
      <c r="F177" s="138">
        <v>1422</v>
      </c>
      <c r="G177" s="84">
        <v>90</v>
      </c>
      <c r="H177" s="53">
        <v>1512</v>
      </c>
    </row>
    <row r="178" spans="1:8" x14ac:dyDescent="0.15">
      <c r="A178" s="84" t="s">
        <v>357</v>
      </c>
      <c r="B178" s="84" t="s">
        <v>66</v>
      </c>
      <c r="C178" s="84" t="s">
        <v>62</v>
      </c>
      <c r="D178" s="138">
        <v>126</v>
      </c>
      <c r="E178" s="138">
        <v>12792.49</v>
      </c>
      <c r="F178" s="138">
        <v>1437</v>
      </c>
      <c r="G178" s="84">
        <v>55</v>
      </c>
      <c r="H178" s="53">
        <v>1492</v>
      </c>
    </row>
    <row r="179" spans="1:8" x14ac:dyDescent="0.15">
      <c r="A179" s="84" t="s">
        <v>357</v>
      </c>
      <c r="B179" s="84" t="s">
        <v>75</v>
      </c>
      <c r="C179" s="84" t="s">
        <v>431</v>
      </c>
      <c r="D179" s="138">
        <v>5</v>
      </c>
      <c r="E179" s="138">
        <v>270.95999999999998</v>
      </c>
      <c r="F179" s="138">
        <v>70</v>
      </c>
      <c r="G179" s="84">
        <v>0</v>
      </c>
      <c r="H179" s="53">
        <v>70</v>
      </c>
    </row>
    <row r="180" spans="1:8" x14ac:dyDescent="0.15">
      <c r="A180" s="84" t="s">
        <v>357</v>
      </c>
      <c r="B180" s="84" t="s">
        <v>75</v>
      </c>
      <c r="C180" s="84" t="s">
        <v>77</v>
      </c>
      <c r="D180" s="138">
        <v>99.5</v>
      </c>
      <c r="E180" s="138">
        <v>25992.16</v>
      </c>
      <c r="F180" s="138">
        <v>1526</v>
      </c>
      <c r="G180" s="84">
        <v>157.5</v>
      </c>
      <c r="H180" s="53">
        <v>1683.5</v>
      </c>
    </row>
    <row r="181" spans="1:8" x14ac:dyDescent="0.15">
      <c r="A181" s="84" t="s">
        <v>357</v>
      </c>
      <c r="B181" s="84" t="s">
        <v>75</v>
      </c>
      <c r="C181" s="84" t="s">
        <v>265</v>
      </c>
      <c r="D181" s="138">
        <v>23</v>
      </c>
      <c r="E181" s="138">
        <v>68388</v>
      </c>
      <c r="F181" s="138">
        <v>0</v>
      </c>
      <c r="G181" s="84">
        <v>0</v>
      </c>
      <c r="H181" s="53">
        <v>0</v>
      </c>
    </row>
    <row r="182" spans="1:8" x14ac:dyDescent="0.15">
      <c r="A182" s="84" t="s">
        <v>357</v>
      </c>
      <c r="B182" s="84" t="s">
        <v>75</v>
      </c>
      <c r="C182" s="84" t="s">
        <v>80</v>
      </c>
      <c r="D182" s="138">
        <v>73.5</v>
      </c>
      <c r="E182" s="138">
        <v>6857.83</v>
      </c>
      <c r="F182" s="138">
        <v>971.5</v>
      </c>
      <c r="G182" s="84">
        <v>20</v>
      </c>
      <c r="H182" s="53">
        <v>991.5</v>
      </c>
    </row>
    <row r="183" spans="1:8" x14ac:dyDescent="0.15">
      <c r="A183" s="139" t="s">
        <v>357</v>
      </c>
      <c r="B183" s="139" t="s">
        <v>75</v>
      </c>
      <c r="C183" s="139" t="s">
        <v>76</v>
      </c>
      <c r="D183" s="140">
        <v>84</v>
      </c>
      <c r="E183" s="140">
        <v>7072.69</v>
      </c>
      <c r="F183" s="140">
        <v>1009</v>
      </c>
      <c r="G183" s="139">
        <v>45</v>
      </c>
      <c r="H183" s="95">
        <v>1054</v>
      </c>
    </row>
    <row r="184" spans="1:8" x14ac:dyDescent="0.15">
      <c r="A184" s="84" t="s">
        <v>357</v>
      </c>
      <c r="B184" s="84" t="s">
        <v>75</v>
      </c>
      <c r="C184" s="84" t="s">
        <v>79</v>
      </c>
      <c r="D184" s="138">
        <v>39</v>
      </c>
      <c r="E184" s="138">
        <v>7196.53</v>
      </c>
      <c r="F184" s="138">
        <v>504.5</v>
      </c>
      <c r="G184" s="84">
        <v>0</v>
      </c>
      <c r="H184" s="53">
        <v>504.5</v>
      </c>
    </row>
    <row r="185" spans="1:8" x14ac:dyDescent="0.15">
      <c r="A185" s="84" t="s">
        <v>357</v>
      </c>
      <c r="B185" s="84" t="s">
        <v>75</v>
      </c>
      <c r="C185" s="84" t="s">
        <v>78</v>
      </c>
      <c r="D185" s="138">
        <v>20</v>
      </c>
      <c r="E185" s="138">
        <v>864.77</v>
      </c>
      <c r="F185" s="138">
        <v>210</v>
      </c>
      <c r="G185" s="84">
        <v>0</v>
      </c>
      <c r="H185" s="53">
        <v>210</v>
      </c>
    </row>
    <row r="186" spans="1:8" x14ac:dyDescent="0.15">
      <c r="A186" s="84" t="s">
        <v>357</v>
      </c>
      <c r="B186" s="84" t="s">
        <v>75</v>
      </c>
      <c r="C186" s="84" t="s">
        <v>432</v>
      </c>
      <c r="D186" s="138">
        <v>16</v>
      </c>
      <c r="E186" s="138">
        <v>780.5</v>
      </c>
      <c r="F186" s="138">
        <v>211</v>
      </c>
      <c r="G186" s="84">
        <v>0</v>
      </c>
      <c r="H186" s="53">
        <v>211</v>
      </c>
    </row>
    <row r="187" spans="1:8" x14ac:dyDescent="0.15">
      <c r="A187" s="84" t="s">
        <v>357</v>
      </c>
      <c r="B187" s="84" t="s">
        <v>51</v>
      </c>
      <c r="C187" s="84" t="s">
        <v>55</v>
      </c>
      <c r="D187" s="138">
        <v>138</v>
      </c>
      <c r="E187" s="138">
        <v>28777.7</v>
      </c>
      <c r="F187" s="138">
        <v>1622</v>
      </c>
      <c r="G187" s="84">
        <v>70</v>
      </c>
      <c r="H187" s="53">
        <v>1692</v>
      </c>
    </row>
    <row r="188" spans="1:8" x14ac:dyDescent="0.15">
      <c r="A188" s="84" t="s">
        <v>357</v>
      </c>
      <c r="B188" s="84" t="s">
        <v>51</v>
      </c>
      <c r="C188" s="84" t="s">
        <v>57</v>
      </c>
      <c r="D188" s="138">
        <v>126</v>
      </c>
      <c r="E188" s="138">
        <v>86891.64</v>
      </c>
      <c r="F188" s="138">
        <v>1593</v>
      </c>
      <c r="G188" s="84">
        <v>175</v>
      </c>
      <c r="H188" s="53">
        <v>1768</v>
      </c>
    </row>
    <row r="189" spans="1:8" x14ac:dyDescent="0.15">
      <c r="A189" s="84" t="s">
        <v>357</v>
      </c>
      <c r="B189" s="84" t="s">
        <v>51</v>
      </c>
      <c r="C189" s="84" t="s">
        <v>262</v>
      </c>
      <c r="D189" s="138">
        <v>57</v>
      </c>
      <c r="E189" s="138">
        <v>182027.66</v>
      </c>
      <c r="F189" s="138">
        <v>232</v>
      </c>
      <c r="G189" s="84">
        <v>0</v>
      </c>
      <c r="H189" s="53">
        <v>232</v>
      </c>
    </row>
    <row r="190" spans="1:8" x14ac:dyDescent="0.15">
      <c r="A190" s="84" t="s">
        <v>357</v>
      </c>
      <c r="B190" s="84" t="s">
        <v>51</v>
      </c>
      <c r="C190" s="84" t="s">
        <v>59</v>
      </c>
      <c r="D190" s="138">
        <v>141</v>
      </c>
      <c r="E190" s="138">
        <v>46794.41</v>
      </c>
      <c r="F190" s="138">
        <v>1846</v>
      </c>
      <c r="G190" s="84">
        <v>55</v>
      </c>
      <c r="H190" s="53">
        <v>1901</v>
      </c>
    </row>
    <row r="191" spans="1:8" x14ac:dyDescent="0.15">
      <c r="A191" s="84" t="s">
        <v>357</v>
      </c>
      <c r="B191" s="84" t="s">
        <v>51</v>
      </c>
      <c r="C191" s="84" t="s">
        <v>54</v>
      </c>
      <c r="D191" s="138">
        <v>119</v>
      </c>
      <c r="E191" s="138">
        <v>32374.69</v>
      </c>
      <c r="F191" s="138">
        <v>1254</v>
      </c>
      <c r="G191" s="84">
        <v>0</v>
      </c>
      <c r="H191" s="53">
        <v>1254</v>
      </c>
    </row>
    <row r="192" spans="1:8" x14ac:dyDescent="0.15">
      <c r="A192" s="84" t="s">
        <v>357</v>
      </c>
      <c r="B192" s="84" t="s">
        <v>51</v>
      </c>
      <c r="C192" s="84" t="s">
        <v>58</v>
      </c>
      <c r="D192" s="138">
        <v>141</v>
      </c>
      <c r="E192" s="138">
        <v>55759.65</v>
      </c>
      <c r="F192" s="138">
        <v>1755</v>
      </c>
      <c r="G192" s="84">
        <v>50</v>
      </c>
      <c r="H192" s="53">
        <v>1805</v>
      </c>
    </row>
    <row r="193" spans="1:8" x14ac:dyDescent="0.15">
      <c r="A193" s="84" t="s">
        <v>357</v>
      </c>
      <c r="B193" s="84" t="s">
        <v>51</v>
      </c>
      <c r="C193" s="84" t="s">
        <v>53</v>
      </c>
      <c r="D193" s="138">
        <v>128</v>
      </c>
      <c r="E193" s="138">
        <v>86403.54</v>
      </c>
      <c r="F193" s="138">
        <v>1728</v>
      </c>
      <c r="G193" s="84">
        <v>220</v>
      </c>
      <c r="H193" s="53">
        <v>1948</v>
      </c>
    </row>
    <row r="194" spans="1:8" x14ac:dyDescent="0.15">
      <c r="A194" s="84" t="s">
        <v>357</v>
      </c>
      <c r="B194" s="84" t="s">
        <v>41</v>
      </c>
      <c r="C194" s="84" t="s">
        <v>49</v>
      </c>
      <c r="D194" s="138">
        <v>102</v>
      </c>
      <c r="E194" s="138">
        <v>20974.32</v>
      </c>
      <c r="F194" s="138">
        <v>1223.5</v>
      </c>
      <c r="G194" s="84">
        <v>15</v>
      </c>
      <c r="H194" s="53">
        <v>1238.5</v>
      </c>
    </row>
    <row r="195" spans="1:8" x14ac:dyDescent="0.15">
      <c r="A195" s="84" t="s">
        <v>357</v>
      </c>
      <c r="B195" s="84" t="s">
        <v>41</v>
      </c>
      <c r="C195" s="84" t="s">
        <v>261</v>
      </c>
      <c r="D195" s="138">
        <v>37</v>
      </c>
      <c r="E195" s="138">
        <v>15111.11</v>
      </c>
      <c r="F195" s="138">
        <v>220</v>
      </c>
      <c r="G195" s="84">
        <v>0</v>
      </c>
      <c r="H195" s="53">
        <v>220</v>
      </c>
    </row>
    <row r="196" spans="1:8" x14ac:dyDescent="0.15">
      <c r="A196" s="84" t="s">
        <v>357</v>
      </c>
      <c r="B196" s="84" t="s">
        <v>41</v>
      </c>
      <c r="C196" s="84" t="s">
        <v>47</v>
      </c>
      <c r="D196" s="138">
        <v>124</v>
      </c>
      <c r="E196" s="138">
        <v>56864.800000000003</v>
      </c>
      <c r="F196" s="138">
        <v>1782.5</v>
      </c>
      <c r="G196" s="84">
        <v>220</v>
      </c>
      <c r="H196" s="53">
        <v>2002.5</v>
      </c>
    </row>
    <row r="197" spans="1:8" x14ac:dyDescent="0.15">
      <c r="A197" s="139" t="s">
        <v>357</v>
      </c>
      <c r="B197" s="139" t="s">
        <v>41</v>
      </c>
      <c r="C197" s="139" t="s">
        <v>44</v>
      </c>
      <c r="D197" s="140">
        <v>77</v>
      </c>
      <c r="E197" s="140">
        <v>10407.49</v>
      </c>
      <c r="F197" s="140">
        <v>1094</v>
      </c>
      <c r="G197" s="84">
        <v>40</v>
      </c>
      <c r="H197" s="53">
        <v>1134</v>
      </c>
    </row>
    <row r="198" spans="1:8" x14ac:dyDescent="0.15">
      <c r="A198" s="84" t="s">
        <v>357</v>
      </c>
      <c r="B198" s="84" t="s">
        <v>41</v>
      </c>
      <c r="C198" s="84" t="s">
        <v>48</v>
      </c>
      <c r="D198" s="138">
        <v>77</v>
      </c>
      <c r="E198" s="138">
        <v>15179.01</v>
      </c>
      <c r="F198" s="138">
        <v>1007</v>
      </c>
      <c r="G198" s="84">
        <v>0</v>
      </c>
      <c r="H198" s="53">
        <v>1007</v>
      </c>
    </row>
    <row r="199" spans="1:8" x14ac:dyDescent="0.15">
      <c r="A199" s="84" t="s">
        <v>357</v>
      </c>
      <c r="B199" s="84" t="s">
        <v>41</v>
      </c>
      <c r="C199" s="84" t="s">
        <v>43</v>
      </c>
      <c r="D199" s="138">
        <v>116</v>
      </c>
      <c r="E199" s="138">
        <v>48340.47</v>
      </c>
      <c r="F199" s="138">
        <v>1712</v>
      </c>
      <c r="G199" s="84">
        <v>170</v>
      </c>
      <c r="H199" s="53">
        <v>1882</v>
      </c>
    </row>
    <row r="200" spans="1:8" x14ac:dyDescent="0.15">
      <c r="A200" s="84" t="s">
        <v>357</v>
      </c>
      <c r="B200" s="84" t="s">
        <v>41</v>
      </c>
      <c r="C200" s="84" t="s">
        <v>45</v>
      </c>
      <c r="D200" s="138">
        <v>82</v>
      </c>
      <c r="E200" s="138">
        <v>14652.31</v>
      </c>
      <c r="F200" s="138">
        <v>1006</v>
      </c>
      <c r="G200" s="84">
        <v>20</v>
      </c>
      <c r="H200" s="53">
        <v>1026</v>
      </c>
    </row>
    <row r="201" spans="1:8" x14ac:dyDescent="0.15">
      <c r="A201" s="84" t="s">
        <v>357</v>
      </c>
      <c r="B201" s="84" t="s">
        <v>60</v>
      </c>
      <c r="C201" s="84" t="s">
        <v>64</v>
      </c>
      <c r="D201" s="138">
        <v>64</v>
      </c>
      <c r="E201" s="138">
        <v>3537.89</v>
      </c>
      <c r="F201" s="138">
        <v>860</v>
      </c>
      <c r="G201" s="84">
        <v>30</v>
      </c>
      <c r="H201" s="53">
        <v>890</v>
      </c>
    </row>
    <row r="202" spans="1:8" x14ac:dyDescent="0.15">
      <c r="A202" s="84" t="s">
        <v>357</v>
      </c>
      <c r="B202" s="84" t="s">
        <v>60</v>
      </c>
      <c r="C202" s="84" t="s">
        <v>72</v>
      </c>
      <c r="D202" s="138">
        <v>124</v>
      </c>
      <c r="E202" s="138">
        <v>14051.89</v>
      </c>
      <c r="F202" s="138">
        <v>1917</v>
      </c>
      <c r="G202" s="84">
        <v>260</v>
      </c>
      <c r="H202" s="53">
        <v>2177</v>
      </c>
    </row>
    <row r="203" spans="1:8" x14ac:dyDescent="0.15">
      <c r="A203" s="84" t="s">
        <v>357</v>
      </c>
      <c r="B203" s="84" t="s">
        <v>60</v>
      </c>
      <c r="C203" s="84" t="s">
        <v>263</v>
      </c>
      <c r="D203" s="138">
        <v>16</v>
      </c>
      <c r="E203" s="138">
        <v>130200</v>
      </c>
      <c r="F203" s="138">
        <v>0</v>
      </c>
      <c r="G203" s="84">
        <v>0</v>
      </c>
      <c r="H203" s="53">
        <v>0</v>
      </c>
    </row>
    <row r="204" spans="1:8" x14ac:dyDescent="0.15">
      <c r="A204" s="84" t="s">
        <v>357</v>
      </c>
      <c r="B204" s="84" t="s">
        <v>60</v>
      </c>
      <c r="C204" s="84" t="s">
        <v>65</v>
      </c>
      <c r="D204" s="138">
        <v>77</v>
      </c>
      <c r="E204" s="138">
        <v>6609.12</v>
      </c>
      <c r="F204" s="138">
        <v>1027</v>
      </c>
      <c r="G204" s="84">
        <v>35</v>
      </c>
      <c r="H204" s="53">
        <v>1062</v>
      </c>
    </row>
    <row r="205" spans="1:8" x14ac:dyDescent="0.15">
      <c r="A205" s="84" t="s">
        <v>357</v>
      </c>
      <c r="B205" s="84" t="s">
        <v>60</v>
      </c>
      <c r="C205" s="84" t="s">
        <v>63</v>
      </c>
      <c r="D205" s="138">
        <v>99</v>
      </c>
      <c r="E205" s="138">
        <v>15611.31</v>
      </c>
      <c r="F205" s="138">
        <v>1400</v>
      </c>
      <c r="G205" s="84">
        <v>165</v>
      </c>
      <c r="H205" s="53">
        <v>1565</v>
      </c>
    </row>
    <row r="206" spans="1:8" x14ac:dyDescent="0.15">
      <c r="A206" s="84" t="s">
        <v>357</v>
      </c>
      <c r="B206" s="84" t="s">
        <v>60</v>
      </c>
      <c r="C206" s="84" t="s">
        <v>61</v>
      </c>
      <c r="D206" s="138">
        <v>96</v>
      </c>
      <c r="E206" s="138">
        <v>10460.950000000001</v>
      </c>
      <c r="F206" s="138">
        <v>1139</v>
      </c>
      <c r="G206" s="84">
        <v>15</v>
      </c>
      <c r="H206" s="53">
        <v>1154</v>
      </c>
    </row>
    <row r="207" spans="1:8" x14ac:dyDescent="0.15">
      <c r="A207" s="84" t="s">
        <v>357</v>
      </c>
      <c r="B207" s="84">
        <v>468</v>
      </c>
      <c r="C207" s="84" t="s">
        <v>260</v>
      </c>
      <c r="D207" s="138">
        <v>64</v>
      </c>
      <c r="E207" s="138">
        <v>12825.42</v>
      </c>
      <c r="F207" s="138">
        <v>147</v>
      </c>
      <c r="G207" s="84">
        <v>0</v>
      </c>
      <c r="H207" s="53">
        <v>147</v>
      </c>
    </row>
    <row r="208" spans="1:8" x14ac:dyDescent="0.15">
      <c r="A208" s="84" t="s">
        <v>357</v>
      </c>
      <c r="B208" s="84">
        <v>468</v>
      </c>
      <c r="C208" s="84" t="s">
        <v>35</v>
      </c>
      <c r="D208" s="138">
        <v>116</v>
      </c>
      <c r="E208" s="138">
        <v>14604.05</v>
      </c>
      <c r="F208" s="138">
        <v>1571</v>
      </c>
      <c r="G208" s="84">
        <v>80</v>
      </c>
      <c r="H208" s="53">
        <v>1651</v>
      </c>
    </row>
    <row r="209" spans="1:8" x14ac:dyDescent="0.15">
      <c r="A209" s="84" t="s">
        <v>357</v>
      </c>
      <c r="B209" s="84">
        <v>468</v>
      </c>
      <c r="C209" s="84" t="s">
        <v>38</v>
      </c>
      <c r="D209" s="138">
        <v>142</v>
      </c>
      <c r="E209" s="138">
        <v>65626.87</v>
      </c>
      <c r="F209" s="138">
        <v>1931</v>
      </c>
      <c r="G209" s="84">
        <v>235</v>
      </c>
      <c r="H209" s="53">
        <v>2166</v>
      </c>
    </row>
    <row r="210" spans="1:8" x14ac:dyDescent="0.15">
      <c r="A210" s="84" t="s">
        <v>357</v>
      </c>
      <c r="B210" s="84">
        <v>468</v>
      </c>
      <c r="C210" s="84" t="s">
        <v>39</v>
      </c>
      <c r="D210" s="138">
        <v>129</v>
      </c>
      <c r="E210" s="138">
        <v>24362.94</v>
      </c>
      <c r="F210" s="138">
        <v>1642</v>
      </c>
      <c r="G210" s="84">
        <v>85</v>
      </c>
      <c r="H210" s="53">
        <v>1727</v>
      </c>
    </row>
    <row r="211" spans="1:8" x14ac:dyDescent="0.15">
      <c r="A211" s="84" t="s">
        <v>357</v>
      </c>
      <c r="B211" s="84">
        <v>468</v>
      </c>
      <c r="C211" s="84" t="s">
        <v>33</v>
      </c>
      <c r="D211" s="138">
        <v>127</v>
      </c>
      <c r="E211" s="138">
        <v>48303.1</v>
      </c>
      <c r="F211" s="138">
        <v>1533</v>
      </c>
      <c r="G211" s="84">
        <v>150</v>
      </c>
      <c r="H211" s="53">
        <v>1683</v>
      </c>
    </row>
    <row r="212" spans="1:8" x14ac:dyDescent="0.15">
      <c r="A212" s="84" t="s">
        <v>357</v>
      </c>
      <c r="B212" s="84">
        <v>468</v>
      </c>
      <c r="C212" s="84" t="s">
        <v>34</v>
      </c>
      <c r="D212" s="138">
        <v>128</v>
      </c>
      <c r="E212" s="138">
        <v>25060.39</v>
      </c>
      <c r="F212" s="138">
        <v>1585</v>
      </c>
      <c r="G212" s="84">
        <v>75</v>
      </c>
      <c r="H212" s="53">
        <v>1660</v>
      </c>
    </row>
  </sheetData>
  <autoFilter ref="A1:F213" xr:uid="{6D1B4DF5-7A29-4A7D-9BC9-43F263A2789E}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期初设置</vt:lpstr>
      <vt:lpstr>个人业绩-B-a-②呈现-业绩明细表</vt:lpstr>
      <vt:lpstr>Sheet1</vt:lpstr>
      <vt:lpstr>⑥战队统计表-B-a-②呈现-业绩明细表④</vt:lpstr>
      <vt:lpstr>①门店信息-A-a-①-增加</vt:lpstr>
      <vt:lpstr>②提成标准-B-a-①-增加</vt:lpstr>
      <vt:lpstr>⑦扣除明细-B-a-12-奖励统计表③</vt:lpstr>
      <vt:lpstr>④考勤-B-a-26考勤汇总表</vt:lpstr>
      <vt:lpstr>⑤项目数-B-a-③消耗明细表</vt:lpstr>
      <vt:lpstr>③新店考核-B-a-②呈现-业绩明细表-③</vt:lpstr>
      <vt:lpstr>异常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k16921</cp:lastModifiedBy>
  <dcterms:created xsi:type="dcterms:W3CDTF">2023-05-12T11:15:00Z</dcterms:created>
  <dcterms:modified xsi:type="dcterms:W3CDTF">2025-08-13T07:59:19Z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5F91CE1CC6364EAEA54ADC23C4F4A782_13</vt:lpwstr>
  </property>
  <property fmtid="{D5CDD505-2E9C-101B-9397-08002B2CF9AE}" pid="4" name="KSOReadingLayout">
    <vt:bool>true</vt:bool>
  </property>
</Properties>
</file>