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资核算 -7月 - 副本\"/>
    </mc:Choice>
  </mc:AlternateContent>
  <xr:revisionPtr revIDLastSave="0" documentId="13_ncr:1_{352614C9-FAC8-4673-BE4B-40EF24CB7CDC}" xr6:coauthVersionLast="47" xr6:coauthVersionMax="47" xr10:uidLastSave="{00000000-0000-0000-0000-000000000000}"/>
  <bookViews>
    <workbookView xWindow="-120" yWindow="-120" windowWidth="29040" windowHeight="15840" firstSheet="8" activeTab="14" xr2:uid="{00000000-000D-0000-FFFF-FFFF00000000}"/>
  </bookViews>
  <sheets>
    <sheet name="目录" sheetId="27" r:id="rId1"/>
    <sheet name="①考勤-B-a-26考勤汇总表" sheetId="28" r:id="rId2"/>
    <sheet name="①-①人事取数" sheetId="20" r:id="rId3"/>
    <sheet name="②当月数据及门店毛利" sheetId="6" r:id="rId4"/>
    <sheet name="③工资核算浮动条件设置①" sheetId="15" r:id="rId5"/>
    <sheet name="③-①特殊情况" sheetId="38" r:id="rId6"/>
    <sheet name="④前置信息-大固定-包含了工资和总经理" sheetId="3" r:id="rId7"/>
    <sheet name="④-①前置信息-增加版本" sheetId="26" r:id="rId8"/>
    <sheet name="店长核算" sheetId="7" r:id="rId9"/>
    <sheet name="店长-汇总表" sheetId="32" r:id="rId10"/>
    <sheet name="主任核算" sheetId="4" r:id="rId11"/>
    <sheet name="主任-汇总表" sheetId="31" r:id="rId12"/>
    <sheet name="店助主任核算" sheetId="36" r:id="rId13"/>
    <sheet name="店助主任-汇总表" sheetId="37" r:id="rId14"/>
    <sheet name="店助核算" sheetId="2" r:id="rId15"/>
    <sheet name="店助-汇总表" sheetId="30" r:id="rId16"/>
    <sheet name="总经理核算-门店口径核算" sheetId="9" r:id="rId17"/>
    <sheet name="总经理-汇总表" sheetId="33" r:id="rId18"/>
    <sheet name="经理核算-门店口径核算" sheetId="11" r:id="rId19"/>
    <sheet name="经理-汇总表" sheetId="34" r:id="rId20"/>
    <sheet name="总经理及经理-个人口径" sheetId="10" r:id="rId21"/>
    <sheet name="科技部核算" sheetId="8" r:id="rId22"/>
    <sheet name="科技部-汇总表" sheetId="35" r:id="rId23"/>
    <sheet name="手动调整" sheetId="41" r:id="rId24"/>
    <sheet name="大项目部" sheetId="40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_FilterDatabase" localSheetId="1" hidden="1">'①考勤-B-a-26考勤汇总表'!$A$3:$AM$315</definedName>
    <definedName name="_xlnm._FilterDatabase" localSheetId="6" hidden="1">'④前置信息-大固定-包含了工资和总经理'!$A$2:$K$33</definedName>
    <definedName name="_xlnm._FilterDatabase" localSheetId="14" hidden="1">店助核算!$A$1:$X$34</definedName>
    <definedName name="_xlnm._FilterDatabase" localSheetId="15" hidden="1">'店助-汇总表'!$A$1:$X$1</definedName>
    <definedName name="_xlnm._FilterDatabase" localSheetId="18" hidden="1">'经理核算-门店口径核算'!$A$6:$W$39</definedName>
    <definedName name="_xlnm._FilterDatabase" localSheetId="10" hidden="1">主任核算!$A$5:$AB$5</definedName>
    <definedName name="_xlnm._FilterDatabase" localSheetId="16" hidden="1">'总经理核算-门店口径核算'!$A$6:$AB$39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1" l="1"/>
  <c r="U7" i="8" l="1"/>
  <c r="J19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5" i="8"/>
  <c r="N13" i="8"/>
  <c r="I3" i="40" l="1"/>
  <c r="J3" i="40" s="1"/>
  <c r="K3" i="40" s="1"/>
  <c r="I4" i="40"/>
  <c r="J4" i="40" s="1"/>
  <c r="I5" i="40"/>
  <c r="J5" i="40" s="1"/>
  <c r="I2" i="40"/>
  <c r="J2" i="40" s="1"/>
  <c r="F3" i="41"/>
  <c r="J20" i="35"/>
  <c r="P19" i="8"/>
  <c r="AN19" i="8" s="1"/>
  <c r="N20" i="35" s="1"/>
  <c r="O19" i="8"/>
  <c r="AB19" i="8" s="1"/>
  <c r="W20" i="8"/>
  <c r="R19" i="8"/>
  <c r="R4" i="8"/>
  <c r="W4" i="8" s="1"/>
  <c r="R5" i="8"/>
  <c r="W5" i="8" s="1"/>
  <c r="R6" i="8"/>
  <c r="W6" i="8" s="1"/>
  <c r="R7" i="8"/>
  <c r="R8" i="8"/>
  <c r="R9" i="8"/>
  <c r="R10" i="8"/>
  <c r="R11" i="8"/>
  <c r="R12" i="8"/>
  <c r="R13" i="8"/>
  <c r="W13" i="8" s="1"/>
  <c r="R14" i="8"/>
  <c r="R15" i="8"/>
  <c r="R16" i="8"/>
  <c r="R17" i="8"/>
  <c r="R18" i="8"/>
  <c r="R3" i="8"/>
  <c r="W3" i="8" s="1"/>
  <c r="S19" i="8"/>
  <c r="T19" i="8"/>
  <c r="U19" i="8"/>
  <c r="V19" i="8"/>
  <c r="X19" i="8"/>
  <c r="AA19" i="8" s="1"/>
  <c r="AI19" i="8" s="1"/>
  <c r="AC19" i="8"/>
  <c r="AK19" i="8" s="1"/>
  <c r="AE19" i="8"/>
  <c r="AF19" i="8"/>
  <c r="AG19" i="8" s="1"/>
  <c r="AL19" i="8"/>
  <c r="O20" i="35" s="1"/>
  <c r="AD19" i="8" l="1"/>
  <c r="M20" i="35" s="1"/>
  <c r="W19" i="8"/>
  <c r="AH19" i="8" s="1"/>
  <c r="K20" i="35"/>
  <c r="L20" i="35" s="1"/>
  <c r="AM19" i="8"/>
  <c r="G20" i="35"/>
  <c r="O9" i="7"/>
  <c r="F12" i="20"/>
  <c r="G12" i="20"/>
  <c r="F13" i="20"/>
  <c r="G13" i="20"/>
  <c r="F14" i="20"/>
  <c r="G14" i="20"/>
  <c r="G11" i="20"/>
  <c r="F11" i="20"/>
  <c r="M35" i="2"/>
  <c r="M36" i="2"/>
  <c r="M37" i="2"/>
  <c r="M38" i="2"/>
  <c r="M34" i="2"/>
  <c r="L35" i="2"/>
  <c r="L36" i="2"/>
  <c r="L37" i="2"/>
  <c r="L38" i="2"/>
  <c r="L34" i="2"/>
  <c r="G5" i="40" a="1"/>
  <c r="G5" i="40" s="1"/>
  <c r="G4" i="40" a="1"/>
  <c r="G4" i="40" s="1"/>
  <c r="F3" i="40"/>
  <c r="F4" i="40"/>
  <c r="F5" i="40"/>
  <c r="F2" i="40"/>
  <c r="K12" i="35"/>
  <c r="O12" i="35"/>
  <c r="N12" i="35"/>
  <c r="M12" i="35"/>
  <c r="J12" i="35"/>
  <c r="O20" i="8"/>
  <c r="AB20" i="8" s="1"/>
  <c r="P20" i="8"/>
  <c r="P21" i="8"/>
  <c r="P22" i="8"/>
  <c r="P23" i="8"/>
  <c r="P14" i="8"/>
  <c r="P15" i="8"/>
  <c r="P16" i="8"/>
  <c r="P17" i="8"/>
  <c r="P18" i="8"/>
  <c r="P13" i="8"/>
  <c r="P6" i="8"/>
  <c r="P7" i="8"/>
  <c r="P8" i="8"/>
  <c r="P9" i="8"/>
  <c r="P10" i="8"/>
  <c r="P11" i="8"/>
  <c r="P12" i="8"/>
  <c r="P5" i="8"/>
  <c r="O6" i="8"/>
  <c r="O7" i="8"/>
  <c r="AB7" i="8" s="1"/>
  <c r="O8" i="8"/>
  <c r="AB8" i="8" s="1"/>
  <c r="O9" i="8"/>
  <c r="AB9" i="8" s="1"/>
  <c r="O10" i="8"/>
  <c r="AB10" i="8" s="1"/>
  <c r="O11" i="8"/>
  <c r="AB11" i="8" s="1"/>
  <c r="O12" i="8"/>
  <c r="AB12" i="8" s="1"/>
  <c r="O13" i="8"/>
  <c r="AB13" i="8" s="1"/>
  <c r="O14" i="8"/>
  <c r="AB14" i="8" s="1"/>
  <c r="O15" i="8"/>
  <c r="AB15" i="8" s="1"/>
  <c r="O16" i="8"/>
  <c r="O17" i="8"/>
  <c r="AB17" i="8" s="1"/>
  <c r="O18" i="8"/>
  <c r="AB18" i="8" s="1"/>
  <c r="O5" i="8"/>
  <c r="AB5" i="8" s="1"/>
  <c r="AB6" i="8" l="1"/>
  <c r="AC16" i="8"/>
  <c r="AB16" i="8"/>
  <c r="AJ19" i="8"/>
  <c r="AO19" i="8" s="1"/>
  <c r="F3" i="31"/>
  <c r="G3" i="31"/>
  <c r="H3" i="31"/>
  <c r="I3" i="31"/>
  <c r="J3" i="31"/>
  <c r="K3" i="31"/>
  <c r="F4" i="31"/>
  <c r="G4" i="31"/>
  <c r="H4" i="31"/>
  <c r="I4" i="31"/>
  <c r="J4" i="31"/>
  <c r="K4" i="31"/>
  <c r="F5" i="31"/>
  <c r="G5" i="31"/>
  <c r="H5" i="31"/>
  <c r="I5" i="31"/>
  <c r="J5" i="31"/>
  <c r="K5" i="31"/>
  <c r="F6" i="31"/>
  <c r="G6" i="31"/>
  <c r="H6" i="31"/>
  <c r="I6" i="31"/>
  <c r="J6" i="31"/>
  <c r="K6" i="31"/>
  <c r="F7" i="31"/>
  <c r="G7" i="31"/>
  <c r="H7" i="31"/>
  <c r="I7" i="31"/>
  <c r="J7" i="31"/>
  <c r="K7" i="31"/>
  <c r="F8" i="31"/>
  <c r="G8" i="31"/>
  <c r="H8" i="31"/>
  <c r="I8" i="31"/>
  <c r="J8" i="31"/>
  <c r="K8" i="31"/>
  <c r="F9" i="31"/>
  <c r="G9" i="31"/>
  <c r="H9" i="31"/>
  <c r="I9" i="31"/>
  <c r="J9" i="31"/>
  <c r="K9" i="31"/>
  <c r="F10" i="31"/>
  <c r="G10" i="31"/>
  <c r="H10" i="31"/>
  <c r="I10" i="31"/>
  <c r="J10" i="31"/>
  <c r="K10" i="31"/>
  <c r="F11" i="31"/>
  <c r="G11" i="31"/>
  <c r="H11" i="31"/>
  <c r="I11" i="31"/>
  <c r="J11" i="31"/>
  <c r="K11" i="31"/>
  <c r="F12" i="31"/>
  <c r="G12" i="31"/>
  <c r="H12" i="31"/>
  <c r="I12" i="31"/>
  <c r="J12" i="31"/>
  <c r="K12" i="31"/>
  <c r="F13" i="31"/>
  <c r="G13" i="31"/>
  <c r="H13" i="31"/>
  <c r="I13" i="31"/>
  <c r="J13" i="31"/>
  <c r="K13" i="31"/>
  <c r="F14" i="31"/>
  <c r="G14" i="31"/>
  <c r="H14" i="31"/>
  <c r="I14" i="31"/>
  <c r="J14" i="31"/>
  <c r="K14" i="31"/>
  <c r="F15" i="31"/>
  <c r="G15" i="31"/>
  <c r="H15" i="31"/>
  <c r="I15" i="31"/>
  <c r="J15" i="31"/>
  <c r="K15" i="31"/>
  <c r="F16" i="31"/>
  <c r="G16" i="31"/>
  <c r="H16" i="31"/>
  <c r="I16" i="31"/>
  <c r="J16" i="31"/>
  <c r="K16" i="31"/>
  <c r="F17" i="31"/>
  <c r="G17" i="31"/>
  <c r="H17" i="31"/>
  <c r="I17" i="31"/>
  <c r="J17" i="31"/>
  <c r="K17" i="31"/>
  <c r="F18" i="31"/>
  <c r="G18" i="31"/>
  <c r="H18" i="31"/>
  <c r="I18" i="31"/>
  <c r="J18" i="31"/>
  <c r="K18" i="31"/>
  <c r="F19" i="31"/>
  <c r="G19" i="31"/>
  <c r="H19" i="31"/>
  <c r="I19" i="31"/>
  <c r="J19" i="31"/>
  <c r="K19" i="31"/>
  <c r="F20" i="31"/>
  <c r="G20" i="31"/>
  <c r="H20" i="31"/>
  <c r="I20" i="31"/>
  <c r="J20" i="31"/>
  <c r="K20" i="31"/>
  <c r="F21" i="31"/>
  <c r="G21" i="31"/>
  <c r="H21" i="31"/>
  <c r="I21" i="31"/>
  <c r="J21" i="31"/>
  <c r="K21" i="31"/>
  <c r="F22" i="31"/>
  <c r="G22" i="31"/>
  <c r="H22" i="31"/>
  <c r="I22" i="31"/>
  <c r="J22" i="31"/>
  <c r="K22" i="31"/>
  <c r="F23" i="31"/>
  <c r="G23" i="31"/>
  <c r="H23" i="31"/>
  <c r="I23" i="31"/>
  <c r="J23" i="31"/>
  <c r="K23" i="31"/>
  <c r="F24" i="31"/>
  <c r="G24" i="31"/>
  <c r="H24" i="31"/>
  <c r="I24" i="31"/>
  <c r="J24" i="31"/>
  <c r="K24" i="31"/>
  <c r="F25" i="31"/>
  <c r="G25" i="31"/>
  <c r="H25" i="31"/>
  <c r="I25" i="31"/>
  <c r="J25" i="31"/>
  <c r="K25" i="31"/>
  <c r="F26" i="31"/>
  <c r="G26" i="31"/>
  <c r="H26" i="31"/>
  <c r="I26" i="31"/>
  <c r="J26" i="31"/>
  <c r="K26" i="31"/>
  <c r="F27" i="31"/>
  <c r="G27" i="31"/>
  <c r="H27" i="31"/>
  <c r="I27" i="31"/>
  <c r="J27" i="31"/>
  <c r="K27" i="31"/>
  <c r="F28" i="31"/>
  <c r="G28" i="31"/>
  <c r="H28" i="31"/>
  <c r="I28" i="31"/>
  <c r="J28" i="31"/>
  <c r="K28" i="31"/>
  <c r="F29" i="31"/>
  <c r="G29" i="31"/>
  <c r="H29" i="31"/>
  <c r="I29" i="31"/>
  <c r="J29" i="31"/>
  <c r="K29" i="31"/>
  <c r="F30" i="31"/>
  <c r="G30" i="31"/>
  <c r="H30" i="31"/>
  <c r="I30" i="31"/>
  <c r="J30" i="31"/>
  <c r="K30" i="31"/>
  <c r="C31" i="31"/>
  <c r="D31" i="31"/>
  <c r="E31" i="31"/>
  <c r="F31" i="31"/>
  <c r="G31" i="31"/>
  <c r="H31" i="31"/>
  <c r="I31" i="31"/>
  <c r="J31" i="31"/>
  <c r="K31" i="31"/>
  <c r="L31" i="31"/>
  <c r="C32" i="31"/>
  <c r="D32" i="31"/>
  <c r="E32" i="31"/>
  <c r="F32" i="31"/>
  <c r="G32" i="31"/>
  <c r="H32" i="31"/>
  <c r="I32" i="31"/>
  <c r="J32" i="31"/>
  <c r="K32" i="31"/>
  <c r="L32" i="31"/>
  <c r="G2" i="31"/>
  <c r="H2" i="31"/>
  <c r="I2" i="31"/>
  <c r="J2" i="31"/>
  <c r="K2" i="31"/>
  <c r="F2" i="31"/>
  <c r="M31" i="34" l="1"/>
  <c r="M32" i="34"/>
  <c r="M33" i="34"/>
  <c r="M34" i="34"/>
  <c r="G3" i="34"/>
  <c r="H3" i="34"/>
  <c r="I3" i="34"/>
  <c r="J3" i="34"/>
  <c r="K3" i="34"/>
  <c r="L3" i="34"/>
  <c r="G4" i="34"/>
  <c r="H4" i="34"/>
  <c r="I4" i="34"/>
  <c r="J4" i="34"/>
  <c r="K4" i="34"/>
  <c r="L4" i="34"/>
  <c r="G5" i="34"/>
  <c r="H5" i="34"/>
  <c r="I5" i="34"/>
  <c r="J5" i="34"/>
  <c r="K5" i="34"/>
  <c r="L5" i="34"/>
  <c r="G6" i="34"/>
  <c r="H6" i="34"/>
  <c r="I6" i="34"/>
  <c r="J6" i="34"/>
  <c r="K6" i="34"/>
  <c r="L6" i="34"/>
  <c r="G7" i="34"/>
  <c r="H7" i="34"/>
  <c r="I7" i="34"/>
  <c r="J7" i="34"/>
  <c r="K7" i="34"/>
  <c r="L7" i="34"/>
  <c r="G8" i="34"/>
  <c r="H8" i="34"/>
  <c r="I8" i="34"/>
  <c r="J8" i="34"/>
  <c r="K8" i="34"/>
  <c r="L8" i="34"/>
  <c r="G9" i="34"/>
  <c r="H9" i="34"/>
  <c r="I9" i="34"/>
  <c r="J9" i="34"/>
  <c r="K9" i="34"/>
  <c r="L9" i="34"/>
  <c r="G10" i="34"/>
  <c r="H10" i="34"/>
  <c r="I10" i="34"/>
  <c r="J10" i="34"/>
  <c r="K10" i="34"/>
  <c r="L10" i="34"/>
  <c r="G11" i="34"/>
  <c r="H11" i="34"/>
  <c r="I11" i="34"/>
  <c r="J11" i="34"/>
  <c r="K11" i="34"/>
  <c r="L11" i="34"/>
  <c r="G12" i="34"/>
  <c r="H12" i="34"/>
  <c r="I12" i="34"/>
  <c r="J12" i="34"/>
  <c r="K12" i="34"/>
  <c r="L12" i="34"/>
  <c r="G13" i="34"/>
  <c r="H13" i="34"/>
  <c r="I13" i="34"/>
  <c r="J13" i="34"/>
  <c r="K13" i="34"/>
  <c r="L13" i="34"/>
  <c r="G14" i="34"/>
  <c r="H14" i="34"/>
  <c r="I14" i="34"/>
  <c r="J14" i="34"/>
  <c r="K14" i="34"/>
  <c r="L14" i="34"/>
  <c r="G15" i="34"/>
  <c r="H15" i="34"/>
  <c r="I15" i="34"/>
  <c r="J15" i="34"/>
  <c r="K15" i="34"/>
  <c r="L15" i="34"/>
  <c r="G16" i="34"/>
  <c r="H16" i="34"/>
  <c r="I16" i="34"/>
  <c r="J16" i="34"/>
  <c r="K16" i="34"/>
  <c r="L16" i="34"/>
  <c r="G17" i="34"/>
  <c r="H17" i="34"/>
  <c r="I17" i="34"/>
  <c r="J17" i="34"/>
  <c r="K17" i="34"/>
  <c r="L17" i="34"/>
  <c r="G18" i="34"/>
  <c r="H18" i="34"/>
  <c r="I18" i="34"/>
  <c r="J18" i="34"/>
  <c r="K18" i="34"/>
  <c r="L18" i="34"/>
  <c r="G19" i="34"/>
  <c r="H19" i="34"/>
  <c r="I19" i="34"/>
  <c r="J19" i="34"/>
  <c r="K19" i="34"/>
  <c r="L19" i="34"/>
  <c r="G20" i="34"/>
  <c r="H20" i="34"/>
  <c r="I20" i="34"/>
  <c r="J20" i="34"/>
  <c r="K20" i="34"/>
  <c r="L20" i="34"/>
  <c r="G21" i="34"/>
  <c r="H21" i="34"/>
  <c r="I21" i="34"/>
  <c r="J21" i="34"/>
  <c r="K21" i="34"/>
  <c r="L21" i="34"/>
  <c r="G22" i="34"/>
  <c r="H22" i="34"/>
  <c r="I22" i="34"/>
  <c r="J22" i="34"/>
  <c r="K22" i="34"/>
  <c r="L22" i="34"/>
  <c r="G23" i="34"/>
  <c r="H23" i="34"/>
  <c r="I23" i="34"/>
  <c r="J23" i="34"/>
  <c r="K23" i="34"/>
  <c r="L23" i="34"/>
  <c r="G24" i="34"/>
  <c r="H24" i="34"/>
  <c r="I24" i="34"/>
  <c r="J24" i="34"/>
  <c r="K24" i="34"/>
  <c r="L24" i="34"/>
  <c r="G25" i="34"/>
  <c r="H25" i="34"/>
  <c r="I25" i="34"/>
  <c r="J25" i="34"/>
  <c r="K25" i="34"/>
  <c r="L25" i="34"/>
  <c r="G26" i="34"/>
  <c r="H26" i="34"/>
  <c r="I26" i="34"/>
  <c r="J26" i="34"/>
  <c r="K26" i="34"/>
  <c r="L26" i="34"/>
  <c r="G27" i="34"/>
  <c r="H27" i="34"/>
  <c r="I27" i="34"/>
  <c r="J27" i="34"/>
  <c r="K27" i="34"/>
  <c r="L27" i="34"/>
  <c r="G28" i="34"/>
  <c r="H28" i="34"/>
  <c r="I28" i="34"/>
  <c r="J28" i="34"/>
  <c r="K28" i="34"/>
  <c r="L28" i="34"/>
  <c r="G29" i="34"/>
  <c r="H29" i="34"/>
  <c r="I29" i="34"/>
  <c r="J29" i="34"/>
  <c r="K29" i="34"/>
  <c r="L29" i="34"/>
  <c r="G30" i="34"/>
  <c r="H30" i="34"/>
  <c r="I30" i="34"/>
  <c r="J30" i="34"/>
  <c r="K30" i="34"/>
  <c r="L30" i="34"/>
  <c r="G31" i="34"/>
  <c r="H31" i="34"/>
  <c r="I31" i="34"/>
  <c r="J31" i="34"/>
  <c r="K31" i="34"/>
  <c r="L31" i="34"/>
  <c r="G32" i="34"/>
  <c r="H32" i="34"/>
  <c r="I32" i="34"/>
  <c r="J32" i="34"/>
  <c r="K32" i="34"/>
  <c r="L32" i="34"/>
  <c r="G33" i="34"/>
  <c r="H33" i="34"/>
  <c r="I33" i="34"/>
  <c r="J33" i="34"/>
  <c r="K33" i="34"/>
  <c r="L33" i="34"/>
  <c r="G34" i="34"/>
  <c r="H34" i="34"/>
  <c r="I34" i="34"/>
  <c r="J34" i="34"/>
  <c r="K34" i="34"/>
  <c r="L34" i="34"/>
  <c r="H2" i="34"/>
  <c r="I2" i="34"/>
  <c r="J2" i="34"/>
  <c r="K2" i="34"/>
  <c r="L2" i="34"/>
  <c r="G2" i="34"/>
  <c r="G3" i="33"/>
  <c r="H3" i="33"/>
  <c r="I3" i="33"/>
  <c r="J3" i="33"/>
  <c r="K3" i="33"/>
  <c r="L3" i="33"/>
  <c r="G4" i="33"/>
  <c r="H4" i="33"/>
  <c r="I4" i="33"/>
  <c r="J4" i="33"/>
  <c r="K4" i="33"/>
  <c r="L4" i="33"/>
  <c r="G5" i="33"/>
  <c r="H5" i="33"/>
  <c r="I5" i="33"/>
  <c r="J5" i="33"/>
  <c r="K5" i="33"/>
  <c r="L5" i="33"/>
  <c r="G6" i="33"/>
  <c r="H6" i="33"/>
  <c r="I6" i="33"/>
  <c r="J6" i="33"/>
  <c r="K6" i="33"/>
  <c r="L6" i="33"/>
  <c r="G7" i="33"/>
  <c r="H7" i="33"/>
  <c r="I7" i="33"/>
  <c r="J7" i="33"/>
  <c r="K7" i="33"/>
  <c r="L7" i="33"/>
  <c r="G8" i="33"/>
  <c r="H8" i="33"/>
  <c r="I8" i="33"/>
  <c r="J8" i="33"/>
  <c r="K8" i="33"/>
  <c r="L8" i="33"/>
  <c r="G9" i="33"/>
  <c r="H9" i="33"/>
  <c r="I9" i="33"/>
  <c r="J9" i="33"/>
  <c r="K9" i="33"/>
  <c r="L9" i="33"/>
  <c r="G10" i="33"/>
  <c r="H10" i="33"/>
  <c r="I10" i="33"/>
  <c r="J10" i="33"/>
  <c r="K10" i="33"/>
  <c r="L10" i="33"/>
  <c r="G11" i="33"/>
  <c r="H11" i="33"/>
  <c r="I11" i="33"/>
  <c r="J11" i="33"/>
  <c r="K11" i="33"/>
  <c r="L11" i="33"/>
  <c r="G12" i="33"/>
  <c r="H12" i="33"/>
  <c r="I12" i="33"/>
  <c r="J12" i="33"/>
  <c r="K12" i="33"/>
  <c r="L12" i="33"/>
  <c r="G13" i="33"/>
  <c r="H13" i="33"/>
  <c r="I13" i="33"/>
  <c r="J13" i="33"/>
  <c r="K13" i="33"/>
  <c r="L13" i="33"/>
  <c r="G14" i="33"/>
  <c r="H14" i="33"/>
  <c r="I14" i="33"/>
  <c r="J14" i="33"/>
  <c r="K14" i="33"/>
  <c r="L14" i="33"/>
  <c r="G15" i="33"/>
  <c r="H15" i="33"/>
  <c r="I15" i="33"/>
  <c r="J15" i="33"/>
  <c r="K15" i="33"/>
  <c r="L15" i="33"/>
  <c r="G16" i="33"/>
  <c r="H16" i="33"/>
  <c r="I16" i="33"/>
  <c r="J16" i="33"/>
  <c r="K16" i="33"/>
  <c r="L16" i="33"/>
  <c r="G17" i="33"/>
  <c r="H17" i="33"/>
  <c r="I17" i="33"/>
  <c r="J17" i="33"/>
  <c r="K17" i="33"/>
  <c r="L17" i="33"/>
  <c r="G18" i="33"/>
  <c r="H18" i="33"/>
  <c r="I18" i="33"/>
  <c r="J18" i="33"/>
  <c r="K18" i="33"/>
  <c r="L18" i="33"/>
  <c r="G19" i="33"/>
  <c r="H19" i="33"/>
  <c r="I19" i="33"/>
  <c r="J19" i="33"/>
  <c r="K19" i="33"/>
  <c r="L19" i="33"/>
  <c r="G20" i="33"/>
  <c r="H20" i="33"/>
  <c r="I20" i="33"/>
  <c r="J20" i="33"/>
  <c r="K20" i="33"/>
  <c r="L20" i="33"/>
  <c r="G21" i="33"/>
  <c r="H21" i="33"/>
  <c r="I21" i="33"/>
  <c r="J21" i="33"/>
  <c r="K21" i="33"/>
  <c r="L21" i="33"/>
  <c r="G22" i="33"/>
  <c r="H22" i="33"/>
  <c r="I22" i="33"/>
  <c r="J22" i="33"/>
  <c r="K22" i="33"/>
  <c r="L22" i="33"/>
  <c r="G23" i="33"/>
  <c r="H23" i="33"/>
  <c r="I23" i="33"/>
  <c r="J23" i="33"/>
  <c r="K23" i="33"/>
  <c r="L23" i="33"/>
  <c r="G24" i="33"/>
  <c r="H24" i="33"/>
  <c r="I24" i="33"/>
  <c r="J24" i="33"/>
  <c r="K24" i="33"/>
  <c r="L24" i="33"/>
  <c r="G25" i="33"/>
  <c r="H25" i="33"/>
  <c r="I25" i="33"/>
  <c r="J25" i="33"/>
  <c r="K25" i="33"/>
  <c r="L25" i="33"/>
  <c r="G26" i="33"/>
  <c r="H26" i="33"/>
  <c r="I26" i="33"/>
  <c r="J26" i="33"/>
  <c r="K26" i="33"/>
  <c r="L26" i="33"/>
  <c r="G27" i="33"/>
  <c r="H27" i="33"/>
  <c r="I27" i="33"/>
  <c r="J27" i="33"/>
  <c r="K27" i="33"/>
  <c r="L27" i="33"/>
  <c r="G28" i="33"/>
  <c r="H28" i="33"/>
  <c r="I28" i="33"/>
  <c r="J28" i="33"/>
  <c r="K28" i="33"/>
  <c r="L28" i="33"/>
  <c r="G29" i="33"/>
  <c r="H29" i="33"/>
  <c r="I29" i="33"/>
  <c r="J29" i="33"/>
  <c r="K29" i="33"/>
  <c r="L29" i="33"/>
  <c r="G30" i="33"/>
  <c r="H30" i="33"/>
  <c r="I30" i="33"/>
  <c r="J30" i="33"/>
  <c r="K30" i="33"/>
  <c r="L30" i="33"/>
  <c r="G31" i="33"/>
  <c r="H31" i="33"/>
  <c r="I31" i="33"/>
  <c r="J31" i="33"/>
  <c r="K31" i="33"/>
  <c r="L31" i="33"/>
  <c r="G32" i="33"/>
  <c r="H32" i="33"/>
  <c r="I32" i="33"/>
  <c r="J32" i="33"/>
  <c r="K32" i="33"/>
  <c r="L32" i="33"/>
  <c r="G33" i="33"/>
  <c r="H33" i="33"/>
  <c r="I33" i="33"/>
  <c r="J33" i="33"/>
  <c r="K33" i="33"/>
  <c r="L33" i="33"/>
  <c r="G34" i="33"/>
  <c r="H34" i="33"/>
  <c r="I34" i="33"/>
  <c r="J34" i="33"/>
  <c r="K34" i="33"/>
  <c r="L34" i="33"/>
  <c r="M31" i="33"/>
  <c r="M32" i="33"/>
  <c r="M33" i="33"/>
  <c r="M34" i="33"/>
  <c r="H2" i="33"/>
  <c r="I2" i="33"/>
  <c r="J2" i="33"/>
  <c r="K2" i="33"/>
  <c r="L2" i="33"/>
  <c r="G2" i="33"/>
  <c r="H5" i="6"/>
  <c r="I5" i="6"/>
  <c r="J5" i="6"/>
  <c r="K5" i="6"/>
  <c r="L5" i="6"/>
  <c r="H6" i="6"/>
  <c r="I6" i="6"/>
  <c r="J6" i="6"/>
  <c r="K6" i="6"/>
  <c r="L6" i="6"/>
  <c r="H7" i="6"/>
  <c r="I7" i="6"/>
  <c r="J7" i="6"/>
  <c r="K7" i="6"/>
  <c r="L7" i="6"/>
  <c r="H8" i="6"/>
  <c r="I8" i="6"/>
  <c r="J8" i="6"/>
  <c r="K8" i="6"/>
  <c r="L8" i="6"/>
  <c r="H9" i="6"/>
  <c r="I9" i="6"/>
  <c r="J9" i="6"/>
  <c r="K9" i="6"/>
  <c r="L9" i="6"/>
  <c r="H10" i="6"/>
  <c r="I10" i="6"/>
  <c r="J10" i="6"/>
  <c r="K10" i="6"/>
  <c r="L10" i="6"/>
  <c r="H11" i="6"/>
  <c r="I11" i="6"/>
  <c r="J11" i="6"/>
  <c r="K11" i="6"/>
  <c r="L11" i="6"/>
  <c r="H12" i="6"/>
  <c r="I12" i="6"/>
  <c r="J12" i="6"/>
  <c r="K12" i="6"/>
  <c r="L12" i="6"/>
  <c r="H13" i="6"/>
  <c r="I13" i="6"/>
  <c r="J13" i="6"/>
  <c r="K13" i="6"/>
  <c r="L13" i="6"/>
  <c r="H14" i="6"/>
  <c r="I14" i="6"/>
  <c r="J14" i="6"/>
  <c r="K14" i="6"/>
  <c r="L14" i="6"/>
  <c r="H15" i="6"/>
  <c r="I15" i="6"/>
  <c r="J15" i="6"/>
  <c r="K15" i="6"/>
  <c r="L15" i="6"/>
  <c r="H16" i="6"/>
  <c r="I16" i="6"/>
  <c r="J16" i="6"/>
  <c r="K16" i="6"/>
  <c r="L16" i="6"/>
  <c r="H17" i="6"/>
  <c r="I17" i="6"/>
  <c r="J17" i="6"/>
  <c r="K17" i="6"/>
  <c r="L17" i="6"/>
  <c r="H18" i="6"/>
  <c r="I18" i="6"/>
  <c r="J18" i="6"/>
  <c r="K18" i="6"/>
  <c r="L18" i="6"/>
  <c r="H19" i="6"/>
  <c r="I19" i="6"/>
  <c r="J19" i="6"/>
  <c r="K19" i="6"/>
  <c r="L19" i="6"/>
  <c r="H20" i="6"/>
  <c r="I20" i="6"/>
  <c r="J20" i="6"/>
  <c r="K20" i="6"/>
  <c r="L20" i="6"/>
  <c r="H21" i="6"/>
  <c r="I21" i="6"/>
  <c r="J21" i="6"/>
  <c r="K21" i="6"/>
  <c r="L21" i="6"/>
  <c r="H22" i="6"/>
  <c r="I22" i="6"/>
  <c r="J22" i="6"/>
  <c r="K22" i="6"/>
  <c r="L22" i="6"/>
  <c r="H23" i="6"/>
  <c r="I23" i="6"/>
  <c r="J23" i="6"/>
  <c r="K23" i="6"/>
  <c r="L23" i="6"/>
  <c r="H24" i="6"/>
  <c r="I24" i="6"/>
  <c r="J24" i="6"/>
  <c r="K24" i="6"/>
  <c r="L24" i="6"/>
  <c r="H25" i="6"/>
  <c r="I25" i="6"/>
  <c r="J25" i="6"/>
  <c r="K25" i="6"/>
  <c r="L25" i="6"/>
  <c r="H26" i="6"/>
  <c r="I26" i="6"/>
  <c r="J26" i="6"/>
  <c r="K26" i="6"/>
  <c r="L26" i="6"/>
  <c r="H27" i="6"/>
  <c r="I27" i="6"/>
  <c r="J27" i="6"/>
  <c r="K27" i="6"/>
  <c r="L27" i="6"/>
  <c r="H28" i="6"/>
  <c r="I28" i="6"/>
  <c r="J28" i="6"/>
  <c r="K28" i="6"/>
  <c r="L28" i="6"/>
  <c r="H29" i="6"/>
  <c r="I29" i="6"/>
  <c r="J29" i="6"/>
  <c r="K29" i="6"/>
  <c r="L29" i="6"/>
  <c r="H30" i="6"/>
  <c r="I30" i="6"/>
  <c r="J30" i="6"/>
  <c r="K30" i="6"/>
  <c r="L30" i="6"/>
  <c r="H31" i="6"/>
  <c r="I31" i="6"/>
  <c r="J31" i="6"/>
  <c r="K31" i="6"/>
  <c r="L31" i="6"/>
  <c r="H32" i="6"/>
  <c r="I32" i="6"/>
  <c r="J32" i="6"/>
  <c r="K32" i="6"/>
  <c r="L32" i="6"/>
  <c r="L4" i="6"/>
  <c r="M4" i="6" s="1"/>
  <c r="K4" i="6"/>
  <c r="J4" i="6"/>
  <c r="I4" i="6"/>
  <c r="H4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4" i="6"/>
  <c r="E5" i="6"/>
  <c r="E3" i="31" s="1"/>
  <c r="E6" i="6"/>
  <c r="E4" i="31" s="1"/>
  <c r="E7" i="6"/>
  <c r="E5" i="31" s="1"/>
  <c r="E8" i="6"/>
  <c r="E6" i="31" s="1"/>
  <c r="E9" i="6"/>
  <c r="E7" i="31" s="1"/>
  <c r="E10" i="6"/>
  <c r="E8" i="31" s="1"/>
  <c r="E11" i="6"/>
  <c r="E9" i="31" s="1"/>
  <c r="E12" i="6"/>
  <c r="E10" i="31" s="1"/>
  <c r="E13" i="6"/>
  <c r="E11" i="31" s="1"/>
  <c r="E14" i="6"/>
  <c r="E12" i="31" s="1"/>
  <c r="E15" i="6"/>
  <c r="E13" i="31" s="1"/>
  <c r="E16" i="6"/>
  <c r="E14" i="31" s="1"/>
  <c r="E17" i="6"/>
  <c r="E15" i="31" s="1"/>
  <c r="E18" i="6"/>
  <c r="E16" i="31" s="1"/>
  <c r="E19" i="6"/>
  <c r="E17" i="31" s="1"/>
  <c r="E20" i="6"/>
  <c r="E18" i="31" s="1"/>
  <c r="E21" i="6"/>
  <c r="E19" i="31" s="1"/>
  <c r="E22" i="6"/>
  <c r="E20" i="31" s="1"/>
  <c r="E23" i="6"/>
  <c r="E21" i="31" s="1"/>
  <c r="E24" i="6"/>
  <c r="E22" i="31" s="1"/>
  <c r="E25" i="6"/>
  <c r="E23" i="31" s="1"/>
  <c r="E26" i="6"/>
  <c r="E24" i="31" s="1"/>
  <c r="E27" i="6"/>
  <c r="E25" i="31" s="1"/>
  <c r="E28" i="6"/>
  <c r="E26" i="31" s="1"/>
  <c r="E29" i="6"/>
  <c r="E27" i="31" s="1"/>
  <c r="E30" i="6"/>
  <c r="E28" i="31" s="1"/>
  <c r="E31" i="6"/>
  <c r="E29" i="31" s="1"/>
  <c r="E32" i="6"/>
  <c r="E30" i="31" s="1"/>
  <c r="E4" i="6"/>
  <c r="E2" i="31" s="1"/>
  <c r="D5" i="6"/>
  <c r="D3" i="31" s="1"/>
  <c r="D6" i="6"/>
  <c r="D4" i="31" s="1"/>
  <c r="D7" i="6"/>
  <c r="D5" i="31" s="1"/>
  <c r="D8" i="6"/>
  <c r="D6" i="31" s="1"/>
  <c r="D9" i="6"/>
  <c r="D7" i="31" s="1"/>
  <c r="D10" i="6"/>
  <c r="D8" i="31" s="1"/>
  <c r="D11" i="6"/>
  <c r="D9" i="31" s="1"/>
  <c r="D12" i="6"/>
  <c r="D10" i="31" s="1"/>
  <c r="D13" i="6"/>
  <c r="D11" i="31" s="1"/>
  <c r="D14" i="6"/>
  <c r="D12" i="31" s="1"/>
  <c r="D15" i="6"/>
  <c r="D13" i="31" s="1"/>
  <c r="D16" i="6"/>
  <c r="D14" i="31" s="1"/>
  <c r="D17" i="6"/>
  <c r="D15" i="31" s="1"/>
  <c r="D18" i="6"/>
  <c r="D16" i="31" s="1"/>
  <c r="D19" i="6"/>
  <c r="D17" i="31" s="1"/>
  <c r="D20" i="6"/>
  <c r="D18" i="31" s="1"/>
  <c r="D21" i="6"/>
  <c r="D19" i="31" s="1"/>
  <c r="D22" i="6"/>
  <c r="D20" i="31" s="1"/>
  <c r="D23" i="6"/>
  <c r="D21" i="31" s="1"/>
  <c r="D24" i="6"/>
  <c r="D22" i="31" s="1"/>
  <c r="D25" i="6"/>
  <c r="D23" i="31" s="1"/>
  <c r="D26" i="6"/>
  <c r="D24" i="31" s="1"/>
  <c r="D27" i="6"/>
  <c r="D25" i="31" s="1"/>
  <c r="D28" i="6"/>
  <c r="D26" i="31" s="1"/>
  <c r="D29" i="6"/>
  <c r="D27" i="31" s="1"/>
  <c r="D30" i="6"/>
  <c r="D28" i="31" s="1"/>
  <c r="D31" i="6"/>
  <c r="D29" i="31" s="1"/>
  <c r="D32" i="6"/>
  <c r="D30" i="31" s="1"/>
  <c r="D4" i="6"/>
  <c r="D2" i="31" s="1"/>
  <c r="C5" i="6"/>
  <c r="C3" i="31" s="1"/>
  <c r="C6" i="6"/>
  <c r="C7" i="6"/>
  <c r="C5" i="31" s="1"/>
  <c r="C8" i="6"/>
  <c r="C6" i="31" s="1"/>
  <c r="C9" i="6"/>
  <c r="C7" i="31" s="1"/>
  <c r="C10" i="6"/>
  <c r="C8" i="31" s="1"/>
  <c r="C11" i="6"/>
  <c r="C9" i="31" s="1"/>
  <c r="C12" i="6"/>
  <c r="C10" i="31" s="1"/>
  <c r="C13" i="6"/>
  <c r="C11" i="31" s="1"/>
  <c r="C14" i="6"/>
  <c r="C12" i="31" s="1"/>
  <c r="C15" i="6"/>
  <c r="C13" i="31" s="1"/>
  <c r="C16" i="6"/>
  <c r="C14" i="31" s="1"/>
  <c r="C17" i="6"/>
  <c r="C15" i="31" s="1"/>
  <c r="C18" i="6"/>
  <c r="C16" i="31" s="1"/>
  <c r="C19" i="6"/>
  <c r="C17" i="31" s="1"/>
  <c r="C20" i="6"/>
  <c r="C18" i="31" s="1"/>
  <c r="C21" i="6"/>
  <c r="C19" i="31" s="1"/>
  <c r="C22" i="6"/>
  <c r="C20" i="31" s="1"/>
  <c r="C23" i="6"/>
  <c r="C21" i="31" s="1"/>
  <c r="C24" i="6"/>
  <c r="C22" i="31" s="1"/>
  <c r="C25" i="6"/>
  <c r="C23" i="31" s="1"/>
  <c r="C26" i="6"/>
  <c r="C24" i="31" s="1"/>
  <c r="C27" i="6"/>
  <c r="C25" i="31" s="1"/>
  <c r="C28" i="6"/>
  <c r="C26" i="31" s="1"/>
  <c r="C29" i="6"/>
  <c r="C27" i="31" s="1"/>
  <c r="C30" i="6"/>
  <c r="C28" i="31" s="1"/>
  <c r="C31" i="6"/>
  <c r="C29" i="31" s="1"/>
  <c r="C32" i="6"/>
  <c r="C30" i="31" s="1"/>
  <c r="C4" i="6"/>
  <c r="C2" i="31" s="1"/>
  <c r="C4" i="31" l="1"/>
  <c r="L9" i="7"/>
  <c r="N4" i="6"/>
  <c r="O4" i="6" s="1"/>
  <c r="G18" i="35"/>
  <c r="G19" i="35"/>
  <c r="M4" i="8"/>
  <c r="V4" i="8" s="1"/>
  <c r="M3" i="8"/>
  <c r="V3" i="8" s="1"/>
  <c r="L2" i="31" l="1"/>
  <c r="M2" i="34"/>
  <c r="M2" i="33"/>
  <c r="O31" i="7"/>
  <c r="O32" i="7"/>
  <c r="O33" i="7"/>
  <c r="E3" i="40" l="1"/>
  <c r="G3" i="40" s="1" a="1"/>
  <c r="G3" i="40" s="1"/>
  <c r="E4" i="40"/>
  <c r="E5" i="40"/>
  <c r="E2" i="40"/>
  <c r="G2" i="40" s="1" a="1"/>
  <c r="G2" i="40" s="1"/>
  <c r="Z37" i="4" l="1"/>
  <c r="Z38" i="4"/>
  <c r="Y37" i="4"/>
  <c r="Y38" i="4"/>
  <c r="X37" i="4"/>
  <c r="X38" i="4"/>
  <c r="P11" i="3"/>
  <c r="P5" i="3"/>
  <c r="P6" i="3"/>
  <c r="P7" i="3"/>
  <c r="P8" i="3"/>
  <c r="P9" i="3"/>
  <c r="P10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N36" i="4"/>
  <c r="N37" i="4"/>
  <c r="N38" i="4"/>
  <c r="M36" i="4"/>
  <c r="M37" i="4"/>
  <c r="M38" i="4"/>
  <c r="L36" i="4"/>
  <c r="L37" i="4"/>
  <c r="L38" i="4"/>
  <c r="D3" i="37"/>
  <c r="D4" i="37"/>
  <c r="D5" i="37"/>
  <c r="D6" i="37"/>
  <c r="D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D22" i="37"/>
  <c r="D23" i="37"/>
  <c r="D24" i="37"/>
  <c r="D25" i="37"/>
  <c r="D26" i="37"/>
  <c r="D27" i="37"/>
  <c r="D28" i="37"/>
  <c r="D29" i="37"/>
  <c r="D30" i="37"/>
  <c r="D31" i="37"/>
  <c r="D32" i="37"/>
  <c r="D33" i="37"/>
  <c r="D34" i="37"/>
  <c r="C33" i="37"/>
  <c r="O33" i="37" s="1"/>
  <c r="C34" i="37"/>
  <c r="O34" i="37" s="1"/>
  <c r="O37" i="36"/>
  <c r="P37" i="36" s="1"/>
  <c r="O38" i="36"/>
  <c r="P38" i="36" s="1"/>
  <c r="AA31" i="3"/>
  <c r="O34" i="36" s="1"/>
  <c r="Y34" i="36" s="1"/>
  <c r="AA3" i="3"/>
  <c r="O6" i="36" s="1"/>
  <c r="B32" i="37"/>
  <c r="C32" i="37" s="1"/>
  <c r="O32" i="37" s="1"/>
  <c r="B31" i="37"/>
  <c r="C31" i="37" s="1"/>
  <c r="O31" i="37" s="1"/>
  <c r="B30" i="37"/>
  <c r="B29" i="37"/>
  <c r="B28" i="37"/>
  <c r="B27" i="37"/>
  <c r="B26" i="37"/>
  <c r="B25" i="37"/>
  <c r="B24" i="37"/>
  <c r="B23" i="37"/>
  <c r="B22" i="37"/>
  <c r="B21" i="37"/>
  <c r="B20" i="37"/>
  <c r="B19" i="37"/>
  <c r="B18" i="37"/>
  <c r="B17" i="37"/>
  <c r="B16" i="37"/>
  <c r="B15" i="37"/>
  <c r="B14" i="37"/>
  <c r="B13" i="37"/>
  <c r="B12" i="37"/>
  <c r="B11" i="37"/>
  <c r="B10" i="37"/>
  <c r="B9" i="37"/>
  <c r="B8" i="37"/>
  <c r="B7" i="37"/>
  <c r="B6" i="37"/>
  <c r="B5" i="37"/>
  <c r="B4" i="37"/>
  <c r="B3" i="37"/>
  <c r="D2" i="37"/>
  <c r="B2" i="37"/>
  <c r="K36" i="36"/>
  <c r="J36" i="36"/>
  <c r="I36" i="36"/>
  <c r="G36" i="36"/>
  <c r="K35" i="36"/>
  <c r="J35" i="36"/>
  <c r="I35" i="36"/>
  <c r="G35" i="36"/>
  <c r="M34" i="36"/>
  <c r="L34" i="36"/>
  <c r="J34" i="36"/>
  <c r="I34" i="36"/>
  <c r="G34" i="36"/>
  <c r="M33" i="36"/>
  <c r="L33" i="36"/>
  <c r="K33" i="36"/>
  <c r="J33" i="36"/>
  <c r="I33" i="36"/>
  <c r="G33" i="36"/>
  <c r="M32" i="36"/>
  <c r="L32" i="36"/>
  <c r="K32" i="36"/>
  <c r="J32" i="36"/>
  <c r="I32" i="36"/>
  <c r="G32" i="36"/>
  <c r="M31" i="36"/>
  <c r="L31" i="36"/>
  <c r="J31" i="36"/>
  <c r="I31" i="36"/>
  <c r="G31" i="36"/>
  <c r="M30" i="36"/>
  <c r="L30" i="36"/>
  <c r="K30" i="36"/>
  <c r="J30" i="36"/>
  <c r="I30" i="36"/>
  <c r="G30" i="36"/>
  <c r="M29" i="36"/>
  <c r="L29" i="36"/>
  <c r="K29" i="36"/>
  <c r="J29" i="36"/>
  <c r="I29" i="36"/>
  <c r="G29" i="36"/>
  <c r="M28" i="36"/>
  <c r="L28" i="36"/>
  <c r="J28" i="36"/>
  <c r="I28" i="36"/>
  <c r="G28" i="36"/>
  <c r="M27" i="36"/>
  <c r="L27" i="36"/>
  <c r="J27" i="36"/>
  <c r="I27" i="36"/>
  <c r="G27" i="36"/>
  <c r="M26" i="36"/>
  <c r="L26" i="36"/>
  <c r="J26" i="36"/>
  <c r="I26" i="36"/>
  <c r="G26" i="36"/>
  <c r="M25" i="36"/>
  <c r="L25" i="36"/>
  <c r="J25" i="36"/>
  <c r="I25" i="36"/>
  <c r="G25" i="36"/>
  <c r="M24" i="36"/>
  <c r="L24" i="36"/>
  <c r="J24" i="36"/>
  <c r="I24" i="36"/>
  <c r="G24" i="36"/>
  <c r="M23" i="36"/>
  <c r="L23" i="36"/>
  <c r="J23" i="36"/>
  <c r="I23" i="36"/>
  <c r="G23" i="36"/>
  <c r="M22" i="36"/>
  <c r="L22" i="36"/>
  <c r="J22" i="36"/>
  <c r="I22" i="36"/>
  <c r="G22" i="36"/>
  <c r="M21" i="36"/>
  <c r="L21" i="36"/>
  <c r="J21" i="36"/>
  <c r="I21" i="36"/>
  <c r="G21" i="36"/>
  <c r="M20" i="36"/>
  <c r="L20" i="36"/>
  <c r="K20" i="36"/>
  <c r="J20" i="36"/>
  <c r="I20" i="36"/>
  <c r="G20" i="36"/>
  <c r="M19" i="36"/>
  <c r="L19" i="36"/>
  <c r="J19" i="36"/>
  <c r="I19" i="36"/>
  <c r="G19" i="36"/>
  <c r="M18" i="36"/>
  <c r="L18" i="36"/>
  <c r="J18" i="36"/>
  <c r="I18" i="36"/>
  <c r="G18" i="36"/>
  <c r="M17" i="36"/>
  <c r="L17" i="36"/>
  <c r="J17" i="36"/>
  <c r="I17" i="36"/>
  <c r="G17" i="36"/>
  <c r="M16" i="36"/>
  <c r="L16" i="36"/>
  <c r="J16" i="36"/>
  <c r="I16" i="36"/>
  <c r="G16" i="36"/>
  <c r="M15" i="36"/>
  <c r="L15" i="36"/>
  <c r="J15" i="36"/>
  <c r="I15" i="36"/>
  <c r="G15" i="36"/>
  <c r="M14" i="36"/>
  <c r="L14" i="36"/>
  <c r="J14" i="36"/>
  <c r="I14" i="36"/>
  <c r="G14" i="36"/>
  <c r="M13" i="36"/>
  <c r="L13" i="36"/>
  <c r="J13" i="36"/>
  <c r="I13" i="36"/>
  <c r="G13" i="36"/>
  <c r="M12" i="36"/>
  <c r="L12" i="36"/>
  <c r="J12" i="36"/>
  <c r="I12" i="36"/>
  <c r="G12" i="36"/>
  <c r="M11" i="36"/>
  <c r="L11" i="36"/>
  <c r="J11" i="36"/>
  <c r="I11" i="36"/>
  <c r="G11" i="36"/>
  <c r="M10" i="36"/>
  <c r="L10" i="36"/>
  <c r="K10" i="36"/>
  <c r="J10" i="36"/>
  <c r="I10" i="36"/>
  <c r="G10" i="36"/>
  <c r="M9" i="36"/>
  <c r="L9" i="36"/>
  <c r="J9" i="36"/>
  <c r="I9" i="36"/>
  <c r="G9" i="36"/>
  <c r="M8" i="36"/>
  <c r="L8" i="36"/>
  <c r="K8" i="36"/>
  <c r="J8" i="36"/>
  <c r="I8" i="36"/>
  <c r="G8" i="36"/>
  <c r="M7" i="36"/>
  <c r="L7" i="36"/>
  <c r="J7" i="36"/>
  <c r="I7" i="36"/>
  <c r="G7" i="36"/>
  <c r="M6" i="36"/>
  <c r="M4" i="36" s="1"/>
  <c r="L6" i="36"/>
  <c r="L4" i="36" s="1"/>
  <c r="L3" i="36" s="1"/>
  <c r="J6" i="36"/>
  <c r="I6" i="36"/>
  <c r="G6" i="36"/>
  <c r="AN15" i="8"/>
  <c r="N14" i="35" s="1"/>
  <c r="AN16" i="8"/>
  <c r="N15" i="35" s="1"/>
  <c r="AN17" i="8"/>
  <c r="N16" i="35" s="1"/>
  <c r="AN18" i="8"/>
  <c r="N17" i="35" s="1"/>
  <c r="AN14" i="8"/>
  <c r="N13" i="35" s="1"/>
  <c r="AN6" i="8"/>
  <c r="N5" i="35" s="1"/>
  <c r="AN7" i="8"/>
  <c r="N6" i="35" s="1"/>
  <c r="AN8" i="8"/>
  <c r="N7" i="35" s="1"/>
  <c r="AN9" i="8"/>
  <c r="N8" i="35" s="1"/>
  <c r="AN10" i="8"/>
  <c r="N9" i="35" s="1"/>
  <c r="AN11" i="8"/>
  <c r="N10" i="35" s="1"/>
  <c r="AN12" i="8"/>
  <c r="N11" i="35" s="1"/>
  <c r="AN5" i="8"/>
  <c r="N4" i="35" s="1"/>
  <c r="AC15" i="8"/>
  <c r="AK15" i="8" s="1"/>
  <c r="AK16" i="8"/>
  <c r="AC17" i="8"/>
  <c r="AC18" i="8"/>
  <c r="AK18" i="8" s="1"/>
  <c r="AC6" i="8"/>
  <c r="AC8" i="8"/>
  <c r="AK8" i="8" s="1"/>
  <c r="AC12" i="8"/>
  <c r="X5" i="8"/>
  <c r="AA5" i="8" s="1"/>
  <c r="J4" i="35" s="1"/>
  <c r="Y4" i="8" a="1"/>
  <c r="Y4" i="8" s="1"/>
  <c r="Y3" i="8" a="1"/>
  <c r="Y3" i="8" s="1"/>
  <c r="Z4" i="8" a="1"/>
  <c r="Z4" i="8" s="1"/>
  <c r="N20" i="8"/>
  <c r="U20" i="8" s="1"/>
  <c r="D3" i="34"/>
  <c r="E3" i="34"/>
  <c r="F3" i="34"/>
  <c r="D4" i="34"/>
  <c r="E4" i="34"/>
  <c r="F4" i="34"/>
  <c r="D5" i="34"/>
  <c r="E5" i="34"/>
  <c r="F5" i="34"/>
  <c r="D6" i="34"/>
  <c r="E6" i="34"/>
  <c r="F6" i="34"/>
  <c r="D7" i="34"/>
  <c r="E7" i="34"/>
  <c r="F7" i="34"/>
  <c r="D8" i="34"/>
  <c r="E8" i="34"/>
  <c r="F8" i="34"/>
  <c r="D9" i="34"/>
  <c r="E9" i="34"/>
  <c r="F9" i="34"/>
  <c r="D10" i="34"/>
  <c r="E10" i="34"/>
  <c r="F10" i="34"/>
  <c r="D11" i="34"/>
  <c r="E11" i="34"/>
  <c r="F11" i="34"/>
  <c r="D12" i="34"/>
  <c r="E12" i="34"/>
  <c r="F12" i="34"/>
  <c r="D13" i="34"/>
  <c r="E13" i="34"/>
  <c r="F13" i="34"/>
  <c r="D14" i="34"/>
  <c r="E14" i="34"/>
  <c r="F14" i="34"/>
  <c r="D15" i="34"/>
  <c r="E15" i="34"/>
  <c r="F15" i="34"/>
  <c r="D16" i="34"/>
  <c r="E16" i="34"/>
  <c r="F16" i="34"/>
  <c r="D17" i="34"/>
  <c r="E17" i="34"/>
  <c r="F17" i="34"/>
  <c r="D18" i="34"/>
  <c r="E18" i="34"/>
  <c r="F18" i="34"/>
  <c r="D19" i="34"/>
  <c r="E19" i="34"/>
  <c r="F19" i="34"/>
  <c r="D20" i="34"/>
  <c r="E20" i="34"/>
  <c r="F20" i="34"/>
  <c r="D21" i="34"/>
  <c r="E21" i="34"/>
  <c r="F21" i="34"/>
  <c r="D22" i="34"/>
  <c r="E22" i="34"/>
  <c r="F22" i="34"/>
  <c r="D23" i="34"/>
  <c r="E23" i="34"/>
  <c r="F23" i="34"/>
  <c r="D24" i="34"/>
  <c r="E24" i="34"/>
  <c r="F24" i="34"/>
  <c r="D25" i="34"/>
  <c r="E25" i="34"/>
  <c r="F25" i="34"/>
  <c r="D26" i="34"/>
  <c r="E26" i="34"/>
  <c r="F26" i="34"/>
  <c r="D27" i="34"/>
  <c r="E27" i="34"/>
  <c r="F27" i="34"/>
  <c r="D28" i="34"/>
  <c r="E28" i="34"/>
  <c r="F28" i="34"/>
  <c r="D29" i="34"/>
  <c r="E29" i="34"/>
  <c r="F29" i="34"/>
  <c r="D30" i="34"/>
  <c r="E30" i="34"/>
  <c r="F30" i="34"/>
  <c r="D31" i="34"/>
  <c r="E31" i="34"/>
  <c r="F31" i="34"/>
  <c r="D32" i="34"/>
  <c r="E32" i="34"/>
  <c r="F32" i="34"/>
  <c r="D33" i="34"/>
  <c r="E33" i="34"/>
  <c r="F33" i="34"/>
  <c r="D34" i="34"/>
  <c r="E34" i="34"/>
  <c r="F34" i="34"/>
  <c r="E2" i="34"/>
  <c r="F2" i="34"/>
  <c r="D2" i="34"/>
  <c r="B3" i="34"/>
  <c r="B4" i="34"/>
  <c r="B5" i="34"/>
  <c r="B6" i="34"/>
  <c r="B7" i="34"/>
  <c r="B8" i="34"/>
  <c r="B9" i="34"/>
  <c r="B10" i="34"/>
  <c r="B11" i="34"/>
  <c r="B12" i="34"/>
  <c r="B13" i="34"/>
  <c r="B14" i="34"/>
  <c r="B15" i="34"/>
  <c r="B16" i="34"/>
  <c r="B17" i="34"/>
  <c r="B18" i="34"/>
  <c r="B19" i="34"/>
  <c r="B20" i="34"/>
  <c r="B21" i="34"/>
  <c r="B22" i="34"/>
  <c r="B23" i="34"/>
  <c r="B24" i="34"/>
  <c r="B25" i="34"/>
  <c r="N25" i="34" s="1"/>
  <c r="B26" i="34"/>
  <c r="B27" i="34"/>
  <c r="N27" i="34" s="1"/>
  <c r="B28" i="34"/>
  <c r="B29" i="34"/>
  <c r="N29" i="34" s="1"/>
  <c r="B30" i="34"/>
  <c r="N30" i="34" s="1"/>
  <c r="B31" i="34"/>
  <c r="P31" i="34" s="1"/>
  <c r="B32" i="34"/>
  <c r="P32" i="34" s="1"/>
  <c r="B33" i="34"/>
  <c r="P33" i="34" s="1"/>
  <c r="B34" i="34"/>
  <c r="P34" i="34" s="1"/>
  <c r="B2" i="34"/>
  <c r="N10" i="33"/>
  <c r="D3" i="33"/>
  <c r="E3" i="33"/>
  <c r="F3" i="33"/>
  <c r="D4" i="33"/>
  <c r="E4" i="33"/>
  <c r="F4" i="33"/>
  <c r="D5" i="33"/>
  <c r="E5" i="33"/>
  <c r="F5" i="33"/>
  <c r="D6" i="33"/>
  <c r="E6" i="33"/>
  <c r="F6" i="33"/>
  <c r="D7" i="33"/>
  <c r="E7" i="33"/>
  <c r="F7" i="33"/>
  <c r="D8" i="33"/>
  <c r="E8" i="33"/>
  <c r="F8" i="33"/>
  <c r="D9" i="33"/>
  <c r="E9" i="33"/>
  <c r="F9" i="33"/>
  <c r="D10" i="33"/>
  <c r="E10" i="33"/>
  <c r="F10" i="33"/>
  <c r="D11" i="33"/>
  <c r="E11" i="33"/>
  <c r="F11" i="33"/>
  <c r="D12" i="33"/>
  <c r="E12" i="33"/>
  <c r="F12" i="33"/>
  <c r="D13" i="33"/>
  <c r="E13" i="33"/>
  <c r="F13" i="33"/>
  <c r="D14" i="33"/>
  <c r="E14" i="33"/>
  <c r="F14" i="33"/>
  <c r="D15" i="33"/>
  <c r="E15" i="33"/>
  <c r="F15" i="33"/>
  <c r="D16" i="33"/>
  <c r="E16" i="33"/>
  <c r="F16" i="33"/>
  <c r="D17" i="33"/>
  <c r="E17" i="33"/>
  <c r="F17" i="33"/>
  <c r="D18" i="33"/>
  <c r="E18" i="33"/>
  <c r="F18" i="33"/>
  <c r="D19" i="33"/>
  <c r="E19" i="33"/>
  <c r="F19" i="33"/>
  <c r="D20" i="33"/>
  <c r="E20" i="33"/>
  <c r="F20" i="33"/>
  <c r="D21" i="33"/>
  <c r="E21" i="33"/>
  <c r="F21" i="33"/>
  <c r="D22" i="33"/>
  <c r="E22" i="33"/>
  <c r="F22" i="33"/>
  <c r="D23" i="33"/>
  <c r="E23" i="33"/>
  <c r="F23" i="33"/>
  <c r="D24" i="33"/>
  <c r="E24" i="33"/>
  <c r="F24" i="33"/>
  <c r="D25" i="33"/>
  <c r="E25" i="33"/>
  <c r="F25" i="33"/>
  <c r="D26" i="33"/>
  <c r="E26" i="33"/>
  <c r="F26" i="33"/>
  <c r="D27" i="33"/>
  <c r="E27" i="33"/>
  <c r="F27" i="33"/>
  <c r="D28" i="33"/>
  <c r="E28" i="33"/>
  <c r="F28" i="33"/>
  <c r="D29" i="33"/>
  <c r="E29" i="33"/>
  <c r="F29" i="33"/>
  <c r="D30" i="33"/>
  <c r="E30" i="33"/>
  <c r="F30" i="33"/>
  <c r="D31" i="33"/>
  <c r="E31" i="33"/>
  <c r="F31" i="33"/>
  <c r="D32" i="33"/>
  <c r="E32" i="33"/>
  <c r="F32" i="33"/>
  <c r="D33" i="33"/>
  <c r="E33" i="33"/>
  <c r="F33" i="33"/>
  <c r="D34" i="33"/>
  <c r="E34" i="33"/>
  <c r="F34" i="33"/>
  <c r="E2" i="33"/>
  <c r="F2" i="33"/>
  <c r="D2" i="33"/>
  <c r="B3" i="33"/>
  <c r="B4" i="33"/>
  <c r="B5" i="33"/>
  <c r="B6" i="33"/>
  <c r="N6" i="33" s="1"/>
  <c r="B7" i="33"/>
  <c r="B8" i="33"/>
  <c r="B9" i="33"/>
  <c r="B10" i="33"/>
  <c r="B11" i="33"/>
  <c r="B12" i="33"/>
  <c r="N12" i="33" s="1"/>
  <c r="B13" i="33"/>
  <c r="N13" i="33" s="1"/>
  <c r="B14" i="33"/>
  <c r="N14" i="33" s="1"/>
  <c r="B15" i="33"/>
  <c r="N15" i="33"/>
  <c r="B16" i="33"/>
  <c r="B17" i="33"/>
  <c r="B18" i="33"/>
  <c r="N18" i="33" s="1"/>
  <c r="B19" i="33"/>
  <c r="N19" i="33"/>
  <c r="B20" i="33"/>
  <c r="N20" i="33"/>
  <c r="B21" i="33"/>
  <c r="N21" i="33"/>
  <c r="B22" i="33"/>
  <c r="N22" i="33" s="1"/>
  <c r="B23" i="33"/>
  <c r="B24" i="33"/>
  <c r="N24" i="33" s="1"/>
  <c r="B25" i="33"/>
  <c r="B26" i="33"/>
  <c r="B27" i="33"/>
  <c r="N27" i="33" s="1"/>
  <c r="B28" i="33"/>
  <c r="N28" i="33" s="1"/>
  <c r="B29" i="33"/>
  <c r="N29" i="33"/>
  <c r="B30" i="33"/>
  <c r="N30" i="33"/>
  <c r="B31" i="33"/>
  <c r="Q31" i="33" s="1"/>
  <c r="B32" i="33"/>
  <c r="C32" i="33" s="1"/>
  <c r="O32" i="33" s="1"/>
  <c r="Q32" i="33"/>
  <c r="B33" i="33"/>
  <c r="C33" i="33" s="1"/>
  <c r="O33" i="33" s="1"/>
  <c r="Q33" i="33"/>
  <c r="B34" i="33"/>
  <c r="Q34" i="33" s="1"/>
  <c r="B2" i="33"/>
  <c r="D3" i="30"/>
  <c r="D4" i="30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2" i="30"/>
  <c r="C33" i="30"/>
  <c r="C34" i="30"/>
  <c r="B3" i="30"/>
  <c r="B4" i="30"/>
  <c r="B5" i="30"/>
  <c r="B6" i="30"/>
  <c r="B7" i="30"/>
  <c r="B8" i="30"/>
  <c r="B9" i="30"/>
  <c r="B10" i="30"/>
  <c r="B11" i="30"/>
  <c r="B12" i="30"/>
  <c r="B13" i="30"/>
  <c r="B14" i="30"/>
  <c r="B15" i="30"/>
  <c r="B16" i="30"/>
  <c r="B17" i="30"/>
  <c r="B18" i="30"/>
  <c r="B19" i="30"/>
  <c r="B20" i="30"/>
  <c r="B21" i="30"/>
  <c r="B22" i="30"/>
  <c r="B23" i="30"/>
  <c r="B24" i="30"/>
  <c r="B25" i="30"/>
  <c r="B26" i="30"/>
  <c r="B27" i="30"/>
  <c r="B28" i="30"/>
  <c r="B29" i="30"/>
  <c r="B30" i="30"/>
  <c r="B31" i="30"/>
  <c r="C31" i="30"/>
  <c r="B32" i="30"/>
  <c r="C32" i="30" s="1"/>
  <c r="B2" i="30"/>
  <c r="A3" i="31"/>
  <c r="A4" i="31"/>
  <c r="A5" i="31"/>
  <c r="A6" i="31"/>
  <c r="A7" i="31"/>
  <c r="A8" i="31"/>
  <c r="A9" i="31"/>
  <c r="A10" i="31"/>
  <c r="A11" i="31"/>
  <c r="A12" i="31"/>
  <c r="A13" i="31"/>
  <c r="A14" i="31"/>
  <c r="A15" i="31"/>
  <c r="A16" i="31"/>
  <c r="A17" i="31"/>
  <c r="A18" i="31"/>
  <c r="A19" i="31"/>
  <c r="A20" i="31"/>
  <c r="A21" i="31"/>
  <c r="A22" i="31"/>
  <c r="A23" i="31"/>
  <c r="A24" i="31"/>
  <c r="A25" i="31"/>
  <c r="A26" i="31"/>
  <c r="A27" i="31"/>
  <c r="A28" i="31"/>
  <c r="A29" i="31"/>
  <c r="A30" i="31"/>
  <c r="A31" i="31"/>
  <c r="B31" i="31" s="1"/>
  <c r="N31" i="31" s="1"/>
  <c r="A32" i="31"/>
  <c r="B32" i="31" s="1"/>
  <c r="N32" i="31" s="1"/>
  <c r="A2" i="31"/>
  <c r="B3" i="32"/>
  <c r="B4" i="32"/>
  <c r="B5" i="32"/>
  <c r="B6" i="32"/>
  <c r="B7" i="32"/>
  <c r="B8" i="32"/>
  <c r="B9" i="32"/>
  <c r="B10" i="32"/>
  <c r="B11" i="32"/>
  <c r="B12" i="32"/>
  <c r="B13" i="32"/>
  <c r="B14" i="32"/>
  <c r="B15" i="32"/>
  <c r="B16" i="32"/>
  <c r="B17" i="32"/>
  <c r="B18" i="32"/>
  <c r="B19" i="32"/>
  <c r="B20" i="32"/>
  <c r="B21" i="32"/>
  <c r="B22" i="32"/>
  <c r="B23" i="32"/>
  <c r="B24" i="32"/>
  <c r="B25" i="32"/>
  <c r="B26" i="32"/>
  <c r="B27" i="32"/>
  <c r="B28" i="32"/>
  <c r="B29" i="32"/>
  <c r="B30" i="32"/>
  <c r="B2" i="32"/>
  <c r="I31" i="7"/>
  <c r="L12" i="32"/>
  <c r="L24" i="32"/>
  <c r="K18" i="32"/>
  <c r="K30" i="32"/>
  <c r="J19" i="32"/>
  <c r="J27" i="32"/>
  <c r="J30" i="32"/>
  <c r="H9" i="32"/>
  <c r="H22" i="32"/>
  <c r="G3" i="32"/>
  <c r="G4" i="32"/>
  <c r="G6" i="32"/>
  <c r="M16" i="6"/>
  <c r="N16" i="6" s="1"/>
  <c r="G21" i="32"/>
  <c r="G26" i="32"/>
  <c r="G29" i="32"/>
  <c r="D2" i="6"/>
  <c r="C2" i="6"/>
  <c r="B27" i="20"/>
  <c r="D33" i="11"/>
  <c r="P31" i="7"/>
  <c r="P32" i="7"/>
  <c r="P33" i="7"/>
  <c r="P34" i="7"/>
  <c r="G31" i="7"/>
  <c r="V31" i="7" s="1"/>
  <c r="H31" i="7"/>
  <c r="F2" i="6"/>
  <c r="E2" i="6"/>
  <c r="J31" i="7"/>
  <c r="V23" i="8"/>
  <c r="J23" i="8"/>
  <c r="V22" i="8"/>
  <c r="J22" i="8"/>
  <c r="V21" i="8"/>
  <c r="O21" i="8"/>
  <c r="J21" i="8"/>
  <c r="AE20" i="8"/>
  <c r="AF20" i="8" s="1"/>
  <c r="AG20" i="8" s="1"/>
  <c r="X20" i="8"/>
  <c r="V20" i="8"/>
  <c r="S20" i="8"/>
  <c r="AL20" i="8" s="1"/>
  <c r="O19" i="35" s="1"/>
  <c r="AN20" i="8"/>
  <c r="N19" i="35" s="1"/>
  <c r="AD20" i="8"/>
  <c r="J20" i="8"/>
  <c r="T20" i="8" s="1"/>
  <c r="AE18" i="8"/>
  <c r="X18" i="8"/>
  <c r="AA18" i="8" s="1"/>
  <c r="J17" i="35" s="1"/>
  <c r="V18" i="8"/>
  <c r="U18" i="8"/>
  <c r="S18" i="8"/>
  <c r="AL18" i="8" s="1"/>
  <c r="O17" i="35" s="1"/>
  <c r="T18" i="8"/>
  <c r="W18" i="8" s="1"/>
  <c r="AE17" i="8"/>
  <c r="X17" i="8"/>
  <c r="AA17" i="8" s="1"/>
  <c r="J16" i="35" s="1"/>
  <c r="V17" i="8"/>
  <c r="U17" i="8"/>
  <c r="S17" i="8"/>
  <c r="AL17" i="8" s="1"/>
  <c r="O16" i="35" s="1"/>
  <c r="T17" i="8"/>
  <c r="W17" i="8" s="1"/>
  <c r="AE16" i="8"/>
  <c r="X16" i="8"/>
  <c r="AA16" i="8" s="1"/>
  <c r="J15" i="35" s="1"/>
  <c r="V16" i="8"/>
  <c r="U16" i="8"/>
  <c r="S16" i="8"/>
  <c r="AL16" i="8" s="1"/>
  <c r="O15" i="35" s="1"/>
  <c r="T16" i="8"/>
  <c r="W16" i="8" s="1"/>
  <c r="AE15" i="8"/>
  <c r="X15" i="8"/>
  <c r="AA15" i="8" s="1"/>
  <c r="J14" i="35" s="1"/>
  <c r="V15" i="8"/>
  <c r="U15" i="8"/>
  <c r="S15" i="8"/>
  <c r="AL15" i="8" s="1"/>
  <c r="O14" i="35" s="1"/>
  <c r="T15" i="8"/>
  <c r="W15" i="8" s="1"/>
  <c r="AE14" i="8"/>
  <c r="X14" i="8"/>
  <c r="AA14" i="8" s="1"/>
  <c r="J13" i="35" s="1"/>
  <c r="V14" i="8"/>
  <c r="U14" i="8"/>
  <c r="S14" i="8"/>
  <c r="AL14" i="8" s="1"/>
  <c r="O13" i="35" s="1"/>
  <c r="T14" i="8"/>
  <c r="W14" i="8" s="1"/>
  <c r="AE13" i="8"/>
  <c r="AF13" i="8" s="1"/>
  <c r="AG13" i="8" s="1"/>
  <c r="K18" i="35" s="1"/>
  <c r="X13" i="8"/>
  <c r="V13" i="8"/>
  <c r="S13" i="8"/>
  <c r="AL13" i="8" s="1"/>
  <c r="O18" i="35" s="1"/>
  <c r="AN13" i="8"/>
  <c r="N18" i="35" s="1"/>
  <c r="AC13" i="8"/>
  <c r="AK13" i="8" s="1"/>
  <c r="T13" i="8"/>
  <c r="AE12" i="8"/>
  <c r="X12" i="8"/>
  <c r="AA12" i="8" s="1"/>
  <c r="J11" i="35" s="1"/>
  <c r="V12" i="8"/>
  <c r="U12" i="8"/>
  <c r="S12" i="8"/>
  <c r="AL12" i="8" s="1"/>
  <c r="O11" i="35" s="1"/>
  <c r="T12" i="8"/>
  <c r="W12" i="8" s="1"/>
  <c r="AE11" i="8"/>
  <c r="AF11" i="8" s="1"/>
  <c r="AG11" i="8" s="1"/>
  <c r="X11" i="8"/>
  <c r="AA11" i="8" s="1"/>
  <c r="J10" i="35" s="1"/>
  <c r="V11" i="8"/>
  <c r="U11" i="8"/>
  <c r="S11" i="8"/>
  <c r="AL11" i="8" s="1"/>
  <c r="O10" i="35" s="1"/>
  <c r="T11" i="8"/>
  <c r="W11" i="8" s="1"/>
  <c r="AE10" i="8"/>
  <c r="X10" i="8"/>
  <c r="AA10" i="8" s="1"/>
  <c r="J9" i="35" s="1"/>
  <c r="V10" i="8"/>
  <c r="U10" i="8"/>
  <c r="S10" i="8"/>
  <c r="AL10" i="8" s="1"/>
  <c r="O9" i="35" s="1"/>
  <c r="T10" i="8"/>
  <c r="W10" i="8" s="1"/>
  <c r="AE9" i="8"/>
  <c r="X9" i="8"/>
  <c r="AA9" i="8" s="1"/>
  <c r="J8" i="35" s="1"/>
  <c r="V9" i="8"/>
  <c r="U9" i="8"/>
  <c r="S9" i="8"/>
  <c r="AL9" i="8" s="1"/>
  <c r="O8" i="35" s="1"/>
  <c r="T9" i="8"/>
  <c r="W9" i="8" s="1"/>
  <c r="AE8" i="8"/>
  <c r="X8" i="8"/>
  <c r="AA8" i="8" s="1"/>
  <c r="J7" i="35" s="1"/>
  <c r="V8" i="8"/>
  <c r="U8" i="8"/>
  <c r="S8" i="8"/>
  <c r="AL8" i="8" s="1"/>
  <c r="O7" i="35" s="1"/>
  <c r="T8" i="8"/>
  <c r="W8" i="8" s="1"/>
  <c r="AE7" i="8"/>
  <c r="X7" i="8"/>
  <c r="AA7" i="8" s="1"/>
  <c r="J6" i="35" s="1"/>
  <c r="V7" i="8"/>
  <c r="S7" i="8"/>
  <c r="AL7" i="8" s="1"/>
  <c r="O6" i="35" s="1"/>
  <c r="T7" i="8"/>
  <c r="W7" i="8" s="1"/>
  <c r="AE6" i="8"/>
  <c r="X6" i="8"/>
  <c r="AA6" i="8" s="1"/>
  <c r="J5" i="35" s="1"/>
  <c r="G5" i="35"/>
  <c r="V6" i="8"/>
  <c r="U6" i="8"/>
  <c r="S6" i="8"/>
  <c r="AL6" i="8" s="1"/>
  <c r="O5" i="35" s="1"/>
  <c r="T6" i="8"/>
  <c r="AE5" i="8"/>
  <c r="G4" i="35"/>
  <c r="V5" i="8"/>
  <c r="U5" i="8"/>
  <c r="S5" i="8"/>
  <c r="AL5" i="8" s="1"/>
  <c r="O4" i="35" s="1"/>
  <c r="T5" i="8"/>
  <c r="AN4" i="8"/>
  <c r="N3" i="35" s="1"/>
  <c r="AE4" i="8"/>
  <c r="AC4" i="8"/>
  <c r="AK4" i="8" s="1"/>
  <c r="AB4" i="8"/>
  <c r="AA4" i="8"/>
  <c r="U4" i="8"/>
  <c r="T4" i="8"/>
  <c r="S4" i="8"/>
  <c r="AL4" i="8" s="1"/>
  <c r="O3" i="35" s="1"/>
  <c r="O4" i="8"/>
  <c r="AD4" i="8" s="1"/>
  <c r="M3" i="35" s="1"/>
  <c r="J4" i="8"/>
  <c r="AN3" i="8"/>
  <c r="N2" i="35" s="1"/>
  <c r="AE3" i="8"/>
  <c r="AC3" i="8"/>
  <c r="AK3" i="8" s="1"/>
  <c r="AB3" i="8"/>
  <c r="AA3" i="8"/>
  <c r="U3" i="8"/>
  <c r="T3" i="8"/>
  <c r="S3" i="8"/>
  <c r="AL3" i="8" s="1"/>
  <c r="O3" i="8"/>
  <c r="AD3" i="8" s="1"/>
  <c r="M2" i="35" s="1"/>
  <c r="J3" i="8"/>
  <c r="P39" i="11"/>
  <c r="O39" i="11" s="1"/>
  <c r="N39" i="11"/>
  <c r="M39" i="11"/>
  <c r="L39" i="11"/>
  <c r="P38" i="11"/>
  <c r="Q38" i="11" s="1"/>
  <c r="N38" i="11"/>
  <c r="M38" i="11"/>
  <c r="L38" i="11"/>
  <c r="K38" i="11"/>
  <c r="J38" i="11"/>
  <c r="I38" i="11"/>
  <c r="H38" i="11"/>
  <c r="N37" i="11"/>
  <c r="M37" i="11"/>
  <c r="L37" i="11"/>
  <c r="K37" i="11"/>
  <c r="J37" i="11"/>
  <c r="I37" i="11"/>
  <c r="H37" i="11"/>
  <c r="D37" i="11"/>
  <c r="N36" i="11"/>
  <c r="M36" i="11"/>
  <c r="L36" i="11"/>
  <c r="K36" i="11"/>
  <c r="J36" i="11"/>
  <c r="I36" i="11"/>
  <c r="H36" i="11"/>
  <c r="D36" i="11"/>
  <c r="N35" i="11"/>
  <c r="M35" i="11"/>
  <c r="L35" i="11"/>
  <c r="J35" i="11"/>
  <c r="I35" i="11"/>
  <c r="H35" i="11"/>
  <c r="D35" i="11"/>
  <c r="N34" i="11"/>
  <c r="M34" i="11"/>
  <c r="L34" i="11"/>
  <c r="K34" i="11"/>
  <c r="J34" i="11"/>
  <c r="I34" i="11"/>
  <c r="H34" i="11"/>
  <c r="N33" i="11"/>
  <c r="M33" i="11"/>
  <c r="L33" i="11"/>
  <c r="K33" i="11"/>
  <c r="J33" i="11"/>
  <c r="I33" i="11"/>
  <c r="H33" i="11"/>
  <c r="N32" i="11"/>
  <c r="M32" i="11"/>
  <c r="L32" i="11"/>
  <c r="J32" i="11"/>
  <c r="I32" i="11"/>
  <c r="H32" i="11"/>
  <c r="D32" i="11"/>
  <c r="N31" i="11"/>
  <c r="M31" i="11"/>
  <c r="L31" i="11"/>
  <c r="K31" i="11"/>
  <c r="J31" i="11"/>
  <c r="I31" i="11"/>
  <c r="H31" i="11"/>
  <c r="D31" i="11"/>
  <c r="N30" i="11"/>
  <c r="M30" i="11"/>
  <c r="L30" i="11"/>
  <c r="K30" i="11"/>
  <c r="J30" i="11"/>
  <c r="I30" i="11"/>
  <c r="H30" i="11"/>
  <c r="D30" i="11"/>
  <c r="N29" i="11"/>
  <c r="M29" i="11"/>
  <c r="L29" i="11"/>
  <c r="J29" i="11"/>
  <c r="I29" i="11"/>
  <c r="H29" i="11"/>
  <c r="D29" i="11"/>
  <c r="N28" i="11"/>
  <c r="M28" i="11"/>
  <c r="L28" i="11"/>
  <c r="J28" i="11"/>
  <c r="I28" i="11"/>
  <c r="H28" i="11"/>
  <c r="D28" i="11"/>
  <c r="N27" i="11"/>
  <c r="M27" i="11"/>
  <c r="L27" i="11"/>
  <c r="J27" i="11"/>
  <c r="I27" i="11"/>
  <c r="H27" i="11"/>
  <c r="D27" i="11"/>
  <c r="N26" i="11"/>
  <c r="M26" i="11"/>
  <c r="L26" i="11"/>
  <c r="J26" i="11"/>
  <c r="I26" i="11"/>
  <c r="H26" i="11"/>
  <c r="N25" i="11"/>
  <c r="M25" i="11"/>
  <c r="L25" i="11"/>
  <c r="J25" i="11"/>
  <c r="I25" i="11"/>
  <c r="H25" i="11"/>
  <c r="D25" i="11"/>
  <c r="N24" i="11"/>
  <c r="M24" i="11"/>
  <c r="L24" i="11"/>
  <c r="J24" i="11"/>
  <c r="I24" i="11"/>
  <c r="H24" i="11"/>
  <c r="D24" i="11"/>
  <c r="N23" i="11"/>
  <c r="M23" i="11"/>
  <c r="L23" i="11"/>
  <c r="J23" i="11"/>
  <c r="I23" i="11"/>
  <c r="H23" i="11"/>
  <c r="D23" i="11"/>
  <c r="N22" i="11"/>
  <c r="M22" i="11"/>
  <c r="L22" i="11"/>
  <c r="J22" i="11"/>
  <c r="I22" i="11"/>
  <c r="H22" i="11"/>
  <c r="D22" i="11"/>
  <c r="N21" i="11"/>
  <c r="M21" i="11"/>
  <c r="L21" i="11"/>
  <c r="K21" i="11"/>
  <c r="J21" i="11"/>
  <c r="I21" i="11"/>
  <c r="H21" i="11"/>
  <c r="D21" i="11"/>
  <c r="N20" i="11"/>
  <c r="M20" i="11"/>
  <c r="L20" i="11"/>
  <c r="J20" i="11"/>
  <c r="I20" i="11"/>
  <c r="H20" i="11"/>
  <c r="D20" i="11"/>
  <c r="N19" i="11"/>
  <c r="M19" i="11"/>
  <c r="L19" i="11"/>
  <c r="J19" i="11"/>
  <c r="I19" i="11"/>
  <c r="H19" i="11"/>
  <c r="D19" i="11"/>
  <c r="N18" i="11"/>
  <c r="M18" i="11"/>
  <c r="L18" i="11"/>
  <c r="J18" i="11"/>
  <c r="I18" i="11"/>
  <c r="H18" i="11"/>
  <c r="D18" i="11"/>
  <c r="N17" i="11"/>
  <c r="M17" i="11"/>
  <c r="L17" i="11"/>
  <c r="J17" i="11"/>
  <c r="I17" i="11"/>
  <c r="H17" i="11"/>
  <c r="D17" i="11"/>
  <c r="N16" i="11"/>
  <c r="M16" i="11"/>
  <c r="L16" i="11"/>
  <c r="J16" i="11"/>
  <c r="I16" i="11"/>
  <c r="H16" i="11"/>
  <c r="D16" i="11"/>
  <c r="N15" i="11"/>
  <c r="M15" i="11"/>
  <c r="L15" i="11"/>
  <c r="J15" i="11"/>
  <c r="I15" i="11"/>
  <c r="H15" i="11"/>
  <c r="D15" i="11"/>
  <c r="N14" i="11"/>
  <c r="M14" i="11"/>
  <c r="L14" i="11"/>
  <c r="J14" i="11"/>
  <c r="I14" i="11"/>
  <c r="H14" i="11"/>
  <c r="D14" i="11"/>
  <c r="N13" i="11"/>
  <c r="M13" i="11"/>
  <c r="L13" i="11"/>
  <c r="J13" i="11"/>
  <c r="I13" i="11"/>
  <c r="H13" i="11"/>
  <c r="D13" i="11"/>
  <c r="N12" i="11"/>
  <c r="M12" i="11"/>
  <c r="L12" i="11"/>
  <c r="J12" i="11"/>
  <c r="I12" i="11"/>
  <c r="H12" i="11"/>
  <c r="D12" i="11"/>
  <c r="N11" i="11"/>
  <c r="M11" i="11"/>
  <c r="L11" i="11"/>
  <c r="K11" i="11"/>
  <c r="J11" i="11"/>
  <c r="I11" i="11"/>
  <c r="H11" i="11"/>
  <c r="D11" i="11"/>
  <c r="N10" i="11"/>
  <c r="M10" i="11"/>
  <c r="L10" i="11"/>
  <c r="J10" i="11"/>
  <c r="I10" i="11"/>
  <c r="H10" i="11"/>
  <c r="D10" i="11"/>
  <c r="N9" i="11"/>
  <c r="M9" i="11"/>
  <c r="L9" i="11"/>
  <c r="K9" i="11"/>
  <c r="J9" i="11"/>
  <c r="I9" i="11"/>
  <c r="H9" i="11"/>
  <c r="D9" i="11"/>
  <c r="N8" i="11"/>
  <c r="M8" i="11"/>
  <c r="L8" i="11"/>
  <c r="J8" i="11"/>
  <c r="I8" i="11"/>
  <c r="H8" i="11"/>
  <c r="D8" i="11"/>
  <c r="N7" i="11"/>
  <c r="M7" i="11"/>
  <c r="L7" i="11"/>
  <c r="J7" i="11"/>
  <c r="I7" i="11"/>
  <c r="H7" i="11"/>
  <c r="D7" i="11"/>
  <c r="Y39" i="9"/>
  <c r="X39" i="9"/>
  <c r="W39" i="9"/>
  <c r="P39" i="9"/>
  <c r="N39" i="9"/>
  <c r="M39" i="9"/>
  <c r="L39" i="9"/>
  <c r="S39" i="9" s="1"/>
  <c r="T39" i="9" s="1"/>
  <c r="K39" i="9"/>
  <c r="J39" i="9"/>
  <c r="I39" i="9"/>
  <c r="H39" i="9"/>
  <c r="Y38" i="9"/>
  <c r="X38" i="9"/>
  <c r="W38" i="9"/>
  <c r="P38" i="9"/>
  <c r="N38" i="9"/>
  <c r="M38" i="9"/>
  <c r="L38" i="9"/>
  <c r="S38" i="9" s="1"/>
  <c r="T38" i="9" s="1"/>
  <c r="K38" i="9"/>
  <c r="J38" i="9"/>
  <c r="I38" i="9"/>
  <c r="H38" i="9"/>
  <c r="N37" i="9"/>
  <c r="M37" i="9"/>
  <c r="L37" i="9"/>
  <c r="R37" i="9" s="1"/>
  <c r="K37" i="9"/>
  <c r="J37" i="9"/>
  <c r="I37" i="9"/>
  <c r="H37" i="9"/>
  <c r="D37" i="9"/>
  <c r="Y37" i="9"/>
  <c r="N36" i="9"/>
  <c r="M36" i="9"/>
  <c r="L36" i="9"/>
  <c r="R36" i="9" s="1"/>
  <c r="K36" i="9"/>
  <c r="J36" i="9"/>
  <c r="I36" i="9"/>
  <c r="H36" i="9"/>
  <c r="D36" i="9"/>
  <c r="X36" i="9" s="1"/>
  <c r="Y36" i="9"/>
  <c r="N35" i="9"/>
  <c r="M35" i="9"/>
  <c r="L35" i="9"/>
  <c r="S35" i="9" s="1"/>
  <c r="T35" i="9" s="1"/>
  <c r="J35" i="9"/>
  <c r="I35" i="9"/>
  <c r="H35" i="9"/>
  <c r="D35" i="9"/>
  <c r="Y35" i="9"/>
  <c r="Y34" i="9"/>
  <c r="W34" i="9"/>
  <c r="N34" i="9"/>
  <c r="M34" i="9"/>
  <c r="L34" i="9"/>
  <c r="R34" i="9" s="1"/>
  <c r="K34" i="9"/>
  <c r="J34" i="9"/>
  <c r="I34" i="9"/>
  <c r="H34" i="9"/>
  <c r="N33" i="9"/>
  <c r="M33" i="9"/>
  <c r="L33" i="9"/>
  <c r="R33" i="9" s="1"/>
  <c r="K33" i="9"/>
  <c r="J33" i="9"/>
  <c r="I33" i="9"/>
  <c r="H33" i="9"/>
  <c r="D33" i="9"/>
  <c r="X33" i="9" s="1"/>
  <c r="Y33" i="9"/>
  <c r="N32" i="9"/>
  <c r="M32" i="9"/>
  <c r="L32" i="9"/>
  <c r="R32" i="9" s="1"/>
  <c r="J32" i="9"/>
  <c r="I32" i="9"/>
  <c r="H32" i="9"/>
  <c r="D32" i="9"/>
  <c r="N31" i="9"/>
  <c r="M31" i="9"/>
  <c r="L31" i="9"/>
  <c r="R31" i="9" s="1"/>
  <c r="Z31" i="9" s="1"/>
  <c r="K31" i="9"/>
  <c r="J31" i="9"/>
  <c r="I31" i="9"/>
  <c r="H31" i="9"/>
  <c r="D31" i="9"/>
  <c r="X31" i="9" s="1"/>
  <c r="N30" i="9"/>
  <c r="M30" i="9"/>
  <c r="L30" i="9"/>
  <c r="R30" i="9" s="1"/>
  <c r="K30" i="9"/>
  <c r="J30" i="9"/>
  <c r="I30" i="9"/>
  <c r="H30" i="9"/>
  <c r="D30" i="9"/>
  <c r="W30" i="9" s="1"/>
  <c r="Y30" i="9"/>
  <c r="N29" i="9"/>
  <c r="M29" i="9"/>
  <c r="L29" i="9"/>
  <c r="R29" i="9" s="1"/>
  <c r="J29" i="9"/>
  <c r="I29" i="9"/>
  <c r="H29" i="9"/>
  <c r="D29" i="9"/>
  <c r="X29" i="9"/>
  <c r="N28" i="9"/>
  <c r="M28" i="9"/>
  <c r="L28" i="9"/>
  <c r="R28" i="9" s="1"/>
  <c r="J28" i="9"/>
  <c r="I28" i="9"/>
  <c r="H28" i="9"/>
  <c r="D28" i="9"/>
  <c r="Y28" i="9"/>
  <c r="N27" i="9"/>
  <c r="M27" i="9"/>
  <c r="L27" i="9"/>
  <c r="R27" i="9" s="1"/>
  <c r="J27" i="9"/>
  <c r="I27" i="9"/>
  <c r="H27" i="9"/>
  <c r="D27" i="9"/>
  <c r="Y27" i="9"/>
  <c r="N26" i="9"/>
  <c r="M26" i="9"/>
  <c r="L26" i="9"/>
  <c r="R26" i="9" s="1"/>
  <c r="J26" i="9"/>
  <c r="I26" i="9"/>
  <c r="H26" i="9"/>
  <c r="D26" i="9"/>
  <c r="X26" i="9" s="1"/>
  <c r="Y26" i="9"/>
  <c r="N25" i="9"/>
  <c r="M25" i="9"/>
  <c r="L25" i="9"/>
  <c r="R25" i="9" s="1"/>
  <c r="J25" i="9"/>
  <c r="I25" i="9"/>
  <c r="H25" i="9"/>
  <c r="D25" i="9"/>
  <c r="W25" i="9" s="1"/>
  <c r="N24" i="9"/>
  <c r="M24" i="9"/>
  <c r="L24" i="9"/>
  <c r="R24" i="9" s="1"/>
  <c r="J24" i="9"/>
  <c r="I24" i="9"/>
  <c r="H24" i="9"/>
  <c r="D24" i="9"/>
  <c r="Y24" i="9"/>
  <c r="N23" i="9"/>
  <c r="M23" i="9"/>
  <c r="L23" i="9"/>
  <c r="R23" i="9" s="1"/>
  <c r="J23" i="9"/>
  <c r="I23" i="9"/>
  <c r="H23" i="9"/>
  <c r="D23" i="9"/>
  <c r="X23" i="9" s="1"/>
  <c r="Y23" i="9"/>
  <c r="N22" i="9"/>
  <c r="M22" i="9"/>
  <c r="L22" i="9"/>
  <c r="R22" i="9" s="1"/>
  <c r="J22" i="9"/>
  <c r="I22" i="9"/>
  <c r="H22" i="9"/>
  <c r="D22" i="9"/>
  <c r="W22" i="9" s="1"/>
  <c r="Y22" i="9"/>
  <c r="N21" i="9"/>
  <c r="M21" i="9"/>
  <c r="L21" i="9"/>
  <c r="R21" i="9" s="1"/>
  <c r="K21" i="9"/>
  <c r="J21" i="9"/>
  <c r="I21" i="9"/>
  <c r="H21" i="9"/>
  <c r="D21" i="9"/>
  <c r="X21" i="9"/>
  <c r="N20" i="9"/>
  <c r="M20" i="9"/>
  <c r="L20" i="9"/>
  <c r="R20" i="9" s="1"/>
  <c r="J20" i="9"/>
  <c r="I20" i="9"/>
  <c r="H20" i="9"/>
  <c r="D20" i="9"/>
  <c r="X20" i="9" s="1"/>
  <c r="Y20" i="9"/>
  <c r="N19" i="9"/>
  <c r="M19" i="9"/>
  <c r="L19" i="9"/>
  <c r="R19" i="9" s="1"/>
  <c r="J19" i="9"/>
  <c r="I19" i="9"/>
  <c r="H19" i="9"/>
  <c r="D19" i="9"/>
  <c r="X19" i="9" s="1"/>
  <c r="Y19" i="9"/>
  <c r="N18" i="9"/>
  <c r="M18" i="9"/>
  <c r="L18" i="9"/>
  <c r="R18" i="9" s="1"/>
  <c r="U18" i="9" s="1"/>
  <c r="J18" i="9"/>
  <c r="I18" i="9"/>
  <c r="H18" i="9"/>
  <c r="D18" i="9"/>
  <c r="X18" i="9"/>
  <c r="N17" i="9"/>
  <c r="M17" i="9"/>
  <c r="L17" i="9"/>
  <c r="R17" i="9" s="1"/>
  <c r="J17" i="9"/>
  <c r="I17" i="9"/>
  <c r="H17" i="9"/>
  <c r="D17" i="9"/>
  <c r="Y17" i="9" s="1"/>
  <c r="N16" i="9"/>
  <c r="M16" i="9"/>
  <c r="L16" i="9"/>
  <c r="R16" i="9" s="1"/>
  <c r="J16" i="9"/>
  <c r="I16" i="9"/>
  <c r="H16" i="9"/>
  <c r="D16" i="9"/>
  <c r="X16" i="9" s="1"/>
  <c r="Y16" i="9"/>
  <c r="N15" i="9"/>
  <c r="M15" i="9"/>
  <c r="L15" i="9"/>
  <c r="R15" i="9" s="1"/>
  <c r="U15" i="9" s="1"/>
  <c r="J15" i="9"/>
  <c r="I15" i="9"/>
  <c r="H15" i="9"/>
  <c r="D15" i="9"/>
  <c r="Y15" i="9" s="1"/>
  <c r="N14" i="9"/>
  <c r="M14" i="9"/>
  <c r="L14" i="9"/>
  <c r="R14" i="9" s="1"/>
  <c r="U14" i="9" s="1"/>
  <c r="AA14" i="9" s="1"/>
  <c r="J14" i="9"/>
  <c r="I14" i="9"/>
  <c r="H14" i="9"/>
  <c r="D14" i="9"/>
  <c r="Y14" i="9"/>
  <c r="N13" i="9"/>
  <c r="M13" i="9"/>
  <c r="L13" i="9"/>
  <c r="R13" i="9" s="1"/>
  <c r="J13" i="9"/>
  <c r="I13" i="9"/>
  <c r="H13" i="9"/>
  <c r="D13" i="9"/>
  <c r="X13" i="9" s="1"/>
  <c r="N12" i="9"/>
  <c r="M12" i="9"/>
  <c r="L12" i="9"/>
  <c r="R12" i="9" s="1"/>
  <c r="J12" i="9"/>
  <c r="I12" i="9"/>
  <c r="H12" i="9"/>
  <c r="D12" i="9"/>
  <c r="X12" i="9" s="1"/>
  <c r="Y12" i="9"/>
  <c r="N11" i="9"/>
  <c r="M11" i="9"/>
  <c r="L11" i="9"/>
  <c r="R11" i="9" s="1"/>
  <c r="U11" i="9" s="1"/>
  <c r="K11" i="9"/>
  <c r="J11" i="9"/>
  <c r="I11" i="9"/>
  <c r="H11" i="9"/>
  <c r="D11" i="9"/>
  <c r="Y11" i="9"/>
  <c r="N10" i="9"/>
  <c r="M10" i="9"/>
  <c r="L10" i="9"/>
  <c r="R10" i="9" s="1"/>
  <c r="J10" i="9"/>
  <c r="I10" i="9"/>
  <c r="H10" i="9"/>
  <c r="D10" i="9"/>
  <c r="Y10" i="9" s="1"/>
  <c r="N9" i="9"/>
  <c r="M9" i="9"/>
  <c r="L9" i="9"/>
  <c r="R9" i="9" s="1"/>
  <c r="K9" i="9"/>
  <c r="J9" i="9"/>
  <c r="I9" i="9"/>
  <c r="H9" i="9"/>
  <c r="D9" i="9"/>
  <c r="Y9" i="9"/>
  <c r="N8" i="9"/>
  <c r="M8" i="9"/>
  <c r="L8" i="9"/>
  <c r="R8" i="9" s="1"/>
  <c r="J8" i="9"/>
  <c r="I8" i="9"/>
  <c r="H8" i="9"/>
  <c r="D8" i="9"/>
  <c r="X8" i="9" s="1"/>
  <c r="N7" i="9"/>
  <c r="M7" i="9"/>
  <c r="L7" i="9"/>
  <c r="R7" i="9" s="1"/>
  <c r="Z7" i="9" s="1"/>
  <c r="J7" i="9"/>
  <c r="I7" i="9"/>
  <c r="H7" i="9"/>
  <c r="D7" i="9"/>
  <c r="W7" i="9" s="1"/>
  <c r="Y7" i="9"/>
  <c r="X38" i="2"/>
  <c r="W38" i="2"/>
  <c r="V38" i="2"/>
  <c r="P38" i="2"/>
  <c r="O38" i="2"/>
  <c r="Q38" i="2" s="1"/>
  <c r="R38" i="2" s="1"/>
  <c r="X37" i="2"/>
  <c r="W37" i="2"/>
  <c r="V37" i="2"/>
  <c r="P37" i="2"/>
  <c r="O37" i="2"/>
  <c r="Y37" i="2" s="1"/>
  <c r="X36" i="2"/>
  <c r="K36" i="2"/>
  <c r="V36" i="2" s="1"/>
  <c r="J36" i="2"/>
  <c r="P36" i="2" s="1"/>
  <c r="I36" i="2"/>
  <c r="G36" i="2"/>
  <c r="X35" i="2"/>
  <c r="K35" i="2"/>
  <c r="V35" i="2" s="1"/>
  <c r="J35" i="2"/>
  <c r="W35" i="2" s="1"/>
  <c r="I35" i="2"/>
  <c r="G35" i="2"/>
  <c r="X34" i="2"/>
  <c r="J34" i="2"/>
  <c r="P34" i="2" s="1"/>
  <c r="I34" i="2"/>
  <c r="G34" i="2"/>
  <c r="X33" i="2"/>
  <c r="M33" i="2"/>
  <c r="L33" i="2"/>
  <c r="K33" i="2"/>
  <c r="J33" i="2"/>
  <c r="P33" i="2" s="1"/>
  <c r="I33" i="2"/>
  <c r="G33" i="2"/>
  <c r="X32" i="2"/>
  <c r="M32" i="2"/>
  <c r="L32" i="2"/>
  <c r="K32" i="2"/>
  <c r="J32" i="2"/>
  <c r="P32" i="2" s="1"/>
  <c r="I32" i="2"/>
  <c r="G32" i="2"/>
  <c r="X31" i="2"/>
  <c r="M31" i="2"/>
  <c r="L31" i="2"/>
  <c r="J31" i="2"/>
  <c r="P31" i="2" s="1"/>
  <c r="I31" i="2"/>
  <c r="G31" i="2"/>
  <c r="X30" i="2"/>
  <c r="M30" i="2"/>
  <c r="L30" i="2"/>
  <c r="K30" i="2"/>
  <c r="J30" i="2"/>
  <c r="P30" i="2" s="1"/>
  <c r="I30" i="2"/>
  <c r="G30" i="2"/>
  <c r="X29" i="2"/>
  <c r="M29" i="2"/>
  <c r="L29" i="2"/>
  <c r="K29" i="2"/>
  <c r="J29" i="2"/>
  <c r="P29" i="2" s="1"/>
  <c r="I29" i="2"/>
  <c r="G29" i="2"/>
  <c r="X28" i="2"/>
  <c r="M28" i="2"/>
  <c r="L28" i="2"/>
  <c r="J28" i="2"/>
  <c r="P28" i="2" s="1"/>
  <c r="I28" i="2"/>
  <c r="G28" i="2"/>
  <c r="X27" i="2"/>
  <c r="M27" i="2"/>
  <c r="L27" i="2"/>
  <c r="J27" i="2"/>
  <c r="P27" i="2" s="1"/>
  <c r="I27" i="2"/>
  <c r="G27" i="2"/>
  <c r="X26" i="2"/>
  <c r="M26" i="2"/>
  <c r="L26" i="2"/>
  <c r="J26" i="2"/>
  <c r="P26" i="2" s="1"/>
  <c r="I26" i="2"/>
  <c r="G26" i="2"/>
  <c r="X25" i="2"/>
  <c r="M25" i="2"/>
  <c r="L25" i="2"/>
  <c r="J25" i="2"/>
  <c r="P25" i="2" s="1"/>
  <c r="I25" i="2"/>
  <c r="G25" i="2"/>
  <c r="X24" i="2"/>
  <c r="M24" i="2"/>
  <c r="L24" i="2"/>
  <c r="J24" i="2"/>
  <c r="P24" i="2" s="1"/>
  <c r="I24" i="2"/>
  <c r="G24" i="2"/>
  <c r="X23" i="2"/>
  <c r="M23" i="2"/>
  <c r="L23" i="2"/>
  <c r="J23" i="2"/>
  <c r="P23" i="2" s="1"/>
  <c r="I23" i="2"/>
  <c r="G23" i="2"/>
  <c r="X22" i="2"/>
  <c r="M22" i="2"/>
  <c r="L22" i="2"/>
  <c r="J22" i="2"/>
  <c r="P22" i="2" s="1"/>
  <c r="I22" i="2"/>
  <c r="G22" i="2"/>
  <c r="X21" i="2"/>
  <c r="M21" i="2"/>
  <c r="L21" i="2"/>
  <c r="J21" i="2"/>
  <c r="P21" i="2" s="1"/>
  <c r="I21" i="2"/>
  <c r="G21" i="2"/>
  <c r="X20" i="2"/>
  <c r="M20" i="2"/>
  <c r="L20" i="2"/>
  <c r="K20" i="2"/>
  <c r="J20" i="2"/>
  <c r="P20" i="2" s="1"/>
  <c r="I20" i="2"/>
  <c r="G20" i="2"/>
  <c r="X19" i="2"/>
  <c r="M19" i="2"/>
  <c r="L19" i="2"/>
  <c r="J19" i="2"/>
  <c r="P19" i="2" s="1"/>
  <c r="I19" i="2"/>
  <c r="G19" i="2"/>
  <c r="X18" i="2"/>
  <c r="M18" i="2"/>
  <c r="L18" i="2"/>
  <c r="J18" i="2"/>
  <c r="P18" i="2" s="1"/>
  <c r="I18" i="2"/>
  <c r="G18" i="2"/>
  <c r="X17" i="2"/>
  <c r="M17" i="2"/>
  <c r="L17" i="2"/>
  <c r="J17" i="2"/>
  <c r="P17" i="2" s="1"/>
  <c r="I17" i="2"/>
  <c r="G17" i="2"/>
  <c r="X16" i="2"/>
  <c r="M16" i="2"/>
  <c r="L16" i="2"/>
  <c r="J16" i="2"/>
  <c r="P16" i="2" s="1"/>
  <c r="I16" i="2"/>
  <c r="G16" i="2"/>
  <c r="X15" i="2"/>
  <c r="M15" i="2"/>
  <c r="L15" i="2"/>
  <c r="J15" i="2"/>
  <c r="P15" i="2" s="1"/>
  <c r="I15" i="2"/>
  <c r="G15" i="2"/>
  <c r="X14" i="2"/>
  <c r="M14" i="2"/>
  <c r="L14" i="2"/>
  <c r="J14" i="2"/>
  <c r="P14" i="2" s="1"/>
  <c r="I14" i="2"/>
  <c r="G14" i="2"/>
  <c r="X13" i="2"/>
  <c r="M13" i="2"/>
  <c r="L13" i="2"/>
  <c r="J13" i="2"/>
  <c r="P13" i="2" s="1"/>
  <c r="I13" i="2"/>
  <c r="G13" i="2"/>
  <c r="X12" i="2"/>
  <c r="M12" i="2"/>
  <c r="L12" i="2"/>
  <c r="J12" i="2"/>
  <c r="P12" i="2" s="1"/>
  <c r="I12" i="2"/>
  <c r="G12" i="2"/>
  <c r="X11" i="2"/>
  <c r="M11" i="2"/>
  <c r="L11" i="2"/>
  <c r="J11" i="2"/>
  <c r="P11" i="2" s="1"/>
  <c r="I11" i="2"/>
  <c r="G11" i="2"/>
  <c r="X10" i="2"/>
  <c r="M10" i="2"/>
  <c r="L10" i="2"/>
  <c r="K10" i="2"/>
  <c r="J10" i="2"/>
  <c r="P10" i="2" s="1"/>
  <c r="I10" i="2"/>
  <c r="G10" i="2"/>
  <c r="X9" i="2"/>
  <c r="M9" i="2"/>
  <c r="L9" i="2"/>
  <c r="J9" i="2"/>
  <c r="P9" i="2" s="1"/>
  <c r="I9" i="2"/>
  <c r="G9" i="2"/>
  <c r="X8" i="2"/>
  <c r="M8" i="2"/>
  <c r="L8" i="2"/>
  <c r="K8" i="2"/>
  <c r="J8" i="2"/>
  <c r="P8" i="2" s="1"/>
  <c r="I8" i="2"/>
  <c r="G8" i="2"/>
  <c r="X7" i="2"/>
  <c r="M7" i="2"/>
  <c r="L7" i="2"/>
  <c r="J7" i="2"/>
  <c r="I7" i="2"/>
  <c r="G7" i="2"/>
  <c r="X6" i="2"/>
  <c r="M6" i="2"/>
  <c r="M4" i="2" s="1"/>
  <c r="L6" i="2"/>
  <c r="L4" i="2" s="1"/>
  <c r="J6" i="2"/>
  <c r="P6" i="2" s="1"/>
  <c r="I6" i="2"/>
  <c r="G6" i="2"/>
  <c r="X4" i="2"/>
  <c r="P38" i="4"/>
  <c r="S38" i="4" s="1"/>
  <c r="K38" i="4"/>
  <c r="P37" i="4"/>
  <c r="W37" i="4" s="1"/>
  <c r="K37" i="4"/>
  <c r="K36" i="4"/>
  <c r="I36" i="4"/>
  <c r="Z36" i="4" s="1"/>
  <c r="H36" i="4"/>
  <c r="G36" i="4"/>
  <c r="T36" i="4" s="1"/>
  <c r="N35" i="4"/>
  <c r="M35" i="4"/>
  <c r="L35" i="4"/>
  <c r="K35" i="4"/>
  <c r="I35" i="4"/>
  <c r="H35" i="4"/>
  <c r="G35" i="4"/>
  <c r="T35" i="4" s="1"/>
  <c r="N34" i="4"/>
  <c r="M34" i="4"/>
  <c r="L34" i="4"/>
  <c r="K34" i="4"/>
  <c r="I34" i="4"/>
  <c r="Y34" i="4" s="1"/>
  <c r="H34" i="4"/>
  <c r="G34" i="4"/>
  <c r="N33" i="4"/>
  <c r="M33" i="4"/>
  <c r="L33" i="4"/>
  <c r="K33" i="4"/>
  <c r="J33" i="4"/>
  <c r="I33" i="4"/>
  <c r="X33" i="4" s="1"/>
  <c r="H33" i="4"/>
  <c r="G33" i="4"/>
  <c r="N32" i="4"/>
  <c r="M32" i="4"/>
  <c r="L32" i="4"/>
  <c r="K32" i="4"/>
  <c r="I32" i="4"/>
  <c r="Y32" i="4" s="1"/>
  <c r="H32" i="4"/>
  <c r="G32" i="4"/>
  <c r="N31" i="4"/>
  <c r="M31" i="4"/>
  <c r="L31" i="4"/>
  <c r="K31" i="4"/>
  <c r="I31" i="4"/>
  <c r="X31" i="4" s="1"/>
  <c r="H31" i="4"/>
  <c r="G31" i="4"/>
  <c r="N30" i="4"/>
  <c r="M30" i="4"/>
  <c r="L30" i="4"/>
  <c r="K30" i="4"/>
  <c r="J30" i="4"/>
  <c r="I30" i="4"/>
  <c r="Z30" i="4" s="1"/>
  <c r="H30" i="4"/>
  <c r="G30" i="4"/>
  <c r="N29" i="4"/>
  <c r="M29" i="4"/>
  <c r="L29" i="4"/>
  <c r="K29" i="4"/>
  <c r="J29" i="4"/>
  <c r="I29" i="4"/>
  <c r="Y29" i="4" s="1"/>
  <c r="H29" i="4"/>
  <c r="G29" i="4"/>
  <c r="N28" i="4"/>
  <c r="M28" i="4"/>
  <c r="L28" i="4"/>
  <c r="K28" i="4"/>
  <c r="I28" i="4"/>
  <c r="X28" i="4" s="1"/>
  <c r="H28" i="4"/>
  <c r="G28" i="4"/>
  <c r="N27" i="4"/>
  <c r="M27" i="4"/>
  <c r="L27" i="4"/>
  <c r="K27" i="4"/>
  <c r="I27" i="4"/>
  <c r="X27" i="4" s="1"/>
  <c r="H27" i="4"/>
  <c r="G27" i="4"/>
  <c r="N26" i="4"/>
  <c r="M26" i="4"/>
  <c r="L26" i="4"/>
  <c r="K26" i="4"/>
  <c r="I26" i="4"/>
  <c r="X26" i="4" s="1"/>
  <c r="H26" i="4"/>
  <c r="G26" i="4"/>
  <c r="N25" i="4"/>
  <c r="M25" i="4"/>
  <c r="L25" i="4"/>
  <c r="K25" i="4"/>
  <c r="I25" i="4"/>
  <c r="X25" i="4" s="1"/>
  <c r="H25" i="4"/>
  <c r="G25" i="4"/>
  <c r="N24" i="4"/>
  <c r="M24" i="4"/>
  <c r="L24" i="4"/>
  <c r="K24" i="4"/>
  <c r="I24" i="4"/>
  <c r="X24" i="4" s="1"/>
  <c r="H24" i="4"/>
  <c r="G24" i="4"/>
  <c r="N23" i="4"/>
  <c r="M23" i="4"/>
  <c r="L23" i="4"/>
  <c r="K23" i="4"/>
  <c r="I23" i="4"/>
  <c r="Y23" i="4" s="1"/>
  <c r="H23" i="4"/>
  <c r="G23" i="4"/>
  <c r="N22" i="4"/>
  <c r="M22" i="4"/>
  <c r="L22" i="4"/>
  <c r="K22" i="4"/>
  <c r="I22" i="4"/>
  <c r="X22" i="4" s="1"/>
  <c r="H22" i="4"/>
  <c r="G22" i="4"/>
  <c r="N21" i="4"/>
  <c r="M21" i="4"/>
  <c r="L21" i="4"/>
  <c r="K21" i="4"/>
  <c r="I21" i="4"/>
  <c r="Z21" i="4" s="1"/>
  <c r="H21" i="4"/>
  <c r="G21" i="4"/>
  <c r="N20" i="4"/>
  <c r="M20" i="4"/>
  <c r="L20" i="4"/>
  <c r="K20" i="4"/>
  <c r="J20" i="4"/>
  <c r="I20" i="4"/>
  <c r="X20" i="4" s="1"/>
  <c r="H20" i="4"/>
  <c r="G20" i="4"/>
  <c r="N19" i="4"/>
  <c r="M19" i="4"/>
  <c r="L19" i="4"/>
  <c r="K19" i="4"/>
  <c r="I19" i="4"/>
  <c r="Z19" i="4" s="1"/>
  <c r="H19" i="4"/>
  <c r="G19" i="4"/>
  <c r="N18" i="4"/>
  <c r="M18" i="4"/>
  <c r="L18" i="4"/>
  <c r="K18" i="4"/>
  <c r="I18" i="4"/>
  <c r="Z18" i="4" s="1"/>
  <c r="H18" i="4"/>
  <c r="G18" i="4"/>
  <c r="N17" i="4"/>
  <c r="M17" i="4"/>
  <c r="L17" i="4"/>
  <c r="K17" i="4"/>
  <c r="I17" i="4"/>
  <c r="Y17" i="4" s="1"/>
  <c r="H17" i="4"/>
  <c r="G17" i="4"/>
  <c r="N16" i="4"/>
  <c r="M16" i="4"/>
  <c r="L16" i="4"/>
  <c r="K16" i="4"/>
  <c r="I16" i="4"/>
  <c r="Y16" i="4" s="1"/>
  <c r="H16" i="4"/>
  <c r="G16" i="4"/>
  <c r="N15" i="4"/>
  <c r="M15" i="4"/>
  <c r="L15" i="4"/>
  <c r="K15" i="4"/>
  <c r="I15" i="4"/>
  <c r="Z15" i="4" s="1"/>
  <c r="H15" i="4"/>
  <c r="G15" i="4"/>
  <c r="N14" i="4"/>
  <c r="M14" i="4"/>
  <c r="L14" i="4"/>
  <c r="K14" i="4"/>
  <c r="I14" i="4"/>
  <c r="Z14" i="4" s="1"/>
  <c r="H14" i="4"/>
  <c r="G14" i="4"/>
  <c r="N13" i="4"/>
  <c r="M13" i="4"/>
  <c r="L13" i="4"/>
  <c r="K13" i="4"/>
  <c r="I13" i="4"/>
  <c r="Z13" i="4" s="1"/>
  <c r="H13" i="4"/>
  <c r="G13" i="4"/>
  <c r="N12" i="4"/>
  <c r="M12" i="4"/>
  <c r="L12" i="4"/>
  <c r="K12" i="4"/>
  <c r="I12" i="4"/>
  <c r="Z12" i="4" s="1"/>
  <c r="H12" i="4"/>
  <c r="G12" i="4"/>
  <c r="N11" i="4"/>
  <c r="M11" i="4"/>
  <c r="L11" i="4"/>
  <c r="K11" i="4"/>
  <c r="I11" i="4"/>
  <c r="Z11" i="4" s="1"/>
  <c r="H11" i="4"/>
  <c r="G11" i="4"/>
  <c r="N10" i="4"/>
  <c r="M10" i="4"/>
  <c r="L10" i="4"/>
  <c r="K10" i="4"/>
  <c r="J10" i="4"/>
  <c r="I10" i="4"/>
  <c r="Z10" i="4" s="1"/>
  <c r="H10" i="4"/>
  <c r="G10" i="4"/>
  <c r="N9" i="4"/>
  <c r="M9" i="4"/>
  <c r="L9" i="4"/>
  <c r="K9" i="4"/>
  <c r="I9" i="4"/>
  <c r="Z9" i="4" s="1"/>
  <c r="H9" i="4"/>
  <c r="G9" i="4"/>
  <c r="N8" i="4"/>
  <c r="M8" i="4"/>
  <c r="L8" i="4"/>
  <c r="K8" i="4"/>
  <c r="J8" i="4"/>
  <c r="I8" i="4"/>
  <c r="Z8" i="4" s="1"/>
  <c r="H8" i="4"/>
  <c r="G8" i="4"/>
  <c r="N7" i="4"/>
  <c r="M7" i="4"/>
  <c r="L7" i="4"/>
  <c r="K7" i="4"/>
  <c r="I7" i="4"/>
  <c r="Z7" i="4" s="1"/>
  <c r="H7" i="4"/>
  <c r="G7" i="4"/>
  <c r="N6" i="4"/>
  <c r="N4" i="4" s="1"/>
  <c r="M6" i="4"/>
  <c r="M4" i="4" s="1"/>
  <c r="L6" i="4"/>
  <c r="L4" i="4" s="1"/>
  <c r="K6" i="4"/>
  <c r="I6" i="4"/>
  <c r="Z6" i="4" s="1"/>
  <c r="H6" i="4"/>
  <c r="G6" i="4"/>
  <c r="R30" i="32"/>
  <c r="F30" i="32"/>
  <c r="E30" i="32"/>
  <c r="D30" i="32"/>
  <c r="R29" i="32"/>
  <c r="F29" i="32"/>
  <c r="E29" i="32"/>
  <c r="D29" i="32"/>
  <c r="J28" i="32"/>
  <c r="I28" i="32"/>
  <c r="H28" i="32"/>
  <c r="F28" i="32"/>
  <c r="E28" i="32"/>
  <c r="D28" i="32"/>
  <c r="F27" i="32"/>
  <c r="E27" i="32"/>
  <c r="D27" i="32"/>
  <c r="L26" i="32"/>
  <c r="F26" i="32"/>
  <c r="E26" i="32"/>
  <c r="D26" i="32"/>
  <c r="F25" i="32"/>
  <c r="E25" i="32"/>
  <c r="D25" i="32"/>
  <c r="F24" i="32"/>
  <c r="E24" i="32"/>
  <c r="D24" i="32"/>
  <c r="L23" i="32"/>
  <c r="K23" i="32"/>
  <c r="J23" i="32"/>
  <c r="I23" i="32"/>
  <c r="H23" i="32"/>
  <c r="F23" i="32"/>
  <c r="E23" i="32"/>
  <c r="D23" i="32"/>
  <c r="G22" i="32"/>
  <c r="F22" i="32"/>
  <c r="E22" i="32"/>
  <c r="D22" i="32"/>
  <c r="F21" i="32"/>
  <c r="E21" i="32"/>
  <c r="D21" i="32"/>
  <c r="K20" i="32"/>
  <c r="F20" i="32"/>
  <c r="E20" i="32"/>
  <c r="D20" i="32"/>
  <c r="L19" i="32"/>
  <c r="F19" i="32"/>
  <c r="E19" i="32"/>
  <c r="D19" i="32"/>
  <c r="F18" i="32"/>
  <c r="E18" i="32"/>
  <c r="D18" i="32"/>
  <c r="G17" i="32"/>
  <c r="F17" i="32"/>
  <c r="E17" i="32"/>
  <c r="D17" i="32"/>
  <c r="L16" i="32"/>
  <c r="K16" i="32"/>
  <c r="J16" i="32"/>
  <c r="I16" i="32"/>
  <c r="H16" i="32"/>
  <c r="G16" i="32"/>
  <c r="F16" i="32"/>
  <c r="E16" i="32"/>
  <c r="D16" i="32"/>
  <c r="L15" i="32"/>
  <c r="J15" i="32"/>
  <c r="F15" i="32"/>
  <c r="E15" i="32"/>
  <c r="D15" i="32"/>
  <c r="F14" i="32"/>
  <c r="E14" i="32"/>
  <c r="D14" i="32"/>
  <c r="K13" i="32"/>
  <c r="J13" i="32"/>
  <c r="I13" i="32"/>
  <c r="H13" i="32"/>
  <c r="F13" i="32"/>
  <c r="E13" i="32"/>
  <c r="D13" i="32"/>
  <c r="I12" i="32"/>
  <c r="F12" i="32"/>
  <c r="E12" i="32"/>
  <c r="D12" i="32"/>
  <c r="F11" i="32"/>
  <c r="E11" i="32"/>
  <c r="D11" i="32"/>
  <c r="L10" i="32"/>
  <c r="F10" i="32"/>
  <c r="E10" i="32"/>
  <c r="D10" i="32"/>
  <c r="G9" i="32"/>
  <c r="F9" i="32"/>
  <c r="E9" i="32"/>
  <c r="D9" i="32"/>
  <c r="F8" i="32"/>
  <c r="E8" i="32"/>
  <c r="D8" i="32"/>
  <c r="F7" i="32"/>
  <c r="E7" i="32"/>
  <c r="D7" i="32"/>
  <c r="L6" i="32"/>
  <c r="J6" i="32"/>
  <c r="F6" i="32"/>
  <c r="E6" i="32"/>
  <c r="D6" i="32"/>
  <c r="F5" i="32"/>
  <c r="E5" i="32"/>
  <c r="D5" i="32"/>
  <c r="F4" i="32"/>
  <c r="E4" i="32"/>
  <c r="D4" i="32"/>
  <c r="F3" i="32"/>
  <c r="E3" i="32"/>
  <c r="D3" i="32"/>
  <c r="L2" i="32"/>
  <c r="F2" i="32"/>
  <c r="E2" i="32"/>
  <c r="D2" i="32"/>
  <c r="K36" i="7"/>
  <c r="K35" i="7"/>
  <c r="N31" i="7"/>
  <c r="M31" i="7"/>
  <c r="L31" i="7"/>
  <c r="K31" i="7"/>
  <c r="N35" i="26"/>
  <c r="N34" i="26"/>
  <c r="N33" i="26"/>
  <c r="H33" i="26"/>
  <c r="N32" i="26"/>
  <c r="H32" i="26"/>
  <c r="C32" i="26"/>
  <c r="N31" i="26"/>
  <c r="H31" i="26"/>
  <c r="G31" i="26"/>
  <c r="C31" i="26"/>
  <c r="N30" i="26"/>
  <c r="H30" i="26"/>
  <c r="C30" i="26"/>
  <c r="N29" i="26"/>
  <c r="H29" i="26"/>
  <c r="C29" i="26"/>
  <c r="N28" i="26"/>
  <c r="H28" i="26"/>
  <c r="G28" i="26"/>
  <c r="C28" i="26"/>
  <c r="N27" i="26"/>
  <c r="H27" i="26"/>
  <c r="C27" i="26"/>
  <c r="N26" i="26"/>
  <c r="H26" i="26"/>
  <c r="C26" i="26"/>
  <c r="N25" i="26"/>
  <c r="H25" i="26"/>
  <c r="G25" i="26"/>
  <c r="C25" i="26"/>
  <c r="N24" i="26"/>
  <c r="H24" i="26"/>
  <c r="G24" i="26"/>
  <c r="C24" i="26"/>
  <c r="N23" i="26"/>
  <c r="H23" i="26"/>
  <c r="G23" i="26"/>
  <c r="C23" i="26"/>
  <c r="N22" i="26"/>
  <c r="H22" i="26"/>
  <c r="G22" i="26"/>
  <c r="C22" i="26"/>
  <c r="N21" i="26"/>
  <c r="H21" i="26"/>
  <c r="G21" i="26"/>
  <c r="C21" i="26"/>
  <c r="N20" i="26"/>
  <c r="H20" i="26"/>
  <c r="G20" i="26"/>
  <c r="C20" i="26"/>
  <c r="N19" i="26"/>
  <c r="H19" i="26"/>
  <c r="G19" i="26"/>
  <c r="C19" i="26"/>
  <c r="N18" i="26"/>
  <c r="H18" i="26"/>
  <c r="G18" i="26"/>
  <c r="C18" i="26"/>
  <c r="N17" i="26"/>
  <c r="H17" i="26"/>
  <c r="C17" i="26"/>
  <c r="N16" i="26"/>
  <c r="H16" i="26"/>
  <c r="G16" i="26"/>
  <c r="C16" i="26"/>
  <c r="N15" i="26"/>
  <c r="H15" i="26"/>
  <c r="G15" i="26"/>
  <c r="C15" i="26"/>
  <c r="N14" i="26"/>
  <c r="H14" i="26"/>
  <c r="G14" i="26"/>
  <c r="C14" i="26"/>
  <c r="N13" i="26"/>
  <c r="H13" i="26"/>
  <c r="G13" i="26"/>
  <c r="C13" i="26"/>
  <c r="N12" i="26"/>
  <c r="H12" i="26"/>
  <c r="G12" i="26"/>
  <c r="C12" i="26"/>
  <c r="N11" i="26"/>
  <c r="H11" i="26"/>
  <c r="G11" i="26"/>
  <c r="C11" i="26"/>
  <c r="N10" i="26"/>
  <c r="H10" i="26"/>
  <c r="G10" i="26"/>
  <c r="C10" i="26"/>
  <c r="N9" i="26"/>
  <c r="H9" i="26"/>
  <c r="G9" i="26"/>
  <c r="C9" i="26"/>
  <c r="N8" i="26"/>
  <c r="H8" i="26"/>
  <c r="G8" i="26"/>
  <c r="C8" i="26"/>
  <c r="N7" i="26"/>
  <c r="H7" i="26"/>
  <c r="C7" i="26"/>
  <c r="N6" i="26"/>
  <c r="H6" i="26"/>
  <c r="G6" i="26"/>
  <c r="C6" i="26"/>
  <c r="N5" i="26"/>
  <c r="H5" i="26"/>
  <c r="C5" i="26"/>
  <c r="N4" i="26"/>
  <c r="H4" i="26"/>
  <c r="G4" i="26"/>
  <c r="C4" i="26"/>
  <c r="G3" i="26"/>
  <c r="C3" i="26"/>
  <c r="V37" i="3"/>
  <c r="S37" i="3"/>
  <c r="N37" i="3"/>
  <c r="V36" i="3"/>
  <c r="S36" i="3"/>
  <c r="Q36" i="3"/>
  <c r="O36" i="3"/>
  <c r="N36" i="3"/>
  <c r="V35" i="3"/>
  <c r="S35" i="3"/>
  <c r="Q35" i="3"/>
  <c r="O35" i="3"/>
  <c r="N35" i="3"/>
  <c r="V34" i="3"/>
  <c r="S34" i="3"/>
  <c r="Q34" i="3"/>
  <c r="O34" i="3"/>
  <c r="N34" i="3"/>
  <c r="M34" i="3"/>
  <c r="V33" i="3"/>
  <c r="P37" i="11" s="1"/>
  <c r="S33" i="3"/>
  <c r="P37" i="9" s="1"/>
  <c r="O37" i="9" s="1"/>
  <c r="S37" i="9" s="1"/>
  <c r="T37" i="9" s="1"/>
  <c r="Q33" i="3"/>
  <c r="O33" i="3"/>
  <c r="V32" i="3"/>
  <c r="P36" i="11" s="1"/>
  <c r="S32" i="3"/>
  <c r="P36" i="9" s="1"/>
  <c r="Q32" i="3"/>
  <c r="O32" i="3"/>
  <c r="C32" i="3"/>
  <c r="V31" i="3"/>
  <c r="P35" i="11" s="1"/>
  <c r="O35" i="11" s="1"/>
  <c r="S31" i="3"/>
  <c r="P35" i="9" s="1"/>
  <c r="O35" i="9" s="1"/>
  <c r="Q31" i="3"/>
  <c r="O31" i="3"/>
  <c r="N31" i="3"/>
  <c r="M31" i="3"/>
  <c r="P34" i="4" s="1"/>
  <c r="V34" i="4" s="1"/>
  <c r="H31" i="3"/>
  <c r="O34" i="2" s="1"/>
  <c r="G31" i="3"/>
  <c r="K35" i="11" s="1"/>
  <c r="C31" i="3"/>
  <c r="V30" i="3"/>
  <c r="P34" i="11" s="1"/>
  <c r="S30" i="3"/>
  <c r="P34" i="9" s="1"/>
  <c r="C28" i="33" s="1"/>
  <c r="O28" i="33" s="1"/>
  <c r="Q30" i="3"/>
  <c r="O30" i="3"/>
  <c r="C30" i="3"/>
  <c r="V29" i="3"/>
  <c r="P33" i="11" s="1"/>
  <c r="S29" i="3"/>
  <c r="P33" i="9" s="1"/>
  <c r="Q29" i="3"/>
  <c r="O29" i="3"/>
  <c r="C29" i="3"/>
  <c r="V28" i="3"/>
  <c r="P32" i="11" s="1"/>
  <c r="R32" i="11" s="1"/>
  <c r="S28" i="3"/>
  <c r="P32" i="9" s="1"/>
  <c r="Q28" i="3"/>
  <c r="O28" i="3"/>
  <c r="K32" i="9"/>
  <c r="C28" i="3"/>
  <c r="V27" i="3"/>
  <c r="P31" i="11" s="1"/>
  <c r="S27" i="3"/>
  <c r="P31" i="9" s="1"/>
  <c r="O31" i="9" s="1"/>
  <c r="Q27" i="3"/>
  <c r="O27" i="3"/>
  <c r="C27" i="3"/>
  <c r="V26" i="3"/>
  <c r="P30" i="11" s="1"/>
  <c r="Q30" i="11" s="1"/>
  <c r="N24" i="34" s="1"/>
  <c r="S26" i="3"/>
  <c r="P30" i="9" s="1"/>
  <c r="Q26" i="3"/>
  <c r="O26" i="3"/>
  <c r="C26" i="3"/>
  <c r="V25" i="3"/>
  <c r="P29" i="11" s="1"/>
  <c r="O29" i="11" s="1"/>
  <c r="S25" i="3"/>
  <c r="P29" i="9" s="1"/>
  <c r="Q25" i="3"/>
  <c r="O25" i="3"/>
  <c r="G25" i="3"/>
  <c r="K29" i="11" s="1"/>
  <c r="C25" i="3"/>
  <c r="V24" i="3"/>
  <c r="P28" i="11" s="1"/>
  <c r="R28" i="11" s="1"/>
  <c r="S24" i="3"/>
  <c r="P28" i="9" s="1"/>
  <c r="Q24" i="3"/>
  <c r="O24" i="3"/>
  <c r="G24" i="3"/>
  <c r="K28" i="11" s="1"/>
  <c r="C24" i="3"/>
  <c r="V23" i="3"/>
  <c r="P27" i="11" s="1"/>
  <c r="S23" i="3"/>
  <c r="P27" i="9" s="1"/>
  <c r="Q23" i="3"/>
  <c r="O23" i="3"/>
  <c r="G23" i="3"/>
  <c r="K26" i="2" s="1"/>
  <c r="C23" i="3"/>
  <c r="V22" i="3"/>
  <c r="P26" i="11" s="1"/>
  <c r="S22" i="3"/>
  <c r="P26" i="9" s="1"/>
  <c r="Q22" i="3"/>
  <c r="O22" i="3"/>
  <c r="G22" i="3"/>
  <c r="K25" i="36" s="1"/>
  <c r="C22" i="3"/>
  <c r="V21" i="3"/>
  <c r="P25" i="11" s="1"/>
  <c r="R25" i="11" s="1"/>
  <c r="S21" i="3"/>
  <c r="P25" i="9" s="1"/>
  <c r="Q21" i="3"/>
  <c r="O21" i="3"/>
  <c r="G21" i="3"/>
  <c r="K25" i="11" s="1"/>
  <c r="C21" i="3"/>
  <c r="V20" i="3"/>
  <c r="P24" i="11" s="1"/>
  <c r="S20" i="3"/>
  <c r="P24" i="9" s="1"/>
  <c r="Q20" i="3"/>
  <c r="O20" i="3"/>
  <c r="G20" i="3"/>
  <c r="K24" i="9" s="1"/>
  <c r="C20" i="3"/>
  <c r="V19" i="3"/>
  <c r="P23" i="11" s="1"/>
  <c r="R23" i="11" s="1"/>
  <c r="S19" i="3"/>
  <c r="P23" i="9" s="1"/>
  <c r="Q23" i="9" s="1"/>
  <c r="Q19" i="3"/>
  <c r="O19" i="3"/>
  <c r="G19" i="3"/>
  <c r="J22" i="4" s="1"/>
  <c r="C19" i="3"/>
  <c r="V18" i="3"/>
  <c r="P22" i="11"/>
  <c r="R22" i="11" s="1"/>
  <c r="S18" i="3"/>
  <c r="P22" i="9" s="1"/>
  <c r="Q18" i="3"/>
  <c r="O18" i="3"/>
  <c r="G18" i="3"/>
  <c r="K22" i="11" s="1"/>
  <c r="C18" i="3"/>
  <c r="V17" i="3"/>
  <c r="P21" i="11" s="1"/>
  <c r="S17" i="3"/>
  <c r="P21" i="9" s="1"/>
  <c r="Q17" i="3"/>
  <c r="O17" i="3"/>
  <c r="C17" i="3"/>
  <c r="V16" i="3"/>
  <c r="P20" i="11" s="1"/>
  <c r="R20" i="11" s="1"/>
  <c r="S16" i="3"/>
  <c r="P20" i="9" s="1"/>
  <c r="Q16" i="3"/>
  <c r="O16" i="3"/>
  <c r="G16" i="3"/>
  <c r="K19" i="36" s="1"/>
  <c r="C16" i="3"/>
  <c r="V15" i="3"/>
  <c r="P19" i="11" s="1"/>
  <c r="Q19" i="11" s="1"/>
  <c r="S15" i="3"/>
  <c r="P19" i="9" s="1"/>
  <c r="Q15" i="3"/>
  <c r="O15" i="3"/>
  <c r="G15" i="3"/>
  <c r="K19" i="11" s="1"/>
  <c r="C15" i="3"/>
  <c r="V14" i="3"/>
  <c r="P18" i="11" s="1"/>
  <c r="Q18" i="11" s="1"/>
  <c r="S14" i="3"/>
  <c r="P18" i="9" s="1"/>
  <c r="Q14" i="3"/>
  <c r="O14" i="3"/>
  <c r="G14" i="3"/>
  <c r="K17" i="2" s="1"/>
  <c r="C14" i="3"/>
  <c r="V13" i="3"/>
  <c r="P17" i="11" s="1"/>
  <c r="Q17" i="11" s="1"/>
  <c r="S13" i="3"/>
  <c r="P17" i="9" s="1"/>
  <c r="Q13" i="3"/>
  <c r="O13" i="3"/>
  <c r="G13" i="3"/>
  <c r="K16" i="36" s="1"/>
  <c r="C13" i="3"/>
  <c r="V12" i="3"/>
  <c r="P16" i="11" s="1"/>
  <c r="S12" i="3"/>
  <c r="P16" i="9" s="1"/>
  <c r="Q12" i="3"/>
  <c r="O12" i="3"/>
  <c r="G12" i="3"/>
  <c r="K16" i="9" s="1"/>
  <c r="C12" i="3"/>
  <c r="V11" i="3"/>
  <c r="P15" i="11" s="1"/>
  <c r="Q15" i="11" s="1"/>
  <c r="S11" i="3"/>
  <c r="P15" i="9" s="1"/>
  <c r="Q11" i="3"/>
  <c r="O11" i="3"/>
  <c r="G11" i="3"/>
  <c r="K15" i="9" s="1"/>
  <c r="C11" i="3"/>
  <c r="V10" i="3"/>
  <c r="P14" i="11" s="1"/>
  <c r="Q14" i="11" s="1"/>
  <c r="S10" i="3"/>
  <c r="P14" i="9" s="1"/>
  <c r="Q10" i="3"/>
  <c r="O10" i="3"/>
  <c r="G10" i="3"/>
  <c r="K14" i="11" s="1"/>
  <c r="C10" i="3"/>
  <c r="V9" i="3"/>
  <c r="P13" i="11" s="1"/>
  <c r="Q13" i="11" s="1"/>
  <c r="S9" i="3"/>
  <c r="P13" i="9" s="1"/>
  <c r="Q13" i="9" s="1"/>
  <c r="Q9" i="3"/>
  <c r="O9" i="3"/>
  <c r="G9" i="3"/>
  <c r="K13" i="9" s="1"/>
  <c r="C9" i="3"/>
  <c r="V8" i="3"/>
  <c r="P12" i="11" s="1"/>
  <c r="O12" i="11" s="1"/>
  <c r="S8" i="3"/>
  <c r="P12" i="9" s="1"/>
  <c r="Q8" i="3"/>
  <c r="O8" i="3"/>
  <c r="G8" i="3"/>
  <c r="J11" i="4" s="1"/>
  <c r="C8" i="3"/>
  <c r="V7" i="3"/>
  <c r="P11" i="11" s="1"/>
  <c r="Q11" i="11" s="1"/>
  <c r="S7" i="3"/>
  <c r="P11" i="9" s="1"/>
  <c r="Q7" i="3"/>
  <c r="O7" i="3"/>
  <c r="C7" i="3"/>
  <c r="V6" i="3"/>
  <c r="P10" i="11" s="1"/>
  <c r="O10" i="11" s="1"/>
  <c r="S6" i="3"/>
  <c r="P10" i="9" s="1"/>
  <c r="Q10" i="9" s="1"/>
  <c r="Q6" i="3"/>
  <c r="O6" i="3"/>
  <c r="G6" i="3"/>
  <c r="K10" i="9" s="1"/>
  <c r="C6" i="3"/>
  <c r="V5" i="3"/>
  <c r="P9" i="11" s="1"/>
  <c r="R9" i="11" s="1"/>
  <c r="S5" i="3"/>
  <c r="P9" i="9" s="1"/>
  <c r="Q5" i="3"/>
  <c r="O5" i="3"/>
  <c r="C5" i="3"/>
  <c r="V4" i="3"/>
  <c r="P8" i="11" s="1"/>
  <c r="S4" i="3"/>
  <c r="P8" i="9"/>
  <c r="Q4" i="3"/>
  <c r="P4" i="3"/>
  <c r="O4" i="3"/>
  <c r="G4" i="3"/>
  <c r="K7" i="2" s="1"/>
  <c r="C4" i="3"/>
  <c r="V3" i="3"/>
  <c r="P7" i="11" s="1"/>
  <c r="O7" i="11" s="1"/>
  <c r="S3" i="3"/>
  <c r="P7" i="9" s="1"/>
  <c r="Q3" i="3"/>
  <c r="P3" i="3"/>
  <c r="O3" i="3"/>
  <c r="N3" i="3"/>
  <c r="M3" i="3"/>
  <c r="P6" i="4" s="1"/>
  <c r="H3" i="3"/>
  <c r="O6" i="2" s="1"/>
  <c r="G3" i="3"/>
  <c r="K7" i="9" s="1"/>
  <c r="C3" i="3"/>
  <c r="K32" i="11"/>
  <c r="K31" i="2"/>
  <c r="Y18" i="9"/>
  <c r="X10" i="9"/>
  <c r="Y8" i="9"/>
  <c r="W28" i="9"/>
  <c r="Y25" i="9"/>
  <c r="X24" i="9"/>
  <c r="Y21" i="9"/>
  <c r="X14" i="9"/>
  <c r="X37" i="9"/>
  <c r="X9" i="9"/>
  <c r="Y31" i="9"/>
  <c r="Y29" i="9"/>
  <c r="W32" i="9"/>
  <c r="X11" i="9"/>
  <c r="W27" i="9"/>
  <c r="W17" i="9"/>
  <c r="X35" i="9"/>
  <c r="R32" i="7"/>
  <c r="W32" i="7"/>
  <c r="S32" i="7"/>
  <c r="S31" i="7"/>
  <c r="R31" i="7"/>
  <c r="Q31" i="7"/>
  <c r="W31" i="7"/>
  <c r="X32" i="9"/>
  <c r="L2" i="20" a="1"/>
  <c r="L2" i="20" s="1"/>
  <c r="M2" i="20" s="1"/>
  <c r="I2" i="20" a="1"/>
  <c r="J18" i="20" s="1"/>
  <c r="A2" i="20" a="1"/>
  <c r="P20" i="7" s="1"/>
  <c r="E2" i="20" a="1"/>
  <c r="Q32" i="7"/>
  <c r="AK6" i="8" l="1"/>
  <c r="AD6" i="8"/>
  <c r="P33" i="30"/>
  <c r="M33" i="30"/>
  <c r="P34" i="30"/>
  <c r="M34" i="30"/>
  <c r="P32" i="30"/>
  <c r="M32" i="30"/>
  <c r="P31" i="30"/>
  <c r="M31" i="30"/>
  <c r="K10" i="35"/>
  <c r="AJ20" i="8"/>
  <c r="M19" i="35"/>
  <c r="AF6" i="8"/>
  <c r="AG6" i="8" s="1"/>
  <c r="K5" i="35" s="1"/>
  <c r="AL1" i="8"/>
  <c r="O2" i="35"/>
  <c r="AM20" i="8"/>
  <c r="K19" i="35"/>
  <c r="AF5" i="8"/>
  <c r="AG5" i="8" s="1"/>
  <c r="K4" i="35" s="1"/>
  <c r="G7" i="35"/>
  <c r="AH15" i="8"/>
  <c r="AH17" i="8"/>
  <c r="AH18" i="8"/>
  <c r="K13" i="36"/>
  <c r="K22" i="36"/>
  <c r="K27" i="36"/>
  <c r="K6" i="36"/>
  <c r="J6" i="4"/>
  <c r="K12" i="11"/>
  <c r="K11" i="36"/>
  <c r="K25" i="9"/>
  <c r="K15" i="36"/>
  <c r="K12" i="2"/>
  <c r="V12" i="2" s="1"/>
  <c r="K24" i="2"/>
  <c r="V24" i="2" s="1"/>
  <c r="K23" i="36"/>
  <c r="K18" i="2"/>
  <c r="V18" i="2" s="1"/>
  <c r="K19" i="9"/>
  <c r="W36" i="2"/>
  <c r="J24" i="4"/>
  <c r="K34" i="36"/>
  <c r="K26" i="11"/>
  <c r="K17" i="36"/>
  <c r="AN1" i="8"/>
  <c r="W18" i="2"/>
  <c r="V31" i="2"/>
  <c r="W30" i="2"/>
  <c r="W34" i="36"/>
  <c r="P34" i="36"/>
  <c r="W15" i="2"/>
  <c r="M14" i="32"/>
  <c r="L14" i="31"/>
  <c r="M14" i="34"/>
  <c r="M14" i="33"/>
  <c r="W6" i="36"/>
  <c r="Z6" i="36"/>
  <c r="T31" i="37" s="1"/>
  <c r="Q6" i="36"/>
  <c r="T6" i="36" s="1"/>
  <c r="Q34" i="36"/>
  <c r="T34" i="36" s="1"/>
  <c r="Z34" i="36"/>
  <c r="V34" i="36"/>
  <c r="AA37" i="4"/>
  <c r="AB37" i="4" s="1"/>
  <c r="W27" i="2"/>
  <c r="W7" i="2"/>
  <c r="W17" i="2"/>
  <c r="W19" i="2"/>
  <c r="R37" i="11"/>
  <c r="S7" i="9"/>
  <c r="T7" i="9" s="1"/>
  <c r="G7" i="32"/>
  <c r="H7" i="32"/>
  <c r="L4" i="32"/>
  <c r="G8" i="32"/>
  <c r="N31" i="33"/>
  <c r="J9" i="32"/>
  <c r="M14" i="6"/>
  <c r="N14" i="6" s="1"/>
  <c r="C29" i="33"/>
  <c r="O29" i="33" s="1"/>
  <c r="K9" i="32"/>
  <c r="I4" i="32"/>
  <c r="J4" i="32"/>
  <c r="C29" i="34"/>
  <c r="G20" i="32"/>
  <c r="M13" i="6"/>
  <c r="N13" i="6" s="1"/>
  <c r="I7" i="32"/>
  <c r="J3" i="32"/>
  <c r="J7" i="32"/>
  <c r="K12" i="32"/>
  <c r="K3" i="32"/>
  <c r="K7" i="32"/>
  <c r="G23" i="32"/>
  <c r="L3" i="32"/>
  <c r="L7" i="32"/>
  <c r="I29" i="32"/>
  <c r="J29" i="32"/>
  <c r="V7" i="2"/>
  <c r="K29" i="32"/>
  <c r="H4" i="32"/>
  <c r="C31" i="33"/>
  <c r="O31" i="33" s="1"/>
  <c r="L13" i="32"/>
  <c r="K4" i="32"/>
  <c r="L30" i="32"/>
  <c r="H20" i="32"/>
  <c r="I20" i="32"/>
  <c r="H26" i="32"/>
  <c r="C25" i="34"/>
  <c r="G19" i="32"/>
  <c r="M15" i="6"/>
  <c r="N15" i="6" s="1"/>
  <c r="I10" i="32"/>
  <c r="J20" i="32"/>
  <c r="K26" i="32"/>
  <c r="N34" i="33"/>
  <c r="J10" i="32"/>
  <c r="V10" i="2"/>
  <c r="H6" i="32"/>
  <c r="K10" i="32"/>
  <c r="N33" i="33"/>
  <c r="N32" i="33"/>
  <c r="R39" i="9"/>
  <c r="Z39" i="9" s="1"/>
  <c r="M7" i="6"/>
  <c r="N7" i="6" s="1"/>
  <c r="K18" i="11"/>
  <c r="J15" i="4"/>
  <c r="K26" i="9"/>
  <c r="K16" i="11"/>
  <c r="K12" i="9"/>
  <c r="J21" i="4"/>
  <c r="J19" i="4"/>
  <c r="K23" i="9"/>
  <c r="K29" i="9"/>
  <c r="J18" i="4"/>
  <c r="J28" i="4"/>
  <c r="K24" i="36"/>
  <c r="K22" i="2"/>
  <c r="V22" i="2" s="1"/>
  <c r="K23" i="11"/>
  <c r="K28" i="36"/>
  <c r="X31" i="7"/>
  <c r="Y31" i="7" s="1"/>
  <c r="Z31" i="7" s="1"/>
  <c r="X18" i="4"/>
  <c r="X14" i="4"/>
  <c r="Y24" i="4"/>
  <c r="K28" i="2"/>
  <c r="V28" i="2" s="1"/>
  <c r="K15" i="11"/>
  <c r="R39" i="11"/>
  <c r="U39" i="11" s="1"/>
  <c r="Q39" i="11"/>
  <c r="Y6" i="36"/>
  <c r="S31" i="37" s="1"/>
  <c r="V6" i="36"/>
  <c r="P6" i="36"/>
  <c r="N33" i="37" s="1"/>
  <c r="AA38" i="4"/>
  <c r="C20" i="34"/>
  <c r="R26" i="11"/>
  <c r="P35" i="2"/>
  <c r="K20" i="11"/>
  <c r="K14" i="2"/>
  <c r="V14" i="2" s="1"/>
  <c r="K20" i="9"/>
  <c r="X12" i="4"/>
  <c r="W32" i="2"/>
  <c r="K22" i="9"/>
  <c r="W12" i="2"/>
  <c r="W16" i="2"/>
  <c r="Y30" i="4"/>
  <c r="X15" i="4"/>
  <c r="K6" i="2"/>
  <c r="V6" i="2" s="1"/>
  <c r="K7" i="36"/>
  <c r="K14" i="36"/>
  <c r="W20" i="2"/>
  <c r="Y27" i="4"/>
  <c r="K35" i="9"/>
  <c r="J14" i="4"/>
  <c r="J34" i="4"/>
  <c r="K13" i="2"/>
  <c r="V13" i="2" s="1"/>
  <c r="K28" i="9"/>
  <c r="W6" i="2"/>
  <c r="T34" i="30" s="1"/>
  <c r="Z28" i="4"/>
  <c r="K34" i="2"/>
  <c r="Q34" i="2" s="1"/>
  <c r="T34" i="2" s="1"/>
  <c r="J12" i="4"/>
  <c r="K11" i="2"/>
  <c r="V11" i="2" s="1"/>
  <c r="K27" i="2"/>
  <c r="V27" i="2" s="1"/>
  <c r="K13" i="11"/>
  <c r="Z26" i="4"/>
  <c r="K7" i="11"/>
  <c r="T31" i="7"/>
  <c r="U31" i="7" s="1"/>
  <c r="W8" i="2"/>
  <c r="K19" i="2"/>
  <c r="V19" i="2" s="1"/>
  <c r="K25" i="2"/>
  <c r="V25" i="2" s="1"/>
  <c r="K9" i="2"/>
  <c r="V9" i="2" s="1"/>
  <c r="Z23" i="4"/>
  <c r="J27" i="4"/>
  <c r="W31" i="2"/>
  <c r="J25" i="4"/>
  <c r="K21" i="2"/>
  <c r="V21" i="2" s="1"/>
  <c r="J9" i="4"/>
  <c r="K12" i="36"/>
  <c r="Z22" i="4"/>
  <c r="K27" i="9"/>
  <c r="K26" i="36"/>
  <c r="Z20" i="4"/>
  <c r="O36" i="9"/>
  <c r="V36" i="9" s="1"/>
  <c r="C26" i="34"/>
  <c r="C30" i="34"/>
  <c r="X19" i="4"/>
  <c r="Z33" i="4"/>
  <c r="V20" i="2"/>
  <c r="W24" i="2"/>
  <c r="W28" i="2"/>
  <c r="X17" i="4"/>
  <c r="Z29" i="4"/>
  <c r="X9" i="4"/>
  <c r="Z25" i="4"/>
  <c r="V17" i="2"/>
  <c r="W9" i="2"/>
  <c r="K23" i="2"/>
  <c r="V23" i="2" s="1"/>
  <c r="W13" i="2"/>
  <c r="Y6" i="4"/>
  <c r="W25" i="2"/>
  <c r="V29" i="2"/>
  <c r="J13" i="4"/>
  <c r="W21" i="2"/>
  <c r="Z16" i="4"/>
  <c r="J17" i="4"/>
  <c r="K21" i="36"/>
  <c r="X6" i="4"/>
  <c r="Y21" i="4"/>
  <c r="K17" i="11"/>
  <c r="K18" i="9"/>
  <c r="W33" i="2"/>
  <c r="W34" i="2"/>
  <c r="W13" i="9"/>
  <c r="K10" i="11"/>
  <c r="K15" i="2"/>
  <c r="V15" i="2" s="1"/>
  <c r="K14" i="9"/>
  <c r="W10" i="2"/>
  <c r="W14" i="2"/>
  <c r="V26" i="2"/>
  <c r="X36" i="4"/>
  <c r="Y13" i="4"/>
  <c r="W22" i="2"/>
  <c r="W26" i="2"/>
  <c r="X35" i="4"/>
  <c r="Y11" i="4"/>
  <c r="J16" i="4"/>
  <c r="V33" i="2"/>
  <c r="J31" i="4"/>
  <c r="J23" i="4"/>
  <c r="J7" i="4"/>
  <c r="K8" i="11"/>
  <c r="K8" i="9"/>
  <c r="K18" i="36"/>
  <c r="K31" i="36"/>
  <c r="P7" i="2"/>
  <c r="V30" i="2"/>
  <c r="X34" i="4"/>
  <c r="Y10" i="4"/>
  <c r="Y8" i="4"/>
  <c r="X32" i="4"/>
  <c r="Y7" i="4"/>
  <c r="N32" i="30"/>
  <c r="K16" i="2"/>
  <c r="V16" i="2" s="1"/>
  <c r="W29" i="2"/>
  <c r="X7" i="9"/>
  <c r="K9" i="36"/>
  <c r="W11" i="2"/>
  <c r="V32" i="2"/>
  <c r="K27" i="11"/>
  <c r="W23" i="2"/>
  <c r="Q28" i="11"/>
  <c r="N22" i="34" s="1"/>
  <c r="J26" i="4"/>
  <c r="Q32" i="11"/>
  <c r="N26" i="34" s="1"/>
  <c r="K24" i="11"/>
  <c r="Q26" i="11"/>
  <c r="N20" i="34" s="1"/>
  <c r="X15" i="9"/>
  <c r="K17" i="9"/>
  <c r="V8" i="2"/>
  <c r="R36" i="11"/>
  <c r="Q23" i="11"/>
  <c r="N17" i="34" s="1"/>
  <c r="R29" i="11"/>
  <c r="V29" i="11" s="1"/>
  <c r="P23" i="34" s="1"/>
  <c r="R12" i="11"/>
  <c r="V12" i="11" s="1"/>
  <c r="P6" i="34" s="1"/>
  <c r="J29" i="20"/>
  <c r="G3" i="20"/>
  <c r="F7" i="20"/>
  <c r="G4" i="20"/>
  <c r="G8" i="20"/>
  <c r="G10" i="20"/>
  <c r="T32" i="37"/>
  <c r="Y38" i="2"/>
  <c r="O17" i="11"/>
  <c r="T17" i="11" s="1"/>
  <c r="B22" i="20"/>
  <c r="B10" i="20"/>
  <c r="R18" i="11"/>
  <c r="U18" i="11" s="1"/>
  <c r="S38" i="2"/>
  <c r="R17" i="11"/>
  <c r="V17" i="11" s="1"/>
  <c r="P11" i="34" s="1"/>
  <c r="C20" i="33"/>
  <c r="O20" i="33" s="1"/>
  <c r="T38" i="2"/>
  <c r="Q35" i="11"/>
  <c r="C15" i="20"/>
  <c r="C10" i="20"/>
  <c r="Q12" i="11"/>
  <c r="N6" i="34" s="1"/>
  <c r="Q20" i="7"/>
  <c r="R11" i="11"/>
  <c r="V11" i="11" s="1"/>
  <c r="P5" i="34" s="1"/>
  <c r="C5" i="34"/>
  <c r="O11" i="11"/>
  <c r="T11" i="11" s="1"/>
  <c r="C21" i="34"/>
  <c r="U34" i="30"/>
  <c r="Q21" i="11"/>
  <c r="N15" i="34" s="1"/>
  <c r="R21" i="11"/>
  <c r="V21" i="11" s="1"/>
  <c r="P15" i="34" s="1"/>
  <c r="O21" i="11"/>
  <c r="T21" i="11" s="1"/>
  <c r="V38" i="4"/>
  <c r="Q24" i="11"/>
  <c r="N18" i="34" s="1"/>
  <c r="O24" i="11"/>
  <c r="S24" i="11" s="1"/>
  <c r="C18" i="34"/>
  <c r="V37" i="4"/>
  <c r="Q34" i="11"/>
  <c r="N28" i="34" s="1"/>
  <c r="O34" i="11"/>
  <c r="T34" i="11" s="1"/>
  <c r="N6" i="15"/>
  <c r="AA7" i="3" s="1"/>
  <c r="O10" i="36" s="1"/>
  <c r="Q38" i="9"/>
  <c r="O38" i="9"/>
  <c r="V38" i="9" s="1"/>
  <c r="C28" i="34"/>
  <c r="R24" i="11"/>
  <c r="V24" i="11" s="1"/>
  <c r="P18" i="34" s="1"/>
  <c r="R37" i="4"/>
  <c r="O37" i="4"/>
  <c r="S37" i="4"/>
  <c r="Q37" i="4"/>
  <c r="O30" i="11"/>
  <c r="T30" i="11" s="1"/>
  <c r="R30" i="11"/>
  <c r="V30" i="11" s="1"/>
  <c r="P24" i="34" s="1"/>
  <c r="C24" i="34"/>
  <c r="M3" i="20"/>
  <c r="N20" i="15" s="1"/>
  <c r="AA27" i="3" s="1"/>
  <c r="O30" i="36" s="1"/>
  <c r="W30" i="36" s="1"/>
  <c r="P9" i="7"/>
  <c r="Q9" i="7" s="1"/>
  <c r="O25" i="11"/>
  <c r="T25" i="11" s="1"/>
  <c r="P18" i="7"/>
  <c r="N17" i="33"/>
  <c r="P7" i="7"/>
  <c r="Q7" i="7" s="1"/>
  <c r="V38" i="36"/>
  <c r="Z38" i="36"/>
  <c r="J8" i="20"/>
  <c r="P28" i="7"/>
  <c r="Q38" i="36"/>
  <c r="V37" i="36"/>
  <c r="Z37" i="36"/>
  <c r="Q37" i="36"/>
  <c r="C2" i="33"/>
  <c r="O2" i="33" s="1"/>
  <c r="J14" i="20"/>
  <c r="B20" i="20"/>
  <c r="J23" i="20"/>
  <c r="C5" i="20"/>
  <c r="J22" i="20"/>
  <c r="B18" i="20"/>
  <c r="J3" i="20"/>
  <c r="C20" i="20"/>
  <c r="J5" i="20"/>
  <c r="P22" i="7"/>
  <c r="C6" i="34"/>
  <c r="Y37" i="36"/>
  <c r="C10" i="33"/>
  <c r="O10" i="33" s="1"/>
  <c r="F10" i="20"/>
  <c r="P24" i="7"/>
  <c r="F8" i="20"/>
  <c r="P25" i="7"/>
  <c r="R35" i="11"/>
  <c r="U35" i="11" s="1"/>
  <c r="C23" i="34"/>
  <c r="R31" i="11"/>
  <c r="U31" i="11" s="1"/>
  <c r="W38" i="36"/>
  <c r="R13" i="11"/>
  <c r="U13" i="11" s="1"/>
  <c r="G6" i="20"/>
  <c r="G7" i="20"/>
  <c r="O32" i="11"/>
  <c r="S32" i="11" s="1"/>
  <c r="Q29" i="11"/>
  <c r="N23" i="34" s="1"/>
  <c r="C26" i="33"/>
  <c r="O26" i="33" s="1"/>
  <c r="C3" i="33"/>
  <c r="O3" i="33" s="1"/>
  <c r="J26" i="20"/>
  <c r="P15" i="7"/>
  <c r="Q15" i="7" s="1"/>
  <c r="J15" i="20"/>
  <c r="B16" i="20"/>
  <c r="F9" i="20"/>
  <c r="P16" i="7"/>
  <c r="Q16" i="7" s="1"/>
  <c r="C30" i="33"/>
  <c r="O30" i="33" s="1"/>
  <c r="Y38" i="36"/>
  <c r="E2" i="20"/>
  <c r="F3" i="20"/>
  <c r="G9" i="20"/>
  <c r="G5" i="20"/>
  <c r="C25" i="33"/>
  <c r="O25" i="33" s="1"/>
  <c r="W37" i="36"/>
  <c r="C23" i="33"/>
  <c r="O23" i="33" s="1"/>
  <c r="C11" i="34"/>
  <c r="C8" i="34"/>
  <c r="C11" i="33"/>
  <c r="O11" i="33" s="1"/>
  <c r="C4" i="34"/>
  <c r="AF3" i="8"/>
  <c r="AG3" i="8" s="1"/>
  <c r="K2" i="35" s="1"/>
  <c r="AF15" i="8"/>
  <c r="AG15" i="8" s="1"/>
  <c r="K14" i="35" s="1"/>
  <c r="AF7" i="8"/>
  <c r="AG7" i="8" s="1"/>
  <c r="K6" i="35" s="1"/>
  <c r="AF12" i="8"/>
  <c r="AG12" i="8" s="1"/>
  <c r="K11" i="35" s="1"/>
  <c r="AF16" i="8"/>
  <c r="AG16" i="8" s="1"/>
  <c r="K15" i="35" s="1"/>
  <c r="AF8" i="8"/>
  <c r="AG8" i="8" s="1"/>
  <c r="AF4" i="8"/>
  <c r="AG4" i="8" s="1"/>
  <c r="K3" i="35" s="1"/>
  <c r="AF17" i="8"/>
  <c r="AG17" i="8" s="1"/>
  <c r="K16" i="35" s="1"/>
  <c r="AF9" i="8"/>
  <c r="AG9" i="8" s="1"/>
  <c r="K8" i="35" s="1"/>
  <c r="AF18" i="8"/>
  <c r="AG18" i="8" s="1"/>
  <c r="K17" i="35" s="1"/>
  <c r="Z3" i="8" a="1"/>
  <c r="Z3" i="8" s="1"/>
  <c r="I3" i="35"/>
  <c r="AF10" i="8"/>
  <c r="AG10" i="8" s="1"/>
  <c r="K9" i="35" s="1"/>
  <c r="H2" i="35"/>
  <c r="AF14" i="8"/>
  <c r="AG14" i="8" s="1"/>
  <c r="K13" i="35" s="1"/>
  <c r="W18" i="9"/>
  <c r="AA18" i="9"/>
  <c r="Q12" i="33" s="1"/>
  <c r="M5" i="9"/>
  <c r="N5" i="9"/>
  <c r="K27" i="32"/>
  <c r="L27" i="32"/>
  <c r="C15" i="33"/>
  <c r="O15" i="33" s="1"/>
  <c r="I21" i="32"/>
  <c r="K24" i="32"/>
  <c r="K28" i="32"/>
  <c r="M10" i="6"/>
  <c r="N10" i="6" s="1"/>
  <c r="M27" i="6"/>
  <c r="N27" i="6" s="1"/>
  <c r="N5" i="34"/>
  <c r="J21" i="32"/>
  <c r="L28" i="32"/>
  <c r="L9" i="32"/>
  <c r="G18" i="32"/>
  <c r="K21" i="32"/>
  <c r="M26" i="6"/>
  <c r="N26" i="6" s="1"/>
  <c r="L3" i="2"/>
  <c r="U31" i="9"/>
  <c r="W31" i="9" s="1"/>
  <c r="H14" i="32"/>
  <c r="H18" i="32"/>
  <c r="L21" i="32"/>
  <c r="M8" i="6"/>
  <c r="N8" i="6" s="1"/>
  <c r="I18" i="32"/>
  <c r="H25" i="32"/>
  <c r="M25" i="6"/>
  <c r="N25" i="6" s="1"/>
  <c r="J24" i="32"/>
  <c r="J18" i="32"/>
  <c r="I25" i="32"/>
  <c r="J17" i="32"/>
  <c r="I24" i="32"/>
  <c r="V37" i="9"/>
  <c r="C18" i="33"/>
  <c r="O18" i="33" s="1"/>
  <c r="H21" i="32"/>
  <c r="Z37" i="9"/>
  <c r="G10" i="32"/>
  <c r="J25" i="32"/>
  <c r="M24" i="6"/>
  <c r="N24" i="6" s="1"/>
  <c r="N25" i="33"/>
  <c r="I17" i="32"/>
  <c r="H24" i="32"/>
  <c r="S31" i="9"/>
  <c r="T31" i="9" s="1"/>
  <c r="H15" i="32"/>
  <c r="K25" i="32"/>
  <c r="C19" i="33"/>
  <c r="O19" i="33" s="1"/>
  <c r="K6" i="32"/>
  <c r="I15" i="32"/>
  <c r="L25" i="32"/>
  <c r="M23" i="6"/>
  <c r="N23" i="6" s="1"/>
  <c r="M5" i="6"/>
  <c r="N5" i="6" s="1"/>
  <c r="N3" i="33"/>
  <c r="H17" i="32"/>
  <c r="I22" i="32"/>
  <c r="L29" i="32"/>
  <c r="J22" i="32"/>
  <c r="M28" i="6"/>
  <c r="N28" i="6" s="1"/>
  <c r="C34" i="33"/>
  <c r="O34" i="33" s="1"/>
  <c r="H19" i="32"/>
  <c r="K22" i="32"/>
  <c r="C13" i="33"/>
  <c r="O13" i="33" s="1"/>
  <c r="I19" i="32"/>
  <c r="L22" i="32"/>
  <c r="R38" i="9"/>
  <c r="I26" i="32"/>
  <c r="K19" i="32"/>
  <c r="J26" i="32"/>
  <c r="G30" i="32"/>
  <c r="M32" i="6"/>
  <c r="C15" i="34"/>
  <c r="M31" i="6"/>
  <c r="G12" i="32"/>
  <c r="C9" i="33"/>
  <c r="O9" i="33" s="1"/>
  <c r="I3" i="32"/>
  <c r="G2" i="6"/>
  <c r="G2" i="32"/>
  <c r="M30" i="6"/>
  <c r="N26" i="33"/>
  <c r="Q8" i="33"/>
  <c r="N8" i="33"/>
  <c r="L20" i="32"/>
  <c r="U32" i="30"/>
  <c r="L5" i="11"/>
  <c r="H30" i="32"/>
  <c r="N9" i="33"/>
  <c r="G13" i="32"/>
  <c r="M5" i="11"/>
  <c r="G24" i="32"/>
  <c r="M9" i="6"/>
  <c r="M18" i="6"/>
  <c r="K17" i="32"/>
  <c r="L18" i="32"/>
  <c r="N23" i="33"/>
  <c r="M17" i="6"/>
  <c r="G15" i="32"/>
  <c r="I30" i="32"/>
  <c r="I2" i="32"/>
  <c r="N31" i="30"/>
  <c r="H29" i="32"/>
  <c r="G14" i="32"/>
  <c r="U7" i="9"/>
  <c r="U5" i="9" s="1"/>
  <c r="C13" i="34"/>
  <c r="G28" i="32"/>
  <c r="M11" i="6"/>
  <c r="J11" i="32"/>
  <c r="N13" i="34"/>
  <c r="I2" i="6"/>
  <c r="H12" i="32"/>
  <c r="J14" i="32"/>
  <c r="K15" i="32"/>
  <c r="N33" i="30"/>
  <c r="L5" i="9"/>
  <c r="I11" i="32"/>
  <c r="M6" i="6"/>
  <c r="H8" i="32"/>
  <c r="I9" i="32"/>
  <c r="K11" i="32"/>
  <c r="N11" i="34"/>
  <c r="G5" i="32"/>
  <c r="M12" i="6"/>
  <c r="J12" i="32"/>
  <c r="L14" i="32"/>
  <c r="I8" i="32"/>
  <c r="L11" i="32"/>
  <c r="J8" i="32"/>
  <c r="H5" i="32"/>
  <c r="I6" i="32"/>
  <c r="K8" i="32"/>
  <c r="M29" i="6"/>
  <c r="G27" i="32"/>
  <c r="C7" i="33"/>
  <c r="O7" i="33" s="1"/>
  <c r="AA15" i="9"/>
  <c r="Q9" i="33" s="1"/>
  <c r="W15" i="9"/>
  <c r="N5" i="11"/>
  <c r="I14" i="32"/>
  <c r="L17" i="32"/>
  <c r="H11" i="32"/>
  <c r="K14" i="32"/>
  <c r="Z15" i="9"/>
  <c r="R35" i="9"/>
  <c r="N12" i="34"/>
  <c r="C8" i="33"/>
  <c r="O8" i="33" s="1"/>
  <c r="G25" i="32"/>
  <c r="I5" i="32"/>
  <c r="Z18" i="9"/>
  <c r="C17" i="34"/>
  <c r="H10" i="32"/>
  <c r="H2" i="6"/>
  <c r="H2" i="32"/>
  <c r="H3" i="32"/>
  <c r="J5" i="32"/>
  <c r="M22" i="6"/>
  <c r="N34" i="34"/>
  <c r="N4" i="33"/>
  <c r="M21" i="6"/>
  <c r="N33" i="34"/>
  <c r="C34" i="34"/>
  <c r="N32" i="34"/>
  <c r="M20" i="6"/>
  <c r="C33" i="34"/>
  <c r="N31" i="34"/>
  <c r="C6" i="33"/>
  <c r="O6" i="33" s="1"/>
  <c r="G11" i="32"/>
  <c r="J2" i="6"/>
  <c r="K2" i="32"/>
  <c r="L5" i="32"/>
  <c r="L8" i="32"/>
  <c r="I27" i="32"/>
  <c r="C32" i="34"/>
  <c r="C24" i="33"/>
  <c r="O24" i="33" s="1"/>
  <c r="Z11" i="9"/>
  <c r="J2" i="32"/>
  <c r="K5" i="32"/>
  <c r="H27" i="32"/>
  <c r="M19" i="6"/>
  <c r="C31" i="34"/>
  <c r="N8" i="34"/>
  <c r="K2" i="6"/>
  <c r="N7" i="33"/>
  <c r="L2" i="6"/>
  <c r="C27" i="33"/>
  <c r="O27" i="33" s="1"/>
  <c r="C4" i="33"/>
  <c r="O4" i="33" s="1"/>
  <c r="N7" i="34"/>
  <c r="N9" i="34"/>
  <c r="Q22" i="7"/>
  <c r="Q24" i="7"/>
  <c r="W14" i="9"/>
  <c r="Q8" i="11"/>
  <c r="N2" i="34" s="1"/>
  <c r="R8" i="11"/>
  <c r="O8" i="11"/>
  <c r="C2" i="34"/>
  <c r="Y34" i="2"/>
  <c r="T10" i="11"/>
  <c r="S10" i="11"/>
  <c r="S7" i="11"/>
  <c r="N32" i="15"/>
  <c r="AA33" i="3" s="1"/>
  <c r="O36" i="36" s="1"/>
  <c r="N12" i="15"/>
  <c r="AA6" i="3" s="1"/>
  <c r="O9" i="36" s="1"/>
  <c r="N13" i="15"/>
  <c r="AA15" i="3" s="1"/>
  <c r="O18" i="36" s="1"/>
  <c r="V25" i="11"/>
  <c r="P19" i="34" s="1"/>
  <c r="U25" i="11"/>
  <c r="T7" i="11"/>
  <c r="N28" i="15"/>
  <c r="AA26" i="3" s="1"/>
  <c r="O29" i="36" s="1"/>
  <c r="J24" i="20"/>
  <c r="B8" i="20"/>
  <c r="W11" i="9"/>
  <c r="AA11" i="9"/>
  <c r="Q5" i="33" s="1"/>
  <c r="Z14" i="9"/>
  <c r="C3" i="34"/>
  <c r="O9" i="11"/>
  <c r="Q9" i="11"/>
  <c r="N3" i="34" s="1"/>
  <c r="C12" i="33"/>
  <c r="O12" i="33" s="1"/>
  <c r="T6" i="4"/>
  <c r="R6" i="4"/>
  <c r="S6" i="4"/>
  <c r="O6" i="4"/>
  <c r="W6" i="4"/>
  <c r="M32" i="31" s="1"/>
  <c r="O32" i="31" s="1"/>
  <c r="P32" i="31" s="1"/>
  <c r="Q6" i="4"/>
  <c r="R15" i="11"/>
  <c r="C9" i="34"/>
  <c r="O15" i="11"/>
  <c r="O18" i="11"/>
  <c r="C12" i="34"/>
  <c r="C27" i="34"/>
  <c r="R33" i="11"/>
  <c r="C19" i="20"/>
  <c r="U37" i="9"/>
  <c r="C18" i="20"/>
  <c r="B3" i="20"/>
  <c r="B24" i="20"/>
  <c r="P23" i="7"/>
  <c r="C7" i="20"/>
  <c r="B11" i="20"/>
  <c r="B21" i="20"/>
  <c r="B5" i="20"/>
  <c r="B19" i="20"/>
  <c r="C12" i="20"/>
  <c r="C13" i="20"/>
  <c r="C9" i="20"/>
  <c r="B23" i="20"/>
  <c r="C25" i="20"/>
  <c r="P13" i="7"/>
  <c r="B26" i="20"/>
  <c r="C21" i="20"/>
  <c r="P14" i="7"/>
  <c r="B17" i="20"/>
  <c r="C3" i="20"/>
  <c r="C4" i="20"/>
  <c r="P21" i="7"/>
  <c r="J7" i="20"/>
  <c r="J11" i="20"/>
  <c r="J20" i="20"/>
  <c r="J10" i="20"/>
  <c r="J21" i="20"/>
  <c r="J25" i="20"/>
  <c r="J19" i="20"/>
  <c r="J9" i="20"/>
  <c r="V6" i="4"/>
  <c r="J28" i="20"/>
  <c r="P11" i="7"/>
  <c r="C6" i="20"/>
  <c r="Q7" i="9"/>
  <c r="O7" i="9"/>
  <c r="C7" i="34"/>
  <c r="J17" i="20"/>
  <c r="B14" i="20"/>
  <c r="C14" i="20"/>
  <c r="J6" i="20"/>
  <c r="C8" i="20"/>
  <c r="P10" i="7"/>
  <c r="U9" i="9"/>
  <c r="Z9" i="9"/>
  <c r="Q7" i="11"/>
  <c r="R7" i="11"/>
  <c r="R10" i="11"/>
  <c r="Q10" i="11"/>
  <c r="N4" i="34" s="1"/>
  <c r="C16" i="33"/>
  <c r="O16" i="33" s="1"/>
  <c r="Q22" i="9"/>
  <c r="N16" i="33" s="1"/>
  <c r="J16" i="20"/>
  <c r="P8" i="7"/>
  <c r="C23" i="20"/>
  <c r="V9" i="11"/>
  <c r="P3" i="34" s="1"/>
  <c r="U9" i="11"/>
  <c r="C10" i="34"/>
  <c r="R16" i="11"/>
  <c r="Q16" i="11"/>
  <c r="N10" i="34" s="1"/>
  <c r="Q22" i="11"/>
  <c r="N16" i="34" s="1"/>
  <c r="C16" i="34"/>
  <c r="O22" i="11"/>
  <c r="J4" i="20"/>
  <c r="P30" i="7"/>
  <c r="P29" i="7"/>
  <c r="T39" i="11"/>
  <c r="S39" i="11"/>
  <c r="Q25" i="11"/>
  <c r="N19" i="34" s="1"/>
  <c r="C19" i="34"/>
  <c r="C22" i="33"/>
  <c r="O22" i="33" s="1"/>
  <c r="J12" i="20"/>
  <c r="B4" i="20"/>
  <c r="B12" i="20"/>
  <c r="R19" i="11"/>
  <c r="O19" i="11"/>
  <c r="I2" i="20"/>
  <c r="J2" i="20" s="1"/>
  <c r="C26" i="20"/>
  <c r="C17" i="20"/>
  <c r="V22" i="11"/>
  <c r="P16" i="34" s="1"/>
  <c r="U22" i="11"/>
  <c r="C5" i="33"/>
  <c r="O5" i="33" s="1"/>
  <c r="Q11" i="9"/>
  <c r="N5" i="33" s="1"/>
  <c r="J27" i="20"/>
  <c r="P27" i="7"/>
  <c r="B9" i="20"/>
  <c r="O13" i="11"/>
  <c r="J13" i="20"/>
  <c r="B6" i="20"/>
  <c r="P12" i="7"/>
  <c r="R34" i="4"/>
  <c r="T34" i="4"/>
  <c r="O34" i="4"/>
  <c r="W34" i="4"/>
  <c r="S34" i="4"/>
  <c r="Q34" i="4"/>
  <c r="R38" i="4"/>
  <c r="T38" i="4"/>
  <c r="Q38" i="4"/>
  <c r="O38" i="4"/>
  <c r="W38" i="4"/>
  <c r="P26" i="7"/>
  <c r="C11" i="20"/>
  <c r="Q8" i="9"/>
  <c r="N2" i="33" s="1"/>
  <c r="Q17" i="9"/>
  <c r="N11" i="33" s="1"/>
  <c r="C22" i="20"/>
  <c r="C16" i="20"/>
  <c r="O14" i="11"/>
  <c r="R14" i="11"/>
  <c r="B25" i="20"/>
  <c r="P19" i="7"/>
  <c r="R34" i="11"/>
  <c r="Z25" i="9"/>
  <c r="U25" i="9"/>
  <c r="B7" i="20"/>
  <c r="B13" i="20"/>
  <c r="N22" i="15"/>
  <c r="AA11" i="3" s="1"/>
  <c r="O14" i="36" s="1"/>
  <c r="N4" i="15"/>
  <c r="AA8" i="3" s="1"/>
  <c r="O11" i="36" s="1"/>
  <c r="N15" i="15"/>
  <c r="AA25" i="3" s="1"/>
  <c r="O28" i="36" s="1"/>
  <c r="N7" i="15"/>
  <c r="AA22" i="3" s="1"/>
  <c r="O25" i="36" s="1"/>
  <c r="N29" i="15"/>
  <c r="AA23" i="3" s="1"/>
  <c r="O26" i="36" s="1"/>
  <c r="N19" i="15"/>
  <c r="AA19" i="3" s="1"/>
  <c r="O22" i="36" s="1"/>
  <c r="C24" i="20"/>
  <c r="B15" i="20"/>
  <c r="U32" i="11"/>
  <c r="V32" i="11"/>
  <c r="P26" i="34" s="1"/>
  <c r="A2" i="20"/>
  <c r="B22" i="7" s="1"/>
  <c r="P17" i="7"/>
  <c r="V28" i="11"/>
  <c r="P22" i="34" s="1"/>
  <c r="U28" i="11"/>
  <c r="V20" i="11"/>
  <c r="P14" i="34" s="1"/>
  <c r="U20" i="11"/>
  <c r="N34" i="30"/>
  <c r="U31" i="30"/>
  <c r="U33" i="30"/>
  <c r="Y6" i="2"/>
  <c r="F6" i="20"/>
  <c r="F5" i="20"/>
  <c r="O39" i="9"/>
  <c r="Q39" i="9"/>
  <c r="Q27" i="11"/>
  <c r="N21" i="34" s="1"/>
  <c r="R27" i="11"/>
  <c r="O27" i="11"/>
  <c r="F4" i="20"/>
  <c r="O28" i="11"/>
  <c r="C22" i="34"/>
  <c r="O38" i="11"/>
  <c r="R38" i="11"/>
  <c r="C14" i="34"/>
  <c r="O20" i="11"/>
  <c r="Q20" i="11"/>
  <c r="N14" i="34" s="1"/>
  <c r="Q37" i="2"/>
  <c r="T37" i="2" s="1"/>
  <c r="T12" i="11"/>
  <c r="S12" i="11"/>
  <c r="T29" i="11"/>
  <c r="S29" i="11"/>
  <c r="C21" i="33"/>
  <c r="O21" i="33" s="1"/>
  <c r="T35" i="11"/>
  <c r="S35" i="11"/>
  <c r="C17" i="33"/>
  <c r="O17" i="33" s="1"/>
  <c r="O23" i="9"/>
  <c r="C14" i="33"/>
  <c r="O14" i="33" s="1"/>
  <c r="O20" i="9"/>
  <c r="T37" i="4"/>
  <c r="AC9" i="8"/>
  <c r="AK9" i="8" s="1"/>
  <c r="AH4" i="8"/>
  <c r="G3" i="35"/>
  <c r="AC20" i="8"/>
  <c r="AK20" i="8" s="1"/>
  <c r="AC14" i="8"/>
  <c r="AK14" i="8" s="1"/>
  <c r="AC5" i="8"/>
  <c r="AK5" i="8" s="1"/>
  <c r="AC7" i="8"/>
  <c r="AK7" i="8" s="1"/>
  <c r="G13" i="35"/>
  <c r="G11" i="35"/>
  <c r="AH13" i="8"/>
  <c r="AH10" i="8"/>
  <c r="AH11" i="8"/>
  <c r="AI11" i="8"/>
  <c r="AI15" i="8"/>
  <c r="AH20" i="8"/>
  <c r="AH6" i="8"/>
  <c r="AI4" i="8"/>
  <c r="H3" i="35"/>
  <c r="AK12" i="8"/>
  <c r="AI9" i="8"/>
  <c r="AI12" i="8"/>
  <c r="AH9" i="8"/>
  <c r="G15" i="35"/>
  <c r="AC11" i="8"/>
  <c r="AD13" i="8"/>
  <c r="M18" i="35" s="1"/>
  <c r="AH7" i="8"/>
  <c r="AA20" i="8"/>
  <c r="AK17" i="8"/>
  <c r="AI10" i="8"/>
  <c r="AI8" i="8"/>
  <c r="AI18" i="8"/>
  <c r="AI16" i="8"/>
  <c r="AM11" i="8"/>
  <c r="AM13" i="8"/>
  <c r="AJ3" i="8"/>
  <c r="AI14" i="8"/>
  <c r="AI17" i="8"/>
  <c r="AC10" i="8"/>
  <c r="AK10" i="8" s="1"/>
  <c r="AJ4" i="8"/>
  <c r="AI6" i="8"/>
  <c r="AH5" i="8"/>
  <c r="AI5" i="8"/>
  <c r="AI7" i="8"/>
  <c r="O31" i="30" l="1"/>
  <c r="R31" i="30" s="1"/>
  <c r="O32" i="30"/>
  <c r="R32" i="30" s="1"/>
  <c r="O33" i="30"/>
  <c r="R33" i="30" s="1"/>
  <c r="O34" i="30"/>
  <c r="R34" i="30" s="1"/>
  <c r="Q32" i="30"/>
  <c r="G17" i="35"/>
  <c r="AM8" i="8"/>
  <c r="K7" i="35"/>
  <c r="AI20" i="8"/>
  <c r="J19" i="35"/>
  <c r="L19" i="35" s="1"/>
  <c r="AK11" i="8"/>
  <c r="AK1" i="8" s="1"/>
  <c r="AD11" i="8"/>
  <c r="M10" i="35" s="1"/>
  <c r="I2" i="35"/>
  <c r="AA13" i="8"/>
  <c r="U13" i="8"/>
  <c r="AM17" i="8"/>
  <c r="AM4" i="8"/>
  <c r="AO4" i="8" s="1"/>
  <c r="AM18" i="8"/>
  <c r="AM3" i="8"/>
  <c r="AM9" i="8"/>
  <c r="AM6" i="8"/>
  <c r="AM14" i="8"/>
  <c r="AM5" i="8"/>
  <c r="AM7" i="8"/>
  <c r="AM16" i="8"/>
  <c r="AM10" i="8"/>
  <c r="AM15" i="8"/>
  <c r="T34" i="37"/>
  <c r="X34" i="36"/>
  <c r="AA34" i="36" s="1"/>
  <c r="S34" i="36"/>
  <c r="S6" i="36"/>
  <c r="Q6" i="2"/>
  <c r="T6" i="2" s="1"/>
  <c r="R34" i="36"/>
  <c r="T33" i="37"/>
  <c r="L24" i="31"/>
  <c r="M24" i="33"/>
  <c r="M24" i="34"/>
  <c r="M13" i="32"/>
  <c r="L13" i="31"/>
  <c r="M13" i="34"/>
  <c r="M13" i="33"/>
  <c r="M22" i="32"/>
  <c r="L22" i="31"/>
  <c r="M22" i="33"/>
  <c r="M22" i="34"/>
  <c r="L5" i="31"/>
  <c r="M5" i="34"/>
  <c r="M5" i="33"/>
  <c r="L8" i="31"/>
  <c r="M8" i="34"/>
  <c r="M8" i="33"/>
  <c r="L6" i="31"/>
  <c r="M6" i="34"/>
  <c r="M6" i="33"/>
  <c r="X6" i="36"/>
  <c r="R33" i="37" s="1"/>
  <c r="M3" i="32"/>
  <c r="L3" i="31"/>
  <c r="M3" i="34"/>
  <c r="M3" i="33"/>
  <c r="M23" i="32"/>
  <c r="L23" i="31"/>
  <c r="M23" i="33"/>
  <c r="M23" i="34"/>
  <c r="M12" i="32"/>
  <c r="L12" i="31"/>
  <c r="M12" i="34"/>
  <c r="M12" i="33"/>
  <c r="M21" i="32"/>
  <c r="L21" i="31"/>
  <c r="M21" i="33"/>
  <c r="M21" i="34"/>
  <c r="M25" i="32"/>
  <c r="L25" i="31"/>
  <c r="M25" i="33"/>
  <c r="M25" i="34"/>
  <c r="O27" i="9"/>
  <c r="S27" i="9" s="1"/>
  <c r="T27" i="9" s="1"/>
  <c r="M26" i="32"/>
  <c r="L26" i="31"/>
  <c r="M26" i="34"/>
  <c r="M26" i="33"/>
  <c r="M11" i="32"/>
  <c r="L11" i="31"/>
  <c r="M11" i="34"/>
  <c r="M11" i="33"/>
  <c r="N31" i="37"/>
  <c r="P31" i="37" s="1"/>
  <c r="R6" i="36"/>
  <c r="N8" i="15"/>
  <c r="AA29" i="3" s="1"/>
  <c r="O32" i="36" s="1"/>
  <c r="W32" i="36" s="1"/>
  <c r="O32" i="9"/>
  <c r="S32" i="9" s="1"/>
  <c r="T32" i="9" s="1"/>
  <c r="O18" i="9"/>
  <c r="S18" i="9" s="1"/>
  <c r="T18" i="9" s="1"/>
  <c r="S33" i="37"/>
  <c r="U39" i="9"/>
  <c r="AA39" i="9" s="1"/>
  <c r="S32" i="37"/>
  <c r="S34" i="37"/>
  <c r="O28" i="9"/>
  <c r="S28" i="9" s="1"/>
  <c r="T28" i="9" s="1"/>
  <c r="U28" i="9" s="1"/>
  <c r="X28" i="9" s="1"/>
  <c r="AA28" i="9" s="1"/>
  <c r="Q22" i="33" s="1"/>
  <c r="O19" i="9"/>
  <c r="S19" i="9" s="1"/>
  <c r="T19" i="9" s="1"/>
  <c r="U19" i="9" s="1"/>
  <c r="M6" i="32"/>
  <c r="O12" i="9"/>
  <c r="S12" i="9" s="1"/>
  <c r="M5" i="32"/>
  <c r="O11" i="9"/>
  <c r="S11" i="9" s="1"/>
  <c r="T11" i="9" s="1"/>
  <c r="O9" i="9"/>
  <c r="S9" i="9" s="1"/>
  <c r="T9" i="9" s="1"/>
  <c r="V39" i="11"/>
  <c r="O17" i="9"/>
  <c r="T33" i="30"/>
  <c r="AB38" i="4"/>
  <c r="R27" i="32"/>
  <c r="N34" i="37"/>
  <c r="P34" i="37" s="1"/>
  <c r="Q34" i="37" s="1"/>
  <c r="N32" i="37"/>
  <c r="P32" i="37" s="1"/>
  <c r="Q32" i="37" s="1"/>
  <c r="V4" i="2"/>
  <c r="S32" i="30"/>
  <c r="S33" i="30"/>
  <c r="S34" i="30"/>
  <c r="S31" i="30"/>
  <c r="U30" i="11"/>
  <c r="T24" i="11"/>
  <c r="D2" i="10"/>
  <c r="U12" i="11"/>
  <c r="S21" i="11"/>
  <c r="S17" i="11"/>
  <c r="S36" i="9"/>
  <c r="T36" i="9" s="1"/>
  <c r="X37" i="36"/>
  <c r="AA37" i="36" s="1"/>
  <c r="Z36" i="9"/>
  <c r="Z34" i="4"/>
  <c r="AA34" i="4" s="1"/>
  <c r="AB34" i="4" s="1"/>
  <c r="P33" i="37"/>
  <c r="Q33" i="37" s="1"/>
  <c r="U38" i="2"/>
  <c r="V34" i="2"/>
  <c r="T32" i="30"/>
  <c r="S34" i="11"/>
  <c r="T31" i="30"/>
  <c r="U17" i="11"/>
  <c r="U29" i="11"/>
  <c r="AA6" i="4"/>
  <c r="Q31" i="31" s="1"/>
  <c r="V18" i="11"/>
  <c r="P12" i="34" s="1"/>
  <c r="S25" i="11"/>
  <c r="W4" i="2"/>
  <c r="T32" i="11"/>
  <c r="AA7" i="9"/>
  <c r="V35" i="11"/>
  <c r="U21" i="11"/>
  <c r="S11" i="11"/>
  <c r="D3" i="10"/>
  <c r="N31" i="15"/>
  <c r="AA30" i="3" s="1"/>
  <c r="O33" i="36" s="1"/>
  <c r="Q33" i="36" s="1"/>
  <c r="N30" i="15"/>
  <c r="AA32" i="3" s="1"/>
  <c r="O35" i="36" s="1"/>
  <c r="Y35" i="36" s="1"/>
  <c r="N33" i="15"/>
  <c r="N35" i="15"/>
  <c r="N27" i="15"/>
  <c r="AA18" i="3" s="1"/>
  <c r="O21" i="36" s="1"/>
  <c r="V21" i="36" s="1"/>
  <c r="X38" i="36"/>
  <c r="AA38" i="36" s="1"/>
  <c r="B28" i="7"/>
  <c r="G28" i="7" s="1"/>
  <c r="Q28" i="7"/>
  <c r="U24" i="11"/>
  <c r="N24" i="15"/>
  <c r="AA13" i="3" s="1"/>
  <c r="O16" i="36" s="1"/>
  <c r="Q16" i="36" s="1"/>
  <c r="N21" i="15"/>
  <c r="AA14" i="3" s="1"/>
  <c r="O17" i="36" s="1"/>
  <c r="W17" i="36" s="1"/>
  <c r="U37" i="4"/>
  <c r="N36" i="15"/>
  <c r="N14" i="15"/>
  <c r="AA12" i="3" s="1"/>
  <c r="O15" i="36" s="1"/>
  <c r="Q15" i="36" s="1"/>
  <c r="U11" i="11"/>
  <c r="N34" i="15"/>
  <c r="V13" i="11"/>
  <c r="P7" i="34" s="1"/>
  <c r="N17" i="15"/>
  <c r="AA4" i="3" s="1"/>
  <c r="O7" i="36" s="1"/>
  <c r="V39" i="9"/>
  <c r="N11" i="15"/>
  <c r="AA20" i="3" s="1"/>
  <c r="O23" i="36" s="1"/>
  <c r="W23" i="36" s="1"/>
  <c r="R37" i="36"/>
  <c r="T37" i="36"/>
  <c r="S37" i="36"/>
  <c r="N16" i="15"/>
  <c r="AA17" i="3" s="1"/>
  <c r="O20" i="36" s="1"/>
  <c r="R38" i="36"/>
  <c r="T38" i="36"/>
  <c r="S38" i="36"/>
  <c r="Q30" i="36"/>
  <c r="T30" i="36" s="1"/>
  <c r="O22" i="7"/>
  <c r="N18" i="15"/>
  <c r="AA5" i="3" s="1"/>
  <c r="O8" i="36" s="1"/>
  <c r="N10" i="15"/>
  <c r="AA28" i="3" s="1"/>
  <c r="O31" i="36" s="1"/>
  <c r="Z10" i="36"/>
  <c r="P10" i="36"/>
  <c r="C5" i="37"/>
  <c r="P30" i="36"/>
  <c r="Q18" i="7"/>
  <c r="N26" i="15"/>
  <c r="AA24" i="3" s="1"/>
  <c r="O27" i="36" s="1"/>
  <c r="C22" i="37" s="1"/>
  <c r="O22" i="37" s="1"/>
  <c r="Y10" i="36"/>
  <c r="Y30" i="36"/>
  <c r="C25" i="37"/>
  <c r="S25" i="37" s="1"/>
  <c r="Z30" i="36"/>
  <c r="V30" i="36"/>
  <c r="X30" i="36" s="1"/>
  <c r="F2" i="20"/>
  <c r="M16" i="15" s="1"/>
  <c r="M17" i="3" s="1"/>
  <c r="P20" i="4" s="1"/>
  <c r="G2" i="20"/>
  <c r="V31" i="11"/>
  <c r="P25" i="34" s="1"/>
  <c r="W10" i="36"/>
  <c r="N25" i="15"/>
  <c r="AA21" i="3" s="1"/>
  <c r="O24" i="36" s="1"/>
  <c r="Y24" i="36" s="1"/>
  <c r="N9" i="15"/>
  <c r="AA9" i="3" s="1"/>
  <c r="O12" i="36" s="1"/>
  <c r="Q12" i="36" s="1"/>
  <c r="Q10" i="36"/>
  <c r="T10" i="36" s="1"/>
  <c r="S30" i="11"/>
  <c r="Q25" i="7"/>
  <c r="V10" i="36"/>
  <c r="N23" i="15"/>
  <c r="AA16" i="3" s="1"/>
  <c r="O19" i="36" s="1"/>
  <c r="W19" i="36" s="1"/>
  <c r="N5" i="15"/>
  <c r="AA10" i="3" s="1"/>
  <c r="O13" i="36" s="1"/>
  <c r="W13" i="36" s="1"/>
  <c r="L8" i="35"/>
  <c r="L3" i="35"/>
  <c r="M5" i="35"/>
  <c r="AD18" i="8"/>
  <c r="M17" i="35" s="1"/>
  <c r="AD12" i="8"/>
  <c r="M11" i="35" s="1"/>
  <c r="AD15" i="8"/>
  <c r="M14" i="35" s="1"/>
  <c r="L6" i="35"/>
  <c r="AD17" i="8"/>
  <c r="M16" i="35" s="1"/>
  <c r="L9" i="35"/>
  <c r="G16" i="35"/>
  <c r="AD16" i="8"/>
  <c r="M15" i="35" s="1"/>
  <c r="M8" i="32"/>
  <c r="O14" i="9"/>
  <c r="S14" i="9" s="1"/>
  <c r="T14" i="9" s="1"/>
  <c r="D4" i="10"/>
  <c r="O29" i="9"/>
  <c r="M24" i="32"/>
  <c r="O30" i="9"/>
  <c r="Z38" i="9"/>
  <c r="U38" i="9"/>
  <c r="AA38" i="9" s="1"/>
  <c r="AA31" i="9"/>
  <c r="Q25" i="33" s="1"/>
  <c r="O31" i="11"/>
  <c r="N9" i="6"/>
  <c r="N6" i="6"/>
  <c r="N31" i="6"/>
  <c r="M31" i="31"/>
  <c r="O31" i="31" s="1"/>
  <c r="P31" i="31" s="1"/>
  <c r="N20" i="6"/>
  <c r="N22" i="6"/>
  <c r="N11" i="6"/>
  <c r="N12" i="6"/>
  <c r="N17" i="6"/>
  <c r="N32" i="6"/>
  <c r="Q33" i="30"/>
  <c r="N30" i="6"/>
  <c r="N29" i="6"/>
  <c r="Z35" i="9"/>
  <c r="U35" i="9"/>
  <c r="M2" i="6"/>
  <c r="U6" i="4"/>
  <c r="N19" i="6"/>
  <c r="N21" i="6"/>
  <c r="Q31" i="30"/>
  <c r="N18" i="6"/>
  <c r="H22" i="7"/>
  <c r="M22" i="7"/>
  <c r="I22" i="7"/>
  <c r="J22" i="7"/>
  <c r="L22" i="7"/>
  <c r="N22" i="7"/>
  <c r="S22" i="7" s="1"/>
  <c r="G22" i="7"/>
  <c r="K22" i="7"/>
  <c r="W37" i="9"/>
  <c r="AA37" i="9" s="1"/>
  <c r="Q30" i="33" s="1"/>
  <c r="B10" i="7"/>
  <c r="O10" i="7" s="1"/>
  <c r="Q10" i="7"/>
  <c r="T38" i="11"/>
  <c r="S38" i="11"/>
  <c r="W9" i="9"/>
  <c r="AA9" i="9"/>
  <c r="B21" i="7"/>
  <c r="Q21" i="7"/>
  <c r="B9" i="7"/>
  <c r="Q26" i="36"/>
  <c r="P26" i="36"/>
  <c r="Z26" i="36"/>
  <c r="W26" i="36"/>
  <c r="C21" i="37"/>
  <c r="O21" i="37" s="1"/>
  <c r="Y26" i="36"/>
  <c r="V26" i="36"/>
  <c r="S20" i="9"/>
  <c r="Z20" i="9"/>
  <c r="U34" i="11"/>
  <c r="V34" i="11"/>
  <c r="P28" i="34" s="1"/>
  <c r="Q27" i="7"/>
  <c r="B27" i="7"/>
  <c r="B20" i="7"/>
  <c r="Q19" i="7"/>
  <c r="B19" i="7"/>
  <c r="Q14" i="7"/>
  <c r="B14" i="7"/>
  <c r="O14" i="7" s="1"/>
  <c r="D6" i="10"/>
  <c r="Q18" i="36"/>
  <c r="Z18" i="36"/>
  <c r="Y18" i="36"/>
  <c r="P18" i="36"/>
  <c r="W18" i="36"/>
  <c r="C13" i="37"/>
  <c r="O13" i="37" s="1"/>
  <c r="V18" i="36"/>
  <c r="W9" i="36"/>
  <c r="C4" i="37"/>
  <c r="O4" i="37" s="1"/>
  <c r="Z9" i="36"/>
  <c r="Q9" i="36"/>
  <c r="V9" i="36"/>
  <c r="Y9" i="36"/>
  <c r="P9" i="36"/>
  <c r="R34" i="2"/>
  <c r="S34" i="2"/>
  <c r="P25" i="36"/>
  <c r="V25" i="36"/>
  <c r="Y25" i="36"/>
  <c r="W25" i="36"/>
  <c r="Q25" i="36"/>
  <c r="C20" i="37"/>
  <c r="O20" i="37" s="1"/>
  <c r="Z25" i="36"/>
  <c r="B8" i="7"/>
  <c r="O8" i="7" s="1"/>
  <c r="Q8" i="7"/>
  <c r="Y36" i="36"/>
  <c r="P36" i="36"/>
  <c r="W36" i="36"/>
  <c r="Z36" i="36"/>
  <c r="C30" i="37"/>
  <c r="O30" i="37" s="1"/>
  <c r="V36" i="36"/>
  <c r="Q36" i="36"/>
  <c r="I2" i="10"/>
  <c r="I3" i="10"/>
  <c r="I4" i="10"/>
  <c r="V28" i="36"/>
  <c r="Y28" i="36"/>
  <c r="P28" i="36"/>
  <c r="C23" i="37"/>
  <c r="O23" i="37" s="1"/>
  <c r="W28" i="36"/>
  <c r="Q28" i="36"/>
  <c r="Z28" i="36"/>
  <c r="V14" i="11"/>
  <c r="P8" i="34" s="1"/>
  <c r="U14" i="11"/>
  <c r="Y11" i="36"/>
  <c r="Z11" i="36"/>
  <c r="P11" i="36"/>
  <c r="W11" i="36"/>
  <c r="Q11" i="36"/>
  <c r="C6" i="37"/>
  <c r="O6" i="37" s="1"/>
  <c r="V11" i="36"/>
  <c r="T14" i="11"/>
  <c r="S14" i="11"/>
  <c r="U38" i="4"/>
  <c r="T8" i="11"/>
  <c r="S8" i="11"/>
  <c r="Q14" i="36"/>
  <c r="P14" i="36"/>
  <c r="W14" i="36"/>
  <c r="V14" i="36"/>
  <c r="Y14" i="36"/>
  <c r="C9" i="37"/>
  <c r="O9" i="37" s="1"/>
  <c r="Z14" i="36"/>
  <c r="T18" i="11"/>
  <c r="S18" i="11"/>
  <c r="V8" i="11"/>
  <c r="P2" i="34" s="1"/>
  <c r="U8" i="11"/>
  <c r="M4" i="15"/>
  <c r="M8" i="3" s="1"/>
  <c r="P11" i="4" s="1"/>
  <c r="T20" i="11"/>
  <c r="S20" i="11"/>
  <c r="D7" i="10"/>
  <c r="T9" i="11"/>
  <c r="S9" i="11"/>
  <c r="Q11" i="7"/>
  <c r="B11" i="7"/>
  <c r="O11" i="7" s="1"/>
  <c r="P6" i="7"/>
  <c r="B33" i="7"/>
  <c r="B2" i="20"/>
  <c r="B32" i="7"/>
  <c r="C2" i="20"/>
  <c r="B15" i="7"/>
  <c r="O15" i="7" s="1"/>
  <c r="B34" i="7"/>
  <c r="B18" i="7"/>
  <c r="B25" i="7"/>
  <c r="O25" i="7" s="1"/>
  <c r="L27" i="15"/>
  <c r="H18" i="3" s="1"/>
  <c r="O21" i="2" s="1"/>
  <c r="L20" i="15"/>
  <c r="H27" i="3" s="1"/>
  <c r="O30" i="2" s="1"/>
  <c r="L24" i="15"/>
  <c r="H13" i="3" s="1"/>
  <c r="O16" i="2" s="1"/>
  <c r="L28" i="15"/>
  <c r="H26" i="3" s="1"/>
  <c r="O29" i="2" s="1"/>
  <c r="L25" i="15"/>
  <c r="H21" i="3" s="1"/>
  <c r="O24" i="2" s="1"/>
  <c r="L33" i="15"/>
  <c r="L29" i="15"/>
  <c r="H23" i="3" s="1"/>
  <c r="O26" i="2" s="1"/>
  <c r="L10" i="15"/>
  <c r="H28" i="3" s="1"/>
  <c r="O31" i="2" s="1"/>
  <c r="L32" i="15"/>
  <c r="H33" i="3" s="1"/>
  <c r="O36" i="2" s="1"/>
  <c r="L5" i="15"/>
  <c r="H10" i="3" s="1"/>
  <c r="O13" i="2" s="1"/>
  <c r="L23" i="15"/>
  <c r="H16" i="3" s="1"/>
  <c r="O19" i="2" s="1"/>
  <c r="L16" i="15"/>
  <c r="H17" i="3" s="1"/>
  <c r="O20" i="2" s="1"/>
  <c r="L35" i="15"/>
  <c r="L26" i="15"/>
  <c r="H24" i="3" s="1"/>
  <c r="O27" i="2" s="1"/>
  <c r="L22" i="15"/>
  <c r="H11" i="3" s="1"/>
  <c r="O14" i="2" s="1"/>
  <c r="L21" i="15"/>
  <c r="H14" i="3" s="1"/>
  <c r="O17" i="2" s="1"/>
  <c r="L7" i="15"/>
  <c r="H22" i="3" s="1"/>
  <c r="O25" i="2" s="1"/>
  <c r="L18" i="15"/>
  <c r="H5" i="3" s="1"/>
  <c r="O8" i="2" s="1"/>
  <c r="L11" i="15"/>
  <c r="H20" i="3" s="1"/>
  <c r="O23" i="2" s="1"/>
  <c r="L12" i="15"/>
  <c r="H6" i="3" s="1"/>
  <c r="O9" i="2" s="1"/>
  <c r="L30" i="15"/>
  <c r="H32" i="3" s="1"/>
  <c r="O35" i="2" s="1"/>
  <c r="L19" i="15"/>
  <c r="H19" i="3" s="1"/>
  <c r="O22" i="2" s="1"/>
  <c r="L6" i="15"/>
  <c r="H7" i="3" s="1"/>
  <c r="O10" i="2" s="1"/>
  <c r="L34" i="15"/>
  <c r="L8" i="15"/>
  <c r="H29" i="3" s="1"/>
  <c r="O32" i="2" s="1"/>
  <c r="L17" i="15"/>
  <c r="H4" i="3" s="1"/>
  <c r="O7" i="2" s="1"/>
  <c r="L9" i="15"/>
  <c r="H9" i="3" s="1"/>
  <c r="O12" i="2" s="1"/>
  <c r="L15" i="15"/>
  <c r="H25" i="3" s="1"/>
  <c r="O28" i="2" s="1"/>
  <c r="L13" i="15"/>
  <c r="H15" i="3" s="1"/>
  <c r="O18" i="2" s="1"/>
  <c r="L31" i="15"/>
  <c r="H30" i="3" s="1"/>
  <c r="O33" i="2" s="1"/>
  <c r="L14" i="15"/>
  <c r="H12" i="3" s="1"/>
  <c r="O15" i="2" s="1"/>
  <c r="L4" i="15"/>
  <c r="H8" i="3" s="1"/>
  <c r="O11" i="2" s="1"/>
  <c r="Q29" i="7"/>
  <c r="B29" i="7"/>
  <c r="O29" i="7" s="1"/>
  <c r="T15" i="11"/>
  <c r="S15" i="11"/>
  <c r="U34" i="4"/>
  <c r="B23" i="7"/>
  <c r="O23" i="7" s="1"/>
  <c r="Q23" i="7"/>
  <c r="V15" i="11"/>
  <c r="P9" i="34" s="1"/>
  <c r="U15" i="11"/>
  <c r="Q22" i="36"/>
  <c r="Y22" i="36"/>
  <c r="P22" i="36"/>
  <c r="V22" i="36"/>
  <c r="W22" i="36"/>
  <c r="Z22" i="36"/>
  <c r="C17" i="37"/>
  <c r="O17" i="37" s="1"/>
  <c r="Q30" i="7"/>
  <c r="B30" i="7"/>
  <c r="V19" i="11"/>
  <c r="P13" i="34" s="1"/>
  <c r="U19" i="11"/>
  <c r="B7" i="7"/>
  <c r="M34" i="15"/>
  <c r="D8" i="10"/>
  <c r="S23" i="9"/>
  <c r="Z23" i="9"/>
  <c r="B17" i="7"/>
  <c r="Q17" i="7"/>
  <c r="D5" i="10"/>
  <c r="V10" i="11"/>
  <c r="P4" i="34" s="1"/>
  <c r="U10" i="11"/>
  <c r="B24" i="7"/>
  <c r="O24" i="7" s="1"/>
  <c r="B13" i="7"/>
  <c r="O13" i="7" s="1"/>
  <c r="Q13" i="7"/>
  <c r="B12" i="7"/>
  <c r="Q12" i="7"/>
  <c r="S22" i="11"/>
  <c r="T22" i="11"/>
  <c r="V7" i="11"/>
  <c r="U7" i="11"/>
  <c r="B16" i="7"/>
  <c r="O16" i="7" s="1"/>
  <c r="C24" i="37"/>
  <c r="O24" i="37" s="1"/>
  <c r="P29" i="36"/>
  <c r="W29" i="36"/>
  <c r="V29" i="36"/>
  <c r="Z29" i="36"/>
  <c r="Y29" i="36"/>
  <c r="Q29" i="36"/>
  <c r="V27" i="11"/>
  <c r="P21" i="34" s="1"/>
  <c r="U27" i="11"/>
  <c r="S37" i="2"/>
  <c r="R37" i="2"/>
  <c r="M10" i="15"/>
  <c r="M28" i="3" s="1"/>
  <c r="P31" i="4" s="1"/>
  <c r="D9" i="10"/>
  <c r="T19" i="11"/>
  <c r="S19" i="11"/>
  <c r="V38" i="11"/>
  <c r="U38" i="11"/>
  <c r="T27" i="11"/>
  <c r="S27" i="11"/>
  <c r="T28" i="11"/>
  <c r="S28" i="11"/>
  <c r="Q34" i="30"/>
  <c r="X25" i="9"/>
  <c r="AA25" i="9"/>
  <c r="Q19" i="33" s="1"/>
  <c r="B26" i="7"/>
  <c r="O26" i="7" s="1"/>
  <c r="Q26" i="7"/>
  <c r="T13" i="11"/>
  <c r="S13" i="11"/>
  <c r="U5" i="11"/>
  <c r="AD14" i="8"/>
  <c r="M13" i="35" s="1"/>
  <c r="AD9" i="8"/>
  <c r="M8" i="35" s="1"/>
  <c r="G14" i="35"/>
  <c r="L17" i="35"/>
  <c r="L10" i="35"/>
  <c r="AD8" i="8"/>
  <c r="AD5" i="8"/>
  <c r="M4" i="35" s="1"/>
  <c r="L4" i="35"/>
  <c r="AI3" i="8"/>
  <c r="AD7" i="8"/>
  <c r="M6" i="35" s="1"/>
  <c r="G12" i="35"/>
  <c r="AH14" i="8"/>
  <c r="AH12" i="8"/>
  <c r="G10" i="35"/>
  <c r="AO20" i="8"/>
  <c r="G9" i="35"/>
  <c r="AM12" i="8"/>
  <c r="G8" i="35"/>
  <c r="AH8" i="8"/>
  <c r="AD10" i="8"/>
  <c r="M9" i="35" s="1"/>
  <c r="AH16" i="8"/>
  <c r="AJ13" i="8"/>
  <c r="G6" i="35"/>
  <c r="AH3" i="8"/>
  <c r="G2" i="35"/>
  <c r="AH1" i="8" l="1"/>
  <c r="AJ8" i="8"/>
  <c r="M7" i="35"/>
  <c r="AI13" i="8"/>
  <c r="AI1" i="8" s="1"/>
  <c r="J18" i="35"/>
  <c r="L18" i="35" s="1"/>
  <c r="U34" i="36"/>
  <c r="Q31" i="37"/>
  <c r="R6" i="2"/>
  <c r="R4" i="2" s="1"/>
  <c r="S6" i="2"/>
  <c r="AM1" i="8"/>
  <c r="AO13" i="8"/>
  <c r="AJ11" i="8"/>
  <c r="AO11" i="8" s="1"/>
  <c r="AJ5" i="8"/>
  <c r="AJ6" i="8"/>
  <c r="AO6" i="8" s="1"/>
  <c r="AJ7" i="8"/>
  <c r="AO7" i="8" s="1"/>
  <c r="AJ12" i="8"/>
  <c r="AO12" i="8" s="1"/>
  <c r="AJ9" i="8"/>
  <c r="AO9" i="8" s="1"/>
  <c r="AJ14" i="8"/>
  <c r="AO14" i="8" s="1"/>
  <c r="AJ17" i="8"/>
  <c r="AO17" i="8" s="1"/>
  <c r="AJ16" i="8"/>
  <c r="AO16" i="8" s="1"/>
  <c r="AJ15" i="8"/>
  <c r="AO15" i="8" s="1"/>
  <c r="AJ18" i="8"/>
  <c r="AO18" i="8" s="1"/>
  <c r="U6" i="36"/>
  <c r="Z27" i="9"/>
  <c r="U27" i="9"/>
  <c r="X27" i="9" s="1"/>
  <c r="AA27" i="9" s="1"/>
  <c r="Q21" i="33" s="1"/>
  <c r="M30" i="32"/>
  <c r="L30" i="31"/>
  <c r="M30" i="33"/>
  <c r="M30" i="34"/>
  <c r="M15" i="32"/>
  <c r="L15" i="31"/>
  <c r="M15" i="34"/>
  <c r="M15" i="33"/>
  <c r="L10" i="31"/>
  <c r="M10" i="34"/>
  <c r="M10" i="33"/>
  <c r="M29" i="32"/>
  <c r="L29" i="31"/>
  <c r="M29" i="33"/>
  <c r="M29" i="34"/>
  <c r="M9" i="32"/>
  <c r="L9" i="31"/>
  <c r="M9" i="34"/>
  <c r="M9" i="33"/>
  <c r="M18" i="32"/>
  <c r="L18" i="31"/>
  <c r="M18" i="34"/>
  <c r="M18" i="33"/>
  <c r="L7" i="31"/>
  <c r="M7" i="34"/>
  <c r="M7" i="33"/>
  <c r="M20" i="32"/>
  <c r="L20" i="31"/>
  <c r="M20" i="34"/>
  <c r="M20" i="33"/>
  <c r="AA6" i="36"/>
  <c r="M19" i="32"/>
  <c r="L19" i="31"/>
  <c r="M19" i="34"/>
  <c r="M19" i="33"/>
  <c r="M4" i="32"/>
  <c r="L4" i="31"/>
  <c r="M4" i="34"/>
  <c r="M4" i="33"/>
  <c r="R31" i="37"/>
  <c r="L17" i="31"/>
  <c r="M17" i="34"/>
  <c r="M17" i="33"/>
  <c r="R34" i="37"/>
  <c r="L28" i="31"/>
  <c r="M28" i="33"/>
  <c r="M28" i="34"/>
  <c r="M16" i="32"/>
  <c r="L16" i="31"/>
  <c r="M16" i="34"/>
  <c r="M16" i="33"/>
  <c r="R32" i="37"/>
  <c r="O33" i="9"/>
  <c r="Z33" i="9" s="1"/>
  <c r="L27" i="31"/>
  <c r="M27" i="34"/>
  <c r="M27" i="33"/>
  <c r="Y32" i="36"/>
  <c r="K28" i="7"/>
  <c r="M28" i="7"/>
  <c r="T28" i="7" s="1"/>
  <c r="Q32" i="36"/>
  <c r="T32" i="36" s="1"/>
  <c r="M30" i="15"/>
  <c r="M32" i="3" s="1"/>
  <c r="P35" i="4" s="1"/>
  <c r="R35" i="4" s="1"/>
  <c r="Z32" i="36"/>
  <c r="M31" i="15"/>
  <c r="M30" i="3" s="1"/>
  <c r="P33" i="4" s="1"/>
  <c r="R25" i="37"/>
  <c r="O25" i="37"/>
  <c r="P25" i="37" s="1"/>
  <c r="Q25" i="37" s="1"/>
  <c r="C27" i="37"/>
  <c r="O27" i="37" s="1"/>
  <c r="V32" i="36"/>
  <c r="X32" i="36" s="1"/>
  <c r="S5" i="37"/>
  <c r="O5" i="37"/>
  <c r="P32" i="36"/>
  <c r="U32" i="9"/>
  <c r="Z32" i="9"/>
  <c r="O19" i="7"/>
  <c r="Z19" i="9"/>
  <c r="Z12" i="9"/>
  <c r="Z28" i="9"/>
  <c r="S17" i="9"/>
  <c r="Z17" i="9"/>
  <c r="O37" i="11"/>
  <c r="T37" i="11" s="1"/>
  <c r="O17" i="7"/>
  <c r="O20" i="7"/>
  <c r="T12" i="9"/>
  <c r="U12" i="9" s="1"/>
  <c r="W12" i="9" s="1"/>
  <c r="AA12" i="9" s="1"/>
  <c r="Q6" i="33" s="1"/>
  <c r="O28" i="7"/>
  <c r="O12" i="7"/>
  <c r="O21" i="7"/>
  <c r="O27" i="7"/>
  <c r="O21" i="9"/>
  <c r="Z21" i="9" s="1"/>
  <c r="O30" i="7"/>
  <c r="O18" i="7"/>
  <c r="O7" i="7"/>
  <c r="O36" i="11"/>
  <c r="T36" i="11" s="1"/>
  <c r="U36" i="9"/>
  <c r="W36" i="9" s="1"/>
  <c r="AA36" i="9" s="1"/>
  <c r="Q29" i="33" s="1"/>
  <c r="Q32" i="31"/>
  <c r="AB6" i="4"/>
  <c r="T5" i="37"/>
  <c r="R5" i="37"/>
  <c r="N5" i="37"/>
  <c r="Q19" i="36"/>
  <c r="S19" i="36" s="1"/>
  <c r="S30" i="36"/>
  <c r="R30" i="36"/>
  <c r="U38" i="36"/>
  <c r="V19" i="36"/>
  <c r="X19" i="36" s="1"/>
  <c r="Z19" i="36"/>
  <c r="M24" i="15"/>
  <c r="M13" i="3" s="1"/>
  <c r="P16" i="4" s="1"/>
  <c r="O16" i="4" s="1"/>
  <c r="X16" i="4" s="1"/>
  <c r="AA16" i="4" s="1"/>
  <c r="L28" i="7"/>
  <c r="C16" i="37"/>
  <c r="C14" i="37"/>
  <c r="O14" i="37" s="1"/>
  <c r="P19" i="36"/>
  <c r="M7" i="15"/>
  <c r="M22" i="3" s="1"/>
  <c r="P25" i="4" s="1"/>
  <c r="Q25" i="4" s="1"/>
  <c r="Y19" i="36"/>
  <c r="M25" i="15"/>
  <c r="M21" i="3" s="1"/>
  <c r="P24" i="4" s="1"/>
  <c r="R24" i="4" s="1"/>
  <c r="AA30" i="36"/>
  <c r="M14" i="15"/>
  <c r="M12" i="3" s="1"/>
  <c r="P15" i="4" s="1"/>
  <c r="S15" i="4" s="1"/>
  <c r="M6" i="15"/>
  <c r="M7" i="3" s="1"/>
  <c r="P10" i="4" s="1"/>
  <c r="B5" i="31" s="1"/>
  <c r="N5" i="31" s="1"/>
  <c r="M35" i="15"/>
  <c r="M18" i="15"/>
  <c r="M5" i="3" s="1"/>
  <c r="P8" i="4" s="1"/>
  <c r="R8" i="4" s="1"/>
  <c r="M33" i="15"/>
  <c r="M9" i="15"/>
  <c r="M9" i="3" s="1"/>
  <c r="P12" i="4" s="1"/>
  <c r="O12" i="4" s="1"/>
  <c r="Y12" i="4" s="1"/>
  <c r="AA12" i="4" s="1"/>
  <c r="M8" i="15"/>
  <c r="M29" i="3" s="1"/>
  <c r="P32" i="4" s="1"/>
  <c r="M22" i="15"/>
  <c r="M11" i="3" s="1"/>
  <c r="P14" i="4" s="1"/>
  <c r="O14" i="4" s="1"/>
  <c r="Y14" i="4" s="1"/>
  <c r="AA14" i="4" s="1"/>
  <c r="M21" i="15"/>
  <c r="M14" i="3" s="1"/>
  <c r="P17" i="4" s="1"/>
  <c r="S17" i="4" s="1"/>
  <c r="Z17" i="36"/>
  <c r="M13" i="15"/>
  <c r="M15" i="3" s="1"/>
  <c r="P18" i="4" s="1"/>
  <c r="R18" i="4" s="1"/>
  <c r="M28" i="15"/>
  <c r="M26" i="3" s="1"/>
  <c r="P29" i="4" s="1"/>
  <c r="O29" i="4" s="1"/>
  <c r="X29" i="4" s="1"/>
  <c r="AA29" i="4" s="1"/>
  <c r="M20" i="15"/>
  <c r="M27" i="3" s="1"/>
  <c r="P30" i="4" s="1"/>
  <c r="O30" i="4" s="1"/>
  <c r="X30" i="4" s="1"/>
  <c r="AA30" i="4" s="1"/>
  <c r="M27" i="15"/>
  <c r="M18" i="3" s="1"/>
  <c r="P21" i="4" s="1"/>
  <c r="Q21" i="4" s="1"/>
  <c r="T33" i="36"/>
  <c r="R33" i="36"/>
  <c r="S33" i="36"/>
  <c r="P35" i="36"/>
  <c r="V35" i="36"/>
  <c r="X10" i="36"/>
  <c r="AA10" i="36" s="1"/>
  <c r="Y21" i="36"/>
  <c r="Q35" i="36"/>
  <c r="S35" i="36" s="1"/>
  <c r="C29" i="37"/>
  <c r="T29" i="37" s="1"/>
  <c r="Q27" i="36"/>
  <c r="T27" i="36" s="1"/>
  <c r="Z35" i="36"/>
  <c r="M11" i="15"/>
  <c r="M20" i="3" s="1"/>
  <c r="P23" i="4" s="1"/>
  <c r="T23" i="4" s="1"/>
  <c r="Z27" i="36"/>
  <c r="P21" i="36"/>
  <c r="M32" i="15"/>
  <c r="M33" i="3" s="1"/>
  <c r="P36" i="4" s="1"/>
  <c r="B30" i="31" s="1"/>
  <c r="N30" i="31" s="1"/>
  <c r="V27" i="36"/>
  <c r="H28" i="7"/>
  <c r="W33" i="36"/>
  <c r="C28" i="37"/>
  <c r="O28" i="37" s="1"/>
  <c r="C12" i="37"/>
  <c r="O12" i="37" s="1"/>
  <c r="N28" i="7"/>
  <c r="S28" i="7" s="1"/>
  <c r="Q17" i="36"/>
  <c r="S17" i="36" s="1"/>
  <c r="I28" i="7"/>
  <c r="M23" i="15"/>
  <c r="M16" i="3" s="1"/>
  <c r="P19" i="4" s="1"/>
  <c r="T19" i="4" s="1"/>
  <c r="Y17" i="36"/>
  <c r="J28" i="7"/>
  <c r="P33" i="36"/>
  <c r="W35" i="36"/>
  <c r="V33" i="36"/>
  <c r="Z13" i="36"/>
  <c r="P16" i="36"/>
  <c r="W16" i="36"/>
  <c r="V17" i="36"/>
  <c r="X17" i="36" s="1"/>
  <c r="P17" i="36"/>
  <c r="Z16" i="36"/>
  <c r="M26" i="15"/>
  <c r="M24" i="3" s="1"/>
  <c r="P27" i="4" s="1"/>
  <c r="T27" i="4" s="1"/>
  <c r="C11" i="37"/>
  <c r="W19" i="9"/>
  <c r="AA19" i="9" s="1"/>
  <c r="Q13" i="33" s="1"/>
  <c r="Y16" i="36"/>
  <c r="V16" i="36"/>
  <c r="W21" i="36"/>
  <c r="X21" i="36" s="1"/>
  <c r="Q21" i="36"/>
  <c r="M29" i="15"/>
  <c r="M23" i="3" s="1"/>
  <c r="P26" i="4" s="1"/>
  <c r="T26" i="4" s="1"/>
  <c r="M36" i="15"/>
  <c r="Z21" i="36"/>
  <c r="M15" i="15"/>
  <c r="M25" i="3" s="1"/>
  <c r="P28" i="4" s="1"/>
  <c r="T28" i="4" s="1"/>
  <c r="M19" i="15"/>
  <c r="M19" i="3" s="1"/>
  <c r="P22" i="4" s="1"/>
  <c r="V22" i="4" s="1"/>
  <c r="Q13" i="36"/>
  <c r="R13" i="36" s="1"/>
  <c r="Y33" i="36"/>
  <c r="Z33" i="36"/>
  <c r="V8" i="36"/>
  <c r="W8" i="36"/>
  <c r="Z8" i="36"/>
  <c r="Q8" i="36"/>
  <c r="Y8" i="36"/>
  <c r="C3" i="37"/>
  <c r="O3" i="37" s="1"/>
  <c r="P8" i="36"/>
  <c r="V31" i="36"/>
  <c r="Y31" i="36"/>
  <c r="C26" i="37"/>
  <c r="O26" i="37" s="1"/>
  <c r="Q31" i="36"/>
  <c r="Z31" i="36"/>
  <c r="W31" i="36"/>
  <c r="P31" i="36"/>
  <c r="C18" i="37"/>
  <c r="Y23" i="36"/>
  <c r="Q24" i="36"/>
  <c r="S24" i="36" s="1"/>
  <c r="Z12" i="36"/>
  <c r="Y15" i="36"/>
  <c r="W24" i="36"/>
  <c r="U37" i="36"/>
  <c r="Q23" i="36"/>
  <c r="S23" i="36" s="1"/>
  <c r="Y27" i="36"/>
  <c r="Z23" i="36"/>
  <c r="P27" i="36"/>
  <c r="W27" i="36"/>
  <c r="P24" i="36"/>
  <c r="P7" i="36"/>
  <c r="Q7" i="36"/>
  <c r="Z7" i="36"/>
  <c r="V7" i="36"/>
  <c r="W7" i="36"/>
  <c r="Y7" i="36"/>
  <c r="C2" i="37"/>
  <c r="O2" i="37" s="1"/>
  <c r="V24" i="36"/>
  <c r="P13" i="36"/>
  <c r="R22" i="7"/>
  <c r="V13" i="36"/>
  <c r="X13" i="36" s="1"/>
  <c r="C8" i="37"/>
  <c r="R10" i="36"/>
  <c r="Y13" i="36"/>
  <c r="Z24" i="36"/>
  <c r="C19" i="37"/>
  <c r="S10" i="36"/>
  <c r="V20" i="36"/>
  <c r="Y20" i="36"/>
  <c r="C15" i="37"/>
  <c r="O15" i="37" s="1"/>
  <c r="Z20" i="36"/>
  <c r="P20" i="36"/>
  <c r="Q20" i="36"/>
  <c r="W20" i="36"/>
  <c r="M17" i="15"/>
  <c r="M4" i="3" s="1"/>
  <c r="P7" i="4" s="1"/>
  <c r="M5" i="15"/>
  <c r="M10" i="3" s="1"/>
  <c r="P13" i="4" s="1"/>
  <c r="C7" i="37"/>
  <c r="P23" i="36"/>
  <c r="C10" i="37"/>
  <c r="W12" i="36"/>
  <c r="P15" i="36"/>
  <c r="Z15" i="36"/>
  <c r="P12" i="36"/>
  <c r="T25" i="37"/>
  <c r="Y12" i="36"/>
  <c r="W15" i="36"/>
  <c r="V23" i="36"/>
  <c r="X23" i="36" s="1"/>
  <c r="V12" i="36"/>
  <c r="V15" i="36"/>
  <c r="N25" i="37"/>
  <c r="M12" i="15"/>
  <c r="M6" i="3" s="1"/>
  <c r="P9" i="4" s="1"/>
  <c r="T9" i="4" s="1"/>
  <c r="L12" i="35"/>
  <c r="L14" i="35"/>
  <c r="L16" i="35"/>
  <c r="L11" i="35"/>
  <c r="M10" i="32"/>
  <c r="O16" i="11"/>
  <c r="X14" i="36"/>
  <c r="AA14" i="36" s="1"/>
  <c r="O25" i="9"/>
  <c r="S25" i="9" s="1"/>
  <c r="T25" i="9" s="1"/>
  <c r="M17" i="32"/>
  <c r="O23" i="11"/>
  <c r="X25" i="36"/>
  <c r="AA25" i="36" s="1"/>
  <c r="O10" i="9"/>
  <c r="M7" i="32"/>
  <c r="O13" i="9"/>
  <c r="M2" i="32"/>
  <c r="O8" i="9"/>
  <c r="M27" i="32"/>
  <c r="O33" i="11"/>
  <c r="T31" i="11"/>
  <c r="S31" i="11"/>
  <c r="Z30" i="9"/>
  <c r="S30" i="9"/>
  <c r="O16" i="9"/>
  <c r="S16" i="9" s="1"/>
  <c r="M28" i="32"/>
  <c r="O34" i="9"/>
  <c r="Z29" i="9"/>
  <c r="S29" i="9"/>
  <c r="O15" i="9"/>
  <c r="S15" i="9" s="1"/>
  <c r="T15" i="9" s="1"/>
  <c r="O26" i="9"/>
  <c r="S26" i="9" s="1"/>
  <c r="O26" i="11"/>
  <c r="O22" i="9"/>
  <c r="S22" i="9" s="1"/>
  <c r="O24" i="9"/>
  <c r="Z24" i="9" s="1"/>
  <c r="W35" i="9"/>
  <c r="AA35" i="9"/>
  <c r="X18" i="36"/>
  <c r="AA18" i="36" s="1"/>
  <c r="N2" i="6"/>
  <c r="X29" i="36"/>
  <c r="AA29" i="36" s="1"/>
  <c r="X11" i="36"/>
  <c r="AA11" i="36" s="1"/>
  <c r="X26" i="36"/>
  <c r="AA26" i="36" s="1"/>
  <c r="X9" i="36"/>
  <c r="AA9" i="36" s="1"/>
  <c r="S22" i="36"/>
  <c r="R22" i="36"/>
  <c r="T22" i="36"/>
  <c r="C3" i="30"/>
  <c r="Q8" i="2"/>
  <c r="T8" i="2" s="1"/>
  <c r="B6" i="7"/>
  <c r="O6" i="7" s="1"/>
  <c r="Q6" i="7"/>
  <c r="C20" i="30"/>
  <c r="Q25" i="2"/>
  <c r="T25" i="2" s="1"/>
  <c r="K11" i="7"/>
  <c r="L11" i="7"/>
  <c r="N11" i="7"/>
  <c r="S11" i="7" s="1"/>
  <c r="G11" i="7"/>
  <c r="M11" i="7"/>
  <c r="H11" i="7"/>
  <c r="I11" i="7"/>
  <c r="J11" i="7"/>
  <c r="T9" i="36"/>
  <c r="S9" i="36"/>
  <c r="R9" i="36"/>
  <c r="C12" i="30"/>
  <c r="Q17" i="2"/>
  <c r="T17" i="2" s="1"/>
  <c r="H9" i="7"/>
  <c r="M9" i="7"/>
  <c r="K9" i="7"/>
  <c r="N9" i="7"/>
  <c r="S9" i="7" s="1"/>
  <c r="G9" i="7"/>
  <c r="I9" i="7"/>
  <c r="J9" i="7"/>
  <c r="C9" i="30"/>
  <c r="Q14" i="2"/>
  <c r="T14" i="2" s="1"/>
  <c r="S4" i="37"/>
  <c r="N4" i="37"/>
  <c r="T4" i="37"/>
  <c r="R4" i="37"/>
  <c r="R20" i="4"/>
  <c r="T20" i="4"/>
  <c r="O20" i="4"/>
  <c r="Y20" i="4" s="1"/>
  <c r="AA20" i="4" s="1"/>
  <c r="S20" i="4"/>
  <c r="Q20" i="4"/>
  <c r="B15" i="31"/>
  <c r="N15" i="31" s="1"/>
  <c r="Q27" i="2"/>
  <c r="C22" i="30"/>
  <c r="U6" i="2"/>
  <c r="T28" i="36"/>
  <c r="R28" i="36"/>
  <c r="S28" i="36"/>
  <c r="K14" i="7"/>
  <c r="G14" i="7"/>
  <c r="M14" i="7"/>
  <c r="H14" i="7"/>
  <c r="J14" i="7"/>
  <c r="L14" i="7"/>
  <c r="I14" i="7"/>
  <c r="N14" i="7"/>
  <c r="S14" i="7" s="1"/>
  <c r="L16" i="7"/>
  <c r="N16" i="7"/>
  <c r="S16" i="7" s="1"/>
  <c r="M16" i="7"/>
  <c r="I16" i="7"/>
  <c r="G16" i="7"/>
  <c r="K16" i="7"/>
  <c r="J16" i="7"/>
  <c r="H16" i="7"/>
  <c r="X28" i="36"/>
  <c r="AA28" i="36" s="1"/>
  <c r="N24" i="37"/>
  <c r="T24" i="37"/>
  <c r="S24" i="37"/>
  <c r="R24" i="37"/>
  <c r="T12" i="36"/>
  <c r="R12" i="36"/>
  <c r="S12" i="36"/>
  <c r="T15" i="36"/>
  <c r="R15" i="36"/>
  <c r="S15" i="36"/>
  <c r="C15" i="30"/>
  <c r="Q20" i="2"/>
  <c r="T20" i="2" s="1"/>
  <c r="N23" i="37"/>
  <c r="T23" i="37"/>
  <c r="R23" i="37"/>
  <c r="S23" i="37"/>
  <c r="Y19" i="2"/>
  <c r="C14" i="30"/>
  <c r="Q19" i="2"/>
  <c r="T19" i="2" s="1"/>
  <c r="H21" i="7"/>
  <c r="I21" i="7"/>
  <c r="K21" i="7"/>
  <c r="N21" i="7"/>
  <c r="S21" i="7" s="1"/>
  <c r="G21" i="7"/>
  <c r="L21" i="7"/>
  <c r="M21" i="7"/>
  <c r="J21" i="7"/>
  <c r="Q13" i="2"/>
  <c r="T13" i="2" s="1"/>
  <c r="C8" i="30"/>
  <c r="N7" i="7"/>
  <c r="S7" i="7" s="1"/>
  <c r="H7" i="7"/>
  <c r="M7" i="7"/>
  <c r="G7" i="7"/>
  <c r="K7" i="7"/>
  <c r="J7" i="7"/>
  <c r="I7" i="7"/>
  <c r="L7" i="7"/>
  <c r="C30" i="30"/>
  <c r="Q36" i="2"/>
  <c r="T36" i="2" s="1"/>
  <c r="N13" i="37"/>
  <c r="T13" i="37"/>
  <c r="S13" i="37"/>
  <c r="R13" i="37"/>
  <c r="T16" i="36"/>
  <c r="S16" i="36"/>
  <c r="R16" i="36"/>
  <c r="Q3" i="33"/>
  <c r="M10" i="7"/>
  <c r="L10" i="7"/>
  <c r="N10" i="7"/>
  <c r="S10" i="7" s="1"/>
  <c r="H10" i="7"/>
  <c r="I10" i="7"/>
  <c r="K10" i="7"/>
  <c r="G10" i="7"/>
  <c r="J10" i="7"/>
  <c r="K24" i="7"/>
  <c r="N24" i="7"/>
  <c r="S24" i="7" s="1"/>
  <c r="H24" i="7"/>
  <c r="M24" i="7"/>
  <c r="J24" i="7"/>
  <c r="G24" i="7"/>
  <c r="I24" i="7"/>
  <c r="L24" i="7"/>
  <c r="C26" i="30"/>
  <c r="Q31" i="2"/>
  <c r="T31" i="2" s="1"/>
  <c r="C21" i="30"/>
  <c r="Q26" i="2"/>
  <c r="T11" i="4"/>
  <c r="R11" i="4"/>
  <c r="Q11" i="4"/>
  <c r="O11" i="4"/>
  <c r="X11" i="4" s="1"/>
  <c r="AA11" i="4" s="1"/>
  <c r="B6" i="31"/>
  <c r="N6" i="31" s="1"/>
  <c r="S11" i="4"/>
  <c r="W11" i="4"/>
  <c r="V11" i="4"/>
  <c r="N6" i="37"/>
  <c r="S6" i="37"/>
  <c r="T6" i="37"/>
  <c r="L19" i="7"/>
  <c r="G19" i="7"/>
  <c r="I19" i="7"/>
  <c r="M19" i="7"/>
  <c r="N19" i="7"/>
  <c r="S19" i="7" s="1"/>
  <c r="K19" i="7"/>
  <c r="H19" i="7"/>
  <c r="J19" i="7"/>
  <c r="T11" i="36"/>
  <c r="S11" i="36"/>
  <c r="R11" i="36"/>
  <c r="I26" i="7"/>
  <c r="H26" i="7"/>
  <c r="K26" i="7"/>
  <c r="M26" i="7"/>
  <c r="N26" i="7"/>
  <c r="S26" i="7" s="1"/>
  <c r="G26" i="7"/>
  <c r="J26" i="7"/>
  <c r="L26" i="7"/>
  <c r="K12" i="7"/>
  <c r="G12" i="7"/>
  <c r="N12" i="7"/>
  <c r="S12" i="7" s="1"/>
  <c r="M12" i="7"/>
  <c r="I12" i="7"/>
  <c r="J12" i="7"/>
  <c r="L12" i="7"/>
  <c r="H12" i="7"/>
  <c r="M17" i="7"/>
  <c r="H17" i="7"/>
  <c r="J17" i="7"/>
  <c r="I17" i="7"/>
  <c r="N17" i="7"/>
  <c r="S17" i="7" s="1"/>
  <c r="K17" i="7"/>
  <c r="L17" i="7"/>
  <c r="G17" i="7"/>
  <c r="Q24" i="2"/>
  <c r="T24" i="2" s="1"/>
  <c r="C19" i="30"/>
  <c r="L29" i="7"/>
  <c r="H29" i="7"/>
  <c r="K29" i="7"/>
  <c r="J29" i="7"/>
  <c r="I29" i="7"/>
  <c r="N29" i="7"/>
  <c r="S29" i="7" s="1"/>
  <c r="G29" i="7"/>
  <c r="M29" i="7"/>
  <c r="Q11" i="2"/>
  <c r="Y11" i="2"/>
  <c r="C6" i="30"/>
  <c r="Q29" i="2"/>
  <c r="T29" i="2" s="1"/>
  <c r="C24" i="30"/>
  <c r="T18" i="36"/>
  <c r="R18" i="36"/>
  <c r="S18" i="36"/>
  <c r="T31" i="4"/>
  <c r="R31" i="4"/>
  <c r="Q31" i="4"/>
  <c r="V31" i="4"/>
  <c r="S31" i="4"/>
  <c r="O31" i="4"/>
  <c r="B26" i="31"/>
  <c r="N26" i="31" s="1"/>
  <c r="W31" i="4"/>
  <c r="Q15" i="2"/>
  <c r="T15" i="2" s="1"/>
  <c r="C10" i="30"/>
  <c r="Q16" i="2"/>
  <c r="T16" i="2" s="1"/>
  <c r="C11" i="30"/>
  <c r="L8" i="7"/>
  <c r="M8" i="7"/>
  <c r="H8" i="7"/>
  <c r="N8" i="7"/>
  <c r="S8" i="7" s="1"/>
  <c r="I8" i="7"/>
  <c r="K8" i="7"/>
  <c r="G8" i="7"/>
  <c r="J8" i="7"/>
  <c r="C28" i="30"/>
  <c r="Q33" i="2"/>
  <c r="T33" i="2" s="1"/>
  <c r="Q30" i="2"/>
  <c r="T30" i="2" s="1"/>
  <c r="C25" i="30"/>
  <c r="X22" i="7"/>
  <c r="T22" i="7"/>
  <c r="U37" i="2"/>
  <c r="C13" i="30"/>
  <c r="Q18" i="2"/>
  <c r="C16" i="30"/>
  <c r="Q21" i="2"/>
  <c r="T21" i="2" s="1"/>
  <c r="N20" i="37"/>
  <c r="S20" i="37"/>
  <c r="T20" i="37"/>
  <c r="R20" i="37"/>
  <c r="T23" i="9"/>
  <c r="U23" i="9"/>
  <c r="L30" i="7"/>
  <c r="H30" i="7"/>
  <c r="N30" i="7"/>
  <c r="S30" i="7" s="1"/>
  <c r="J30" i="7"/>
  <c r="M30" i="7"/>
  <c r="I30" i="7"/>
  <c r="K30" i="7"/>
  <c r="C23" i="30"/>
  <c r="Q28" i="2"/>
  <c r="T28" i="2" s="1"/>
  <c r="R36" i="36"/>
  <c r="S36" i="36"/>
  <c r="T36" i="36"/>
  <c r="R25" i="36"/>
  <c r="S25" i="36"/>
  <c r="T25" i="36"/>
  <c r="R22" i="37"/>
  <c r="S22" i="37"/>
  <c r="T22" i="37"/>
  <c r="N22" i="37"/>
  <c r="Q12" i="2"/>
  <c r="T12" i="2" s="1"/>
  <c r="C7" i="30"/>
  <c r="J27" i="7"/>
  <c r="G27" i="7"/>
  <c r="L27" i="7"/>
  <c r="K27" i="7"/>
  <c r="N27" i="7"/>
  <c r="S27" i="7" s="1"/>
  <c r="H27" i="7"/>
  <c r="I27" i="7"/>
  <c r="M27" i="7"/>
  <c r="N21" i="37"/>
  <c r="R21" i="37"/>
  <c r="T21" i="37"/>
  <c r="S21" i="37"/>
  <c r="Q7" i="2"/>
  <c r="T7" i="2" s="1"/>
  <c r="C2" i="30"/>
  <c r="G25" i="7"/>
  <c r="J25" i="7"/>
  <c r="N25" i="7"/>
  <c r="S25" i="7" s="1"/>
  <c r="H25" i="7"/>
  <c r="M25" i="7"/>
  <c r="K25" i="7"/>
  <c r="L25" i="7"/>
  <c r="I25" i="7"/>
  <c r="N30" i="37"/>
  <c r="T30" i="37"/>
  <c r="R30" i="37"/>
  <c r="S30" i="37"/>
  <c r="Q32" i="2"/>
  <c r="T32" i="2" s="1"/>
  <c r="C27" i="30"/>
  <c r="N18" i="7"/>
  <c r="S18" i="7" s="1"/>
  <c r="K18" i="7"/>
  <c r="H18" i="7"/>
  <c r="J18" i="7"/>
  <c r="L18" i="7"/>
  <c r="G18" i="7"/>
  <c r="M18" i="7"/>
  <c r="I18" i="7"/>
  <c r="S9" i="37"/>
  <c r="T9" i="37"/>
  <c r="R9" i="37"/>
  <c r="N9" i="37"/>
  <c r="G20" i="7"/>
  <c r="M20" i="7"/>
  <c r="H20" i="7"/>
  <c r="N20" i="7"/>
  <c r="S20" i="7" s="1"/>
  <c r="I20" i="7"/>
  <c r="K20" i="7"/>
  <c r="L20" i="7"/>
  <c r="J20" i="7"/>
  <c r="R17" i="37"/>
  <c r="T17" i="37"/>
  <c r="S17" i="37"/>
  <c r="N17" i="37"/>
  <c r="K34" i="7"/>
  <c r="I34" i="7"/>
  <c r="H34" i="7"/>
  <c r="J34" i="7"/>
  <c r="G34" i="7"/>
  <c r="X36" i="36"/>
  <c r="AA36" i="36" s="1"/>
  <c r="T29" i="36"/>
  <c r="R29" i="36"/>
  <c r="S29" i="36"/>
  <c r="C5" i="30"/>
  <c r="Q10" i="2"/>
  <c r="T10" i="2" s="1"/>
  <c r="H15" i="7"/>
  <c r="K15" i="7"/>
  <c r="G15" i="7"/>
  <c r="N15" i="7"/>
  <c r="S15" i="7" s="1"/>
  <c r="I15" i="7"/>
  <c r="L15" i="7"/>
  <c r="J15" i="7"/>
  <c r="M15" i="7"/>
  <c r="R26" i="36"/>
  <c r="T26" i="36"/>
  <c r="S26" i="36"/>
  <c r="X22" i="36"/>
  <c r="AA22" i="36" s="1"/>
  <c r="L23" i="7"/>
  <c r="K23" i="7"/>
  <c r="M23" i="7"/>
  <c r="I23" i="7"/>
  <c r="H23" i="7"/>
  <c r="N23" i="7"/>
  <c r="S23" i="7" s="1"/>
  <c r="J23" i="7"/>
  <c r="G23" i="7"/>
  <c r="Q22" i="2"/>
  <c r="C17" i="30"/>
  <c r="C29" i="30"/>
  <c r="Q35" i="2"/>
  <c r="T35" i="2" s="1"/>
  <c r="J32" i="7"/>
  <c r="L32" i="7"/>
  <c r="I32" i="7"/>
  <c r="G32" i="7"/>
  <c r="H32" i="7"/>
  <c r="M32" i="7"/>
  <c r="N32" i="7"/>
  <c r="K32" i="7"/>
  <c r="U34" i="2"/>
  <c r="K13" i="7"/>
  <c r="N13" i="7"/>
  <c r="S13" i="7" s="1"/>
  <c r="L13" i="7"/>
  <c r="H13" i="7"/>
  <c r="I13" i="7"/>
  <c r="J13" i="7"/>
  <c r="M13" i="7"/>
  <c r="G13" i="7"/>
  <c r="Q9" i="2"/>
  <c r="T9" i="2" s="1"/>
  <c r="C4" i="30"/>
  <c r="K27" i="15"/>
  <c r="N18" i="3" s="1"/>
  <c r="K29" i="15"/>
  <c r="N23" i="3" s="1"/>
  <c r="K20" i="15"/>
  <c r="N27" i="3" s="1"/>
  <c r="K14" i="15"/>
  <c r="N12" i="3" s="1"/>
  <c r="K10" i="15"/>
  <c r="N28" i="3" s="1"/>
  <c r="K17" i="15"/>
  <c r="N4" i="3" s="1"/>
  <c r="K4" i="15"/>
  <c r="N8" i="3" s="1"/>
  <c r="K32" i="15"/>
  <c r="N33" i="3" s="1"/>
  <c r="K9" i="15"/>
  <c r="N9" i="3" s="1"/>
  <c r="K26" i="15"/>
  <c r="N24" i="3" s="1"/>
  <c r="K11" i="15"/>
  <c r="N20" i="3" s="1"/>
  <c r="K21" i="15"/>
  <c r="N14" i="3" s="1"/>
  <c r="K19" i="15"/>
  <c r="N19" i="3" s="1"/>
  <c r="K13" i="15"/>
  <c r="N15" i="3" s="1"/>
  <c r="K5" i="15"/>
  <c r="N10" i="3" s="1"/>
  <c r="K22" i="15"/>
  <c r="N11" i="3" s="1"/>
  <c r="K24" i="15"/>
  <c r="N13" i="3" s="1"/>
  <c r="K15" i="15"/>
  <c r="N25" i="3" s="1"/>
  <c r="K8" i="15"/>
  <c r="N29" i="3" s="1"/>
  <c r="K7" i="15"/>
  <c r="N22" i="3" s="1"/>
  <c r="K12" i="15"/>
  <c r="N6" i="3" s="1"/>
  <c r="K23" i="15"/>
  <c r="N16" i="3" s="1"/>
  <c r="K28" i="15"/>
  <c r="N26" i="3" s="1"/>
  <c r="K18" i="15"/>
  <c r="N5" i="3" s="1"/>
  <c r="K25" i="15"/>
  <c r="N21" i="3" s="1"/>
  <c r="K6" i="15"/>
  <c r="N7" i="3" s="1"/>
  <c r="K16" i="15"/>
  <c r="N17" i="3" s="1"/>
  <c r="K31" i="15"/>
  <c r="N30" i="3" s="1"/>
  <c r="K30" i="15"/>
  <c r="N32" i="3" s="1"/>
  <c r="T14" i="36"/>
  <c r="R14" i="36"/>
  <c r="S14" i="36"/>
  <c r="C18" i="30"/>
  <c r="Q23" i="2"/>
  <c r="N33" i="7"/>
  <c r="G33" i="7"/>
  <c r="M33" i="7"/>
  <c r="H33" i="7"/>
  <c r="K33" i="7"/>
  <c r="I33" i="7"/>
  <c r="J33" i="7"/>
  <c r="L33" i="7"/>
  <c r="T20" i="9"/>
  <c r="U20" i="9" s="1"/>
  <c r="L2" i="35"/>
  <c r="L5" i="35"/>
  <c r="AO8" i="8"/>
  <c r="L7" i="35"/>
  <c r="AO3" i="8"/>
  <c r="L13" i="35"/>
  <c r="L15" i="35"/>
  <c r="AJ10" i="8"/>
  <c r="AO10" i="8" s="1"/>
  <c r="P14" i="30" l="1"/>
  <c r="M14" i="30"/>
  <c r="P25" i="30"/>
  <c r="M25" i="30"/>
  <c r="P6" i="30"/>
  <c r="M6" i="30"/>
  <c r="P12" i="30"/>
  <c r="M12" i="30"/>
  <c r="P28" i="30"/>
  <c r="M28" i="30"/>
  <c r="P15" i="30"/>
  <c r="M15" i="30"/>
  <c r="P21" i="30"/>
  <c r="M21" i="30"/>
  <c r="P19" i="30"/>
  <c r="M19" i="30"/>
  <c r="P23" i="30"/>
  <c r="M23" i="30"/>
  <c r="P11" i="30"/>
  <c r="M11" i="30"/>
  <c r="P26" i="30"/>
  <c r="M26" i="30"/>
  <c r="P10" i="30"/>
  <c r="M10" i="30"/>
  <c r="P8" i="30"/>
  <c r="M8" i="30"/>
  <c r="P20" i="30"/>
  <c r="M20" i="30"/>
  <c r="P4" i="30"/>
  <c r="M4" i="30"/>
  <c r="P5" i="30"/>
  <c r="M5" i="30"/>
  <c r="P22" i="30"/>
  <c r="M22" i="30"/>
  <c r="P2" i="30"/>
  <c r="M2" i="30"/>
  <c r="P29" i="30"/>
  <c r="M29" i="30"/>
  <c r="P3" i="30"/>
  <c r="M3" i="30"/>
  <c r="P17" i="30"/>
  <c r="M17" i="30"/>
  <c r="P9" i="30"/>
  <c r="M9" i="30"/>
  <c r="P7" i="30"/>
  <c r="M7" i="30"/>
  <c r="P16" i="30"/>
  <c r="M16" i="30"/>
  <c r="P13" i="30"/>
  <c r="M13" i="30"/>
  <c r="P24" i="30"/>
  <c r="M24" i="30"/>
  <c r="P30" i="30"/>
  <c r="M30" i="30"/>
  <c r="P27" i="30"/>
  <c r="M27" i="30"/>
  <c r="P18" i="30"/>
  <c r="M18" i="30"/>
  <c r="AJ1" i="8"/>
  <c r="AO5" i="8"/>
  <c r="Y32" i="9"/>
  <c r="AA32" i="9" s="1"/>
  <c r="Q26" i="33" s="1"/>
  <c r="O1" i="9"/>
  <c r="R28" i="7"/>
  <c r="T35" i="36"/>
  <c r="B28" i="31"/>
  <c r="N28" i="31" s="1"/>
  <c r="T33" i="4"/>
  <c r="B27" i="31"/>
  <c r="N27" i="31" s="1"/>
  <c r="T32" i="4"/>
  <c r="Y31" i="4"/>
  <c r="Z31" i="4"/>
  <c r="T16" i="4"/>
  <c r="R36" i="4"/>
  <c r="S29" i="37"/>
  <c r="O33" i="4"/>
  <c r="R33" i="4"/>
  <c r="Q36" i="4"/>
  <c r="S35" i="4"/>
  <c r="U35" i="4" s="1"/>
  <c r="V35" i="4" s="1"/>
  <c r="Q33" i="4"/>
  <c r="S33" i="4"/>
  <c r="AO1" i="8"/>
  <c r="R27" i="37"/>
  <c r="T27" i="37"/>
  <c r="N27" i="37"/>
  <c r="P27" i="37" s="1"/>
  <c r="Q27" i="37" s="1"/>
  <c r="O36" i="4"/>
  <c r="Y36" i="4" s="1"/>
  <c r="AA36" i="4" s="1"/>
  <c r="Q30" i="31" s="1"/>
  <c r="O35" i="4"/>
  <c r="S32" i="36"/>
  <c r="B10" i="31"/>
  <c r="N10" i="31" s="1"/>
  <c r="B29" i="31"/>
  <c r="N29" i="31" s="1"/>
  <c r="Q35" i="4"/>
  <c r="S27" i="37"/>
  <c r="R35" i="36"/>
  <c r="P5" i="37"/>
  <c r="Q5" i="37" s="1"/>
  <c r="R32" i="36"/>
  <c r="AA32" i="36"/>
  <c r="S33" i="9"/>
  <c r="T33" i="9" s="1"/>
  <c r="U33" i="9" s="1"/>
  <c r="S21" i="9"/>
  <c r="T21" i="9" s="1"/>
  <c r="U21" i="9" s="1"/>
  <c r="W21" i="9" s="1"/>
  <c r="AA21" i="9" s="1"/>
  <c r="Q15" i="33" s="1"/>
  <c r="R27" i="36"/>
  <c r="S37" i="11"/>
  <c r="V37" i="11" s="1"/>
  <c r="T19" i="37"/>
  <c r="O19" i="37"/>
  <c r="S18" i="37"/>
  <c r="O18" i="37"/>
  <c r="T11" i="37"/>
  <c r="O11" i="37"/>
  <c r="N29" i="37"/>
  <c r="O29" i="37"/>
  <c r="P29" i="37" s="1"/>
  <c r="Q29" i="37" s="1"/>
  <c r="Q8" i="4"/>
  <c r="S8" i="4"/>
  <c r="T7" i="37"/>
  <c r="O7" i="37"/>
  <c r="P7" i="37" s="1"/>
  <c r="Q7" i="37" s="1"/>
  <c r="S16" i="37"/>
  <c r="O16" i="37"/>
  <c r="T8" i="37"/>
  <c r="O8" i="37"/>
  <c r="W10" i="4"/>
  <c r="U30" i="36"/>
  <c r="Q32" i="4"/>
  <c r="S29" i="4"/>
  <c r="V29" i="4"/>
  <c r="N10" i="37"/>
  <c r="O10" i="37"/>
  <c r="W29" i="4"/>
  <c r="AB29" i="4" s="1"/>
  <c r="Q29" i="4"/>
  <c r="B24" i="31"/>
  <c r="N24" i="31" s="1"/>
  <c r="R12" i="37"/>
  <c r="S13" i="9"/>
  <c r="Z13" i="9"/>
  <c r="S36" i="11"/>
  <c r="U36" i="11" s="1"/>
  <c r="S10" i="9"/>
  <c r="Z10" i="9"/>
  <c r="S34" i="9"/>
  <c r="Z34" i="9"/>
  <c r="T17" i="9"/>
  <c r="U17" i="9" s="1"/>
  <c r="S8" i="9"/>
  <c r="Z8" i="9"/>
  <c r="R14" i="37"/>
  <c r="S27" i="36"/>
  <c r="R13" i="7"/>
  <c r="V8" i="4"/>
  <c r="T17" i="36"/>
  <c r="S14" i="37"/>
  <c r="U33" i="36"/>
  <c r="S13" i="36"/>
  <c r="T13" i="36"/>
  <c r="R19" i="36"/>
  <c r="X33" i="36"/>
  <c r="AA33" i="36" s="1"/>
  <c r="T19" i="36"/>
  <c r="R17" i="36"/>
  <c r="T18" i="37"/>
  <c r="T14" i="37"/>
  <c r="R16" i="37"/>
  <c r="N14" i="37"/>
  <c r="P14" i="37" s="1"/>
  <c r="Q14" i="37" s="1"/>
  <c r="X12" i="36"/>
  <c r="AA12" i="36" s="1"/>
  <c r="S16" i="4"/>
  <c r="R16" i="4"/>
  <c r="N18" i="37"/>
  <c r="R18" i="37"/>
  <c r="W8" i="4"/>
  <c r="Z26" i="9"/>
  <c r="X27" i="36"/>
  <c r="AA27" i="36" s="1"/>
  <c r="T15" i="4"/>
  <c r="V17" i="4"/>
  <c r="R29" i="4"/>
  <c r="S7" i="37"/>
  <c r="T29" i="4"/>
  <c r="N7" i="37"/>
  <c r="R7" i="37"/>
  <c r="X16" i="36"/>
  <c r="AA16" i="36" s="1"/>
  <c r="T16" i="37"/>
  <c r="Q16" i="4"/>
  <c r="R15" i="4"/>
  <c r="B9" i="31"/>
  <c r="N9" i="31" s="1"/>
  <c r="B11" i="31"/>
  <c r="R29" i="37"/>
  <c r="O8" i="4"/>
  <c r="X8" i="4" s="1"/>
  <c r="AA8" i="4" s="1"/>
  <c r="X28" i="7"/>
  <c r="Y28" i="7" s="1"/>
  <c r="R20" i="7"/>
  <c r="S36" i="4"/>
  <c r="AA23" i="36"/>
  <c r="O15" i="4"/>
  <c r="Y15" i="4" s="1"/>
  <c r="AA15" i="4" s="1"/>
  <c r="Q15" i="4"/>
  <c r="R6" i="37"/>
  <c r="X8" i="36"/>
  <c r="AA8" i="36" s="1"/>
  <c r="W18" i="4"/>
  <c r="R17" i="4"/>
  <c r="Q14" i="4"/>
  <c r="S30" i="4"/>
  <c r="R12" i="4"/>
  <c r="T10" i="4"/>
  <c r="R11" i="37"/>
  <c r="U28" i="7"/>
  <c r="V28" i="7" s="1"/>
  <c r="W28" i="7" s="1"/>
  <c r="B13" i="31"/>
  <c r="M13" i="31" s="1"/>
  <c r="T17" i="4"/>
  <c r="V18" i="4"/>
  <c r="T30" i="4"/>
  <c r="S18" i="4"/>
  <c r="Q30" i="4"/>
  <c r="S12" i="4"/>
  <c r="B25" i="31"/>
  <c r="N25" i="31" s="1"/>
  <c r="T12" i="4"/>
  <c r="R10" i="4"/>
  <c r="O18" i="4"/>
  <c r="Y18" i="4" s="1"/>
  <c r="AA18" i="4" s="1"/>
  <c r="W17" i="4"/>
  <c r="T18" i="4"/>
  <c r="B12" i="31"/>
  <c r="N12" i="31" s="1"/>
  <c r="S25" i="4"/>
  <c r="O25" i="4"/>
  <c r="Y25" i="4" s="1"/>
  <c r="AA25" i="4" s="1"/>
  <c r="Y4" i="36"/>
  <c r="V32" i="4"/>
  <c r="W25" i="4"/>
  <c r="Q18" i="4"/>
  <c r="N12" i="37"/>
  <c r="P12" i="37" s="1"/>
  <c r="Q12" i="37" s="1"/>
  <c r="O32" i="4"/>
  <c r="Z32" i="4" s="1"/>
  <c r="AA32" i="4" s="1"/>
  <c r="S21" i="4"/>
  <c r="T12" i="37"/>
  <c r="R32" i="4"/>
  <c r="O21" i="4"/>
  <c r="X21" i="4" s="1"/>
  <c r="AA21" i="4" s="1"/>
  <c r="S10" i="37"/>
  <c r="R25" i="4"/>
  <c r="N8" i="37"/>
  <c r="S12" i="37"/>
  <c r="V21" i="4"/>
  <c r="R10" i="37"/>
  <c r="T25" i="4"/>
  <c r="R30" i="4"/>
  <c r="B16" i="31"/>
  <c r="N16" i="31" s="1"/>
  <c r="R16" i="7"/>
  <c r="T10" i="37"/>
  <c r="R9" i="7"/>
  <c r="S8" i="37"/>
  <c r="U22" i="7"/>
  <c r="V22" i="7" s="1"/>
  <c r="W22" i="7" s="1"/>
  <c r="W21" i="4"/>
  <c r="T24" i="36"/>
  <c r="N16" i="37"/>
  <c r="T21" i="4"/>
  <c r="R24" i="36"/>
  <c r="AA13" i="36"/>
  <c r="Q17" i="4"/>
  <c r="V25" i="4"/>
  <c r="U10" i="36"/>
  <c r="O17" i="4"/>
  <c r="Z17" i="4" s="1"/>
  <c r="AA17" i="4" s="1"/>
  <c r="R8" i="37"/>
  <c r="R21" i="4"/>
  <c r="O24" i="4"/>
  <c r="Z24" i="4" s="1"/>
  <c r="AA24" i="4" s="1"/>
  <c r="B19" i="31"/>
  <c r="N19" i="31" s="1"/>
  <c r="T14" i="4"/>
  <c r="Q12" i="4"/>
  <c r="Q10" i="4"/>
  <c r="Q24" i="4"/>
  <c r="B7" i="31"/>
  <c r="O10" i="4"/>
  <c r="X10" i="4" s="1"/>
  <c r="AA10" i="4" s="1"/>
  <c r="V24" i="4"/>
  <c r="B17" i="31"/>
  <c r="N17" i="31" s="1"/>
  <c r="W22" i="4"/>
  <c r="AA17" i="36"/>
  <c r="W32" i="4"/>
  <c r="B3" i="31"/>
  <c r="S32" i="4"/>
  <c r="T8" i="4"/>
  <c r="B20" i="31"/>
  <c r="N20" i="31" s="1"/>
  <c r="S26" i="4"/>
  <c r="X15" i="36"/>
  <c r="AA15" i="36" s="1"/>
  <c r="T24" i="4"/>
  <c r="R14" i="4"/>
  <c r="W24" i="4"/>
  <c r="AA19" i="36"/>
  <c r="S24" i="4"/>
  <c r="W30" i="4"/>
  <c r="AB30" i="4" s="1"/>
  <c r="W12" i="4"/>
  <c r="AB12" i="4" s="1"/>
  <c r="S10" i="4"/>
  <c r="V30" i="4"/>
  <c r="V12" i="4"/>
  <c r="V10" i="4"/>
  <c r="N11" i="37"/>
  <c r="S14" i="4"/>
  <c r="X35" i="36"/>
  <c r="AA35" i="36" s="1"/>
  <c r="Q28" i="4"/>
  <c r="S11" i="37"/>
  <c r="O22" i="4"/>
  <c r="Y22" i="4" s="1"/>
  <c r="AA22" i="4" s="1"/>
  <c r="S22" i="4"/>
  <c r="W28" i="4"/>
  <c r="Q22" i="4"/>
  <c r="S28" i="4"/>
  <c r="R22" i="4"/>
  <c r="T21" i="36"/>
  <c r="S21" i="36"/>
  <c r="R21" i="36"/>
  <c r="V28" i="4"/>
  <c r="R28" i="4"/>
  <c r="T22" i="4"/>
  <c r="Z4" i="36"/>
  <c r="Q23" i="4"/>
  <c r="AA21" i="36"/>
  <c r="B23" i="31"/>
  <c r="N23" i="31" s="1"/>
  <c r="B18" i="31"/>
  <c r="N18" i="31" s="1"/>
  <c r="T23" i="36"/>
  <c r="R28" i="37"/>
  <c r="T28" i="37"/>
  <c r="N28" i="37"/>
  <c r="S28" i="37"/>
  <c r="S23" i="4"/>
  <c r="X24" i="36"/>
  <c r="AA24" i="36" s="1"/>
  <c r="R23" i="36"/>
  <c r="S19" i="4"/>
  <c r="X31" i="36"/>
  <c r="AA31" i="36" s="1"/>
  <c r="O28" i="4"/>
  <c r="Y28" i="4" s="1"/>
  <c r="AA28" i="4" s="1"/>
  <c r="Q19" i="4"/>
  <c r="W19" i="4"/>
  <c r="O23" i="4"/>
  <c r="X23" i="4" s="1"/>
  <c r="AA23" i="4" s="1"/>
  <c r="V19" i="4"/>
  <c r="R23" i="4"/>
  <c r="V4" i="36"/>
  <c r="Q26" i="4"/>
  <c r="B14" i="31"/>
  <c r="S24" i="9"/>
  <c r="T24" i="9" s="1"/>
  <c r="O19" i="4"/>
  <c r="Y19" i="4" s="1"/>
  <c r="AA19" i="4" s="1"/>
  <c r="B21" i="31"/>
  <c r="N21" i="31" s="1"/>
  <c r="S19" i="37"/>
  <c r="B22" i="31"/>
  <c r="N22" i="31" s="1"/>
  <c r="V26" i="4"/>
  <c r="R19" i="37"/>
  <c r="S27" i="4"/>
  <c r="Q27" i="4"/>
  <c r="O26" i="4"/>
  <c r="Y26" i="4" s="1"/>
  <c r="AA26" i="4" s="1"/>
  <c r="W26" i="4"/>
  <c r="R19" i="4"/>
  <c r="O27" i="4"/>
  <c r="Z27" i="4" s="1"/>
  <c r="AA27" i="4" s="1"/>
  <c r="R26" i="4"/>
  <c r="R14" i="7"/>
  <c r="R27" i="4"/>
  <c r="W27" i="4"/>
  <c r="V27" i="4"/>
  <c r="O5" i="9"/>
  <c r="R9" i="4"/>
  <c r="N19" i="37"/>
  <c r="R19" i="7"/>
  <c r="R7" i="7"/>
  <c r="B4" i="31"/>
  <c r="N4" i="31" s="1"/>
  <c r="O9" i="4"/>
  <c r="Y9" i="4" s="1"/>
  <c r="T2" i="37"/>
  <c r="N2" i="37"/>
  <c r="R2" i="37"/>
  <c r="S2" i="37"/>
  <c r="S9" i="4"/>
  <c r="R18" i="7"/>
  <c r="R26" i="7"/>
  <c r="X7" i="36"/>
  <c r="AA7" i="36" s="1"/>
  <c r="T31" i="36"/>
  <c r="S31" i="36"/>
  <c r="R31" i="36"/>
  <c r="W9" i="4"/>
  <c r="N26" i="37"/>
  <c r="R26" i="37"/>
  <c r="T26" i="37"/>
  <c r="S26" i="37"/>
  <c r="T7" i="36"/>
  <c r="S7" i="36"/>
  <c r="R7" i="36"/>
  <c r="T13" i="4"/>
  <c r="B8" i="31"/>
  <c r="N8" i="31" s="1"/>
  <c r="R13" i="4"/>
  <c r="O13" i="4"/>
  <c r="X13" i="4" s="1"/>
  <c r="AA13" i="4" s="1"/>
  <c r="Q13" i="4"/>
  <c r="S13" i="4"/>
  <c r="R7" i="4"/>
  <c r="T7" i="4"/>
  <c r="B2" i="31"/>
  <c r="N2" i="31" s="1"/>
  <c r="O7" i="4"/>
  <c r="X7" i="4" s="1"/>
  <c r="AA7" i="4" s="1"/>
  <c r="S7" i="4"/>
  <c r="Q7" i="4"/>
  <c r="S3" i="37"/>
  <c r="R3" i="37"/>
  <c r="N3" i="37"/>
  <c r="T3" i="37"/>
  <c r="X20" i="36"/>
  <c r="AA20" i="36" s="1"/>
  <c r="V9" i="4"/>
  <c r="Q9" i="4"/>
  <c r="R11" i="7"/>
  <c r="T20" i="36"/>
  <c r="S20" i="36"/>
  <c r="R20" i="36"/>
  <c r="S8" i="36"/>
  <c r="R8" i="36"/>
  <c r="T8" i="36"/>
  <c r="Z16" i="9"/>
  <c r="Z22" i="9"/>
  <c r="R15" i="37"/>
  <c r="N15" i="37"/>
  <c r="T15" i="37"/>
  <c r="S15" i="37"/>
  <c r="T26" i="11"/>
  <c r="S26" i="11"/>
  <c r="U12" i="36"/>
  <c r="T29" i="9"/>
  <c r="U29" i="9" s="1"/>
  <c r="W29" i="9" s="1"/>
  <c r="AA29" i="9" s="1"/>
  <c r="Q23" i="33" s="1"/>
  <c r="U36" i="36"/>
  <c r="U20" i="4"/>
  <c r="V20" i="4" s="1"/>
  <c r="W20" i="4" s="1"/>
  <c r="T30" i="9"/>
  <c r="U30" i="9" s="1"/>
  <c r="X30" i="9" s="1"/>
  <c r="AA30" i="9" s="1"/>
  <c r="Q24" i="33" s="1"/>
  <c r="T33" i="11"/>
  <c r="S33" i="11"/>
  <c r="S23" i="11"/>
  <c r="T23" i="11"/>
  <c r="T16" i="11"/>
  <c r="S16" i="11"/>
  <c r="O5" i="11"/>
  <c r="U9" i="36"/>
  <c r="T22" i="9"/>
  <c r="U22" i="9"/>
  <c r="U26" i="9"/>
  <c r="T26" i="9"/>
  <c r="U29" i="36"/>
  <c r="U11" i="36"/>
  <c r="U28" i="36"/>
  <c r="T16" i="9"/>
  <c r="U16" i="9" s="1"/>
  <c r="O4" i="7"/>
  <c r="W20" i="9"/>
  <c r="AA20" i="9" s="1"/>
  <c r="U26" i="36"/>
  <c r="S9" i="2"/>
  <c r="R9" i="2"/>
  <c r="S7" i="2"/>
  <c r="R7" i="2"/>
  <c r="T6" i="30"/>
  <c r="N6" i="30"/>
  <c r="S6" i="30"/>
  <c r="U6" i="30"/>
  <c r="R13" i="2"/>
  <c r="S13" i="2"/>
  <c r="R25" i="2"/>
  <c r="S25" i="2"/>
  <c r="Q27" i="31"/>
  <c r="P21" i="37"/>
  <c r="Q21" i="37" s="1"/>
  <c r="T32" i="7"/>
  <c r="U32" i="7" s="1"/>
  <c r="X32" i="7"/>
  <c r="V32" i="7"/>
  <c r="R12" i="7"/>
  <c r="N20" i="30"/>
  <c r="S20" i="30"/>
  <c r="T20" i="30"/>
  <c r="U20" i="30"/>
  <c r="U27" i="30"/>
  <c r="S27" i="30"/>
  <c r="T27" i="30"/>
  <c r="N27" i="30"/>
  <c r="R11" i="2"/>
  <c r="S11" i="2"/>
  <c r="R21" i="7"/>
  <c r="S32" i="2"/>
  <c r="R32" i="2"/>
  <c r="R28" i="2"/>
  <c r="S28" i="2"/>
  <c r="T19" i="7"/>
  <c r="X19" i="7"/>
  <c r="T21" i="7"/>
  <c r="X21" i="7"/>
  <c r="Q5" i="31"/>
  <c r="M5" i="31"/>
  <c r="U31" i="4"/>
  <c r="T29" i="7"/>
  <c r="X29" i="7"/>
  <c r="U22" i="30"/>
  <c r="N22" i="30"/>
  <c r="O22" i="30" s="1"/>
  <c r="R22" i="30" s="1"/>
  <c r="T22" i="30"/>
  <c r="S22" i="30"/>
  <c r="N23" i="30"/>
  <c r="S23" i="30"/>
  <c r="T23" i="30"/>
  <c r="U23" i="30"/>
  <c r="U25" i="30"/>
  <c r="S25" i="30"/>
  <c r="N25" i="30"/>
  <c r="O25" i="30" s="1"/>
  <c r="R25" i="30" s="1"/>
  <c r="T25" i="30"/>
  <c r="R27" i="2"/>
  <c r="S27" i="2"/>
  <c r="R14" i="2"/>
  <c r="S14" i="2"/>
  <c r="R30" i="2"/>
  <c r="S30" i="2"/>
  <c r="X12" i="7"/>
  <c r="T12" i="7"/>
  <c r="T27" i="2"/>
  <c r="T9" i="30"/>
  <c r="U9" i="30"/>
  <c r="N9" i="30"/>
  <c r="S9" i="30"/>
  <c r="P20" i="37"/>
  <c r="Q20" i="37" s="1"/>
  <c r="S21" i="2"/>
  <c r="R21" i="2"/>
  <c r="R33" i="2"/>
  <c r="S33" i="2"/>
  <c r="T8" i="7"/>
  <c r="X8" i="7"/>
  <c r="X13" i="7"/>
  <c r="T13" i="7"/>
  <c r="N7" i="30"/>
  <c r="T7" i="30"/>
  <c r="U7" i="30"/>
  <c r="S7" i="30"/>
  <c r="X30" i="7"/>
  <c r="Y30" i="7" s="1"/>
  <c r="T30" i="7"/>
  <c r="N16" i="30"/>
  <c r="O16" i="30" s="1"/>
  <c r="R16" i="30" s="1"/>
  <c r="S16" i="30"/>
  <c r="U16" i="30"/>
  <c r="T16" i="30"/>
  <c r="U28" i="30"/>
  <c r="S28" i="30"/>
  <c r="T28" i="30"/>
  <c r="N28" i="30"/>
  <c r="O28" i="30" s="1"/>
  <c r="R28" i="30" s="1"/>
  <c r="R29" i="7"/>
  <c r="T26" i="7"/>
  <c r="X26" i="7"/>
  <c r="P6" i="37"/>
  <c r="Q6" i="37" s="1"/>
  <c r="S12" i="2"/>
  <c r="R12" i="2"/>
  <c r="S19" i="2"/>
  <c r="R19" i="2"/>
  <c r="P23" i="37"/>
  <c r="Q23" i="37" s="1"/>
  <c r="N14" i="30"/>
  <c r="T14" i="30"/>
  <c r="S14" i="30"/>
  <c r="U14" i="30"/>
  <c r="T20" i="7"/>
  <c r="X20" i="7"/>
  <c r="R30" i="7"/>
  <c r="S18" i="2"/>
  <c r="R18" i="2"/>
  <c r="S23" i="2"/>
  <c r="R23" i="2"/>
  <c r="T29" i="30"/>
  <c r="S29" i="30"/>
  <c r="U29" i="30"/>
  <c r="N29" i="30"/>
  <c r="P9" i="37"/>
  <c r="Q9" i="37" s="1"/>
  <c r="W23" i="9"/>
  <c r="AA23" i="9" s="1"/>
  <c r="U13" i="30"/>
  <c r="S13" i="30"/>
  <c r="N13" i="30"/>
  <c r="T13" i="30"/>
  <c r="Q6" i="31"/>
  <c r="M6" i="31"/>
  <c r="P13" i="37"/>
  <c r="Q13" i="37" s="1"/>
  <c r="S35" i="2"/>
  <c r="R35" i="2"/>
  <c r="T23" i="2"/>
  <c r="U18" i="30"/>
  <c r="S18" i="30"/>
  <c r="N18" i="30"/>
  <c r="T18" i="30"/>
  <c r="R15" i="7"/>
  <c r="P17" i="37"/>
  <c r="Q17" i="37" s="1"/>
  <c r="P30" i="37"/>
  <c r="Q30" i="37" s="1"/>
  <c r="T18" i="2"/>
  <c r="R18" i="32"/>
  <c r="Y22" i="7"/>
  <c r="R8" i="7"/>
  <c r="S19" i="30"/>
  <c r="U19" i="30"/>
  <c r="N19" i="30"/>
  <c r="T19" i="30"/>
  <c r="AB11" i="4"/>
  <c r="S20" i="2"/>
  <c r="R20" i="2"/>
  <c r="X14" i="7"/>
  <c r="T14" i="7"/>
  <c r="K6" i="7"/>
  <c r="C25" i="32"/>
  <c r="O25" i="32" s="1"/>
  <c r="C20" i="32"/>
  <c r="O20" i="32" s="1"/>
  <c r="C3" i="32"/>
  <c r="O3" i="32" s="1"/>
  <c r="J6" i="7"/>
  <c r="C15" i="32"/>
  <c r="O15" i="32" s="1"/>
  <c r="C19" i="32"/>
  <c r="O19" i="32" s="1"/>
  <c r="G6" i="7"/>
  <c r="L6" i="7"/>
  <c r="C13" i="32"/>
  <c r="O13" i="32" s="1"/>
  <c r="M6" i="7"/>
  <c r="M4" i="7" s="1"/>
  <c r="C9" i="32"/>
  <c r="O9" i="32" s="1"/>
  <c r="N6" i="7"/>
  <c r="C18" i="32"/>
  <c r="O18" i="32" s="1"/>
  <c r="C28" i="32"/>
  <c r="C26" i="32"/>
  <c r="O26" i="32" s="1"/>
  <c r="C6" i="32"/>
  <c r="O6" i="32" s="1"/>
  <c r="C23" i="32"/>
  <c r="O23" i="32" s="1"/>
  <c r="C7" i="32"/>
  <c r="O7" i="32" s="1"/>
  <c r="C8" i="32"/>
  <c r="O8" i="32" s="1"/>
  <c r="C2" i="32"/>
  <c r="O2" i="32" s="1"/>
  <c r="C14" i="32"/>
  <c r="O14" i="32" s="1"/>
  <c r="C24" i="32"/>
  <c r="O24" i="32" s="1"/>
  <c r="C27" i="32"/>
  <c r="O27" i="32" s="1"/>
  <c r="C16" i="32"/>
  <c r="O16" i="32" s="1"/>
  <c r="C29" i="32"/>
  <c r="C12" i="32"/>
  <c r="O12" i="32" s="1"/>
  <c r="C30" i="32"/>
  <c r="C11" i="32"/>
  <c r="O11" i="32" s="1"/>
  <c r="C17" i="32"/>
  <c r="O17" i="32" s="1"/>
  <c r="C4" i="32"/>
  <c r="O4" i="32" s="1"/>
  <c r="I6" i="7"/>
  <c r="H6" i="7"/>
  <c r="C10" i="32"/>
  <c r="C21" i="32"/>
  <c r="O21" i="32" s="1"/>
  <c r="C5" i="32"/>
  <c r="O5" i="32" s="1"/>
  <c r="C22" i="32"/>
  <c r="O22" i="32" s="1"/>
  <c r="R31" i="2"/>
  <c r="S31" i="2"/>
  <c r="X16" i="7"/>
  <c r="T16" i="7"/>
  <c r="S24" i="2"/>
  <c r="R24" i="2"/>
  <c r="U11" i="4"/>
  <c r="S36" i="2"/>
  <c r="R36" i="2"/>
  <c r="T15" i="7"/>
  <c r="X15" i="7"/>
  <c r="R25" i="7"/>
  <c r="U26" i="30"/>
  <c r="T26" i="30"/>
  <c r="S26" i="30"/>
  <c r="N26" i="30"/>
  <c r="T10" i="7"/>
  <c r="X10" i="7"/>
  <c r="N30" i="30"/>
  <c r="O30" i="30" s="1"/>
  <c r="R30" i="30" s="1"/>
  <c r="S30" i="30"/>
  <c r="U30" i="30"/>
  <c r="T30" i="30"/>
  <c r="U15" i="30"/>
  <c r="S15" i="30"/>
  <c r="N15" i="30"/>
  <c r="T15" i="30"/>
  <c r="N11" i="30"/>
  <c r="O11" i="30" s="1"/>
  <c r="R11" i="30" s="1"/>
  <c r="T11" i="30"/>
  <c r="S11" i="30"/>
  <c r="U11" i="30"/>
  <c r="R26" i="2"/>
  <c r="S26" i="2"/>
  <c r="Q15" i="31"/>
  <c r="S8" i="2"/>
  <c r="R8" i="2"/>
  <c r="P22" i="37"/>
  <c r="Q22" i="37" s="1"/>
  <c r="U18" i="36"/>
  <c r="X17" i="7"/>
  <c r="T17" i="7"/>
  <c r="S16" i="2"/>
  <c r="R16" i="2"/>
  <c r="R17" i="7"/>
  <c r="U21" i="30"/>
  <c r="T21" i="30"/>
  <c r="N21" i="30"/>
  <c r="S21" i="30"/>
  <c r="R24" i="7"/>
  <c r="N3" i="30"/>
  <c r="S3" i="30"/>
  <c r="T3" i="30"/>
  <c r="U3" i="30"/>
  <c r="R23" i="7"/>
  <c r="U14" i="36"/>
  <c r="T17" i="30"/>
  <c r="N17" i="30"/>
  <c r="S17" i="30"/>
  <c r="U17" i="30"/>
  <c r="X18" i="7"/>
  <c r="T18" i="7"/>
  <c r="S10" i="30"/>
  <c r="U10" i="30"/>
  <c r="T10" i="30"/>
  <c r="N10" i="30"/>
  <c r="O10" i="30" s="1"/>
  <c r="R10" i="30" s="1"/>
  <c r="T26" i="2"/>
  <c r="U15" i="36"/>
  <c r="X11" i="7"/>
  <c r="T11" i="7"/>
  <c r="S22" i="2"/>
  <c r="R22" i="2"/>
  <c r="X24" i="7"/>
  <c r="T24" i="7"/>
  <c r="R10" i="7"/>
  <c r="X25" i="7"/>
  <c r="T25" i="7"/>
  <c r="X7" i="7"/>
  <c r="T7" i="7"/>
  <c r="U4" i="30"/>
  <c r="S4" i="30"/>
  <c r="T4" i="30"/>
  <c r="N4" i="30"/>
  <c r="T23" i="7"/>
  <c r="X23" i="7"/>
  <c r="U2" i="30"/>
  <c r="S2" i="30"/>
  <c r="N2" i="30"/>
  <c r="O2" i="30" s="1"/>
  <c r="R2" i="30" s="1"/>
  <c r="T2" i="30"/>
  <c r="R27" i="7"/>
  <c r="R15" i="2"/>
  <c r="S15" i="2"/>
  <c r="T24" i="30"/>
  <c r="U24" i="30"/>
  <c r="S24" i="30"/>
  <c r="N24" i="30"/>
  <c r="O24" i="30" s="1"/>
  <c r="R24" i="30" s="1"/>
  <c r="U8" i="30"/>
  <c r="S8" i="30"/>
  <c r="T8" i="30"/>
  <c r="N8" i="30"/>
  <c r="R17" i="2"/>
  <c r="S17" i="2"/>
  <c r="U22" i="36"/>
  <c r="S10" i="2"/>
  <c r="R10" i="2"/>
  <c r="T22" i="2"/>
  <c r="N5" i="30"/>
  <c r="U5" i="30"/>
  <c r="T5" i="30"/>
  <c r="S5" i="30"/>
  <c r="T27" i="7"/>
  <c r="X27" i="7"/>
  <c r="U25" i="36"/>
  <c r="R29" i="2"/>
  <c r="S29" i="2"/>
  <c r="X9" i="7"/>
  <c r="T9" i="7"/>
  <c r="Q26" i="31"/>
  <c r="M26" i="31"/>
  <c r="O26" i="31" s="1"/>
  <c r="P26" i="31" s="1"/>
  <c r="T11" i="2"/>
  <c r="U16" i="36"/>
  <c r="P24" i="37"/>
  <c r="Q24" i="37" s="1"/>
  <c r="P4" i="37"/>
  <c r="Q4" i="37" s="1"/>
  <c r="S12" i="30"/>
  <c r="U12" i="30"/>
  <c r="T12" i="30"/>
  <c r="N12" i="30"/>
  <c r="O12" i="30" s="1"/>
  <c r="R12" i="30" s="1"/>
  <c r="O21" i="30" l="1"/>
  <c r="R21" i="30" s="1"/>
  <c r="O26" i="30"/>
  <c r="R26" i="30" s="1"/>
  <c r="O29" i="30"/>
  <c r="R29" i="30" s="1"/>
  <c r="O7" i="30"/>
  <c r="R7" i="30" s="1"/>
  <c r="O17" i="30"/>
  <c r="R17" i="30" s="1"/>
  <c r="O15" i="30"/>
  <c r="R15" i="30" s="1"/>
  <c r="O23" i="30"/>
  <c r="R23" i="30" s="1"/>
  <c r="O9" i="30"/>
  <c r="R9" i="30" s="1"/>
  <c r="O5" i="30"/>
  <c r="R5" i="30" s="1"/>
  <c r="O3" i="30"/>
  <c r="R3" i="30" s="1"/>
  <c r="O13" i="30"/>
  <c r="R13" i="30" s="1"/>
  <c r="O14" i="30"/>
  <c r="R14" i="30" s="1"/>
  <c r="O6" i="30"/>
  <c r="R6" i="30" s="1"/>
  <c r="O8" i="30"/>
  <c r="R8" i="30" s="1"/>
  <c r="O19" i="30"/>
  <c r="R19" i="30" s="1"/>
  <c r="Y35" i="4"/>
  <c r="Z35" i="4"/>
  <c r="O20" i="30"/>
  <c r="R20" i="30" s="1"/>
  <c r="O27" i="30"/>
  <c r="R27" i="30" s="1"/>
  <c r="O18" i="30"/>
  <c r="R18" i="30" s="1"/>
  <c r="O4" i="30"/>
  <c r="R4" i="30" s="1"/>
  <c r="Y33" i="4"/>
  <c r="AA33" i="4" s="1"/>
  <c r="U35" i="36"/>
  <c r="U33" i="4"/>
  <c r="V33" i="4" s="1"/>
  <c r="W33" i="4" s="1"/>
  <c r="M28" i="31" s="1"/>
  <c r="O28" i="31" s="1"/>
  <c r="P28" i="31" s="1"/>
  <c r="M27" i="31"/>
  <c r="O27" i="31" s="1"/>
  <c r="P27" i="31" s="1"/>
  <c r="U36" i="4"/>
  <c r="V36" i="4" s="1"/>
  <c r="W36" i="4" s="1"/>
  <c r="AA31" i="4"/>
  <c r="AB31" i="4" s="1"/>
  <c r="U32" i="36"/>
  <c r="W35" i="4"/>
  <c r="M29" i="31" s="1"/>
  <c r="O29" i="31" s="1"/>
  <c r="P29" i="31" s="1"/>
  <c r="M16" i="31"/>
  <c r="O16" i="31" s="1"/>
  <c r="P16" i="31" s="1"/>
  <c r="Q10" i="31"/>
  <c r="U11" i="7"/>
  <c r="V11" i="7" s="1"/>
  <c r="W11" i="7" s="1"/>
  <c r="N8" i="32" s="1"/>
  <c r="M25" i="31"/>
  <c r="O25" i="31" s="1"/>
  <c r="P25" i="31" s="1"/>
  <c r="Q24" i="31"/>
  <c r="P19" i="37"/>
  <c r="Q19" i="37" s="1"/>
  <c r="P8" i="37"/>
  <c r="Q8" i="37" s="1"/>
  <c r="P11" i="37"/>
  <c r="Q11" i="37" s="1"/>
  <c r="P10" i="37"/>
  <c r="Q10" i="37" s="1"/>
  <c r="U37" i="11"/>
  <c r="U27" i="36"/>
  <c r="AB10" i="4"/>
  <c r="U13" i="36"/>
  <c r="U29" i="4"/>
  <c r="U24" i="36"/>
  <c r="S28" i="32"/>
  <c r="O28" i="32"/>
  <c r="U8" i="4"/>
  <c r="Q14" i="31"/>
  <c r="N14" i="31"/>
  <c r="M24" i="31"/>
  <c r="O24" i="31" s="1"/>
  <c r="P24" i="31" s="1"/>
  <c r="Q3" i="31"/>
  <c r="N3" i="31"/>
  <c r="Q11" i="31"/>
  <c r="N11" i="31"/>
  <c r="S10" i="32"/>
  <c r="O10" i="32"/>
  <c r="U13" i="7"/>
  <c r="V13" i="7" s="1"/>
  <c r="W13" i="7" s="1"/>
  <c r="N11" i="32" s="1"/>
  <c r="U19" i="36"/>
  <c r="Q7" i="31"/>
  <c r="N7" i="31"/>
  <c r="S29" i="32"/>
  <c r="O29" i="32"/>
  <c r="Q13" i="31"/>
  <c r="N13" i="31"/>
  <c r="O13" i="31" s="1"/>
  <c r="P13" i="31" s="1"/>
  <c r="S30" i="32"/>
  <c r="O30" i="32"/>
  <c r="Q19" i="31"/>
  <c r="U20" i="7"/>
  <c r="V20" i="7" s="1"/>
  <c r="W20" i="7" s="1"/>
  <c r="N19" i="32" s="1"/>
  <c r="V36" i="11"/>
  <c r="P29" i="34" s="1"/>
  <c r="U26" i="4"/>
  <c r="U16" i="4"/>
  <c r="V16" i="4" s="1"/>
  <c r="W16" i="4" s="1"/>
  <c r="M11" i="31" s="1"/>
  <c r="U18" i="4"/>
  <c r="AB32" i="4"/>
  <c r="W33" i="9"/>
  <c r="AA33" i="9" s="1"/>
  <c r="Q27" i="33" s="1"/>
  <c r="X17" i="9"/>
  <c r="AA17" i="9" s="1"/>
  <c r="U15" i="4"/>
  <c r="V15" i="4" s="1"/>
  <c r="W15" i="4" s="1"/>
  <c r="M10" i="31" s="1"/>
  <c r="T34" i="9"/>
  <c r="U34" i="9"/>
  <c r="T10" i="9"/>
  <c r="U10" i="9"/>
  <c r="T13" i="9"/>
  <c r="U13" i="9"/>
  <c r="R24" i="32"/>
  <c r="U23" i="36"/>
  <c r="U10" i="4"/>
  <c r="T8" i="9"/>
  <c r="U8" i="9" s="1"/>
  <c r="AB26" i="4"/>
  <c r="AB24" i="4"/>
  <c r="U17" i="36"/>
  <c r="M22" i="31"/>
  <c r="O22" i="31" s="1"/>
  <c r="P22" i="31" s="1"/>
  <c r="Q22" i="31"/>
  <c r="M3" i="31"/>
  <c r="U21" i="4"/>
  <c r="P18" i="37"/>
  <c r="Q18" i="37" s="1"/>
  <c r="AB19" i="4"/>
  <c r="U27" i="4"/>
  <c r="M7" i="31"/>
  <c r="U14" i="7"/>
  <c r="V14" i="7" s="1"/>
  <c r="W14" i="7" s="1"/>
  <c r="N12" i="32" s="1"/>
  <c r="U24" i="9"/>
  <c r="W24" i="9" s="1"/>
  <c r="AA24" i="9" s="1"/>
  <c r="Q18" i="33" s="1"/>
  <c r="U19" i="7"/>
  <c r="V19" i="7" s="1"/>
  <c r="W19" i="7" s="1"/>
  <c r="N18" i="32" s="1"/>
  <c r="AB8" i="4"/>
  <c r="Q23" i="31"/>
  <c r="T4" i="36"/>
  <c r="M23" i="31"/>
  <c r="O23" i="31" s="1"/>
  <c r="P23" i="31" s="1"/>
  <c r="U17" i="4"/>
  <c r="Q9" i="31"/>
  <c r="Q25" i="31"/>
  <c r="U28" i="4"/>
  <c r="P16" i="37"/>
  <c r="Q16" i="37" s="1"/>
  <c r="U23" i="4"/>
  <c r="V23" i="4" s="1"/>
  <c r="W23" i="4" s="1"/>
  <c r="M18" i="31" s="1"/>
  <c r="O18" i="31" s="1"/>
  <c r="P18" i="31" s="1"/>
  <c r="Z1" i="4"/>
  <c r="U32" i="4"/>
  <c r="U12" i="4"/>
  <c r="U22" i="4"/>
  <c r="U30" i="4"/>
  <c r="AB21" i="4"/>
  <c r="AB18" i="4"/>
  <c r="AB28" i="4"/>
  <c r="U16" i="7"/>
  <c r="V16" i="7" s="1"/>
  <c r="W16" i="7" s="1"/>
  <c r="N13" i="32" s="1"/>
  <c r="Q18" i="31"/>
  <c r="M4" i="31"/>
  <c r="O4" i="31" s="1"/>
  <c r="M17" i="31"/>
  <c r="O17" i="31" s="1"/>
  <c r="P17" i="31" s="1"/>
  <c r="Q4" i="31"/>
  <c r="U9" i="7"/>
  <c r="V9" i="7" s="1"/>
  <c r="W9" i="7" s="1"/>
  <c r="N4" i="32" s="1"/>
  <c r="M14" i="31"/>
  <c r="Q17" i="31"/>
  <c r="Q21" i="31"/>
  <c r="U25" i="4"/>
  <c r="U24" i="4"/>
  <c r="AB17" i="4"/>
  <c r="AB25" i="4"/>
  <c r="U21" i="36"/>
  <c r="U14" i="4"/>
  <c r="V14" i="4" s="1"/>
  <c r="W14" i="4" s="1"/>
  <c r="U7" i="36"/>
  <c r="Q12" i="31"/>
  <c r="M12" i="31"/>
  <c r="M21" i="31"/>
  <c r="O21" i="31" s="1"/>
  <c r="P21" i="31" s="1"/>
  <c r="U9" i="4"/>
  <c r="Q16" i="31"/>
  <c r="AB22" i="4"/>
  <c r="U18" i="7"/>
  <c r="V18" i="7" s="1"/>
  <c r="W18" i="7" s="1"/>
  <c r="N17" i="32" s="1"/>
  <c r="Q20" i="31"/>
  <c r="M20" i="31"/>
  <c r="O20" i="31" s="1"/>
  <c r="P20" i="31" s="1"/>
  <c r="U31" i="36"/>
  <c r="M19" i="31"/>
  <c r="O19" i="31" s="1"/>
  <c r="P19" i="31" s="1"/>
  <c r="U19" i="4"/>
  <c r="U30" i="2"/>
  <c r="Y30" i="2" s="1"/>
  <c r="Y1" i="4"/>
  <c r="AB27" i="4"/>
  <c r="U12" i="2"/>
  <c r="Y12" i="2" s="1"/>
  <c r="P28" i="37"/>
  <c r="Q28" i="37" s="1"/>
  <c r="U30" i="7"/>
  <c r="V30" i="7" s="1"/>
  <c r="W30" i="7" s="1"/>
  <c r="N27" i="32" s="1"/>
  <c r="U26" i="7"/>
  <c r="V26" i="7" s="1"/>
  <c r="W26" i="7" s="1"/>
  <c r="N25" i="32" s="1"/>
  <c r="U13" i="4"/>
  <c r="V13" i="4" s="1"/>
  <c r="W13" i="4" s="1"/>
  <c r="AB13" i="4" s="1"/>
  <c r="U21" i="2"/>
  <c r="Y21" i="2" s="1"/>
  <c r="X1" i="4"/>
  <c r="S4" i="36"/>
  <c r="AA4" i="36"/>
  <c r="P26" i="37"/>
  <c r="Q26" i="37" s="1"/>
  <c r="P3" i="37"/>
  <c r="Q3" i="37" s="1"/>
  <c r="U35" i="2"/>
  <c r="Y35" i="2" s="1"/>
  <c r="R4" i="36"/>
  <c r="U7" i="7"/>
  <c r="V7" i="7" s="1"/>
  <c r="W7" i="7" s="1"/>
  <c r="N2" i="32" s="1"/>
  <c r="AA9" i="4"/>
  <c r="AB9" i="4" s="1"/>
  <c r="U20" i="2"/>
  <c r="Y20" i="2" s="1"/>
  <c r="U36" i="2"/>
  <c r="Y36" i="2" s="1"/>
  <c r="P2" i="37"/>
  <c r="Q2" i="37" s="1"/>
  <c r="U28" i="2"/>
  <c r="Y28" i="2" s="1"/>
  <c r="U7" i="4"/>
  <c r="V7" i="4" s="1"/>
  <c r="W7" i="4" s="1"/>
  <c r="M2" i="31" s="1"/>
  <c r="P15" i="37"/>
  <c r="Q15" i="37" s="1"/>
  <c r="U21" i="7"/>
  <c r="V21" i="7" s="1"/>
  <c r="W21" i="7" s="1"/>
  <c r="N20" i="32" s="1"/>
  <c r="Q8" i="31"/>
  <c r="Q2" i="31"/>
  <c r="U31" i="2"/>
  <c r="Y31" i="2" s="1"/>
  <c r="U16" i="2"/>
  <c r="Y16" i="2" s="1"/>
  <c r="U13" i="2"/>
  <c r="Y13" i="2" s="1"/>
  <c r="U8" i="36"/>
  <c r="U20" i="36"/>
  <c r="Z28" i="7"/>
  <c r="S7" i="32"/>
  <c r="Z22" i="7"/>
  <c r="S21" i="32"/>
  <c r="AB20" i="4"/>
  <c r="M15" i="31"/>
  <c r="O15" i="31" s="1"/>
  <c r="P15" i="31" s="1"/>
  <c r="U23" i="11"/>
  <c r="V23" i="11"/>
  <c r="U29" i="7"/>
  <c r="V29" i="7" s="1"/>
  <c r="W29" i="7" s="1"/>
  <c r="N26" i="32" s="1"/>
  <c r="U8" i="7"/>
  <c r="V8" i="7" s="1"/>
  <c r="W8" i="7" s="1"/>
  <c r="N3" i="32" s="1"/>
  <c r="U12" i="7"/>
  <c r="V12" i="7" s="1"/>
  <c r="W12" i="7" s="1"/>
  <c r="N9" i="32" s="1"/>
  <c r="U33" i="11"/>
  <c r="V33" i="11"/>
  <c r="P27" i="34" s="1"/>
  <c r="O6" i="31"/>
  <c r="P6" i="31" s="1"/>
  <c r="U24" i="2"/>
  <c r="Y24" i="2" s="1"/>
  <c r="U15" i="7"/>
  <c r="V15" i="7" s="1"/>
  <c r="W15" i="7" s="1"/>
  <c r="N14" i="32" s="1"/>
  <c r="U17" i="2"/>
  <c r="Y17" i="2" s="1"/>
  <c r="V16" i="11"/>
  <c r="P10" i="34" s="1"/>
  <c r="U16" i="11"/>
  <c r="T4" i="2"/>
  <c r="U10" i="7"/>
  <c r="V10" i="7" s="1"/>
  <c r="W10" i="7" s="1"/>
  <c r="N6" i="32" s="1"/>
  <c r="U26" i="2"/>
  <c r="Y26" i="2" s="1"/>
  <c r="U18" i="2"/>
  <c r="Y18" i="2" s="1"/>
  <c r="U14" i="2"/>
  <c r="Y14" i="2" s="1"/>
  <c r="O5" i="31"/>
  <c r="P5" i="31" s="1"/>
  <c r="V26" i="11"/>
  <c r="U26" i="11"/>
  <c r="U23" i="7"/>
  <c r="V23" i="7" s="1"/>
  <c r="W23" i="7" s="1"/>
  <c r="N22" i="32" s="1"/>
  <c r="U24" i="7"/>
  <c r="V24" i="7" s="1"/>
  <c r="W24" i="7" s="1"/>
  <c r="N23" i="32" s="1"/>
  <c r="U25" i="7"/>
  <c r="V25" i="7" s="1"/>
  <c r="W25" i="7" s="1"/>
  <c r="N24" i="32" s="1"/>
  <c r="U7" i="2"/>
  <c r="Y7" i="2" s="1"/>
  <c r="U19" i="2"/>
  <c r="U9" i="2"/>
  <c r="Y9" i="2" s="1"/>
  <c r="P30" i="34"/>
  <c r="U17" i="7"/>
  <c r="V17" i="7" s="1"/>
  <c r="W17" i="7" s="1"/>
  <c r="N16" i="32" s="1"/>
  <c r="U23" i="2"/>
  <c r="Y23" i="2" s="1"/>
  <c r="U25" i="2"/>
  <c r="Y25" i="2" s="1"/>
  <c r="U8" i="2"/>
  <c r="Y8" i="2" s="1"/>
  <c r="U33" i="2"/>
  <c r="Y33" i="2" s="1"/>
  <c r="W26" i="9"/>
  <c r="AA26" i="9" s="1"/>
  <c r="U27" i="2"/>
  <c r="Y27" i="2" s="1"/>
  <c r="W16" i="9"/>
  <c r="AA16" i="9" s="1"/>
  <c r="X22" i="9"/>
  <c r="AA22" i="9" s="1"/>
  <c r="U32" i="2"/>
  <c r="Y32" i="2" s="1"/>
  <c r="U11" i="2"/>
  <c r="U15" i="2"/>
  <c r="Y15" i="2" s="1"/>
  <c r="U29" i="2"/>
  <c r="Y29" i="2" s="1"/>
  <c r="S4" i="2"/>
  <c r="U22" i="2"/>
  <c r="Y22" i="2" s="1"/>
  <c r="U10" i="2"/>
  <c r="Y10" i="2" s="1"/>
  <c r="U27" i="7"/>
  <c r="V27" i="7" s="1"/>
  <c r="W27" i="7" s="1"/>
  <c r="N15" i="32" s="1"/>
  <c r="Q12" i="30"/>
  <c r="R5" i="32"/>
  <c r="Y9" i="7"/>
  <c r="Y27" i="7"/>
  <c r="S15" i="32" s="1"/>
  <c r="R23" i="32"/>
  <c r="Q5" i="30"/>
  <c r="Q8" i="30"/>
  <c r="Q24" i="30"/>
  <c r="Q2" i="30"/>
  <c r="Y23" i="7"/>
  <c r="S22" i="32" s="1"/>
  <c r="R19" i="32"/>
  <c r="Q4" i="30"/>
  <c r="Y7" i="7"/>
  <c r="R3" i="32"/>
  <c r="Y25" i="7"/>
  <c r="R21" i="32"/>
  <c r="R20" i="32"/>
  <c r="Y24" i="7"/>
  <c r="R7" i="32"/>
  <c r="Y11" i="7"/>
  <c r="Q10" i="30"/>
  <c r="R14" i="32"/>
  <c r="Y18" i="7"/>
  <c r="Q17" i="30"/>
  <c r="Q3" i="30"/>
  <c r="Q21" i="30"/>
  <c r="Y17" i="7"/>
  <c r="S16" i="32" s="1"/>
  <c r="R13" i="32"/>
  <c r="Q11" i="30"/>
  <c r="Q15" i="30"/>
  <c r="Q30" i="30"/>
  <c r="Y10" i="7"/>
  <c r="S6" i="32" s="1"/>
  <c r="R6" i="32"/>
  <c r="Q26" i="30"/>
  <c r="R11" i="32"/>
  <c r="Y15" i="7"/>
  <c r="Y16" i="7"/>
  <c r="R12" i="32"/>
  <c r="N21" i="32"/>
  <c r="N10" i="32"/>
  <c r="N30" i="32"/>
  <c r="N29" i="32"/>
  <c r="N7" i="32"/>
  <c r="N28" i="32"/>
  <c r="N4" i="7"/>
  <c r="S6" i="7"/>
  <c r="L4" i="7"/>
  <c r="R6" i="7"/>
  <c r="X6" i="7"/>
  <c r="T6" i="7"/>
  <c r="R10" i="32"/>
  <c r="Y14" i="7"/>
  <c r="Q19" i="30"/>
  <c r="Q18" i="30"/>
  <c r="Q13" i="30"/>
  <c r="Q17" i="33"/>
  <c r="C8" i="10"/>
  <c r="E8" i="10" s="1"/>
  <c r="C9" i="10"/>
  <c r="E9" i="10" s="1"/>
  <c r="Q29" i="30"/>
  <c r="Y20" i="7"/>
  <c r="R16" i="32"/>
  <c r="Q14" i="30"/>
  <c r="R22" i="32"/>
  <c r="Y26" i="7"/>
  <c r="Q28" i="30"/>
  <c r="Q16" i="30"/>
  <c r="R26" i="32"/>
  <c r="Q7" i="30"/>
  <c r="R9" i="32"/>
  <c r="Y13" i="7"/>
  <c r="R4" i="32"/>
  <c r="Y8" i="7"/>
  <c r="S3" i="32" s="1"/>
  <c r="Q9" i="30"/>
  <c r="R8" i="32"/>
  <c r="Y12" i="7"/>
  <c r="S9" i="32" s="1"/>
  <c r="Q25" i="30"/>
  <c r="Q23" i="30"/>
  <c r="Q22" i="30"/>
  <c r="R25" i="32"/>
  <c r="Y29" i="7"/>
  <c r="S26" i="32" s="1"/>
  <c r="Y21" i="7"/>
  <c r="R17" i="32"/>
  <c r="R15" i="32"/>
  <c r="Y19" i="7"/>
  <c r="Q27" i="30"/>
  <c r="Q20" i="30"/>
  <c r="Y32" i="7"/>
  <c r="Z32" i="7" s="1"/>
  <c r="R28" i="32"/>
  <c r="Q6" i="30"/>
  <c r="Q14" i="33"/>
  <c r="AA35" i="4" l="1"/>
  <c r="Q29" i="31" s="1"/>
  <c r="Q28" i="31"/>
  <c r="AB33" i="4"/>
  <c r="AB36" i="4"/>
  <c r="M30" i="31"/>
  <c r="O30" i="31" s="1"/>
  <c r="P30" i="31" s="1"/>
  <c r="AB35" i="4"/>
  <c r="AB23" i="4"/>
  <c r="AB15" i="4"/>
  <c r="O3" i="31"/>
  <c r="P3" i="31" s="1"/>
  <c r="W10" i="9"/>
  <c r="AA10" i="9" s="1"/>
  <c r="Q4" i="33" s="1"/>
  <c r="Y13" i="9"/>
  <c r="AA13" i="9" s="1"/>
  <c r="X34" i="9"/>
  <c r="AA34" i="9" s="1"/>
  <c r="Q28" i="33" s="1"/>
  <c r="Q11" i="33"/>
  <c r="C6" i="10"/>
  <c r="W8" i="9"/>
  <c r="AA8" i="9" s="1"/>
  <c r="O7" i="31"/>
  <c r="P7" i="31" s="1"/>
  <c r="O14" i="31"/>
  <c r="P14" i="31" s="1"/>
  <c r="AB16" i="4"/>
  <c r="P4" i="31"/>
  <c r="M8" i="31"/>
  <c r="O8" i="31" s="1"/>
  <c r="P8" i="31" s="1"/>
  <c r="V3" i="36"/>
  <c r="O12" i="31"/>
  <c r="P12" i="31" s="1"/>
  <c r="AB14" i="4"/>
  <c r="M9" i="31"/>
  <c r="O9" i="31" s="1"/>
  <c r="P9" i="31" s="1"/>
  <c r="V3" i="2"/>
  <c r="O2" i="31"/>
  <c r="P2" i="31" s="1"/>
  <c r="H4" i="10"/>
  <c r="AB7" i="4"/>
  <c r="Y4" i="2"/>
  <c r="Z18" i="7"/>
  <c r="S17" i="32"/>
  <c r="Z19" i="7"/>
  <c r="S18" i="32"/>
  <c r="Z26" i="7"/>
  <c r="S25" i="32"/>
  <c r="Z11" i="7"/>
  <c r="S8" i="32"/>
  <c r="Z9" i="7"/>
  <c r="S4" i="32"/>
  <c r="Z20" i="7"/>
  <c r="S19" i="32"/>
  <c r="Z14" i="7"/>
  <c r="S12" i="32"/>
  <c r="Z24" i="7"/>
  <c r="S23" i="32"/>
  <c r="Z15" i="7"/>
  <c r="S14" i="32"/>
  <c r="Z21" i="7"/>
  <c r="S20" i="32"/>
  <c r="Z25" i="7"/>
  <c r="S24" i="32"/>
  <c r="Z30" i="7"/>
  <c r="S27" i="32"/>
  <c r="Z13" i="7"/>
  <c r="S11" i="32"/>
  <c r="Z16" i="7"/>
  <c r="S13" i="32"/>
  <c r="Z7" i="7"/>
  <c r="S2" i="32"/>
  <c r="P22" i="32"/>
  <c r="Q22" i="32" s="1"/>
  <c r="P3" i="32"/>
  <c r="Q3" i="32" s="1"/>
  <c r="Z12" i="7"/>
  <c r="P12" i="32"/>
  <c r="Q12" i="32" s="1"/>
  <c r="O11" i="31"/>
  <c r="P11" i="31" s="1"/>
  <c r="Z8" i="7"/>
  <c r="P8" i="32"/>
  <c r="Q8" i="32" s="1"/>
  <c r="P17" i="34"/>
  <c r="H2" i="10"/>
  <c r="Z17" i="7"/>
  <c r="P7" i="32"/>
  <c r="Q7" i="32" s="1"/>
  <c r="P20" i="34"/>
  <c r="H3" i="10"/>
  <c r="Z29" i="7"/>
  <c r="O10" i="31"/>
  <c r="P10" i="31" s="1"/>
  <c r="Z23" i="7"/>
  <c r="Z10" i="7"/>
  <c r="P28" i="32"/>
  <c r="Q28" i="32" s="1"/>
  <c r="P16" i="32"/>
  <c r="Q16" i="32" s="1"/>
  <c r="P13" i="32"/>
  <c r="Q13" i="32" s="1"/>
  <c r="P26" i="32"/>
  <c r="Q26" i="32" s="1"/>
  <c r="P20" i="32"/>
  <c r="Q20" i="32" s="1"/>
  <c r="P18" i="32"/>
  <c r="Q18" i="32" s="1"/>
  <c r="P4" i="32"/>
  <c r="Q4" i="32" s="1"/>
  <c r="P21" i="32"/>
  <c r="Q21" i="32" s="1"/>
  <c r="P27" i="32"/>
  <c r="Q27" i="32" s="1"/>
  <c r="P29" i="32"/>
  <c r="Q29" i="32" s="1"/>
  <c r="P6" i="32"/>
  <c r="Q6" i="32" s="1"/>
  <c r="P23" i="32"/>
  <c r="Q23" i="32" s="1"/>
  <c r="P30" i="32"/>
  <c r="Q30" i="32" s="1"/>
  <c r="P14" i="32"/>
  <c r="Q14" i="32" s="1"/>
  <c r="P11" i="32"/>
  <c r="Q11" i="32" s="1"/>
  <c r="P2" i="32"/>
  <c r="Q2" i="32" s="1"/>
  <c r="P24" i="32"/>
  <c r="Q24" i="32" s="1"/>
  <c r="P25" i="32"/>
  <c r="Q25" i="32" s="1"/>
  <c r="P10" i="32"/>
  <c r="Q10" i="32" s="1"/>
  <c r="P9" i="32"/>
  <c r="Q9" i="32" s="1"/>
  <c r="P15" i="32"/>
  <c r="Q15" i="32" s="1"/>
  <c r="P19" i="32"/>
  <c r="Q19" i="32" s="1"/>
  <c r="P17" i="32"/>
  <c r="Q17" i="32" s="1"/>
  <c r="Q16" i="33"/>
  <c r="C7" i="10"/>
  <c r="Q10" i="33"/>
  <c r="Q20" i="33"/>
  <c r="C4" i="10"/>
  <c r="Z27" i="7"/>
  <c r="U6" i="7"/>
  <c r="V6" i="7" s="1"/>
  <c r="W6" i="7" s="1"/>
  <c r="R2" i="32"/>
  <c r="Y6" i="7"/>
  <c r="S5" i="32" s="1"/>
  <c r="E4" i="10" l="1"/>
  <c r="E7" i="10"/>
  <c r="E6" i="10"/>
  <c r="C3" i="10"/>
  <c r="Q7" i="33"/>
  <c r="C5" i="10"/>
  <c r="Q2" i="33"/>
  <c r="C2" i="10"/>
  <c r="W4" i="7"/>
  <c r="N5" i="32"/>
  <c r="Y4" i="7"/>
  <c r="Z6" i="7"/>
  <c r="Z4" i="7" s="1"/>
  <c r="E2" i="10" l="1"/>
  <c r="E5" i="10"/>
  <c r="E3" i="10"/>
  <c r="P5" i="32"/>
  <c r="Q5" i="3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<sst xmlns="http://schemas.openxmlformats.org/spreadsheetml/2006/main" count="4553" uniqueCount="821">
  <si>
    <t>①</t>
  </si>
  <si>
    <t>②</t>
  </si>
  <si>
    <t>③</t>
  </si>
  <si>
    <t>按季度调整</t>
  </si>
  <si>
    <t>事业一部</t>
  </si>
  <si>
    <t>方案一</t>
  </si>
  <si>
    <t>事业部</t>
  </si>
  <si>
    <t>门店</t>
  </si>
  <si>
    <t>业绩生命线（万）</t>
  </si>
  <si>
    <t>人头数（个）</t>
  </si>
  <si>
    <t>消耗业绩（万）</t>
  </si>
  <si>
    <t>新店状态</t>
  </si>
  <si>
    <t>总经理</t>
  </si>
  <si>
    <t>经理</t>
  </si>
  <si>
    <t>店长</t>
  </si>
  <si>
    <t>店助</t>
  </si>
  <si>
    <t>主任</t>
  </si>
  <si>
    <t>事业二部</t>
  </si>
  <si>
    <t>方案三</t>
  </si>
  <si>
    <t>静居寺</t>
  </si>
  <si>
    <t>邹福贞</t>
  </si>
  <si>
    <t>事业三部</t>
  </si>
  <si>
    <t>事业四部</t>
  </si>
  <si>
    <t>华润</t>
  </si>
  <si>
    <t>事业五部</t>
  </si>
  <si>
    <t>方案二</t>
  </si>
  <si>
    <t>犀浦</t>
  </si>
  <si>
    <t>王桂明</t>
  </si>
  <si>
    <t>事业六部</t>
  </si>
  <si>
    <t>红光</t>
  </si>
  <si>
    <t>优品道</t>
  </si>
  <si>
    <t>张艳秋</t>
  </si>
  <si>
    <t>大源</t>
  </si>
  <si>
    <t>骑士郡</t>
  </si>
  <si>
    <t>秦亚平</t>
  </si>
  <si>
    <t>沙河</t>
  </si>
  <si>
    <t>荣华南路</t>
  </si>
  <si>
    <t>融创</t>
  </si>
  <si>
    <t>中和</t>
  </si>
  <si>
    <t>涌泉</t>
  </si>
  <si>
    <t>紫荆</t>
  </si>
  <si>
    <t>饶秋华</t>
  </si>
  <si>
    <t>龙湖</t>
  </si>
  <si>
    <t>双流</t>
  </si>
  <si>
    <t>肖静梅</t>
  </si>
  <si>
    <t>南湖</t>
  </si>
  <si>
    <t>鹭岛</t>
  </si>
  <si>
    <t>光华</t>
  </si>
  <si>
    <t>荣华北路</t>
  </si>
  <si>
    <t>川师</t>
  </si>
  <si>
    <t>张小娟</t>
  </si>
  <si>
    <t>明信</t>
  </si>
  <si>
    <t>亚洲湾</t>
  </si>
  <si>
    <t>大丰</t>
  </si>
  <si>
    <t>蒲草</t>
  </si>
  <si>
    <t>凤凰山</t>
  </si>
  <si>
    <t>千禧</t>
  </si>
  <si>
    <t>龙城国际</t>
  </si>
  <si>
    <t>6个月内</t>
  </si>
  <si>
    <t>保利</t>
  </si>
  <si>
    <t>川音</t>
  </si>
  <si>
    <t>不足月</t>
  </si>
  <si>
    <t>序号</t>
  </si>
  <si>
    <t>姓名</t>
  </si>
  <si>
    <t>备注</t>
  </si>
  <si>
    <t>当月标准休息天数</t>
  </si>
  <si>
    <t>休息</t>
  </si>
  <si>
    <t>请假</t>
  </si>
  <si>
    <t>丧假</t>
  </si>
  <si>
    <t>年假</t>
  </si>
  <si>
    <t>少休天数</t>
  </si>
  <si>
    <t>少休</t>
  </si>
  <si>
    <t>交通补助</t>
  </si>
  <si>
    <t>缺卡</t>
  </si>
  <si>
    <t>迟到</t>
  </si>
  <si>
    <t>学习期扣款</t>
  </si>
  <si>
    <t>住宿</t>
  </si>
  <si>
    <t>工作服</t>
  </si>
  <si>
    <t>手机押金</t>
  </si>
  <si>
    <t>宿舍押金</t>
  </si>
  <si>
    <t>离职</t>
  </si>
  <si>
    <t>科技一部</t>
  </si>
  <si>
    <t>夏萍</t>
  </si>
  <si>
    <t>王方贤</t>
  </si>
  <si>
    <t>杨琴</t>
  </si>
  <si>
    <t>赵美艳</t>
  </si>
  <si>
    <t>邹盼</t>
  </si>
  <si>
    <t>郭兰</t>
  </si>
  <si>
    <t>戴林</t>
  </si>
  <si>
    <t>蒲俊峰</t>
  </si>
  <si>
    <t>科技二部</t>
  </si>
  <si>
    <t>张雪颖</t>
  </si>
  <si>
    <t>张雨露</t>
  </si>
  <si>
    <t>刘祖红</t>
  </si>
  <si>
    <t>谢宗富</t>
  </si>
  <si>
    <t>王洪武</t>
  </si>
  <si>
    <t>总部</t>
  </si>
  <si>
    <t>①门店信息</t>
  </si>
  <si>
    <t>判断提点</t>
  </si>
  <si>
    <t>②岗位标准</t>
  </si>
  <si>
    <t>①生命线-固定G-提点
②生命线-业绩O-底薪，毛利</t>
  </si>
  <si>
    <t>主任考核指标（按季度）</t>
  </si>
  <si>
    <t>①判断是否有？业绩
②判断提多少？毛利</t>
  </si>
  <si>
    <t>这里调整</t>
  </si>
  <si>
    <t>门店类型-老店</t>
  </si>
  <si>
    <t>门店状态</t>
  </si>
  <si>
    <t>新店类型</t>
  </si>
  <si>
    <t>生命线-固定</t>
  </si>
  <si>
    <t>店助名称</t>
  </si>
  <si>
    <t>第一阶段</t>
  </si>
  <si>
    <t>第二阶段</t>
  </si>
  <si>
    <t>生命线-业绩</t>
  </si>
  <si>
    <t>人头-固定</t>
  </si>
  <si>
    <t>消耗-固定</t>
  </si>
  <si>
    <t>判断标准-①</t>
  </si>
  <si>
    <t>判断标准-②</t>
  </si>
  <si>
    <t>001-绿纤总部</t>
  </si>
  <si>
    <t>绿纤总部</t>
  </si>
  <si>
    <t>101-紫荆</t>
  </si>
  <si>
    <t>A类</t>
  </si>
  <si>
    <t>102-龙湖</t>
  </si>
  <si>
    <t>103-沙河</t>
  </si>
  <si>
    <t>B类</t>
  </si>
  <si>
    <t>104-华润</t>
  </si>
  <si>
    <t>105-静居寺</t>
  </si>
  <si>
    <t>106-优品道</t>
  </si>
  <si>
    <t>107-468</t>
  </si>
  <si>
    <t>108-光华</t>
  </si>
  <si>
    <t>109-融创</t>
  </si>
  <si>
    <t>110-川师</t>
  </si>
  <si>
    <t>111-鹭岛</t>
  </si>
  <si>
    <t>C类</t>
  </si>
  <si>
    <t>113-荣华南路</t>
  </si>
  <si>
    <t>114-荣华北路</t>
  </si>
  <si>
    <t>115-涌泉</t>
  </si>
  <si>
    <t>116-大丰</t>
  </si>
  <si>
    <t>117-双流</t>
  </si>
  <si>
    <t>118-骑士郡</t>
  </si>
  <si>
    <t>119-明信</t>
  </si>
  <si>
    <t>120-犀浦</t>
  </si>
  <si>
    <t>121-千禧</t>
  </si>
  <si>
    <t>122-亚洲湾</t>
  </si>
  <si>
    <t>123-中和</t>
  </si>
  <si>
    <t>124-凤凰山</t>
  </si>
  <si>
    <t>125-南湖</t>
  </si>
  <si>
    <t>126-大源</t>
  </si>
  <si>
    <t>127-红光</t>
  </si>
  <si>
    <t>新店</t>
  </si>
  <si>
    <t>128-保利</t>
  </si>
  <si>
    <t>112-龙泉</t>
  </si>
  <si>
    <t>龙泉</t>
  </si>
  <si>
    <t>129-龙城</t>
  </si>
  <si>
    <t>130-川音</t>
  </si>
  <si>
    <t>关于主任，店长-新店的：不考核消耗，那就消耗目标设置=0，就好</t>
  </si>
  <si>
    <t>业绩</t>
  </si>
  <si>
    <t>消耗</t>
  </si>
  <si>
    <t>人头</t>
  </si>
  <si>
    <t>门店项目数</t>
  </si>
  <si>
    <t>物管费</t>
  </si>
  <si>
    <t>店内支出</t>
  </si>
  <si>
    <t>物料成本</t>
  </si>
  <si>
    <t>合作成本</t>
  </si>
  <si>
    <t>其他成本</t>
  </si>
  <si>
    <t>毛巾成本</t>
  </si>
  <si>
    <t>成本合计</t>
  </si>
  <si>
    <t>毛利</t>
  </si>
  <si>
    <t>129-龙城国际</t>
  </si>
  <si>
    <t>当月数据</t>
  </si>
  <si>
    <t>合计</t>
  </si>
  <si>
    <t>①③</t>
  </si>
  <si>
    <t>所属事业部</t>
  </si>
  <si>
    <t>教育部</t>
  </si>
  <si>
    <t>科技部</t>
  </si>
  <si>
    <t>大项目部</t>
  </si>
  <si>
    <t>店长考核业绩</t>
  </si>
  <si>
    <t>当月业绩</t>
  </si>
  <si>
    <t>当月消耗</t>
  </si>
  <si>
    <t>到店人头</t>
  </si>
  <si>
    <t>毛利-可用</t>
  </si>
  <si>
    <t>基础底薪</t>
  </si>
  <si>
    <t>考核1-生命线</t>
  </si>
  <si>
    <t>考核1-人头数</t>
  </si>
  <si>
    <t>考核1-消耗</t>
  </si>
  <si>
    <t>考核-yes数</t>
  </si>
  <si>
    <t>负奖励数-500</t>
  </si>
  <si>
    <t>最终底薪</t>
  </si>
  <si>
    <t>提成点</t>
  </si>
  <si>
    <t>提成金额</t>
  </si>
  <si>
    <t>教育一部</t>
  </si>
  <si>
    <t>大项目二部</t>
  </si>
  <si>
    <t>教育二部</t>
  </si>
  <si>
    <t>大项目一部</t>
  </si>
  <si>
    <t>物业水电</t>
  </si>
  <si>
    <t>门店支出</t>
  </si>
  <si>
    <t>产品物料</t>
  </si>
  <si>
    <t>微雕成本</t>
  </si>
  <si>
    <t>其它合作成本</t>
  </si>
  <si>
    <t>洗毛巾</t>
  </si>
  <si>
    <t>底薪</t>
  </si>
  <si>
    <t>提点</t>
  </si>
  <si>
    <t>月提成</t>
  </si>
  <si>
    <t>全勤</t>
  </si>
  <si>
    <t>应得工资</t>
  </si>
  <si>
    <t>扣社保</t>
  </si>
  <si>
    <t>迟到请假</t>
  </si>
  <si>
    <t>实得工资</t>
  </si>
  <si>
    <t>保底底薪什么的</t>
  </si>
  <si>
    <t>底薪生命线</t>
  </si>
  <si>
    <t>提成额</t>
  </si>
  <si>
    <t>业绩提成</t>
  </si>
  <si>
    <t>数据来源？？？</t>
  </si>
  <si>
    <t>手机管理</t>
  </si>
  <si>
    <t>第三阶段</t>
  </si>
  <si>
    <t>人头奖励</t>
  </si>
  <si>
    <t>Y</t>
  </si>
  <si>
    <t>当月开始不足1个月</t>
  </si>
  <si>
    <t>标准线①</t>
  </si>
  <si>
    <t>VLOOKUP(B6,预计基本设置!$B:$U,19,0)</t>
  </si>
  <si>
    <t>毛利*1%</t>
  </si>
  <si>
    <t>标准线②</t>
  </si>
  <si>
    <t>VLOOKUP(B6,预计基本设置!$B:$U,20,0)</t>
  </si>
  <si>
    <t>标准线①*1%+（毛利-标准线①）*1.5%</t>
  </si>
  <si>
    <t>标准线①*1%+标准线②*1.5%+（毛利-标准线②）*2%</t>
  </si>
  <si>
    <t>提成方案</t>
  </si>
  <si>
    <t>门店类型</t>
  </si>
  <si>
    <t>生命线</t>
  </si>
  <si>
    <t>是否有提成？</t>
  </si>
  <si>
    <t>是否达标第一阶</t>
  </si>
  <si>
    <t>是否到第二阶</t>
  </si>
  <si>
    <t>第一阶段还是第二阶段</t>
  </si>
  <si>
    <t>提成额-方案一</t>
  </si>
  <si>
    <t>提成额-方案二</t>
  </si>
  <si>
    <t>提成额-方案三</t>
  </si>
  <si>
    <t>提点？</t>
  </si>
  <si>
    <t>提成额？</t>
  </si>
  <si>
    <t>VLOOKUP(B6,预计基本设置!B:X,22,0)</t>
  </si>
  <si>
    <t>VLOOKUP(B6,预计基本设置!B:X,23,0)</t>
  </si>
  <si>
    <t>是否有经理及业绩</t>
  </si>
  <si>
    <t>第一还是第二？</t>
  </si>
  <si>
    <t>编号</t>
  </si>
  <si>
    <t>总经理姓名</t>
  </si>
  <si>
    <t>经理姓名</t>
  </si>
  <si>
    <t>NO.01</t>
  </si>
  <si>
    <t>NO.02</t>
  </si>
  <si>
    <t>NO.03</t>
  </si>
  <si>
    <t>NO.04</t>
  </si>
  <si>
    <t>NO.05</t>
  </si>
  <si>
    <t>NO.06</t>
  </si>
  <si>
    <t>NO.07</t>
  </si>
  <si>
    <t>NO.08</t>
  </si>
  <si>
    <t>档位</t>
  </si>
  <si>
    <t>项目数</t>
  </si>
  <si>
    <t>部门</t>
  </si>
  <si>
    <t>4月岗位</t>
  </si>
  <si>
    <t>分组</t>
  </si>
  <si>
    <t>在岗状态</t>
  </si>
  <si>
    <t>cell</t>
  </si>
  <si>
    <t>溯源系统</t>
  </si>
  <si>
    <t>车补</t>
  </si>
  <si>
    <t>补贴</t>
  </si>
  <si>
    <t>项目数所在档位</t>
  </si>
  <si>
    <t>业绩所在档位</t>
  </si>
  <si>
    <t>总经理-底薪</t>
  </si>
  <si>
    <t>业绩提成点</t>
  </si>
  <si>
    <t>提成-总经理</t>
  </si>
  <si>
    <t>消耗提成点</t>
  </si>
  <si>
    <t>是否有负奖励</t>
  </si>
  <si>
    <t>消耗提成</t>
  </si>
  <si>
    <t>专家提成</t>
  </si>
  <si>
    <t>组队业绩</t>
  </si>
  <si>
    <t>团队提成</t>
  </si>
  <si>
    <t>消耗负奖励</t>
  </si>
  <si>
    <t>加班补贴</t>
  </si>
  <si>
    <t>手工</t>
  </si>
  <si>
    <t>应发工资</t>
  </si>
  <si>
    <t>专家</t>
  </si>
  <si>
    <t>组B</t>
  </si>
  <si>
    <t>组A</t>
  </si>
  <si>
    <t>老师</t>
  </si>
  <si>
    <t>周柏燚</t>
  </si>
  <si>
    <t>T区</t>
  </si>
  <si>
    <t>溯源</t>
  </si>
  <si>
    <t>提成比</t>
  </si>
  <si>
    <t>提成比例差</t>
  </si>
  <si>
    <t>CELL</t>
  </si>
  <si>
    <t>月份</t>
  </si>
  <si>
    <t>高端业绩</t>
  </si>
  <si>
    <t>迟到/请假</t>
  </si>
  <si>
    <t>实发工资</t>
  </si>
  <si>
    <t>门店</t>
    <phoneticPr fontId="4" type="noConversion"/>
  </si>
  <si>
    <t>岗位</t>
    <phoneticPr fontId="4" type="noConversion"/>
  </si>
  <si>
    <t>方案三</t>
    <phoneticPr fontId="4" type="noConversion"/>
  </si>
  <si>
    <t>6月</t>
  </si>
  <si>
    <t>股份</t>
  </si>
  <si>
    <t>金三角</t>
  </si>
  <si>
    <t>扣钱</t>
  </si>
  <si>
    <t>补钱</t>
  </si>
  <si>
    <t>坐起</t>
  </si>
  <si>
    <t>在岗天数</t>
  </si>
  <si>
    <t>实际休</t>
  </si>
  <si>
    <t>出勤</t>
  </si>
  <si>
    <t>出勤+休息</t>
  </si>
  <si>
    <t>应休</t>
  </si>
  <si>
    <t>调减休息</t>
  </si>
  <si>
    <t>实际请假</t>
  </si>
  <si>
    <t>请假天数</t>
    <phoneticPr fontId="4" type="noConversion"/>
  </si>
  <si>
    <t>请假天数</t>
    <phoneticPr fontId="3" type="noConversion"/>
  </si>
  <si>
    <t>扣减底薪</t>
    <phoneticPr fontId="4" type="noConversion"/>
  </si>
  <si>
    <t>最终底薪</t>
    <phoneticPr fontId="4" type="noConversion"/>
  </si>
  <si>
    <t>请假</t>
    <phoneticPr fontId="4" type="noConversion"/>
  </si>
  <si>
    <t>底薪</t>
    <phoneticPr fontId="4" type="noConversion"/>
  </si>
  <si>
    <t>余文</t>
  </si>
  <si>
    <t>余文</t>
    <phoneticPr fontId="4" type="noConversion"/>
  </si>
  <si>
    <t>cell</t>
    <phoneticPr fontId="4" type="noConversion"/>
  </si>
  <si>
    <t>溯源</t>
    <phoneticPr fontId="4" type="noConversion"/>
  </si>
  <si>
    <t>业绩提成</t>
    <phoneticPr fontId="4" type="noConversion"/>
  </si>
  <si>
    <t>提成合计</t>
    <phoneticPr fontId="4" type="noConversion"/>
  </si>
  <si>
    <t>团队提成</t>
    <phoneticPr fontId="4" type="noConversion"/>
  </si>
  <si>
    <t>加班</t>
    <phoneticPr fontId="4" type="noConversion"/>
  </si>
  <si>
    <t>店助主任</t>
    <phoneticPr fontId="4" type="noConversion"/>
  </si>
  <si>
    <t>店助主任</t>
    <phoneticPr fontId="3" type="noConversion"/>
  </si>
  <si>
    <t>店助主任</t>
    <phoneticPr fontId="4" type="noConversion"/>
  </si>
  <si>
    <t>超额部分</t>
    <phoneticPr fontId="3" type="noConversion"/>
  </si>
  <si>
    <t>提成合计</t>
    <phoneticPr fontId="3" type="noConversion"/>
  </si>
  <si>
    <t>曾雨晴</t>
    <phoneticPr fontId="4" type="noConversion"/>
  </si>
  <si>
    <t>导入考勤</t>
    <phoneticPr fontId="4" type="noConversion"/>
  </si>
  <si>
    <t>确定每个岗位的人员</t>
    <phoneticPr fontId="4" type="noConversion"/>
  </si>
  <si>
    <t>①人事考勤</t>
    <phoneticPr fontId="4" type="noConversion"/>
  </si>
  <si>
    <t>经理</t>
    <phoneticPr fontId="4" type="noConversion"/>
  </si>
  <si>
    <t>总经理</t>
    <phoneticPr fontId="4" type="noConversion"/>
  </si>
  <si>
    <t>各岗位人员名单对应门店</t>
    <phoneticPr fontId="4" type="noConversion"/>
  </si>
  <si>
    <t>①-①人事取数</t>
    <phoneticPr fontId="4" type="noConversion"/>
  </si>
  <si>
    <t>②当月数据</t>
    <phoneticPr fontId="4" type="noConversion"/>
  </si>
  <si>
    <t>导入当月数据-2张表</t>
    <phoneticPr fontId="4" type="noConversion"/>
  </si>
  <si>
    <t>1：店长当月考核指标</t>
    <phoneticPr fontId="4" type="noConversion"/>
  </si>
  <si>
    <t>基数 人头 消耗</t>
    <phoneticPr fontId="4" type="noConversion"/>
  </si>
  <si>
    <t>沙河</t>
    <phoneticPr fontId="3" type="noConversion"/>
  </si>
  <si>
    <t>店长</t>
    <phoneticPr fontId="3" type="noConversion"/>
  </si>
  <si>
    <t>业绩</t>
    <phoneticPr fontId="3" type="noConversion"/>
  </si>
  <si>
    <t>③店长当月考核指标</t>
    <phoneticPr fontId="4" type="noConversion"/>
  </si>
  <si>
    <t>每月跟张总裁确认</t>
    <phoneticPr fontId="4" type="noConversion"/>
  </si>
  <si>
    <t>新系统提交张总裁确认</t>
    <phoneticPr fontId="4" type="noConversion"/>
  </si>
  <si>
    <t>③-①特殊情况</t>
    <phoneticPr fontId="4" type="noConversion"/>
  </si>
  <si>
    <t>业绩调整</t>
    <phoneticPr fontId="4" type="noConversion"/>
  </si>
  <si>
    <t>④前置信息-大固定</t>
  </si>
  <si>
    <t>门店生命线</t>
    <phoneticPr fontId="4" type="noConversion"/>
  </si>
  <si>
    <t>店助/店助主任考核线</t>
    <phoneticPr fontId="4" type="noConversion"/>
  </si>
  <si>
    <t>经理/总经理</t>
    <phoneticPr fontId="4" type="noConversion"/>
  </si>
  <si>
    <t>④-①前置信息-增加版本</t>
    <phoneticPr fontId="4" type="noConversion"/>
  </si>
  <si>
    <t>增加了提点方案的</t>
    <phoneticPr fontId="4" type="noConversion"/>
  </si>
  <si>
    <t>店长</t>
    <phoneticPr fontId="4" type="noConversion"/>
  </si>
  <si>
    <t>核算底薪+提成-生成汇总表</t>
    <phoneticPr fontId="4" type="noConversion"/>
  </si>
  <si>
    <t>主任</t>
    <phoneticPr fontId="4" type="noConversion"/>
  </si>
  <si>
    <t>店助</t>
    <phoneticPr fontId="4" type="noConversion"/>
  </si>
  <si>
    <t>科技部</t>
    <phoneticPr fontId="4" type="noConversion"/>
  </si>
  <si>
    <t>大项目部</t>
    <phoneticPr fontId="4" type="noConversion"/>
  </si>
  <si>
    <t>套表使用步骤：</t>
    <phoneticPr fontId="4" type="noConversion"/>
  </si>
  <si>
    <t>区分新店+门店类型</t>
    <phoneticPr fontId="4" type="noConversion"/>
  </si>
  <si>
    <t>最终底薪</t>
    <phoneticPr fontId="3" type="noConversion"/>
  </si>
  <si>
    <t>业绩</t>
    <phoneticPr fontId="4" type="noConversion"/>
  </si>
  <si>
    <t>新店不考核消耗</t>
    <phoneticPr fontId="4" type="noConversion"/>
  </si>
  <si>
    <t>新店提成按A类</t>
    <phoneticPr fontId="4" type="noConversion"/>
  </si>
  <si>
    <t>店助核算和门店是否是新店没关系，只和自身入职时间是否保底有关</t>
    <phoneticPr fontId="4" type="noConversion"/>
  </si>
  <si>
    <t>AND(S7=1,T7=0)</t>
    <phoneticPr fontId="4" type="noConversion"/>
  </si>
  <si>
    <t>最终的金额</t>
    <phoneticPr fontId="4" type="noConversion"/>
  </si>
  <si>
    <t>提点</t>
    <phoneticPr fontId="4" type="noConversion"/>
  </si>
  <si>
    <t>大项目主管</t>
  </si>
  <si>
    <t>黄桂琴</t>
  </si>
  <si>
    <t>詹芳英</t>
  </si>
  <si>
    <t>大项目老师</t>
  </si>
  <si>
    <t>陈思思</t>
  </si>
  <si>
    <t>李洁</t>
  </si>
  <si>
    <t>大项目一部</t>
    <phoneticPr fontId="3" type="noConversion"/>
  </si>
  <si>
    <t>大项目二部</t>
    <phoneticPr fontId="3" type="noConversion"/>
  </si>
  <si>
    <t>主管业绩</t>
    <phoneticPr fontId="3" type="noConversion"/>
  </si>
  <si>
    <t>老师业绩</t>
    <phoneticPr fontId="3" type="noConversion"/>
  </si>
  <si>
    <t>大项目规则</t>
    <phoneticPr fontId="3" type="noConversion"/>
  </si>
  <si>
    <t>主管</t>
    <phoneticPr fontId="3" type="noConversion"/>
  </si>
  <si>
    <t>老师</t>
    <phoneticPr fontId="3" type="noConversion"/>
  </si>
  <si>
    <t>提成业绩</t>
    <phoneticPr fontId="3" type="noConversion"/>
  </si>
  <si>
    <t>大项目主管</t>
    <phoneticPr fontId="3" type="noConversion"/>
  </si>
  <si>
    <t>最小值</t>
    <phoneticPr fontId="3" type="noConversion"/>
  </si>
  <si>
    <t>提成比</t>
    <phoneticPr fontId="3" type="noConversion"/>
  </si>
  <si>
    <t>提成比例差</t>
    <phoneticPr fontId="3" type="noConversion"/>
  </si>
  <si>
    <t>底薪</t>
    <phoneticPr fontId="3" type="noConversion"/>
  </si>
  <si>
    <t>请假扣款</t>
    <phoneticPr fontId="4" type="noConversion"/>
  </si>
  <si>
    <t>扣除后的底薪</t>
    <phoneticPr fontId="4" type="noConversion"/>
  </si>
  <si>
    <t>请假扣款</t>
    <phoneticPr fontId="3" type="noConversion"/>
  </si>
  <si>
    <t>T区</t>
    <phoneticPr fontId="3" type="noConversion"/>
  </si>
  <si>
    <t>T区</t>
    <phoneticPr fontId="4" type="noConversion"/>
  </si>
  <si>
    <t>7月</t>
  </si>
  <si>
    <t>暂不用</t>
  </si>
  <si>
    <t>8月调整后同Q</t>
  </si>
  <si>
    <t>8月</t>
  </si>
  <si>
    <t>店名</t>
  </si>
  <si>
    <t>职位</t>
  </si>
  <si>
    <t>岗位分类</t>
  </si>
  <si>
    <t>在职情况</t>
  </si>
  <si>
    <t>岗位分类②</t>
  </si>
  <si>
    <t>发放月份</t>
  </si>
  <si>
    <t>福利假</t>
  </si>
  <si>
    <t>不扣钱的天数</t>
  </si>
  <si>
    <t>少休补贴</t>
  </si>
  <si>
    <t>其他奖励</t>
  </si>
  <si>
    <t>保底-已核算金额</t>
  </si>
  <si>
    <t>当月培训</t>
  </si>
  <si>
    <t>当月交通补贴</t>
  </si>
  <si>
    <t>应发上月</t>
  </si>
  <si>
    <t>应发次月</t>
  </si>
  <si>
    <t>在店天数</t>
  </si>
  <si>
    <t>跨月天数</t>
  </si>
  <si>
    <t>6月工资-有</t>
  </si>
  <si>
    <t>当月在店天数+正常休</t>
  </si>
  <si>
    <t>B</t>
  </si>
  <si>
    <t>易春梅</t>
  </si>
  <si>
    <t>在职</t>
  </si>
  <si>
    <t/>
  </si>
  <si>
    <t>A</t>
  </si>
  <si>
    <t>江玲</t>
  </si>
  <si>
    <t>健康师</t>
  </si>
  <si>
    <t>王瑞琳</t>
  </si>
  <si>
    <t>黄小燕</t>
  </si>
  <si>
    <t>赵玉晓</t>
  </si>
  <si>
    <t>雷朝霞</t>
  </si>
  <si>
    <t>陈雪莲</t>
  </si>
  <si>
    <t>莫志英</t>
  </si>
  <si>
    <t>刘巧艳</t>
  </si>
  <si>
    <t>康红梅</t>
  </si>
  <si>
    <t>唐银春</t>
  </si>
  <si>
    <t>刘晓丽</t>
  </si>
  <si>
    <t>熊艳</t>
  </si>
  <si>
    <t>任静</t>
  </si>
  <si>
    <t>吴琴</t>
  </si>
  <si>
    <t>陈红霞</t>
  </si>
  <si>
    <t>廖增珍</t>
  </si>
  <si>
    <t>李春华</t>
  </si>
  <si>
    <t>张候敏</t>
  </si>
  <si>
    <t>赵小红</t>
  </si>
  <si>
    <t>彭龙惠</t>
  </si>
  <si>
    <t>邓雪梅</t>
  </si>
  <si>
    <t>高雪</t>
  </si>
  <si>
    <t>何婷</t>
  </si>
  <si>
    <t>刘慧</t>
  </si>
  <si>
    <t>谭莹</t>
  </si>
  <si>
    <t>张芮</t>
  </si>
  <si>
    <t>张元琼</t>
  </si>
  <si>
    <t>王依蕊</t>
  </si>
  <si>
    <t>向郑瑶</t>
  </si>
  <si>
    <t>唐容</t>
  </si>
  <si>
    <t>叶文娟</t>
  </si>
  <si>
    <t>陈怡名</t>
  </si>
  <si>
    <t>张丽</t>
  </si>
  <si>
    <t>杨金花</t>
  </si>
  <si>
    <t>店助主任</t>
  </si>
  <si>
    <t>樊琳</t>
  </si>
  <si>
    <t>董顺秀</t>
  </si>
  <si>
    <t>陈建蓉</t>
  </si>
  <si>
    <t>王娇</t>
  </si>
  <si>
    <t>黎茂婷</t>
  </si>
  <si>
    <t>陈小琴</t>
  </si>
  <si>
    <t>刘恬恬</t>
  </si>
  <si>
    <t>苟小春</t>
  </si>
  <si>
    <t>李燕</t>
  </si>
  <si>
    <t>张小华</t>
  </si>
  <si>
    <t>王任燕</t>
  </si>
  <si>
    <t>陈萍</t>
  </si>
  <si>
    <t>吴敏</t>
  </si>
  <si>
    <t>陈佳丽</t>
  </si>
  <si>
    <t>康钦</t>
  </si>
  <si>
    <t>聂娟</t>
  </si>
  <si>
    <t>马菁</t>
  </si>
  <si>
    <t>徐睦垚</t>
  </si>
  <si>
    <t>达哇卓玛</t>
  </si>
  <si>
    <t>曾雨晴</t>
  </si>
  <si>
    <t>但红玉</t>
  </si>
  <si>
    <t>梁缘缘</t>
  </si>
  <si>
    <t>李萱君</t>
  </si>
  <si>
    <t>李思忆</t>
  </si>
  <si>
    <t>赵情情</t>
  </si>
  <si>
    <t>曹悦</t>
  </si>
  <si>
    <t>吴飞雁</t>
  </si>
  <si>
    <t>尹桂香</t>
  </si>
  <si>
    <t>刘安琼</t>
  </si>
  <si>
    <t>刘晓林</t>
  </si>
  <si>
    <t>李巧娇</t>
  </si>
  <si>
    <t>林萍</t>
  </si>
  <si>
    <t>罗雪</t>
  </si>
  <si>
    <t>唐宇欣</t>
  </si>
  <si>
    <t>李萌</t>
  </si>
  <si>
    <t>王如意</t>
  </si>
  <si>
    <t>柳全菊</t>
  </si>
  <si>
    <t>何琼华</t>
  </si>
  <si>
    <t>蒋圆圆</t>
  </si>
  <si>
    <t>顾红艳</t>
  </si>
  <si>
    <t>郭小丽</t>
  </si>
  <si>
    <t>梁婷</t>
  </si>
  <si>
    <t>雷娜婷</t>
  </si>
  <si>
    <t>叶美霞</t>
  </si>
  <si>
    <t>秦娜</t>
  </si>
  <si>
    <t>牟光燕</t>
  </si>
  <si>
    <t>王萍</t>
  </si>
  <si>
    <t>胡红琳</t>
  </si>
  <si>
    <t>谢娟</t>
  </si>
  <si>
    <t>陈美合</t>
  </si>
  <si>
    <t>郝莉娜</t>
  </si>
  <si>
    <t>邓丽莉</t>
  </si>
  <si>
    <t>张明艳</t>
  </si>
  <si>
    <t>马宏梅</t>
  </si>
  <si>
    <t>陈洁</t>
  </si>
  <si>
    <t>郑加焕</t>
  </si>
  <si>
    <t>侯英</t>
  </si>
  <si>
    <t>谢德芳</t>
  </si>
  <si>
    <t>郑华跃</t>
  </si>
  <si>
    <t>李茂</t>
  </si>
  <si>
    <t>孙红梅</t>
  </si>
  <si>
    <t>黎红花</t>
  </si>
  <si>
    <t>蒲艳婷</t>
  </si>
  <si>
    <t>刘帆</t>
  </si>
  <si>
    <t>杨艳</t>
  </si>
  <si>
    <t>王晓琳</t>
  </si>
  <si>
    <t>彭措志玛</t>
  </si>
  <si>
    <t>郝中南</t>
  </si>
  <si>
    <t>冉芳霞</t>
  </si>
  <si>
    <t>谭萍</t>
  </si>
  <si>
    <t>陈琳</t>
  </si>
  <si>
    <t>罗湘湘</t>
  </si>
  <si>
    <t>唐玉芳</t>
  </si>
  <si>
    <t>雷怡</t>
  </si>
  <si>
    <t>龙巧云</t>
  </si>
  <si>
    <t>张勤</t>
  </si>
  <si>
    <t>刘裕琼</t>
  </si>
  <si>
    <t>唐施语</t>
  </si>
  <si>
    <t>谭福英</t>
  </si>
  <si>
    <t>李凤</t>
  </si>
  <si>
    <t>陈嘉仪</t>
  </si>
  <si>
    <t>王红</t>
  </si>
  <si>
    <t>冷忠翠</t>
  </si>
  <si>
    <t>糜清云</t>
  </si>
  <si>
    <t>贺金云</t>
  </si>
  <si>
    <t>舒许芳</t>
  </si>
  <si>
    <t>包竹梅</t>
  </si>
  <si>
    <t>欧迎春</t>
  </si>
  <si>
    <t>谭芙蓉</t>
  </si>
  <si>
    <t>曾玉莲</t>
  </si>
  <si>
    <t>彭兰钦</t>
  </si>
  <si>
    <t>刘婵琴</t>
  </si>
  <si>
    <t>泽仁拉姆</t>
  </si>
  <si>
    <t>舒阳</t>
  </si>
  <si>
    <t>白丽</t>
  </si>
  <si>
    <t>郑巧玲</t>
  </si>
  <si>
    <t>张廷妍</t>
  </si>
  <si>
    <t>杜兰兰</t>
  </si>
  <si>
    <t>王显珍</t>
  </si>
  <si>
    <t>马冬梅</t>
  </si>
  <si>
    <t>彭莉群</t>
  </si>
  <si>
    <t>刘金凤</t>
  </si>
  <si>
    <t>谢珂欣</t>
  </si>
  <si>
    <t>刘霞</t>
  </si>
  <si>
    <t>尧丹丹</t>
  </si>
  <si>
    <t>李科</t>
  </si>
  <si>
    <t>石海力</t>
  </si>
  <si>
    <t>不发</t>
  </si>
  <si>
    <t>付薪燕</t>
  </si>
  <si>
    <t>陈定坤</t>
  </si>
  <si>
    <t>关晓燕</t>
  </si>
  <si>
    <t>唐尹</t>
  </si>
  <si>
    <t>贺慧</t>
  </si>
  <si>
    <t>李红梅</t>
  </si>
  <si>
    <t>龚艳</t>
  </si>
  <si>
    <t>余姣姣</t>
  </si>
  <si>
    <t>竹艳梅</t>
  </si>
  <si>
    <t>叶朝春</t>
  </si>
  <si>
    <t>喻容</t>
  </si>
  <si>
    <t>魏柯</t>
  </si>
  <si>
    <t>徐文平</t>
  </si>
  <si>
    <t>张欣</t>
  </si>
  <si>
    <t>叶璐璐</t>
  </si>
  <si>
    <t>周文慧</t>
  </si>
  <si>
    <t>张白金</t>
  </si>
  <si>
    <t>郑美函</t>
  </si>
  <si>
    <t>龚茜</t>
  </si>
  <si>
    <t>廖妍</t>
  </si>
  <si>
    <t>李彩华</t>
  </si>
  <si>
    <t>刘九招</t>
  </si>
  <si>
    <t>朱羽</t>
  </si>
  <si>
    <t>施凤皎</t>
  </si>
  <si>
    <t>高琴</t>
  </si>
  <si>
    <t>达卓措</t>
  </si>
  <si>
    <t>袁玉</t>
  </si>
  <si>
    <t>赵晴亮</t>
  </si>
  <si>
    <t>赵忠芬</t>
  </si>
  <si>
    <t>郑丹</t>
  </si>
  <si>
    <t>林锶莹</t>
  </si>
  <si>
    <t>胡钦秀</t>
  </si>
  <si>
    <t>高红艳</t>
  </si>
  <si>
    <t>曾怡</t>
  </si>
  <si>
    <t>张清华</t>
  </si>
  <si>
    <t>彭鑫</t>
  </si>
  <si>
    <t>李维</t>
  </si>
  <si>
    <t>贾琳</t>
  </si>
  <si>
    <t>王智慧</t>
  </si>
  <si>
    <t>邓笑</t>
  </si>
  <si>
    <t>刘香</t>
  </si>
  <si>
    <t>刘丽华</t>
  </si>
  <si>
    <t>周林</t>
  </si>
  <si>
    <t>钟秦</t>
  </si>
  <si>
    <t>张红霞</t>
  </si>
  <si>
    <t>李燕1</t>
  </si>
  <si>
    <t>陈世琳</t>
  </si>
  <si>
    <t>陈燕辉</t>
  </si>
  <si>
    <t>宋林琳</t>
  </si>
  <si>
    <t>马丽亚</t>
  </si>
  <si>
    <t>阿衣尔扎</t>
  </si>
  <si>
    <t>张霞</t>
  </si>
  <si>
    <t>谢双叶</t>
  </si>
  <si>
    <t>蒙亦锌</t>
  </si>
  <si>
    <t>刘梦蓝</t>
  </si>
  <si>
    <t>罗林芳</t>
  </si>
  <si>
    <t>汪丽娟</t>
  </si>
  <si>
    <t>谭言希</t>
  </si>
  <si>
    <t>黄江</t>
  </si>
  <si>
    <t>陈琼</t>
  </si>
  <si>
    <t>米琪</t>
  </si>
  <si>
    <t>尚杨</t>
  </si>
  <si>
    <t>钟心悦</t>
  </si>
  <si>
    <t>胡祝曲</t>
  </si>
  <si>
    <t>谢金梅</t>
  </si>
  <si>
    <t>李洪芳</t>
  </si>
  <si>
    <t>王维</t>
  </si>
  <si>
    <t>罗文文</t>
  </si>
  <si>
    <t>任艺</t>
  </si>
  <si>
    <t>贺丽</t>
  </si>
  <si>
    <t>殷小燕</t>
  </si>
  <si>
    <t>李海瑛</t>
  </si>
  <si>
    <t>邹孟君</t>
  </si>
  <si>
    <t>彭羽佳</t>
  </si>
  <si>
    <t>朱成芳</t>
  </si>
  <si>
    <t>翁玲</t>
  </si>
  <si>
    <t>王能琴</t>
  </si>
  <si>
    <t>涂莹丹</t>
  </si>
  <si>
    <t>人事主管</t>
  </si>
  <si>
    <t>葛敏</t>
  </si>
  <si>
    <t>人事专员</t>
  </si>
  <si>
    <t>袁小兵</t>
  </si>
  <si>
    <t>徐登毅</t>
  </si>
  <si>
    <t>范时依</t>
  </si>
  <si>
    <t>企划部</t>
  </si>
  <si>
    <t>吴小强</t>
  </si>
  <si>
    <t>拓展部</t>
  </si>
  <si>
    <t>宁燕</t>
  </si>
  <si>
    <t>杨苹</t>
  </si>
  <si>
    <t>赵倩</t>
  </si>
  <si>
    <t>财务老师</t>
  </si>
  <si>
    <t>梁诗雨</t>
  </si>
  <si>
    <t>财务主管</t>
  </si>
  <si>
    <t>郭思瑞</t>
  </si>
  <si>
    <t>文倩</t>
  </si>
  <si>
    <t>财务总监</t>
  </si>
  <si>
    <t>刘佳</t>
  </si>
  <si>
    <t>企划</t>
  </si>
  <si>
    <t>杨磊</t>
  </si>
  <si>
    <t>选址</t>
  </si>
  <si>
    <t>李吉原</t>
  </si>
  <si>
    <t>教育部总经理</t>
  </si>
  <si>
    <t>马小英</t>
  </si>
  <si>
    <t>欧阳敏</t>
  </si>
  <si>
    <t>教育部老师</t>
  </si>
  <si>
    <t>程燕</t>
  </si>
  <si>
    <t>肖倩</t>
  </si>
  <si>
    <t>王丽娟</t>
  </si>
  <si>
    <t>蓝海英</t>
  </si>
  <si>
    <t>组长</t>
  </si>
  <si>
    <t>科技老师</t>
  </si>
  <si>
    <t>保洁</t>
  </si>
  <si>
    <t>王国英</t>
  </si>
  <si>
    <t>周莉</t>
  </si>
  <si>
    <t>吴斌</t>
  </si>
  <si>
    <t>杨汉玉</t>
  </si>
  <si>
    <t>杨润琼</t>
  </si>
  <si>
    <t>林玉琼</t>
  </si>
  <si>
    <t>王秀华</t>
  </si>
  <si>
    <t>刘陈秀</t>
  </si>
  <si>
    <t>钟术群</t>
  </si>
  <si>
    <t>郑竹兰</t>
  </si>
  <si>
    <t>陈春蓉</t>
  </si>
  <si>
    <t>陈明秀</t>
  </si>
  <si>
    <t>许开会</t>
  </si>
  <si>
    <t>蒋治琼</t>
  </si>
  <si>
    <t>曾志芬</t>
  </si>
  <si>
    <t>罗广秀</t>
  </si>
  <si>
    <t>何先会</t>
  </si>
  <si>
    <t>陈德芳</t>
  </si>
  <si>
    <t>邓成分</t>
  </si>
  <si>
    <t>刘胜琼</t>
  </si>
  <si>
    <t>陈文先</t>
  </si>
  <si>
    <t>杨则琼</t>
  </si>
  <si>
    <t>李培英</t>
  </si>
  <si>
    <t>陈永秀</t>
  </si>
  <si>
    <t>李大英</t>
  </si>
  <si>
    <t>范世琼</t>
  </si>
  <si>
    <t>倪巧琼</t>
  </si>
  <si>
    <t>颜香兰</t>
  </si>
  <si>
    <t>刘治菊</t>
  </si>
  <si>
    <t>陈珊珊</t>
  </si>
  <si>
    <t>安家晴</t>
  </si>
  <si>
    <t>刘雨佳</t>
  </si>
  <si>
    <t>谢翠华</t>
  </si>
  <si>
    <t>袁晓梅</t>
  </si>
  <si>
    <t>孙鲜</t>
  </si>
  <si>
    <t>陈春秀</t>
  </si>
  <si>
    <t>郑晓芳</t>
  </si>
  <si>
    <t>曾小凤</t>
  </si>
  <si>
    <t>邹奇圻</t>
  </si>
  <si>
    <t>路平</t>
  </si>
  <si>
    <t>康丹</t>
  </si>
  <si>
    <t>尹佩佩</t>
  </si>
  <si>
    <t>李文龙</t>
  </si>
  <si>
    <t>张文卓</t>
  </si>
  <si>
    <t>曹煦菡</t>
  </si>
  <si>
    <t>蹇雨珊</t>
  </si>
  <si>
    <t>赵圆缘</t>
  </si>
  <si>
    <t>李从丽</t>
  </si>
  <si>
    <t>杨慧琳</t>
  </si>
  <si>
    <t>袁琳育</t>
  </si>
  <si>
    <t>蒲敏</t>
  </si>
  <si>
    <t>黄芬</t>
  </si>
  <si>
    <t>杨娇</t>
  </si>
  <si>
    <t>郭芬</t>
  </si>
  <si>
    <t>当月是否核算</t>
  </si>
  <si>
    <t>特殊核算-100</t>
  </si>
  <si>
    <t>张林英</t>
  </si>
  <si>
    <t>不算工资</t>
  </si>
  <si>
    <t>培训-60</t>
  </si>
  <si>
    <t>培训-80</t>
  </si>
  <si>
    <t>岗位核算</t>
  </si>
  <si>
    <t>陈丽</t>
  </si>
  <si>
    <t>B-a-②呈现-业绩明细表②</t>
    <phoneticPr fontId="4" type="noConversion"/>
  </si>
  <si>
    <t>B-a-③呈现-消耗明细表③</t>
    <phoneticPr fontId="4" type="noConversion"/>
  </si>
  <si>
    <t>B-a-⑨费用统计表</t>
    <phoneticPr fontId="4" type="noConversion"/>
  </si>
  <si>
    <t>B-a-⑩物质领用统计表</t>
    <phoneticPr fontId="4" type="noConversion"/>
  </si>
  <si>
    <t>B-a-11合作成本统计表</t>
    <phoneticPr fontId="4" type="noConversion"/>
  </si>
  <si>
    <t>表内计算</t>
    <phoneticPr fontId="4" type="noConversion"/>
  </si>
  <si>
    <t>2025年7月店长考核指标</t>
    <phoneticPr fontId="4" type="noConversion"/>
  </si>
  <si>
    <t>A-b-⑦总经理/经理核算条件</t>
  </si>
  <si>
    <t>A-b-⑥工资核算②</t>
    <phoneticPr fontId="4" type="noConversion"/>
  </si>
  <si>
    <t>事业一部</t>
    <phoneticPr fontId="4" type="noConversion"/>
  </si>
  <si>
    <t>科技一部总数据</t>
  </si>
  <si>
    <t>总业绩：652326.88</t>
  </si>
  <si>
    <t>溯源系统：609704</t>
  </si>
  <si>
    <t>赵美艳个人业绩：74428</t>
  </si>
  <si>
    <t>郭兰个人业绩：53964</t>
  </si>
  <si>
    <t>蒲俊锋个人业绩：112517</t>
  </si>
  <si>
    <t>周柏燚个人业绩：43814</t>
  </si>
  <si>
    <t>王方贤个人业绩：205363</t>
  </si>
  <si>
    <t>戴林个人业绩：85604</t>
  </si>
  <si>
    <t>杨琴个人业绩：70622</t>
  </si>
  <si>
    <t>车补：</t>
  </si>
  <si>
    <t>蒲俊锋：17，22</t>
  </si>
  <si>
    <t>郭兰：1，3，26，28</t>
  </si>
  <si>
    <t xml:space="preserve">赵美艳：8   18  23  30  </t>
  </si>
  <si>
    <t>戴林：8</t>
  </si>
  <si>
    <t>王方贤：8，22</t>
  </si>
  <si>
    <t>杨琴：1，10，22</t>
  </si>
  <si>
    <t>周柏燚：8</t>
  </si>
  <si>
    <t>科技二部：426145</t>
  </si>
  <si>
    <t xml:space="preserve">1. 科技二部谢宗富 </t>
  </si>
  <si>
    <t>加班：14   29</t>
  </si>
  <si>
    <t>2. 科技二部余文</t>
  </si>
  <si>
    <t>加班：7.16.19.26</t>
  </si>
  <si>
    <t>3. 科技二部王洪武</t>
  </si>
  <si>
    <t>加班：6.7.10.15</t>
  </si>
  <si>
    <t xml:space="preserve">4. 科技二部张雨露18658867246 </t>
  </si>
  <si>
    <t>加班 17 23。 25</t>
  </si>
  <si>
    <t xml:space="preserve">5. 科技二部刘姝含15928505343 </t>
  </si>
  <si>
    <t>加班:7号28号</t>
  </si>
  <si>
    <t>cell：42623</t>
    <phoneticPr fontId="4" type="noConversion"/>
  </si>
  <si>
    <t>7月业绩</t>
    <phoneticPr fontId="4" type="noConversion"/>
  </si>
  <si>
    <t>7月-项目数</t>
    <phoneticPr fontId="4" type="noConversion"/>
  </si>
  <si>
    <t>赵美艳组业绩：210295</t>
    <phoneticPr fontId="4" type="noConversion"/>
  </si>
  <si>
    <t>王方贤组业绩：156226</t>
    <phoneticPr fontId="4" type="noConversion"/>
  </si>
  <si>
    <t>cell：66061  溯源系统：360084</t>
    <phoneticPr fontId="4" type="noConversion"/>
  </si>
  <si>
    <t>业绩：100180</t>
    <phoneticPr fontId="4" type="noConversion"/>
  </si>
  <si>
    <t>消耗：120444</t>
    <phoneticPr fontId="4" type="noConversion"/>
  </si>
  <si>
    <t>7月消耗</t>
    <phoneticPr fontId="4" type="noConversion"/>
  </si>
  <si>
    <t>7月手工</t>
    <phoneticPr fontId="4" type="noConversion"/>
  </si>
  <si>
    <t>业绩：55922</t>
    <phoneticPr fontId="4" type="noConversion"/>
  </si>
  <si>
    <t>消耗：125321</t>
    <phoneticPr fontId="4" type="noConversion"/>
  </si>
  <si>
    <t>业绩：81488</t>
    <phoneticPr fontId="4" type="noConversion"/>
  </si>
  <si>
    <t>消耗:137027</t>
    <phoneticPr fontId="4" type="noConversion"/>
  </si>
  <si>
    <t>业绩118438</t>
    <phoneticPr fontId="4" type="noConversion"/>
  </si>
  <si>
    <t>消耗145129</t>
    <phoneticPr fontId="4" type="noConversion"/>
  </si>
  <si>
    <t>业绩:7800</t>
    <phoneticPr fontId="4" type="noConversion"/>
  </si>
  <si>
    <t>消耗:117981</t>
    <phoneticPr fontId="4" type="noConversion"/>
  </si>
  <si>
    <t>科技一部+门店T区</t>
    <phoneticPr fontId="4" type="noConversion"/>
  </si>
  <si>
    <t>科技二部+门店T区</t>
    <phoneticPr fontId="4" type="noConversion"/>
  </si>
  <si>
    <t>生命线，门店类型都需要有调整及调整周期</t>
    <phoneticPr fontId="4" type="noConversion"/>
  </si>
  <si>
    <t>孙鲜</t>
    <phoneticPr fontId="4" type="noConversion"/>
  </si>
  <si>
    <t>在岗天数</t>
    <phoneticPr fontId="4" type="noConversion"/>
  </si>
  <si>
    <t>7月</t>
    <phoneticPr fontId="4" type="noConversion"/>
  </si>
  <si>
    <t>8月</t>
    <phoneticPr fontId="3" type="noConversion"/>
  </si>
  <si>
    <t>手工</t>
    <phoneticPr fontId="3" type="noConversion"/>
  </si>
  <si>
    <t>7月</t>
    <phoneticPr fontId="3" type="noConversion"/>
  </si>
  <si>
    <t>康丹</t>
    <phoneticPr fontId="3" type="noConversion"/>
  </si>
  <si>
    <t>按16天</t>
    <phoneticPr fontId="3" type="noConversion"/>
  </si>
  <si>
    <t>朱成芳</t>
    <phoneticPr fontId="3" type="noConversion"/>
  </si>
  <si>
    <t>保底</t>
    <phoneticPr fontId="3" type="noConversion"/>
  </si>
  <si>
    <t>算保底的话，扣奖金，扣完奖金小于应发，所以最终选择应发金额，补回83</t>
    <phoneticPr fontId="3" type="noConversion"/>
  </si>
  <si>
    <t>在店天数</t>
    <phoneticPr fontId="4" type="noConversion"/>
  </si>
  <si>
    <t>在店底薪</t>
    <phoneticPr fontId="4" type="noConversion"/>
  </si>
  <si>
    <t>陈琳</t>
    <phoneticPr fontId="3" type="noConversion"/>
  </si>
  <si>
    <t>科技部老师</t>
    <phoneticPr fontId="3" type="noConversion"/>
  </si>
  <si>
    <t>主任</t>
    <phoneticPr fontId="3" type="noConversion"/>
  </si>
  <si>
    <t>骑士郡</t>
    <phoneticPr fontId="3" type="noConversion"/>
  </si>
  <si>
    <t>川音</t>
    <phoneticPr fontId="3" type="noConversion"/>
  </si>
  <si>
    <t>双流</t>
    <phoneticPr fontId="3" type="noConversion"/>
  </si>
  <si>
    <t>店助</t>
    <phoneticPr fontId="3" type="noConversion"/>
  </si>
  <si>
    <t>健康师</t>
    <phoneticPr fontId="3" type="noConversion"/>
  </si>
  <si>
    <t>算15天，提成1566.65，人头奖励200，手机150都要算15天</t>
    <phoneticPr fontId="3" type="noConversion"/>
  </si>
  <si>
    <t>调减</t>
    <phoneticPr fontId="3" type="noConversion"/>
  </si>
  <si>
    <t>在店天数已经扣除了请假天数</t>
    <phoneticPr fontId="4" type="noConversion"/>
  </si>
  <si>
    <t>请假天数 和扣减金额  只是为了区分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</si>
</sst>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0_ "/>
    <numFmt numFmtId="178" formatCode="0.00_);[Red]\(0.00\)"/>
    <numFmt numFmtId="179" formatCode="0.0%"/>
    <numFmt numFmtId="180" formatCode="0.0_ "/>
    <numFmt numFmtId="181" formatCode="0_);[Red]\(0\)"/>
  </numFmts>
  <fonts count="16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name val="微软雅黑"/>
      <family val="2"/>
      <charset val="134"/>
    </font>
    <font>
      <sz val="8"/>
      <color rgb="FF000000"/>
      <name val="微软雅黑"/>
      <family val="2"/>
      <charset val="134"/>
    </font>
    <font>
      <sz val="8"/>
      <name val="宋体"/>
      <family val="3"/>
      <charset val="134"/>
    </font>
    <font>
      <sz val="8"/>
      <name val="Microsoft YaHei Light"/>
      <family val="2"/>
      <charset val="134"/>
    </font>
    <font>
      <sz val="9"/>
      <name val="微软雅黑"/>
      <family val="2"/>
      <charset val="134"/>
    </font>
    <font>
      <sz val="9"/>
      <color theme="1"/>
      <name val="宋体"/>
      <family val="3"/>
      <charset val="134"/>
      <scheme val="minor"/>
    </font>
    <font>
      <sz val="9"/>
      <color theme="1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b/>
      <sz val="9"/>
      <name val="微软雅黑"/>
      <family val="2"/>
      <charset val="134"/>
    </font>
    <font>
      <sz val="9"/>
      <color rgb="FF000000"/>
      <name val="微软雅黑"/>
      <family val="2"/>
      <charset val="134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0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9" fontId="0" fillId="0" borderId="0" xfId="0" applyNumberFormat="1">
      <alignment vertical="center"/>
    </xf>
    <xf numFmtId="10" fontId="1" fillId="0" borderId="0" xfId="0" applyNumberFormat="1" applyFont="1">
      <alignment vertical="center"/>
    </xf>
    <xf numFmtId="0" fontId="0" fillId="0" borderId="1" xfId="0" applyBorder="1" applyAlignment="1">
      <alignment horizontal="center" vertical="center"/>
    </xf>
    <xf numFmtId="0" fontId="0" fillId="8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10" borderId="0" xfId="0" applyFill="1">
      <alignment vertical="center"/>
    </xf>
    <xf numFmtId="0" fontId="1" fillId="0" borderId="1" xfId="0" applyFont="1" applyBorder="1">
      <alignment vertical="center"/>
    </xf>
    <xf numFmtId="177" fontId="0" fillId="0" borderId="1" xfId="0" applyNumberFormat="1" applyBorder="1">
      <alignment vertical="center"/>
    </xf>
    <xf numFmtId="10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1" fillId="0" borderId="7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9" xfId="0" applyBorder="1">
      <alignment vertical="center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8" xfId="0" applyBorder="1" applyAlignment="1">
      <alignment vertical="center" wrapText="1"/>
    </xf>
    <xf numFmtId="0" fontId="1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2" borderId="5" xfId="0" applyFill="1" applyBorder="1">
      <alignment vertical="center"/>
    </xf>
    <xf numFmtId="0" fontId="0" fillId="14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15" borderId="0" xfId="0" applyFont="1" applyFill="1" applyAlignment="1">
      <alignment horizontal="center" vertical="center"/>
    </xf>
    <xf numFmtId="177" fontId="6" fillId="15" borderId="0" xfId="0" applyNumberFormat="1" applyFont="1" applyFill="1" applyAlignment="1">
      <alignment horizontal="center" vertical="center"/>
    </xf>
    <xf numFmtId="0" fontId="8" fillId="15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/>
    </xf>
    <xf numFmtId="0" fontId="7" fillId="16" borderId="1" xfId="0" applyFont="1" applyFill="1" applyBorder="1" applyAlignment="1">
      <alignment horizontal="center" vertical="center"/>
    </xf>
    <xf numFmtId="177" fontId="7" fillId="15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16" borderId="1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2" borderId="5" xfId="0" applyFont="1" applyFill="1" applyBorder="1" applyAlignment="1">
      <alignment horizontal="center" vertical="center"/>
    </xf>
    <xf numFmtId="177" fontId="0" fillId="17" borderId="0" xfId="0" applyNumberFormat="1" applyFill="1">
      <alignment vertical="center"/>
    </xf>
    <xf numFmtId="0" fontId="1" fillId="17" borderId="0" xfId="0" applyFont="1" applyFill="1">
      <alignment vertical="center"/>
    </xf>
    <xf numFmtId="0" fontId="0" fillId="2" borderId="7" xfId="0" applyFill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1" fillId="2" borderId="7" xfId="0" applyFont="1" applyFill="1" applyBorder="1">
      <alignment vertical="center"/>
    </xf>
    <xf numFmtId="0" fontId="1" fillId="0" borderId="9" xfId="0" applyFont="1" applyBorder="1">
      <alignment vertical="center"/>
    </xf>
    <xf numFmtId="20" fontId="1" fillId="0" borderId="0" xfId="0" applyNumberFormat="1" applyFont="1">
      <alignment vertical="center"/>
    </xf>
    <xf numFmtId="0" fontId="6" fillId="8" borderId="0" xfId="0" applyFont="1" applyFill="1" applyAlignment="1">
      <alignment horizontal="center" vertical="center"/>
    </xf>
    <xf numFmtId="10" fontId="0" fillId="17" borderId="0" xfId="0" applyNumberFormat="1" applyFill="1">
      <alignment vertical="center"/>
    </xf>
    <xf numFmtId="10" fontId="1" fillId="17" borderId="0" xfId="0" applyNumberFormat="1" applyFont="1" applyFill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10" fontId="10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12" fillId="0" borderId="0" xfId="0" applyFont="1">
      <alignment vertical="center"/>
    </xf>
    <xf numFmtId="9" fontId="12" fillId="0" borderId="0" xfId="0" applyNumberFormat="1" applyFont="1">
      <alignment vertical="center"/>
    </xf>
    <xf numFmtId="10" fontId="12" fillId="0" borderId="0" xfId="0" applyNumberFormat="1" applyFont="1">
      <alignment vertical="center"/>
    </xf>
    <xf numFmtId="177" fontId="12" fillId="0" borderId="0" xfId="0" applyNumberFormat="1" applyFont="1">
      <alignment vertical="center"/>
    </xf>
    <xf numFmtId="0" fontId="12" fillId="7" borderId="0" xfId="0" applyFont="1" applyFill="1">
      <alignment vertical="center"/>
    </xf>
    <xf numFmtId="0" fontId="12" fillId="20" borderId="0" xfId="0" applyFont="1" applyFill="1">
      <alignment vertical="center"/>
    </xf>
    <xf numFmtId="9" fontId="12" fillId="7" borderId="0" xfId="0" applyNumberFormat="1" applyFont="1" applyFill="1">
      <alignment vertical="center"/>
    </xf>
    <xf numFmtId="10" fontId="12" fillId="7" borderId="0" xfId="0" applyNumberFormat="1" applyFont="1" applyFill="1">
      <alignment vertical="center"/>
    </xf>
    <xf numFmtId="10" fontId="12" fillId="20" borderId="0" xfId="0" applyNumberFormat="1" applyFont="1" applyFill="1">
      <alignment vertical="center"/>
    </xf>
    <xf numFmtId="0" fontId="12" fillId="2" borderId="0" xfId="0" applyFont="1" applyFill="1">
      <alignment vertical="center"/>
    </xf>
    <xf numFmtId="0" fontId="12" fillId="8" borderId="0" xfId="0" applyFont="1" applyFill="1">
      <alignment vertical="center"/>
    </xf>
    <xf numFmtId="0" fontId="12" fillId="10" borderId="0" xfId="0" applyFont="1" applyFill="1">
      <alignment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10" fontId="12" fillId="0" borderId="1" xfId="0" applyNumberFormat="1" applyFont="1" applyBorder="1">
      <alignment vertical="center"/>
    </xf>
    <xf numFmtId="177" fontId="12" fillId="0" borderId="1" xfId="0" applyNumberFormat="1" applyFont="1" applyBorder="1">
      <alignment vertical="center"/>
    </xf>
    <xf numFmtId="0" fontId="10" fillId="0" borderId="0" xfId="0" applyFont="1">
      <alignment vertical="center"/>
    </xf>
    <xf numFmtId="0" fontId="10" fillId="13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0" fontId="13" fillId="13" borderId="0" xfId="0" applyFont="1" applyFill="1">
      <alignment vertical="center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13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2" fillId="2" borderId="5" xfId="0" applyFont="1" applyFill="1" applyBorder="1">
      <alignment vertical="center"/>
    </xf>
    <xf numFmtId="0" fontId="12" fillId="2" borderId="6" xfId="0" applyFont="1" applyFill="1" applyBorder="1">
      <alignment vertical="center"/>
    </xf>
    <xf numFmtId="0" fontId="13" fillId="0" borderId="1" xfId="0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9" borderId="0" xfId="0" applyFill="1">
      <alignment vertical="center"/>
    </xf>
    <xf numFmtId="0" fontId="15" fillId="2" borderId="3" xfId="0" applyFont="1" applyFill="1" applyBorder="1" applyAlignment="1">
      <alignment horizontal="center" vertical="center"/>
    </xf>
    <xf numFmtId="176" fontId="10" fillId="8" borderId="1" xfId="0" applyNumberFormat="1" applyFont="1" applyFill="1" applyBorder="1" applyAlignment="1">
      <alignment horizontal="center" vertical="center"/>
    </xf>
    <xf numFmtId="176" fontId="15" fillId="2" borderId="3" xfId="0" applyNumberFormat="1" applyFont="1" applyFill="1" applyBorder="1" applyAlignment="1">
      <alignment horizontal="center" vertical="center"/>
    </xf>
    <xf numFmtId="176" fontId="15" fillId="17" borderId="3" xfId="0" applyNumberFormat="1" applyFont="1" applyFill="1" applyBorder="1" applyAlignment="1">
      <alignment horizontal="center" vertical="center"/>
    </xf>
    <xf numFmtId="179" fontId="15" fillId="2" borderId="3" xfId="0" applyNumberFormat="1" applyFont="1" applyFill="1" applyBorder="1" applyAlignment="1">
      <alignment horizontal="center" vertical="center"/>
    </xf>
    <xf numFmtId="178" fontId="15" fillId="17" borderId="3" xfId="0" applyNumberFormat="1" applyFont="1" applyFill="1" applyBorder="1" applyAlignment="1">
      <alignment horizontal="center" vertical="center"/>
    </xf>
    <xf numFmtId="0" fontId="12" fillId="17" borderId="0" xfId="0" applyFont="1" applyFill="1" applyAlignment="1">
      <alignment horizontal="center" vertical="center"/>
    </xf>
    <xf numFmtId="181" fontId="12" fillId="0" borderId="0" xfId="0" applyNumberFormat="1" applyFont="1">
      <alignment vertical="center"/>
    </xf>
    <xf numFmtId="10" fontId="12" fillId="0" borderId="0" xfId="0" applyNumberFormat="1" applyFont="1" applyAlignment="1">
      <alignment horizontal="center" vertical="center"/>
    </xf>
    <xf numFmtId="178" fontId="12" fillId="17" borderId="0" xfId="0" applyNumberFormat="1" applyFont="1" applyFill="1" applyAlignment="1">
      <alignment horizontal="center" vertical="center"/>
    </xf>
    <xf numFmtId="178" fontId="12" fillId="0" borderId="0" xfId="0" applyNumberFormat="1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7" fontId="10" fillId="8" borderId="1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8" fontId="10" fillId="9" borderId="1" xfId="0" applyNumberFormat="1" applyFont="1" applyFill="1" applyBorder="1" applyAlignment="1">
      <alignment horizontal="center" vertical="center"/>
    </xf>
    <xf numFmtId="178" fontId="12" fillId="0" borderId="0" xfId="0" applyNumberFormat="1" applyFont="1">
      <alignment vertical="center"/>
    </xf>
    <xf numFmtId="0" fontId="12" fillId="17" borderId="0" xfId="0" applyFont="1" applyFill="1">
      <alignment vertical="center"/>
    </xf>
    <xf numFmtId="0" fontId="12" fillId="19" borderId="0" xfId="0" applyFont="1" applyFill="1">
      <alignment vertical="center"/>
    </xf>
    <xf numFmtId="177" fontId="12" fillId="17" borderId="0" xfId="0" applyNumberFormat="1" applyFont="1" applyFill="1">
      <alignment vertical="center"/>
    </xf>
    <xf numFmtId="177" fontId="12" fillId="19" borderId="0" xfId="0" applyNumberFormat="1" applyFont="1" applyFill="1">
      <alignment vertical="center"/>
    </xf>
    <xf numFmtId="177" fontId="12" fillId="11" borderId="0" xfId="0" applyNumberFormat="1" applyFont="1" applyFill="1">
      <alignment vertical="center"/>
    </xf>
    <xf numFmtId="0" fontId="12" fillId="17" borderId="1" xfId="0" applyFont="1" applyFill="1" applyBorder="1">
      <alignment vertical="center"/>
    </xf>
    <xf numFmtId="0" fontId="12" fillId="19" borderId="1" xfId="0" applyFont="1" applyFill="1" applyBorder="1">
      <alignment vertical="center"/>
    </xf>
    <xf numFmtId="177" fontId="12" fillId="17" borderId="1" xfId="0" applyNumberFormat="1" applyFont="1" applyFill="1" applyBorder="1">
      <alignment vertical="center"/>
    </xf>
    <xf numFmtId="177" fontId="12" fillId="19" borderId="1" xfId="0" applyNumberFormat="1" applyFont="1" applyFill="1" applyBorder="1">
      <alignment vertical="center"/>
    </xf>
    <xf numFmtId="0" fontId="10" fillId="2" borderId="3" xfId="0" applyFont="1" applyFill="1" applyBorder="1" applyAlignment="1">
      <alignment horizontal="center" vertical="center"/>
    </xf>
    <xf numFmtId="178" fontId="10" fillId="8" borderId="3" xfId="0" applyNumberFormat="1" applyFont="1" applyFill="1" applyBorder="1" applyAlignment="1">
      <alignment horizontal="center" vertical="center"/>
    </xf>
    <xf numFmtId="176" fontId="10" fillId="9" borderId="1" xfId="0" applyNumberFormat="1" applyFont="1" applyFill="1" applyBorder="1" applyAlignment="1">
      <alignment horizontal="center" vertical="center"/>
    </xf>
    <xf numFmtId="176" fontId="10" fillId="9" borderId="3" xfId="0" applyNumberFormat="1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>
      <alignment horizontal="center" vertical="center"/>
    </xf>
    <xf numFmtId="181" fontId="10" fillId="2" borderId="3" xfId="0" applyNumberFormat="1" applyFont="1" applyFill="1" applyBorder="1" applyAlignment="1">
      <alignment horizontal="center" vertical="center"/>
    </xf>
    <xf numFmtId="181" fontId="10" fillId="17" borderId="3" xfId="0" applyNumberFormat="1" applyFont="1" applyFill="1" applyBorder="1" applyAlignment="1">
      <alignment horizontal="center" vertical="center"/>
    </xf>
    <xf numFmtId="176" fontId="10" fillId="8" borderId="3" xfId="0" applyNumberFormat="1" applyFont="1" applyFill="1" applyBorder="1" applyAlignment="1">
      <alignment horizontal="center" vertical="center"/>
    </xf>
    <xf numFmtId="181" fontId="12" fillId="17" borderId="0" xfId="0" applyNumberFormat="1" applyFont="1" applyFill="1">
      <alignment vertical="center"/>
    </xf>
    <xf numFmtId="176" fontId="10" fillId="3" borderId="3" xfId="0" applyNumberFormat="1" applyFont="1" applyFill="1" applyBorder="1" applyAlignment="1">
      <alignment horizontal="center" vertical="center"/>
    </xf>
    <xf numFmtId="178" fontId="12" fillId="3" borderId="0" xfId="0" applyNumberFormat="1" applyFont="1" applyFill="1">
      <alignment vertical="center"/>
    </xf>
    <xf numFmtId="0" fontId="12" fillId="3" borderId="0" xfId="0" applyFont="1" applyFill="1">
      <alignment vertical="center"/>
    </xf>
    <xf numFmtId="178" fontId="10" fillId="8" borderId="1" xfId="0" applyNumberFormat="1" applyFont="1" applyFill="1" applyBorder="1" applyAlignment="1">
      <alignment horizontal="center" vertical="center"/>
    </xf>
    <xf numFmtId="178" fontId="15" fillId="2" borderId="3" xfId="0" applyNumberFormat="1" applyFont="1" applyFill="1" applyBorder="1" applyAlignment="1">
      <alignment horizontal="center" vertical="center"/>
    </xf>
    <xf numFmtId="176" fontId="15" fillId="9" borderId="3" xfId="0" applyNumberFormat="1" applyFont="1" applyFill="1" applyBorder="1" applyAlignment="1">
      <alignment horizontal="center" vertical="center"/>
    </xf>
    <xf numFmtId="180" fontId="15" fillId="2" borderId="3" xfId="0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76" fontId="15" fillId="2" borderId="1" xfId="0" applyNumberFormat="1" applyFont="1" applyFill="1" applyBorder="1" applyAlignment="1">
      <alignment horizontal="center" vertical="center"/>
    </xf>
    <xf numFmtId="178" fontId="15" fillId="2" borderId="1" xfId="0" applyNumberFormat="1" applyFont="1" applyFill="1" applyBorder="1" applyAlignment="1">
      <alignment horizontal="center" vertical="center"/>
    </xf>
    <xf numFmtId="178" fontId="15" fillId="18" borderId="1" xfId="0" applyNumberFormat="1" applyFont="1" applyFill="1" applyBorder="1" applyAlignment="1">
      <alignment horizontal="center" vertical="center"/>
    </xf>
    <xf numFmtId="176" fontId="15" fillId="18" borderId="1" xfId="0" applyNumberFormat="1" applyFont="1" applyFill="1" applyBorder="1" applyAlignment="1">
      <alignment horizontal="center" vertical="center"/>
    </xf>
    <xf numFmtId="176" fontId="15" fillId="2" borderId="1" xfId="0" applyNumberFormat="1" applyFont="1" applyFill="1" applyBorder="1" applyAlignment="1">
      <alignment horizontal="center" vertical="center" wrapText="1"/>
    </xf>
    <xf numFmtId="0" fontId="12" fillId="21" borderId="0" xfId="0" applyFont="1" applyFill="1">
      <alignment vertical="center"/>
    </xf>
    <xf numFmtId="0" fontId="10" fillId="7" borderId="0" xfId="0" applyFont="1" applyFill="1" applyAlignment="1">
      <alignment horizontal="center" vertical="center"/>
    </xf>
    <xf numFmtId="0" fontId="12" fillId="9" borderId="7" xfId="0" applyFont="1" applyFill="1" applyBorder="1">
      <alignment vertical="center"/>
    </xf>
    <xf numFmtId="0" fontId="12" fillId="9" borderId="8" xfId="0" applyFont="1" applyFill="1" applyBorder="1">
      <alignment vertical="center"/>
    </xf>
    <xf numFmtId="0" fontId="12" fillId="9" borderId="9" xfId="0" applyFont="1" applyFill="1" applyBorder="1">
      <alignment vertical="center"/>
    </xf>
    <xf numFmtId="0" fontId="12" fillId="9" borderId="0" xfId="0" applyFont="1" applyFill="1">
      <alignment vertical="center"/>
    </xf>
    <xf numFmtId="0" fontId="12" fillId="9" borderId="1" xfId="0" applyFont="1" applyFill="1" applyBorder="1">
      <alignment vertical="center"/>
    </xf>
    <xf numFmtId="177" fontId="0" fillId="0" borderId="0" xfId="0" applyNumberFormat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12" fillId="9" borderId="0" xfId="0" applyFont="1" applyFill="1" applyAlignment="1">
      <alignment horizontal="center" vertical="center"/>
    </xf>
    <xf numFmtId="177" fontId="12" fillId="4" borderId="0" xfId="0" applyNumberFormat="1" applyFont="1" applyFill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177" fontId="12" fillId="18" borderId="0" xfId="0" applyNumberFormat="1" applyFont="1" applyFill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77" fontId="12" fillId="8" borderId="0" xfId="0" applyNumberFormat="1" applyFont="1" applyFill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0" fontId="12" fillId="11" borderId="0" xfId="0" applyFont="1" applyFill="1">
      <alignment vertical="center"/>
    </xf>
    <xf numFmtId="0" fontId="1" fillId="8" borderId="0" xfId="0" applyFont="1" applyFill="1">
      <alignment vertical="center"/>
    </xf>
    <xf numFmtId="0" fontId="10" fillId="0" borderId="14" xfId="0" applyFont="1" applyBorder="1" applyAlignment="1">
      <alignment horizontal="center" vertical="center"/>
    </xf>
    <xf numFmtId="0" fontId="10" fillId="7" borderId="14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0" fontId="12" fillId="0" borderId="6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8" borderId="1" xfId="0" applyFont="1" applyFill="1" applyBorder="1">
      <alignment vertical="center"/>
    </xf>
    <xf numFmtId="10" fontId="12" fillId="0" borderId="17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2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sheetMetadata" Target="metadata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xwechat_files\wxid_kjbgkfkshywi12_a59f\msg\file\2025-08\2025&#24180;7&#26376;&#25968;&#25454;&#25773;&#25253;.xlsx" TargetMode="External"/><Relationship Id="rId1" Type="http://schemas.openxmlformats.org/officeDocument/2006/relationships/externalLinkPath" Target="/Users/Administrator/xwechat_files/wxid_kjbgkfkshywi12_a59f/msg/file/2025-08/2025&#24180;7&#26376;&#25968;&#25454;&#25773;&#25253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xwechat_files\wxid_kjbgkfkshywi12_a59f\msg\file\2025-08\7&#26376;&#25104;&#26412;-&#24215;&#38271;&#24037;&#36164;&#29992;.xlsx" TargetMode="External"/><Relationship Id="rId1" Type="http://schemas.openxmlformats.org/officeDocument/2006/relationships/externalLinkPath" Target="/Users/Administrator/xwechat_files/wxid_kjbgkfkshywi12_a59f/msg/file/2025-08/7&#26376;&#25104;&#26412;-&#24215;&#38271;&#24037;&#36164;&#29992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4037;&#36164;&#26680;&#31639;%20-7&#26376;%20-%20&#21103;&#26412;\&#9312;B-a-26&#32771;&#21220;&#27719;&#24635;&#34920;.xlsx" TargetMode="External"/><Relationship Id="rId1" Type="http://schemas.openxmlformats.org/officeDocument/2006/relationships/externalLinkPath" Target="&#9312;B-a-26&#32771;&#21220;&#27719;&#24635;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4037;&#36164;&#26680;&#31639;%20-7&#26376;%20-%20&#21103;&#26412;\&#9314;B-a-&#9314;&#21576;&#29616;-&#28040;&#32791;&#26126;&#32454;&#34920;.xlsx" TargetMode="External"/><Relationship Id="rId1" Type="http://schemas.openxmlformats.org/officeDocument/2006/relationships/externalLinkPath" Target="&#9314;B-a-&#9314;&#21576;&#29616;-&#28040;&#32791;&#26126;&#32454;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4037;&#36164;&#26680;&#31639;%20-7&#26376;\&#9321;2025&#24180;6&#26376;&#25968;&#25454;&#25773;&#25253;(&#30830;&#23450;&#29256;).xlsx" TargetMode="External"/><Relationship Id="rId1" Type="http://schemas.openxmlformats.org/officeDocument/2006/relationships/externalLinkPath" Target="/Users/Administrator/Desktop/&#24037;&#36164;&#26680;&#31639;%20-7&#26376;/&#9321;2025&#24180;6&#26376;&#25968;&#25454;&#25773;&#25253;(&#30830;&#23450;&#29256;)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4037;&#36164;&#26680;&#31639;%20-7&#26376;%20-%20&#21103;&#26412;\&#9313;B-a-17&#27599;&#26085;&#26089;&#25253;.xlsx" TargetMode="External"/><Relationship Id="rId1" Type="http://schemas.openxmlformats.org/officeDocument/2006/relationships/externalLinkPath" Target="&#9313;B-a-17&#27599;&#26085;&#26089;&#25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门店排名"/>
      <sheetName val="人头人次表"/>
      <sheetName val="业绩表"/>
      <sheetName val="活动数据表"/>
      <sheetName val="四大天王团"/>
    </sheetNames>
    <sheetDataSet>
      <sheetData sheetId="0">
        <row r="1">
          <cell r="C1" t="str">
            <v>时间</v>
          </cell>
          <cell r="E1" t="str">
            <v>时间占比</v>
          </cell>
        </row>
        <row r="2">
          <cell r="C2" t="str">
            <v>目标业绩</v>
          </cell>
          <cell r="E2" t="str">
            <v>完成业绩</v>
          </cell>
        </row>
        <row r="3">
          <cell r="C3" t="str">
            <v>门店</v>
          </cell>
          <cell r="E3" t="str">
            <v>完成业绩</v>
          </cell>
        </row>
        <row r="4">
          <cell r="C4" t="str">
            <v>红光</v>
          </cell>
          <cell r="E4">
            <v>259744.88</v>
          </cell>
        </row>
        <row r="5">
          <cell r="C5" t="str">
            <v>双流</v>
          </cell>
          <cell r="E5">
            <v>311108</v>
          </cell>
        </row>
        <row r="6">
          <cell r="C6" t="str">
            <v>紫荆</v>
          </cell>
          <cell r="E6">
            <v>522756</v>
          </cell>
        </row>
        <row r="7">
          <cell r="C7" t="str">
            <v>静居寺</v>
          </cell>
          <cell r="E7">
            <v>407490.19</v>
          </cell>
        </row>
        <row r="8">
          <cell r="C8" t="str">
            <v>涌泉</v>
          </cell>
          <cell r="E8">
            <v>169632</v>
          </cell>
        </row>
        <row r="9">
          <cell r="C9" t="str">
            <v>川师</v>
          </cell>
          <cell r="E9">
            <v>205041</v>
          </cell>
        </row>
        <row r="10">
          <cell r="C10" t="str">
            <v>沙河</v>
          </cell>
          <cell r="E10">
            <v>150694</v>
          </cell>
        </row>
        <row r="11">
          <cell r="C11" t="str">
            <v>大丰</v>
          </cell>
          <cell r="E11">
            <v>200049.7</v>
          </cell>
        </row>
        <row r="12">
          <cell r="C12" t="str">
            <v>荣华南路</v>
          </cell>
          <cell r="E12">
            <v>180024</v>
          </cell>
        </row>
        <row r="13">
          <cell r="C13" t="str">
            <v>光华</v>
          </cell>
          <cell r="E13">
            <v>135590</v>
          </cell>
        </row>
        <row r="14">
          <cell r="C14" t="str">
            <v>凤凰山</v>
          </cell>
          <cell r="E14">
            <v>180307.8</v>
          </cell>
        </row>
        <row r="15">
          <cell r="C15" t="str">
            <v>亚洲湾</v>
          </cell>
          <cell r="E15">
            <v>143757</v>
          </cell>
        </row>
        <row r="16">
          <cell r="C16" t="str">
            <v>龙湖</v>
          </cell>
          <cell r="E16">
            <v>220223</v>
          </cell>
        </row>
        <row r="17">
          <cell r="C17" t="str">
            <v>川音</v>
          </cell>
          <cell r="E17">
            <v>173290.6</v>
          </cell>
        </row>
        <row r="18">
          <cell r="C18" t="str">
            <v>荣华北路</v>
          </cell>
          <cell r="E18">
            <v>153950.6</v>
          </cell>
        </row>
        <row r="19">
          <cell r="C19" t="str">
            <v>融创</v>
          </cell>
          <cell r="E19">
            <v>152421</v>
          </cell>
        </row>
        <row r="20">
          <cell r="C20" t="str">
            <v>千禧</v>
          </cell>
          <cell r="E20">
            <v>151129</v>
          </cell>
        </row>
        <row r="21">
          <cell r="C21" t="str">
            <v>中和</v>
          </cell>
          <cell r="E21">
            <v>150422</v>
          </cell>
        </row>
        <row r="22">
          <cell r="C22" t="str">
            <v>龙城国际</v>
          </cell>
          <cell r="E22">
            <v>133334.88</v>
          </cell>
        </row>
        <row r="23">
          <cell r="C23" t="str">
            <v>华润</v>
          </cell>
          <cell r="E23">
            <v>201952.3</v>
          </cell>
        </row>
        <row r="24">
          <cell r="C24" t="str">
            <v>骑士郡</v>
          </cell>
          <cell r="E24">
            <v>158633</v>
          </cell>
        </row>
        <row r="25">
          <cell r="C25" t="str">
            <v>大源</v>
          </cell>
          <cell r="E25">
            <v>120949.6</v>
          </cell>
        </row>
        <row r="26">
          <cell r="C26" t="str">
            <v>保利</v>
          </cell>
          <cell r="E26">
            <v>150031.32999999999</v>
          </cell>
        </row>
        <row r="27">
          <cell r="C27" t="str">
            <v>鹭岛</v>
          </cell>
          <cell r="E27">
            <v>111267</v>
          </cell>
        </row>
        <row r="28">
          <cell r="C28" t="str">
            <v>优品道</v>
          </cell>
          <cell r="E28">
            <v>160812</v>
          </cell>
        </row>
        <row r="29">
          <cell r="C29">
            <v>468</v>
          </cell>
          <cell r="E29">
            <v>140295</v>
          </cell>
        </row>
        <row r="30">
          <cell r="C30" t="str">
            <v>明信</v>
          </cell>
          <cell r="E30">
            <v>92371</v>
          </cell>
        </row>
        <row r="31">
          <cell r="C31" t="str">
            <v>南湖</v>
          </cell>
          <cell r="E31">
            <v>139022</v>
          </cell>
        </row>
        <row r="32">
          <cell r="C32" t="str">
            <v>犀浦</v>
          </cell>
          <cell r="E32">
            <v>100934</v>
          </cell>
        </row>
        <row r="33">
          <cell r="C33" t="str">
            <v>数据截止时间19:00</v>
          </cell>
        </row>
      </sheetData>
      <sheetData sheetId="1">
        <row r="1">
          <cell r="GB1" t="str">
            <v>门店</v>
          </cell>
          <cell r="GD1" t="str">
            <v>到店人头</v>
          </cell>
          <cell r="GF1" t="str">
            <v>本月项目数</v>
          </cell>
          <cell r="GG1" t="str">
            <v>消耗业绩</v>
          </cell>
        </row>
        <row r="2">
          <cell r="GB2" t="str">
            <v>紫荆</v>
          </cell>
          <cell r="GD2">
            <v>210</v>
          </cell>
          <cell r="GF2">
            <v>816</v>
          </cell>
          <cell r="GG2">
            <v>368762.45</v>
          </cell>
        </row>
        <row r="3">
          <cell r="GB3" t="str">
            <v>静居寺</v>
          </cell>
          <cell r="GD3">
            <v>206</v>
          </cell>
          <cell r="GF3">
            <v>777</v>
          </cell>
          <cell r="GG3">
            <v>518617.05</v>
          </cell>
        </row>
        <row r="4">
          <cell r="GB4">
            <v>468</v>
          </cell>
          <cell r="GD4">
            <v>217</v>
          </cell>
          <cell r="GF4">
            <v>705</v>
          </cell>
          <cell r="GG4">
            <v>190782.77</v>
          </cell>
        </row>
        <row r="5">
          <cell r="GB5" t="str">
            <v>犀浦</v>
          </cell>
          <cell r="GD5">
            <v>183</v>
          </cell>
          <cell r="GF5">
            <v>687</v>
          </cell>
          <cell r="GG5">
            <v>120573.32</v>
          </cell>
        </row>
        <row r="6">
          <cell r="GB6" t="str">
            <v>优品道</v>
          </cell>
          <cell r="GD6">
            <v>192</v>
          </cell>
          <cell r="GF6">
            <v>673</v>
          </cell>
          <cell r="GG6">
            <v>146778.57999999999</v>
          </cell>
        </row>
        <row r="7">
          <cell r="GB7" t="str">
            <v>龙湖</v>
          </cell>
          <cell r="GD7">
            <v>205</v>
          </cell>
          <cell r="GF7">
            <v>658</v>
          </cell>
          <cell r="GG7">
            <v>210203.02</v>
          </cell>
        </row>
        <row r="8">
          <cell r="GB8" t="str">
            <v>沙河</v>
          </cell>
          <cell r="GD8">
            <v>160</v>
          </cell>
          <cell r="GF8">
            <v>622</v>
          </cell>
          <cell r="GG8">
            <v>142453.84</v>
          </cell>
        </row>
        <row r="9">
          <cell r="GB9" t="str">
            <v>华润</v>
          </cell>
          <cell r="GD9">
            <v>195</v>
          </cell>
          <cell r="GF9">
            <v>595</v>
          </cell>
          <cell r="GG9">
            <v>179433.01</v>
          </cell>
        </row>
        <row r="10">
          <cell r="GB10" t="str">
            <v>双流</v>
          </cell>
          <cell r="GD10">
            <v>163</v>
          </cell>
          <cell r="GF10">
            <v>566</v>
          </cell>
          <cell r="GG10">
            <v>291471.05</v>
          </cell>
        </row>
        <row r="11">
          <cell r="GB11" t="str">
            <v>骑士郡</v>
          </cell>
          <cell r="GD11">
            <v>177</v>
          </cell>
          <cell r="GF11">
            <v>565</v>
          </cell>
          <cell r="GG11">
            <v>123760.98</v>
          </cell>
        </row>
        <row r="12">
          <cell r="GB12" t="str">
            <v>大丰</v>
          </cell>
          <cell r="GD12">
            <v>172</v>
          </cell>
          <cell r="GF12">
            <v>556</v>
          </cell>
          <cell r="GG12">
            <v>192405.22</v>
          </cell>
        </row>
        <row r="13">
          <cell r="GB13" t="str">
            <v>鹭岛</v>
          </cell>
          <cell r="GD13">
            <v>142</v>
          </cell>
          <cell r="GF13">
            <v>538</v>
          </cell>
          <cell r="GG13">
            <v>87745.89</v>
          </cell>
        </row>
        <row r="14">
          <cell r="GB14" t="str">
            <v>荣华北路</v>
          </cell>
          <cell r="GD14">
            <v>153</v>
          </cell>
          <cell r="GF14">
            <v>525</v>
          </cell>
          <cell r="GG14">
            <v>140812.54</v>
          </cell>
        </row>
        <row r="15">
          <cell r="GB15" t="str">
            <v>川师</v>
          </cell>
          <cell r="GD15">
            <v>157</v>
          </cell>
          <cell r="GF15">
            <v>522</v>
          </cell>
          <cell r="GG15">
            <v>194741.48</v>
          </cell>
        </row>
        <row r="16">
          <cell r="GB16" t="str">
            <v>南湖</v>
          </cell>
          <cell r="GD16">
            <v>191</v>
          </cell>
          <cell r="GF16">
            <v>507</v>
          </cell>
          <cell r="GG16">
            <v>127157.72</v>
          </cell>
        </row>
        <row r="17">
          <cell r="GB17" t="str">
            <v>中和</v>
          </cell>
          <cell r="GD17">
            <v>111</v>
          </cell>
          <cell r="GF17">
            <v>504</v>
          </cell>
          <cell r="GG17">
            <v>103361.72</v>
          </cell>
        </row>
        <row r="18">
          <cell r="GB18" t="str">
            <v>亚洲湾</v>
          </cell>
          <cell r="GD18">
            <v>156</v>
          </cell>
          <cell r="GF18">
            <v>499</v>
          </cell>
          <cell r="GG18">
            <v>100865.33</v>
          </cell>
        </row>
        <row r="19">
          <cell r="GB19" t="str">
            <v>保利</v>
          </cell>
          <cell r="GD19">
            <v>186</v>
          </cell>
          <cell r="GF19">
            <v>485</v>
          </cell>
          <cell r="GG19">
            <v>65878.570000000007</v>
          </cell>
        </row>
        <row r="20">
          <cell r="GB20" t="str">
            <v>融创</v>
          </cell>
          <cell r="GD20">
            <v>138</v>
          </cell>
          <cell r="GF20">
            <v>479</v>
          </cell>
          <cell r="GG20">
            <v>117167.22</v>
          </cell>
        </row>
        <row r="21">
          <cell r="GB21" t="str">
            <v>光华</v>
          </cell>
          <cell r="GD21">
            <v>150</v>
          </cell>
          <cell r="GF21">
            <v>475</v>
          </cell>
          <cell r="GG21">
            <v>120657.22</v>
          </cell>
        </row>
        <row r="22">
          <cell r="GB22" t="str">
            <v>红光</v>
          </cell>
          <cell r="GD22">
            <v>155</v>
          </cell>
          <cell r="GF22">
            <v>473</v>
          </cell>
          <cell r="GG22">
            <v>180406.1</v>
          </cell>
        </row>
        <row r="23">
          <cell r="GB23" t="str">
            <v>大源</v>
          </cell>
          <cell r="GD23">
            <v>149</v>
          </cell>
          <cell r="GF23">
            <v>470</v>
          </cell>
          <cell r="GG23">
            <v>82307.44</v>
          </cell>
        </row>
        <row r="24">
          <cell r="GB24" t="str">
            <v>千禧</v>
          </cell>
          <cell r="GD24">
            <v>164</v>
          </cell>
          <cell r="GF24">
            <v>466</v>
          </cell>
          <cell r="GG24">
            <v>112580.75</v>
          </cell>
        </row>
        <row r="25">
          <cell r="GB25" t="str">
            <v>凤凰山</v>
          </cell>
          <cell r="GD25">
            <v>154</v>
          </cell>
          <cell r="GF25">
            <v>465</v>
          </cell>
          <cell r="GG25">
            <v>89092.800000000003</v>
          </cell>
        </row>
        <row r="26">
          <cell r="GB26" t="str">
            <v>荣华南路</v>
          </cell>
          <cell r="GD26">
            <v>140</v>
          </cell>
          <cell r="GF26">
            <v>435</v>
          </cell>
          <cell r="GG26">
            <v>87671.5</v>
          </cell>
        </row>
        <row r="27">
          <cell r="GB27" t="str">
            <v>川音</v>
          </cell>
          <cell r="GD27">
            <v>169</v>
          </cell>
          <cell r="GF27">
            <v>429</v>
          </cell>
          <cell r="GG27">
            <v>115560.6</v>
          </cell>
        </row>
        <row r="28">
          <cell r="GB28" t="str">
            <v>涌泉</v>
          </cell>
          <cell r="GD28">
            <v>180</v>
          </cell>
          <cell r="GF28">
            <v>427</v>
          </cell>
          <cell r="GG28">
            <v>139162.62</v>
          </cell>
        </row>
        <row r="29">
          <cell r="GB29" t="str">
            <v>明信</v>
          </cell>
          <cell r="GD29">
            <v>169</v>
          </cell>
          <cell r="GF29">
            <v>422</v>
          </cell>
          <cell r="GG29">
            <v>58105.8</v>
          </cell>
        </row>
        <row r="30">
          <cell r="GB30" t="str">
            <v>龙城国际</v>
          </cell>
          <cell r="GD30">
            <v>117</v>
          </cell>
          <cell r="GF30">
            <v>353</v>
          </cell>
          <cell r="GG30">
            <v>117423.44</v>
          </cell>
        </row>
        <row r="31">
          <cell r="GB31" t="str">
            <v>总计</v>
          </cell>
          <cell r="GD31">
            <v>4861</v>
          </cell>
          <cell r="GF31">
            <v>15694</v>
          </cell>
          <cell r="GG31">
            <v>4525940.03</v>
          </cell>
        </row>
        <row r="32">
          <cell r="GB32" t="str">
            <v>平均</v>
          </cell>
          <cell r="GD32">
            <v>167.62068965517199</v>
          </cell>
          <cell r="GF32">
            <v>541.17241379310303</v>
          </cell>
          <cell r="GG32">
            <v>156066.89758620699</v>
          </cell>
        </row>
        <row r="33">
          <cell r="GB33" t="str">
            <v>数据截止7月31日</v>
          </cell>
        </row>
      </sheetData>
      <sheetData sheetId="2">
        <row r="1">
          <cell r="H1" t="str">
            <v>部门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物业水电、门店支出"/>
      <sheetName val="产品物料（6月发7月）"/>
      <sheetName val="7月微雕、合作成本"/>
      <sheetName val="洗毛巾"/>
      <sheetName val="汇总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B1" t="str">
            <v>门店</v>
          </cell>
          <cell r="C1" t="str">
            <v>物管费</v>
          </cell>
          <cell r="D1" t="str">
            <v>门店支出</v>
          </cell>
          <cell r="E1" t="str">
            <v>物料合计</v>
          </cell>
          <cell r="F1" t="str">
            <v>微雕成本</v>
          </cell>
          <cell r="G1" t="str">
            <v>其他合作成本</v>
          </cell>
          <cell r="H1" t="str">
            <v>洗毛巾</v>
          </cell>
        </row>
        <row r="2">
          <cell r="B2">
            <v>468</v>
          </cell>
          <cell r="C2">
            <v>3754.95</v>
          </cell>
          <cell r="D2">
            <v>1491.04</v>
          </cell>
          <cell r="E2">
            <v>3218.6</v>
          </cell>
          <cell r="F2">
            <v>3600</v>
          </cell>
          <cell r="G2">
            <v>90</v>
          </cell>
          <cell r="H2">
            <v>947.3</v>
          </cell>
        </row>
        <row r="3">
          <cell r="B3" t="str">
            <v>华润</v>
          </cell>
          <cell r="C3">
            <v>2114.34</v>
          </cell>
          <cell r="D3">
            <v>701.6</v>
          </cell>
          <cell r="E3">
            <v>2895.52</v>
          </cell>
          <cell r="F3">
            <v>4750</v>
          </cell>
          <cell r="G3">
            <v>0</v>
          </cell>
          <cell r="H3">
            <v>1005.1</v>
          </cell>
        </row>
        <row r="4">
          <cell r="B4" t="str">
            <v>静居寺</v>
          </cell>
          <cell r="C4">
            <v>4907.0600000000004</v>
          </cell>
          <cell r="D4">
            <v>689.11</v>
          </cell>
          <cell r="E4">
            <v>3515.1</v>
          </cell>
          <cell r="F4">
            <v>25892.5</v>
          </cell>
          <cell r="G4">
            <v>7360</v>
          </cell>
          <cell r="H4">
            <v>1155.3</v>
          </cell>
        </row>
        <row r="5">
          <cell r="B5" t="str">
            <v>犀浦</v>
          </cell>
          <cell r="C5">
            <v>5076.66</v>
          </cell>
          <cell r="D5">
            <v>1209.6500000000001</v>
          </cell>
          <cell r="E5">
            <v>4620.6000000000004</v>
          </cell>
          <cell r="F5">
            <v>0</v>
          </cell>
          <cell r="G5">
            <v>0</v>
          </cell>
          <cell r="H5">
            <v>930.3</v>
          </cell>
        </row>
        <row r="6">
          <cell r="B6" t="str">
            <v>红光</v>
          </cell>
          <cell r="C6">
            <v>2250</v>
          </cell>
          <cell r="D6">
            <v>892.58</v>
          </cell>
          <cell r="E6">
            <v>2190.88</v>
          </cell>
          <cell r="F6">
            <v>39560</v>
          </cell>
          <cell r="G6">
            <v>0</v>
          </cell>
          <cell r="H6">
            <v>582.9</v>
          </cell>
        </row>
        <row r="7">
          <cell r="B7" t="str">
            <v>大源</v>
          </cell>
          <cell r="C7">
            <v>3699.8</v>
          </cell>
          <cell r="D7">
            <v>646.76</v>
          </cell>
          <cell r="E7">
            <v>6831.08</v>
          </cell>
          <cell r="F7">
            <v>7225</v>
          </cell>
          <cell r="G7">
            <v>0</v>
          </cell>
          <cell r="H7">
            <v>525.5</v>
          </cell>
        </row>
        <row r="8">
          <cell r="B8" t="str">
            <v>优品道</v>
          </cell>
          <cell r="C8">
            <v>3500</v>
          </cell>
          <cell r="D8">
            <v>1215.3800000000001</v>
          </cell>
          <cell r="E8">
            <v>3582.9</v>
          </cell>
          <cell r="F8">
            <v>5590</v>
          </cell>
          <cell r="G8">
            <v>0</v>
          </cell>
          <cell r="H8">
            <v>920.3</v>
          </cell>
        </row>
        <row r="9">
          <cell r="B9" t="str">
            <v>保利</v>
          </cell>
          <cell r="C9">
            <v>4509.84</v>
          </cell>
          <cell r="D9">
            <v>1001.07</v>
          </cell>
          <cell r="E9">
            <v>4515.3</v>
          </cell>
          <cell r="F9">
            <v>5940</v>
          </cell>
          <cell r="G9">
            <v>0</v>
          </cell>
          <cell r="H9">
            <v>537.20000000000005</v>
          </cell>
        </row>
        <row r="10">
          <cell r="B10" t="str">
            <v>荣华南路</v>
          </cell>
          <cell r="C10">
            <v>2665.77</v>
          </cell>
          <cell r="D10">
            <v>2365.85</v>
          </cell>
          <cell r="E10">
            <v>2773.14</v>
          </cell>
          <cell r="F10">
            <v>0</v>
          </cell>
          <cell r="G10">
            <v>0</v>
          </cell>
          <cell r="H10">
            <v>858.8</v>
          </cell>
        </row>
        <row r="11">
          <cell r="B11" t="str">
            <v>骑士郡</v>
          </cell>
          <cell r="C11">
            <v>4219.55</v>
          </cell>
          <cell r="D11">
            <v>955.53</v>
          </cell>
          <cell r="E11">
            <v>3464.34</v>
          </cell>
          <cell r="F11">
            <v>-3750</v>
          </cell>
          <cell r="G11">
            <v>300</v>
          </cell>
          <cell r="H11">
            <v>1373.4</v>
          </cell>
        </row>
        <row r="12">
          <cell r="B12" t="str">
            <v>融创</v>
          </cell>
          <cell r="C12">
            <v>2889.06</v>
          </cell>
          <cell r="D12">
            <v>981.27</v>
          </cell>
          <cell r="E12">
            <v>2847.42</v>
          </cell>
          <cell r="F12">
            <v>-800</v>
          </cell>
          <cell r="G12">
            <v>0</v>
          </cell>
          <cell r="H12">
            <v>589.20000000000005</v>
          </cell>
        </row>
        <row r="13">
          <cell r="B13" t="str">
            <v>沙河</v>
          </cell>
          <cell r="C13">
            <v>2001</v>
          </cell>
          <cell r="D13">
            <v>2190.15</v>
          </cell>
          <cell r="E13">
            <v>11665.32</v>
          </cell>
          <cell r="F13">
            <v>2450</v>
          </cell>
          <cell r="G13">
            <v>0</v>
          </cell>
          <cell r="H13">
            <v>1113.3</v>
          </cell>
        </row>
        <row r="14">
          <cell r="B14" t="str">
            <v>涌泉</v>
          </cell>
          <cell r="C14">
            <v>4000</v>
          </cell>
          <cell r="D14">
            <v>869.26</v>
          </cell>
          <cell r="E14">
            <v>4870.34</v>
          </cell>
          <cell r="F14">
            <v>17777.5</v>
          </cell>
          <cell r="G14">
            <v>0</v>
          </cell>
          <cell r="H14">
            <v>817.1</v>
          </cell>
        </row>
        <row r="15">
          <cell r="B15" t="str">
            <v>中和</v>
          </cell>
          <cell r="C15">
            <v>2371.5</v>
          </cell>
          <cell r="D15">
            <v>1827.5</v>
          </cell>
          <cell r="E15">
            <v>3256.3</v>
          </cell>
          <cell r="F15">
            <v>4590</v>
          </cell>
          <cell r="G15">
            <v>0</v>
          </cell>
          <cell r="H15">
            <v>791.3</v>
          </cell>
        </row>
        <row r="16">
          <cell r="B16" t="str">
            <v>龙城国际</v>
          </cell>
          <cell r="C16">
            <v>1000</v>
          </cell>
          <cell r="D16">
            <v>1563.73</v>
          </cell>
          <cell r="E16">
            <v>7388.46</v>
          </cell>
          <cell r="F16">
            <v>8495</v>
          </cell>
          <cell r="G16">
            <v>0</v>
          </cell>
          <cell r="H16">
            <v>482.4</v>
          </cell>
        </row>
        <row r="17">
          <cell r="B17" t="str">
            <v>川音</v>
          </cell>
          <cell r="C17">
            <v>4000</v>
          </cell>
          <cell r="D17">
            <v>2060.02</v>
          </cell>
          <cell r="E17">
            <v>10183.44</v>
          </cell>
          <cell r="F17">
            <v>23992.5</v>
          </cell>
          <cell r="G17">
            <v>0</v>
          </cell>
          <cell r="H17">
            <v>863.9</v>
          </cell>
        </row>
        <row r="18">
          <cell r="B18" t="str">
            <v>荣华北路</v>
          </cell>
          <cell r="C18">
            <v>3263.25</v>
          </cell>
          <cell r="D18">
            <v>1044.5</v>
          </cell>
          <cell r="E18">
            <v>4129.88</v>
          </cell>
          <cell r="F18">
            <v>2040</v>
          </cell>
          <cell r="G18">
            <v>0</v>
          </cell>
          <cell r="H18">
            <v>888.4</v>
          </cell>
        </row>
        <row r="19">
          <cell r="B19" t="str">
            <v>光华</v>
          </cell>
          <cell r="C19">
            <v>1259.28</v>
          </cell>
          <cell r="D19">
            <v>1380.21</v>
          </cell>
          <cell r="E19">
            <v>3929.7</v>
          </cell>
          <cell r="F19">
            <v>3240</v>
          </cell>
          <cell r="G19">
            <v>0</v>
          </cell>
          <cell r="H19">
            <v>428.8</v>
          </cell>
        </row>
        <row r="20">
          <cell r="B20" t="str">
            <v>龙湖</v>
          </cell>
          <cell r="C20">
            <v>2426.79</v>
          </cell>
          <cell r="D20">
            <v>997.28</v>
          </cell>
          <cell r="E20">
            <v>3222.84</v>
          </cell>
          <cell r="F20">
            <v>8600</v>
          </cell>
          <cell r="G20">
            <v>0</v>
          </cell>
          <cell r="H20">
            <v>775.2</v>
          </cell>
        </row>
        <row r="21">
          <cell r="B21" t="str">
            <v>鹭岛</v>
          </cell>
          <cell r="C21">
            <v>7901.28</v>
          </cell>
          <cell r="D21">
            <v>896.98</v>
          </cell>
          <cell r="E21">
            <v>3666.72</v>
          </cell>
          <cell r="F21">
            <v>2550</v>
          </cell>
          <cell r="G21">
            <v>0</v>
          </cell>
          <cell r="H21">
            <v>717.2</v>
          </cell>
        </row>
        <row r="22">
          <cell r="B22" t="str">
            <v>南湖</v>
          </cell>
          <cell r="C22">
            <v>4456.45</v>
          </cell>
          <cell r="D22">
            <v>1510.72</v>
          </cell>
          <cell r="E22">
            <v>3717.66</v>
          </cell>
          <cell r="F22">
            <v>8980</v>
          </cell>
          <cell r="G22">
            <v>0</v>
          </cell>
          <cell r="H22">
            <v>881.5</v>
          </cell>
        </row>
        <row r="23">
          <cell r="B23" t="str">
            <v>双流</v>
          </cell>
          <cell r="C23">
            <v>2500</v>
          </cell>
          <cell r="D23">
            <v>571.79</v>
          </cell>
          <cell r="E23">
            <v>3078.24</v>
          </cell>
          <cell r="F23">
            <v>62020</v>
          </cell>
          <cell r="G23">
            <v>5200</v>
          </cell>
          <cell r="H23">
            <v>722.2</v>
          </cell>
        </row>
        <row r="24">
          <cell r="B24" t="str">
            <v>紫荆</v>
          </cell>
          <cell r="C24">
            <v>2025</v>
          </cell>
          <cell r="D24">
            <v>1715.29</v>
          </cell>
          <cell r="E24">
            <v>3589.34</v>
          </cell>
          <cell r="F24">
            <v>23805</v>
          </cell>
          <cell r="G24">
            <v>0</v>
          </cell>
          <cell r="H24">
            <v>961.8</v>
          </cell>
        </row>
        <row r="25">
          <cell r="B25" t="str">
            <v>川师</v>
          </cell>
          <cell r="C25">
            <v>2000</v>
          </cell>
          <cell r="D25">
            <v>902.66</v>
          </cell>
          <cell r="E25">
            <v>1049.7</v>
          </cell>
          <cell r="F25">
            <v>12845</v>
          </cell>
          <cell r="G25">
            <v>3203</v>
          </cell>
          <cell r="H25">
            <v>701.7</v>
          </cell>
        </row>
        <row r="26">
          <cell r="B26" t="str">
            <v>明信</v>
          </cell>
          <cell r="C26">
            <v>156</v>
          </cell>
          <cell r="D26">
            <v>375.92</v>
          </cell>
          <cell r="E26">
            <v>3175.2</v>
          </cell>
          <cell r="F26">
            <v>0</v>
          </cell>
          <cell r="G26">
            <v>0</v>
          </cell>
          <cell r="H26">
            <v>723.3</v>
          </cell>
        </row>
        <row r="27">
          <cell r="B27" t="str">
            <v>亚洲湾</v>
          </cell>
          <cell r="C27">
            <v>3000</v>
          </cell>
          <cell r="D27">
            <v>681.77</v>
          </cell>
          <cell r="E27">
            <v>2764.42</v>
          </cell>
          <cell r="F27">
            <v>10520</v>
          </cell>
          <cell r="G27">
            <v>0</v>
          </cell>
          <cell r="H27">
            <v>618.70000000000005</v>
          </cell>
        </row>
        <row r="28">
          <cell r="B28" t="str">
            <v>大丰</v>
          </cell>
          <cell r="C28">
            <v>2686.64</v>
          </cell>
          <cell r="D28">
            <v>1269.98</v>
          </cell>
          <cell r="E28">
            <v>2572.54</v>
          </cell>
          <cell r="F28">
            <v>10560</v>
          </cell>
          <cell r="G28">
            <v>281.39999999999998</v>
          </cell>
          <cell r="H28">
            <v>820.9</v>
          </cell>
        </row>
        <row r="29">
          <cell r="B29" t="str">
            <v>凤凰山</v>
          </cell>
          <cell r="C29">
            <v>4438.3599999999997</v>
          </cell>
          <cell r="D29">
            <v>1593.28</v>
          </cell>
          <cell r="E29">
            <v>4101.6000000000004</v>
          </cell>
          <cell r="F29">
            <v>1655</v>
          </cell>
          <cell r="G29">
            <v>0</v>
          </cell>
          <cell r="H29">
            <v>1122.5</v>
          </cell>
        </row>
        <row r="30">
          <cell r="B30" t="str">
            <v>千禧</v>
          </cell>
          <cell r="C30">
            <v>6040.43</v>
          </cell>
          <cell r="D30">
            <v>477.24</v>
          </cell>
          <cell r="E30">
            <v>3086.14</v>
          </cell>
          <cell r="F30">
            <v>-4305</v>
          </cell>
          <cell r="G30">
            <v>0</v>
          </cell>
          <cell r="H30">
            <v>871.5</v>
          </cell>
        </row>
        <row r="31">
          <cell r="B31" t="str">
            <v>合计</v>
          </cell>
          <cell r="C31">
            <v>95113.01</v>
          </cell>
          <cell r="D31">
            <v>34078.120000000003</v>
          </cell>
          <cell r="E31">
            <v>119902.72</v>
          </cell>
          <cell r="F31">
            <v>287822.5</v>
          </cell>
          <cell r="G31">
            <v>16434.400000000001</v>
          </cell>
          <cell r="H31">
            <v>23727</v>
          </cell>
        </row>
        <row r="32">
          <cell r="B32" t="str">
            <v>check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核算规则"/>
      <sheetName val="基础设置"/>
      <sheetName val="①7月-花名册"/>
      <sheetName val="7月运营"/>
      <sheetName val="②7月-汇总"/>
      <sheetName val="上月未发人员明细"/>
    </sheetNames>
    <sheetDataSet>
      <sheetData sheetId="0" refreshError="1"/>
      <sheetData sheetId="1" refreshError="1"/>
      <sheetData sheetId="2">
        <row r="1">
          <cell r="E1" t="str">
            <v>姓名</v>
          </cell>
        </row>
      </sheetData>
      <sheetData sheetId="3" refreshError="1"/>
      <sheetData sheetId="4">
        <row r="1">
          <cell r="AP1" t="str">
            <v>8月调整后同Q</v>
          </cell>
        </row>
        <row r="2">
          <cell r="AP2" t="str">
            <v>7月</v>
          </cell>
        </row>
        <row r="3">
          <cell r="D3" t="str">
            <v>姓名</v>
          </cell>
          <cell r="L3" t="str">
            <v>请假</v>
          </cell>
          <cell r="AP3" t="str">
            <v>当月在店天数+正常休</v>
          </cell>
        </row>
        <row r="4">
          <cell r="D4" t="str">
            <v>易春梅</v>
          </cell>
          <cell r="AP4">
            <v>31</v>
          </cell>
        </row>
        <row r="5">
          <cell r="D5" t="str">
            <v>江玲</v>
          </cell>
          <cell r="AP5">
            <v>31</v>
          </cell>
        </row>
        <row r="6">
          <cell r="D6" t="str">
            <v>王瑞琳</v>
          </cell>
          <cell r="AP6">
            <v>31</v>
          </cell>
        </row>
        <row r="7">
          <cell r="D7" t="str">
            <v>黄小燕</v>
          </cell>
          <cell r="AP7">
            <v>31</v>
          </cell>
        </row>
        <row r="8">
          <cell r="D8" t="str">
            <v>赵玉晓</v>
          </cell>
          <cell r="AP8">
            <v>31</v>
          </cell>
        </row>
        <row r="9">
          <cell r="D9" t="str">
            <v>雷朝霞</v>
          </cell>
          <cell r="AP9">
            <v>31</v>
          </cell>
        </row>
        <row r="10">
          <cell r="D10" t="str">
            <v>陈雪莲</v>
          </cell>
          <cell r="AP10">
            <v>31</v>
          </cell>
        </row>
        <row r="11">
          <cell r="D11" t="str">
            <v>饶秋华</v>
          </cell>
          <cell r="AP11">
            <v>31</v>
          </cell>
        </row>
        <row r="12">
          <cell r="D12" t="str">
            <v>莫志英</v>
          </cell>
          <cell r="AP12">
            <v>31</v>
          </cell>
        </row>
        <row r="13">
          <cell r="D13" t="str">
            <v>刘巧艳</v>
          </cell>
          <cell r="AP13">
            <v>31</v>
          </cell>
        </row>
        <row r="14">
          <cell r="D14" t="str">
            <v>康红梅</v>
          </cell>
          <cell r="AP14">
            <v>31</v>
          </cell>
        </row>
        <row r="15">
          <cell r="D15" t="str">
            <v>唐银春</v>
          </cell>
          <cell r="AP15">
            <v>31</v>
          </cell>
        </row>
        <row r="16">
          <cell r="D16" t="str">
            <v>刘晓丽</v>
          </cell>
          <cell r="AP16">
            <v>31</v>
          </cell>
        </row>
        <row r="17">
          <cell r="D17" t="str">
            <v>熊艳</v>
          </cell>
          <cell r="AP17">
            <v>31</v>
          </cell>
        </row>
        <row r="18">
          <cell r="D18" t="str">
            <v>任静</v>
          </cell>
          <cell r="AP18">
            <v>31</v>
          </cell>
        </row>
        <row r="19">
          <cell r="D19" t="str">
            <v>吴琴</v>
          </cell>
          <cell r="AP19">
            <v>31</v>
          </cell>
        </row>
        <row r="20">
          <cell r="D20" t="str">
            <v>陈红霞</v>
          </cell>
          <cell r="AP20">
            <v>31</v>
          </cell>
        </row>
        <row r="21">
          <cell r="D21" t="str">
            <v>廖增珍</v>
          </cell>
          <cell r="AP21">
            <v>26</v>
          </cell>
        </row>
        <row r="22">
          <cell r="D22" t="str">
            <v>李春华</v>
          </cell>
          <cell r="AP22">
            <v>31</v>
          </cell>
        </row>
        <row r="23">
          <cell r="D23" t="str">
            <v>张候敏</v>
          </cell>
          <cell r="AP23">
            <v>31</v>
          </cell>
        </row>
        <row r="24">
          <cell r="D24" t="str">
            <v>赵小红</v>
          </cell>
          <cell r="AP24">
            <v>31</v>
          </cell>
        </row>
        <row r="25">
          <cell r="D25" t="str">
            <v>彭龙惠</v>
          </cell>
          <cell r="AP25">
            <v>31</v>
          </cell>
        </row>
        <row r="26">
          <cell r="D26" t="str">
            <v>邓雪梅</v>
          </cell>
          <cell r="AP26">
            <v>31</v>
          </cell>
        </row>
        <row r="27">
          <cell r="D27" t="str">
            <v>高雪</v>
          </cell>
          <cell r="AP27">
            <v>31</v>
          </cell>
        </row>
        <row r="28">
          <cell r="D28" t="str">
            <v>何婷</v>
          </cell>
          <cell r="AP28">
            <v>31</v>
          </cell>
        </row>
        <row r="29">
          <cell r="D29" t="str">
            <v>刘慧</v>
          </cell>
          <cell r="AP29">
            <v>31</v>
          </cell>
        </row>
        <row r="30">
          <cell r="D30" t="str">
            <v>秦亚平</v>
          </cell>
          <cell r="AP30">
            <v>31</v>
          </cell>
        </row>
        <row r="31">
          <cell r="D31" t="str">
            <v>谭莹</v>
          </cell>
          <cell r="AP31">
            <v>31</v>
          </cell>
        </row>
        <row r="32">
          <cell r="D32" t="str">
            <v>张芮</v>
          </cell>
          <cell r="AP32">
            <v>31</v>
          </cell>
        </row>
        <row r="33">
          <cell r="D33" t="str">
            <v>张元琼</v>
          </cell>
          <cell r="AP33">
            <v>31</v>
          </cell>
        </row>
        <row r="34">
          <cell r="D34" t="str">
            <v>王依蕊</v>
          </cell>
          <cell r="AP34">
            <v>25</v>
          </cell>
        </row>
        <row r="35">
          <cell r="D35" t="str">
            <v>向郑瑶</v>
          </cell>
          <cell r="AP35">
            <v>31</v>
          </cell>
        </row>
        <row r="36">
          <cell r="D36" t="str">
            <v>唐容</v>
          </cell>
          <cell r="AP36">
            <v>31</v>
          </cell>
        </row>
        <row r="37">
          <cell r="D37" t="str">
            <v>叶文娟</v>
          </cell>
          <cell r="AP37">
            <v>31</v>
          </cell>
        </row>
        <row r="38">
          <cell r="D38" t="str">
            <v>邹福贞</v>
          </cell>
          <cell r="AP38">
            <v>31</v>
          </cell>
        </row>
        <row r="39">
          <cell r="D39" t="str">
            <v>陈怡名</v>
          </cell>
          <cell r="AP39">
            <v>31</v>
          </cell>
        </row>
        <row r="40">
          <cell r="D40" t="str">
            <v>张丽</v>
          </cell>
          <cell r="AP40">
            <v>31</v>
          </cell>
        </row>
        <row r="41">
          <cell r="D41" t="str">
            <v>杨金花</v>
          </cell>
          <cell r="AP41">
            <v>31</v>
          </cell>
        </row>
        <row r="42">
          <cell r="D42" t="str">
            <v>樊琳</v>
          </cell>
          <cell r="AP42">
            <v>31</v>
          </cell>
        </row>
        <row r="43">
          <cell r="D43" t="str">
            <v>董顺秀</v>
          </cell>
          <cell r="AP43">
            <v>31</v>
          </cell>
        </row>
        <row r="44">
          <cell r="D44" t="str">
            <v>陈建蓉</v>
          </cell>
          <cell r="AP44">
            <v>31</v>
          </cell>
        </row>
        <row r="45">
          <cell r="D45" t="str">
            <v>王娇</v>
          </cell>
          <cell r="AP45">
            <v>31</v>
          </cell>
        </row>
        <row r="46">
          <cell r="D46" t="str">
            <v>黎茂婷</v>
          </cell>
          <cell r="AP46">
            <v>31</v>
          </cell>
        </row>
        <row r="47">
          <cell r="D47" t="str">
            <v>张艳秋</v>
          </cell>
          <cell r="AP47">
            <v>31</v>
          </cell>
        </row>
        <row r="48">
          <cell r="D48" t="str">
            <v>陈小琴</v>
          </cell>
          <cell r="AP48">
            <v>31</v>
          </cell>
        </row>
        <row r="49">
          <cell r="D49" t="str">
            <v>刘恬恬</v>
          </cell>
          <cell r="AP49">
            <v>31</v>
          </cell>
        </row>
        <row r="50">
          <cell r="D50" t="str">
            <v>苟小春</v>
          </cell>
          <cell r="AP50">
            <v>31</v>
          </cell>
        </row>
        <row r="51">
          <cell r="D51" t="str">
            <v>李燕</v>
          </cell>
          <cell r="AP51">
            <v>31</v>
          </cell>
        </row>
        <row r="52">
          <cell r="D52" t="str">
            <v>张小华</v>
          </cell>
          <cell r="AP52">
            <v>31</v>
          </cell>
        </row>
        <row r="53">
          <cell r="D53" t="str">
            <v>王任燕</v>
          </cell>
          <cell r="AP53">
            <v>31</v>
          </cell>
        </row>
        <row r="54">
          <cell r="D54" t="str">
            <v>陈萍</v>
          </cell>
          <cell r="AP54">
            <v>31</v>
          </cell>
        </row>
        <row r="55">
          <cell r="D55" t="str">
            <v>吴敏</v>
          </cell>
          <cell r="AP55">
            <v>31</v>
          </cell>
        </row>
        <row r="56">
          <cell r="D56" t="str">
            <v>陈佳丽</v>
          </cell>
          <cell r="AP56">
            <v>31</v>
          </cell>
        </row>
        <row r="57">
          <cell r="D57" t="str">
            <v>康钦</v>
          </cell>
          <cell r="AP57">
            <v>31</v>
          </cell>
        </row>
        <row r="58">
          <cell r="D58" t="str">
            <v>聂娟</v>
          </cell>
          <cell r="AP58">
            <v>31</v>
          </cell>
        </row>
        <row r="59">
          <cell r="D59" t="str">
            <v>马菁</v>
          </cell>
          <cell r="AP59">
            <v>31</v>
          </cell>
        </row>
        <row r="60">
          <cell r="D60" t="str">
            <v>徐睦垚</v>
          </cell>
          <cell r="AP60">
            <v>31</v>
          </cell>
        </row>
        <row r="61">
          <cell r="D61" t="str">
            <v>达哇卓玛</v>
          </cell>
          <cell r="L61">
            <v>2</v>
          </cell>
          <cell r="AP61">
            <v>29</v>
          </cell>
        </row>
        <row r="62">
          <cell r="D62" t="str">
            <v>曾雨晴</v>
          </cell>
          <cell r="AP62">
            <v>31</v>
          </cell>
        </row>
        <row r="63">
          <cell r="D63" t="str">
            <v>但红玉</v>
          </cell>
          <cell r="AP63">
            <v>31</v>
          </cell>
        </row>
        <row r="64">
          <cell r="D64" t="str">
            <v>梁缘缘</v>
          </cell>
          <cell r="AP64">
            <v>31</v>
          </cell>
        </row>
        <row r="65">
          <cell r="D65" t="str">
            <v>李萱君</v>
          </cell>
          <cell r="AP65">
            <v>31</v>
          </cell>
        </row>
        <row r="66">
          <cell r="D66" t="str">
            <v>李思忆</v>
          </cell>
          <cell r="AP66">
            <v>31</v>
          </cell>
        </row>
        <row r="67">
          <cell r="D67" t="str">
            <v>赵情情</v>
          </cell>
          <cell r="AP67">
            <v>31</v>
          </cell>
        </row>
        <row r="68">
          <cell r="D68" t="str">
            <v>曹悦</v>
          </cell>
          <cell r="AP68">
            <v>31</v>
          </cell>
        </row>
        <row r="69">
          <cell r="D69" t="str">
            <v>吴飞雁</v>
          </cell>
          <cell r="AP69">
            <v>31</v>
          </cell>
        </row>
        <row r="70">
          <cell r="D70" t="str">
            <v>尹桂香</v>
          </cell>
          <cell r="AP70">
            <v>31</v>
          </cell>
        </row>
        <row r="71">
          <cell r="D71" t="str">
            <v>张小娟</v>
          </cell>
          <cell r="AP71">
            <v>31</v>
          </cell>
        </row>
        <row r="72">
          <cell r="D72" t="str">
            <v>刘安琼</v>
          </cell>
          <cell r="AP72">
            <v>31</v>
          </cell>
        </row>
        <row r="73">
          <cell r="D73" t="str">
            <v>刘晓林</v>
          </cell>
          <cell r="AP73">
            <v>31</v>
          </cell>
        </row>
        <row r="74">
          <cell r="D74" t="str">
            <v>李巧娇</v>
          </cell>
          <cell r="AP74">
            <v>31</v>
          </cell>
        </row>
        <row r="75">
          <cell r="D75" t="str">
            <v>林萍</v>
          </cell>
          <cell r="AP75">
            <v>31</v>
          </cell>
        </row>
        <row r="76">
          <cell r="D76" t="str">
            <v>罗雪</v>
          </cell>
          <cell r="AP76">
            <v>31</v>
          </cell>
        </row>
        <row r="77">
          <cell r="D77" t="str">
            <v>唐宇欣</v>
          </cell>
          <cell r="AP77">
            <v>31</v>
          </cell>
        </row>
        <row r="78">
          <cell r="D78" t="str">
            <v>李萌</v>
          </cell>
          <cell r="AP78">
            <v>31</v>
          </cell>
        </row>
        <row r="79">
          <cell r="D79" t="str">
            <v>王如意</v>
          </cell>
          <cell r="AP79">
            <v>31</v>
          </cell>
        </row>
        <row r="80">
          <cell r="D80" t="str">
            <v>柳全菊</v>
          </cell>
          <cell r="AP80">
            <v>31</v>
          </cell>
        </row>
        <row r="81">
          <cell r="D81" t="str">
            <v>何琼华</v>
          </cell>
          <cell r="AP81">
            <v>31</v>
          </cell>
        </row>
        <row r="82">
          <cell r="D82" t="str">
            <v>蒋圆圆</v>
          </cell>
          <cell r="AP82">
            <v>31</v>
          </cell>
        </row>
        <row r="83">
          <cell r="D83" t="str">
            <v>顾红艳</v>
          </cell>
          <cell r="AP83">
            <v>31</v>
          </cell>
        </row>
        <row r="84">
          <cell r="D84" t="str">
            <v>郭小丽</v>
          </cell>
          <cell r="AP84">
            <v>31</v>
          </cell>
        </row>
        <row r="85">
          <cell r="D85" t="str">
            <v>梁婷</v>
          </cell>
          <cell r="AP85">
            <v>31</v>
          </cell>
        </row>
        <row r="86">
          <cell r="D86" t="str">
            <v>雷娜婷</v>
          </cell>
          <cell r="AP86">
            <v>31</v>
          </cell>
        </row>
        <row r="87">
          <cell r="D87" t="str">
            <v>叶美霞</v>
          </cell>
          <cell r="L87">
            <v>2</v>
          </cell>
          <cell r="AP87">
            <v>15</v>
          </cell>
        </row>
        <row r="88">
          <cell r="D88" t="str">
            <v>秦娜</v>
          </cell>
          <cell r="L88">
            <v>1</v>
          </cell>
          <cell r="AP88">
            <v>30</v>
          </cell>
        </row>
        <row r="89">
          <cell r="D89" t="str">
            <v>牟光燕</v>
          </cell>
          <cell r="AP89">
            <v>31</v>
          </cell>
        </row>
        <row r="90">
          <cell r="D90" t="str">
            <v>王萍</v>
          </cell>
          <cell r="AP90">
            <v>31</v>
          </cell>
        </row>
        <row r="91">
          <cell r="D91" t="str">
            <v>胡红琳</v>
          </cell>
          <cell r="AP91">
            <v>31</v>
          </cell>
        </row>
        <row r="92">
          <cell r="D92" t="str">
            <v>谢娟</v>
          </cell>
          <cell r="AP92">
            <v>31</v>
          </cell>
        </row>
        <row r="93">
          <cell r="D93" t="str">
            <v>陈美合</v>
          </cell>
          <cell r="AP93">
            <v>31</v>
          </cell>
        </row>
        <row r="94">
          <cell r="D94" t="str">
            <v>郝莉娜</v>
          </cell>
          <cell r="AP94">
            <v>31</v>
          </cell>
        </row>
        <row r="95">
          <cell r="D95" t="str">
            <v>邓丽莉</v>
          </cell>
          <cell r="AP95">
            <v>31</v>
          </cell>
        </row>
        <row r="96">
          <cell r="D96" t="str">
            <v>张明艳</v>
          </cell>
          <cell r="AP96">
            <v>31</v>
          </cell>
        </row>
        <row r="97">
          <cell r="D97" t="str">
            <v>马宏梅</v>
          </cell>
          <cell r="AP97">
            <v>31</v>
          </cell>
        </row>
        <row r="98">
          <cell r="D98" t="str">
            <v>陈洁</v>
          </cell>
          <cell r="AP98">
            <v>31</v>
          </cell>
        </row>
        <row r="99">
          <cell r="D99" t="str">
            <v>郑加焕</v>
          </cell>
          <cell r="AP99">
            <v>31</v>
          </cell>
        </row>
        <row r="100">
          <cell r="D100" t="str">
            <v>侯英</v>
          </cell>
          <cell r="AP100">
            <v>31</v>
          </cell>
        </row>
        <row r="101">
          <cell r="D101" t="str">
            <v>谢德芳</v>
          </cell>
          <cell r="AP101">
            <v>31</v>
          </cell>
        </row>
        <row r="102">
          <cell r="D102" t="str">
            <v>蒲草</v>
          </cell>
          <cell r="AP102">
            <v>31</v>
          </cell>
        </row>
        <row r="103">
          <cell r="D103" t="str">
            <v>郑华跃</v>
          </cell>
          <cell r="AP103">
            <v>31</v>
          </cell>
        </row>
        <row r="104">
          <cell r="D104" t="str">
            <v>李茂</v>
          </cell>
          <cell r="AP104">
            <v>31</v>
          </cell>
        </row>
        <row r="105">
          <cell r="D105" t="str">
            <v>孙红梅</v>
          </cell>
          <cell r="AP105">
            <v>31</v>
          </cell>
        </row>
        <row r="106">
          <cell r="D106" t="str">
            <v>黎红花</v>
          </cell>
          <cell r="AP106">
            <v>31</v>
          </cell>
        </row>
        <row r="107">
          <cell r="D107" t="str">
            <v>蒲艳婷</v>
          </cell>
          <cell r="AP107">
            <v>31</v>
          </cell>
        </row>
        <row r="108">
          <cell r="D108" t="str">
            <v>刘帆</v>
          </cell>
          <cell r="AP108">
            <v>31</v>
          </cell>
        </row>
        <row r="109">
          <cell r="D109" t="str">
            <v>杨艳</v>
          </cell>
          <cell r="AP109">
            <v>31</v>
          </cell>
        </row>
        <row r="110">
          <cell r="D110" t="str">
            <v>肖静梅</v>
          </cell>
          <cell r="AP110">
            <v>31</v>
          </cell>
        </row>
        <row r="111">
          <cell r="D111" t="str">
            <v>王晓琳</v>
          </cell>
          <cell r="AP111">
            <v>31</v>
          </cell>
        </row>
        <row r="112">
          <cell r="D112" t="str">
            <v>彭措志玛</v>
          </cell>
          <cell r="AP112">
            <v>31</v>
          </cell>
        </row>
        <row r="113">
          <cell r="D113" t="str">
            <v>郝中南</v>
          </cell>
          <cell r="AP113">
            <v>31</v>
          </cell>
        </row>
        <row r="114">
          <cell r="D114" t="str">
            <v>冉芳霞</v>
          </cell>
          <cell r="AP114">
            <v>31</v>
          </cell>
        </row>
        <row r="115">
          <cell r="D115" t="str">
            <v>谭萍</v>
          </cell>
          <cell r="AP115">
            <v>31</v>
          </cell>
        </row>
        <row r="116">
          <cell r="D116" t="str">
            <v>陈琳</v>
          </cell>
          <cell r="AP116">
            <v>15</v>
          </cell>
        </row>
        <row r="117">
          <cell r="D117" t="str">
            <v>罗湘湘</v>
          </cell>
          <cell r="AP117">
            <v>31</v>
          </cell>
        </row>
        <row r="118">
          <cell r="D118" t="str">
            <v>唐玉芳</v>
          </cell>
          <cell r="AP118">
            <v>31</v>
          </cell>
        </row>
        <row r="119">
          <cell r="D119" t="str">
            <v>雷怡</v>
          </cell>
          <cell r="AP119">
            <v>31</v>
          </cell>
        </row>
        <row r="120">
          <cell r="D120" t="str">
            <v>龙巧云</v>
          </cell>
          <cell r="AP120">
            <v>31</v>
          </cell>
        </row>
        <row r="121">
          <cell r="D121" t="str">
            <v>张勤</v>
          </cell>
          <cell r="AP121">
            <v>31</v>
          </cell>
        </row>
        <row r="122">
          <cell r="D122" t="str">
            <v>刘裕琼</v>
          </cell>
          <cell r="AP122">
            <v>31</v>
          </cell>
        </row>
        <row r="123">
          <cell r="D123" t="str">
            <v>唐施语</v>
          </cell>
          <cell r="AP123">
            <v>31</v>
          </cell>
        </row>
        <row r="124">
          <cell r="D124" t="str">
            <v>谭福英</v>
          </cell>
          <cell r="AP124">
            <v>31</v>
          </cell>
        </row>
        <row r="125">
          <cell r="D125" t="str">
            <v>李凤</v>
          </cell>
          <cell r="AP125">
            <v>31</v>
          </cell>
        </row>
        <row r="126">
          <cell r="D126" t="str">
            <v>陈嘉仪</v>
          </cell>
          <cell r="AP126">
            <v>31</v>
          </cell>
        </row>
        <row r="127">
          <cell r="D127" t="str">
            <v>王红</v>
          </cell>
          <cell r="AP127">
            <v>31</v>
          </cell>
        </row>
        <row r="128">
          <cell r="D128" t="str">
            <v>冷忠翠</v>
          </cell>
          <cell r="AP128">
            <v>31</v>
          </cell>
        </row>
        <row r="129">
          <cell r="D129" t="str">
            <v>糜清云</v>
          </cell>
          <cell r="L129">
            <v>1</v>
          </cell>
          <cell r="AP129">
            <v>30</v>
          </cell>
        </row>
        <row r="130">
          <cell r="D130" t="str">
            <v>贺金云</v>
          </cell>
          <cell r="L130">
            <v>1</v>
          </cell>
          <cell r="AP130">
            <v>19</v>
          </cell>
        </row>
        <row r="131">
          <cell r="D131" t="str">
            <v>舒许芳</v>
          </cell>
          <cell r="L131">
            <v>1</v>
          </cell>
          <cell r="AP131">
            <v>30</v>
          </cell>
        </row>
        <row r="132">
          <cell r="D132" t="str">
            <v>包竹梅</v>
          </cell>
          <cell r="AP132">
            <v>31</v>
          </cell>
        </row>
        <row r="133">
          <cell r="D133" t="str">
            <v>欧迎春</v>
          </cell>
          <cell r="AP133">
            <v>31</v>
          </cell>
        </row>
        <row r="134">
          <cell r="D134" t="str">
            <v>谭芙蓉</v>
          </cell>
          <cell r="AP134">
            <v>31</v>
          </cell>
        </row>
        <row r="135">
          <cell r="D135" t="str">
            <v>曾玉莲</v>
          </cell>
          <cell r="AP135">
            <v>31</v>
          </cell>
        </row>
        <row r="136">
          <cell r="D136" t="str">
            <v>彭兰钦</v>
          </cell>
          <cell r="AP136">
            <v>31</v>
          </cell>
        </row>
        <row r="137">
          <cell r="D137" t="str">
            <v>刘婵琴</v>
          </cell>
          <cell r="AP137">
            <v>31</v>
          </cell>
        </row>
        <row r="138">
          <cell r="D138" t="str">
            <v>泽仁拉姆</v>
          </cell>
          <cell r="AP138">
            <v>31</v>
          </cell>
        </row>
        <row r="139">
          <cell r="D139" t="str">
            <v>舒阳</v>
          </cell>
          <cell r="AP139">
            <v>31</v>
          </cell>
        </row>
        <row r="140">
          <cell r="D140" t="str">
            <v>白丽</v>
          </cell>
          <cell r="AP140">
            <v>31</v>
          </cell>
        </row>
        <row r="141">
          <cell r="D141" t="str">
            <v>郑巧玲</v>
          </cell>
          <cell r="AP141">
            <v>31</v>
          </cell>
        </row>
        <row r="142">
          <cell r="D142" t="str">
            <v>张廷妍</v>
          </cell>
          <cell r="AP142">
            <v>31</v>
          </cell>
        </row>
        <row r="143">
          <cell r="D143" t="str">
            <v>杜兰兰</v>
          </cell>
          <cell r="AP143">
            <v>31</v>
          </cell>
        </row>
        <row r="144">
          <cell r="D144" t="str">
            <v>王显珍</v>
          </cell>
          <cell r="AP144">
            <v>31</v>
          </cell>
        </row>
        <row r="145">
          <cell r="D145" t="str">
            <v>马冬梅</v>
          </cell>
          <cell r="AP145">
            <v>31</v>
          </cell>
        </row>
        <row r="146">
          <cell r="D146" t="str">
            <v>彭莉群</v>
          </cell>
          <cell r="AP146">
            <v>31</v>
          </cell>
        </row>
        <row r="147">
          <cell r="D147" t="str">
            <v>刘金凤</v>
          </cell>
          <cell r="AP147">
            <v>31</v>
          </cell>
        </row>
        <row r="148">
          <cell r="D148" t="str">
            <v>谢珂欣</v>
          </cell>
          <cell r="L148">
            <v>7</v>
          </cell>
          <cell r="AP148">
            <v>24</v>
          </cell>
        </row>
        <row r="149">
          <cell r="D149" t="str">
            <v>刘霞</v>
          </cell>
          <cell r="AP149">
            <v>31</v>
          </cell>
        </row>
        <row r="150">
          <cell r="D150" t="str">
            <v>尧丹丹</v>
          </cell>
          <cell r="AP150">
            <v>31</v>
          </cell>
        </row>
        <row r="151">
          <cell r="D151" t="str">
            <v>李科</v>
          </cell>
          <cell r="AP151">
            <v>31</v>
          </cell>
        </row>
        <row r="152">
          <cell r="D152" t="str">
            <v>石海力</v>
          </cell>
          <cell r="AP152">
            <v>31</v>
          </cell>
        </row>
        <row r="153">
          <cell r="D153" t="str">
            <v>付薪燕</v>
          </cell>
          <cell r="AP153">
            <v>31</v>
          </cell>
        </row>
        <row r="154">
          <cell r="D154" t="str">
            <v>陈定坤</v>
          </cell>
          <cell r="AP154">
            <v>31</v>
          </cell>
        </row>
        <row r="155">
          <cell r="D155" t="str">
            <v>王桂明</v>
          </cell>
          <cell r="AP155">
            <v>31</v>
          </cell>
        </row>
        <row r="156">
          <cell r="D156" t="str">
            <v>关晓燕</v>
          </cell>
          <cell r="AP156">
            <v>31</v>
          </cell>
        </row>
        <row r="157">
          <cell r="D157" t="str">
            <v>唐尹</v>
          </cell>
          <cell r="AP157">
            <v>31</v>
          </cell>
        </row>
        <row r="158">
          <cell r="D158" t="str">
            <v>贺慧</v>
          </cell>
          <cell r="L158">
            <v>2</v>
          </cell>
          <cell r="AP158">
            <v>29</v>
          </cell>
        </row>
        <row r="159">
          <cell r="D159" t="str">
            <v>李红梅</v>
          </cell>
          <cell r="AP159">
            <v>31</v>
          </cell>
        </row>
        <row r="160">
          <cell r="D160" t="str">
            <v>龚艳</v>
          </cell>
          <cell r="AP160">
            <v>31</v>
          </cell>
        </row>
        <row r="161">
          <cell r="D161" t="str">
            <v>余姣姣</v>
          </cell>
          <cell r="AP161">
            <v>31</v>
          </cell>
        </row>
        <row r="162">
          <cell r="D162" t="str">
            <v>竹艳梅</v>
          </cell>
          <cell r="AP162">
            <v>31</v>
          </cell>
        </row>
        <row r="163">
          <cell r="D163" t="str">
            <v>叶朝春</v>
          </cell>
          <cell r="AP163">
            <v>31</v>
          </cell>
        </row>
        <row r="164">
          <cell r="D164" t="str">
            <v>喻容</v>
          </cell>
          <cell r="AP164">
            <v>31</v>
          </cell>
        </row>
        <row r="165">
          <cell r="D165" t="str">
            <v>魏柯</v>
          </cell>
          <cell r="AP165">
            <v>31</v>
          </cell>
        </row>
        <row r="166">
          <cell r="D166" t="str">
            <v>徐文平</v>
          </cell>
          <cell r="AP166">
            <v>31</v>
          </cell>
        </row>
        <row r="167">
          <cell r="D167" t="str">
            <v>张欣</v>
          </cell>
          <cell r="AP167">
            <v>7</v>
          </cell>
        </row>
        <row r="168">
          <cell r="D168" t="str">
            <v>叶璐璐</v>
          </cell>
          <cell r="AP168">
            <v>31</v>
          </cell>
        </row>
        <row r="169">
          <cell r="D169" t="str">
            <v>周文慧</v>
          </cell>
          <cell r="AP169">
            <v>31</v>
          </cell>
        </row>
        <row r="170">
          <cell r="D170" t="str">
            <v>张白金</v>
          </cell>
          <cell r="AP170">
            <v>31</v>
          </cell>
        </row>
        <row r="171">
          <cell r="D171" t="str">
            <v>郑美函</v>
          </cell>
          <cell r="AP171">
            <v>31</v>
          </cell>
        </row>
        <row r="172">
          <cell r="D172" t="str">
            <v>龚茜</v>
          </cell>
          <cell r="AP172">
            <v>31</v>
          </cell>
        </row>
        <row r="173">
          <cell r="D173" t="str">
            <v>廖妍</v>
          </cell>
          <cell r="AP173">
            <v>31</v>
          </cell>
        </row>
        <row r="174">
          <cell r="D174" t="str">
            <v>李彩华</v>
          </cell>
          <cell r="AP174">
            <v>31</v>
          </cell>
        </row>
        <row r="175">
          <cell r="D175" t="str">
            <v>刘九招</v>
          </cell>
          <cell r="AP175">
            <v>31</v>
          </cell>
        </row>
        <row r="176">
          <cell r="D176" t="str">
            <v>朱羽</v>
          </cell>
          <cell r="AP176">
            <v>31</v>
          </cell>
        </row>
        <row r="177">
          <cell r="D177" t="str">
            <v>施凤皎</v>
          </cell>
          <cell r="AP177">
            <v>31</v>
          </cell>
        </row>
        <row r="178">
          <cell r="D178" t="str">
            <v>高琴</v>
          </cell>
          <cell r="AP178">
            <v>31</v>
          </cell>
        </row>
        <row r="179">
          <cell r="D179" t="str">
            <v>达卓措</v>
          </cell>
          <cell r="AP179">
            <v>31</v>
          </cell>
        </row>
        <row r="180">
          <cell r="D180" t="str">
            <v>袁玉</v>
          </cell>
          <cell r="AP180">
            <v>31</v>
          </cell>
        </row>
        <row r="181">
          <cell r="D181" t="str">
            <v>赵晴亮</v>
          </cell>
          <cell r="AP181">
            <v>31</v>
          </cell>
        </row>
        <row r="182">
          <cell r="D182" t="str">
            <v>赵忠芬</v>
          </cell>
          <cell r="AP182">
            <v>31</v>
          </cell>
        </row>
        <row r="183">
          <cell r="D183" t="str">
            <v>郑丹</v>
          </cell>
          <cell r="AP183">
            <v>31</v>
          </cell>
        </row>
        <row r="184">
          <cell r="D184" t="str">
            <v>林锶莹</v>
          </cell>
          <cell r="AP184">
            <v>31</v>
          </cell>
        </row>
        <row r="185">
          <cell r="D185" t="str">
            <v>胡钦秀</v>
          </cell>
          <cell r="AP185">
            <v>31</v>
          </cell>
        </row>
        <row r="186">
          <cell r="D186" t="str">
            <v>高红艳</v>
          </cell>
          <cell r="AP186">
            <v>31</v>
          </cell>
        </row>
        <row r="187">
          <cell r="D187" t="str">
            <v>曾怡</v>
          </cell>
          <cell r="AP187">
            <v>31</v>
          </cell>
        </row>
        <row r="188">
          <cell r="D188" t="str">
            <v>张清华</v>
          </cell>
          <cell r="AP188">
            <v>31</v>
          </cell>
        </row>
        <row r="189">
          <cell r="D189" t="str">
            <v>彭鑫</v>
          </cell>
          <cell r="AP189">
            <v>31</v>
          </cell>
        </row>
        <row r="190">
          <cell r="D190" t="str">
            <v>李维</v>
          </cell>
          <cell r="AP190">
            <v>31</v>
          </cell>
        </row>
        <row r="191">
          <cell r="D191" t="str">
            <v>贾琳</v>
          </cell>
          <cell r="AP191">
            <v>31</v>
          </cell>
        </row>
        <row r="192">
          <cell r="D192" t="str">
            <v>王智慧</v>
          </cell>
          <cell r="AP192">
            <v>31</v>
          </cell>
        </row>
        <row r="193">
          <cell r="D193" t="str">
            <v>邓笑</v>
          </cell>
          <cell r="AP193">
            <v>31</v>
          </cell>
        </row>
        <row r="194">
          <cell r="D194" t="str">
            <v>刘香</v>
          </cell>
          <cell r="AP194">
            <v>31</v>
          </cell>
        </row>
        <row r="195">
          <cell r="D195" t="str">
            <v>刘丽华</v>
          </cell>
          <cell r="AP195">
            <v>31</v>
          </cell>
        </row>
        <row r="196">
          <cell r="D196" t="str">
            <v>周林</v>
          </cell>
          <cell r="AP196">
            <v>31</v>
          </cell>
        </row>
        <row r="197">
          <cell r="D197" t="str">
            <v>钟秦</v>
          </cell>
          <cell r="AP197">
            <v>31</v>
          </cell>
        </row>
        <row r="198">
          <cell r="D198" t="str">
            <v>张红霞</v>
          </cell>
          <cell r="AP198">
            <v>31</v>
          </cell>
        </row>
        <row r="199">
          <cell r="D199" t="str">
            <v>李燕1</v>
          </cell>
          <cell r="AP199">
            <v>31</v>
          </cell>
        </row>
        <row r="200">
          <cell r="D200" t="str">
            <v>陈世琳</v>
          </cell>
          <cell r="AP200">
            <v>31</v>
          </cell>
        </row>
        <row r="201">
          <cell r="D201" t="str">
            <v>张林英</v>
          </cell>
          <cell r="AP201">
            <v>1</v>
          </cell>
        </row>
        <row r="202">
          <cell r="D202" t="str">
            <v>陈燕辉</v>
          </cell>
          <cell r="AP202">
            <v>31</v>
          </cell>
        </row>
        <row r="203">
          <cell r="D203" t="str">
            <v>宋林琳</v>
          </cell>
          <cell r="AP203">
            <v>31</v>
          </cell>
        </row>
        <row r="204">
          <cell r="D204" t="str">
            <v>马丽亚</v>
          </cell>
          <cell r="AP204">
            <v>31</v>
          </cell>
        </row>
        <row r="205">
          <cell r="D205" t="str">
            <v>阿衣尔扎</v>
          </cell>
          <cell r="L205">
            <v>6</v>
          </cell>
          <cell r="AP205">
            <v>25</v>
          </cell>
        </row>
        <row r="206">
          <cell r="D206" t="str">
            <v>张霞</v>
          </cell>
          <cell r="AP206">
            <v>31</v>
          </cell>
        </row>
        <row r="207">
          <cell r="D207" t="str">
            <v>谢双叶</v>
          </cell>
          <cell r="AP207">
            <v>31</v>
          </cell>
        </row>
        <row r="208">
          <cell r="D208" t="str">
            <v>蒙亦锌</v>
          </cell>
          <cell r="AP208">
            <v>31</v>
          </cell>
        </row>
        <row r="209">
          <cell r="D209" t="str">
            <v>刘梦蓝</v>
          </cell>
          <cell r="AP209">
            <v>31</v>
          </cell>
        </row>
        <row r="210">
          <cell r="D210" t="str">
            <v>罗林芳</v>
          </cell>
          <cell r="AP210">
            <v>31</v>
          </cell>
        </row>
        <row r="211">
          <cell r="D211" t="str">
            <v>汪丽娟</v>
          </cell>
          <cell r="AP211">
            <v>31</v>
          </cell>
        </row>
        <row r="212">
          <cell r="D212" t="str">
            <v>谭言希</v>
          </cell>
          <cell r="AP212">
            <v>31</v>
          </cell>
        </row>
        <row r="213">
          <cell r="D213" t="str">
            <v>黄江</v>
          </cell>
          <cell r="AP213">
            <v>31</v>
          </cell>
        </row>
        <row r="214">
          <cell r="D214" t="str">
            <v>陈琼</v>
          </cell>
          <cell r="AP214">
            <v>31</v>
          </cell>
        </row>
        <row r="215">
          <cell r="D215" t="str">
            <v>米琪</v>
          </cell>
          <cell r="AP215">
            <v>31</v>
          </cell>
        </row>
        <row r="216">
          <cell r="D216" t="str">
            <v>尚杨</v>
          </cell>
          <cell r="AP216">
            <v>31</v>
          </cell>
        </row>
        <row r="217">
          <cell r="D217" t="str">
            <v>钟心悦</v>
          </cell>
          <cell r="AP217">
            <v>10</v>
          </cell>
        </row>
        <row r="218">
          <cell r="D218" t="str">
            <v>胡祝曲</v>
          </cell>
          <cell r="AP218">
            <v>31</v>
          </cell>
        </row>
        <row r="219">
          <cell r="D219" t="str">
            <v>谢金梅</v>
          </cell>
          <cell r="AP219">
            <v>14</v>
          </cell>
        </row>
        <row r="220">
          <cell r="D220" t="str">
            <v>李洪芳</v>
          </cell>
          <cell r="AP220">
            <v>31</v>
          </cell>
        </row>
        <row r="221">
          <cell r="D221" t="str">
            <v>王维</v>
          </cell>
          <cell r="AP221">
            <v>31</v>
          </cell>
        </row>
        <row r="222">
          <cell r="D222" t="str">
            <v>罗文文</v>
          </cell>
          <cell r="AP222">
            <v>31</v>
          </cell>
        </row>
        <row r="223">
          <cell r="D223" t="str">
            <v>任艺</v>
          </cell>
          <cell r="AP223">
            <v>31</v>
          </cell>
        </row>
        <row r="224">
          <cell r="D224" t="str">
            <v>贺丽</v>
          </cell>
          <cell r="AP224">
            <v>31</v>
          </cell>
        </row>
        <row r="225">
          <cell r="D225" t="str">
            <v>殷小燕</v>
          </cell>
          <cell r="AP225">
            <v>31</v>
          </cell>
        </row>
        <row r="226">
          <cell r="D226" t="str">
            <v>李海瑛</v>
          </cell>
          <cell r="AP226">
            <v>31</v>
          </cell>
        </row>
        <row r="227">
          <cell r="D227" t="str">
            <v>邹孟君</v>
          </cell>
          <cell r="AP227">
            <v>31</v>
          </cell>
        </row>
        <row r="228">
          <cell r="D228" t="str">
            <v>彭羽佳</v>
          </cell>
          <cell r="AP228">
            <v>31</v>
          </cell>
        </row>
        <row r="229">
          <cell r="D229" t="str">
            <v>朱成芳</v>
          </cell>
          <cell r="AP229">
            <v>31</v>
          </cell>
        </row>
        <row r="230">
          <cell r="D230" t="str">
            <v>翁玲</v>
          </cell>
          <cell r="AP230">
            <v>31</v>
          </cell>
        </row>
        <row r="231">
          <cell r="D231" t="str">
            <v>王能琴</v>
          </cell>
          <cell r="AP231">
            <v>31</v>
          </cell>
        </row>
        <row r="232">
          <cell r="D232" t="str">
            <v>涂莹丹</v>
          </cell>
          <cell r="AP232">
            <v>31</v>
          </cell>
        </row>
        <row r="233">
          <cell r="D233" t="str">
            <v>葛敏</v>
          </cell>
          <cell r="AP233">
            <v>31</v>
          </cell>
        </row>
        <row r="234">
          <cell r="D234" t="str">
            <v>袁小兵</v>
          </cell>
          <cell r="AP234">
            <v>31</v>
          </cell>
        </row>
        <row r="235">
          <cell r="D235" t="str">
            <v>徐登毅</v>
          </cell>
          <cell r="AP235">
            <v>31</v>
          </cell>
        </row>
        <row r="236">
          <cell r="D236" t="str">
            <v>范时依</v>
          </cell>
          <cell r="AP236">
            <v>31</v>
          </cell>
        </row>
        <row r="237">
          <cell r="D237" t="str">
            <v>吴小强</v>
          </cell>
          <cell r="AP237">
            <v>31</v>
          </cell>
        </row>
        <row r="238">
          <cell r="D238" t="str">
            <v>宁燕</v>
          </cell>
          <cell r="AP238">
            <v>31</v>
          </cell>
        </row>
        <row r="239">
          <cell r="D239" t="str">
            <v>杨苹</v>
          </cell>
          <cell r="AP239">
            <v>31</v>
          </cell>
        </row>
        <row r="240">
          <cell r="D240" t="str">
            <v>赵倩</v>
          </cell>
          <cell r="AP240">
            <v>31</v>
          </cell>
        </row>
        <row r="241">
          <cell r="D241" t="str">
            <v>梁诗雨</v>
          </cell>
          <cell r="AP241">
            <v>31</v>
          </cell>
        </row>
        <row r="242">
          <cell r="D242" t="str">
            <v>郭思瑞</v>
          </cell>
          <cell r="AP242">
            <v>31</v>
          </cell>
        </row>
        <row r="243">
          <cell r="D243" t="str">
            <v>文倩</v>
          </cell>
          <cell r="AP243">
            <v>31</v>
          </cell>
        </row>
        <row r="244">
          <cell r="D244" t="str">
            <v>刘佳</v>
          </cell>
          <cell r="AP244">
            <v>31</v>
          </cell>
        </row>
        <row r="245">
          <cell r="D245" t="str">
            <v>杨磊</v>
          </cell>
          <cell r="L245">
            <v>4</v>
          </cell>
          <cell r="AP245">
            <v>9</v>
          </cell>
        </row>
        <row r="246">
          <cell r="D246" t="str">
            <v>李吉原</v>
          </cell>
          <cell r="AP246">
            <v>31</v>
          </cell>
        </row>
        <row r="247">
          <cell r="D247" t="str">
            <v>黄桂琴</v>
          </cell>
          <cell r="AP247">
            <v>31</v>
          </cell>
        </row>
        <row r="248">
          <cell r="D248" t="str">
            <v>詹芳英</v>
          </cell>
          <cell r="L248">
            <v>1</v>
          </cell>
          <cell r="AP248">
            <v>30</v>
          </cell>
        </row>
        <row r="249">
          <cell r="D249" t="str">
            <v>陈思思</v>
          </cell>
          <cell r="AP249">
            <v>31</v>
          </cell>
        </row>
        <row r="250">
          <cell r="D250" t="str">
            <v>李洁</v>
          </cell>
          <cell r="AP250">
            <v>31</v>
          </cell>
        </row>
        <row r="251">
          <cell r="D251" t="str">
            <v>马小英</v>
          </cell>
          <cell r="AP251">
            <v>31</v>
          </cell>
        </row>
        <row r="252">
          <cell r="D252" t="str">
            <v>欧阳敏</v>
          </cell>
          <cell r="L252">
            <v>2</v>
          </cell>
          <cell r="AP252">
            <v>29</v>
          </cell>
        </row>
        <row r="253">
          <cell r="D253" t="str">
            <v>程燕</v>
          </cell>
          <cell r="L253">
            <v>9</v>
          </cell>
          <cell r="AP253">
            <v>22</v>
          </cell>
        </row>
        <row r="254">
          <cell r="D254" t="str">
            <v>肖倩</v>
          </cell>
          <cell r="AP254">
            <v>31</v>
          </cell>
        </row>
        <row r="255">
          <cell r="D255" t="str">
            <v>王丽娟</v>
          </cell>
          <cell r="AP255">
            <v>31</v>
          </cell>
        </row>
        <row r="256">
          <cell r="D256" t="str">
            <v>蓝海英</v>
          </cell>
          <cell r="AP256">
            <v>31</v>
          </cell>
        </row>
        <row r="257">
          <cell r="D257" t="str">
            <v>夏萍</v>
          </cell>
          <cell r="AP257">
            <v>31</v>
          </cell>
        </row>
        <row r="258">
          <cell r="D258" t="str">
            <v>王方贤</v>
          </cell>
          <cell r="AP258">
            <v>31</v>
          </cell>
        </row>
        <row r="259">
          <cell r="D259" t="str">
            <v>杨琴</v>
          </cell>
          <cell r="L259">
            <v>1</v>
          </cell>
          <cell r="AP259">
            <v>30</v>
          </cell>
        </row>
        <row r="260">
          <cell r="D260" t="str">
            <v>赵美艳</v>
          </cell>
          <cell r="AP260">
            <v>31</v>
          </cell>
        </row>
        <row r="261">
          <cell r="D261" t="str">
            <v>郭兰</v>
          </cell>
          <cell r="AP261">
            <v>31</v>
          </cell>
        </row>
        <row r="262">
          <cell r="D262" t="str">
            <v>戴林</v>
          </cell>
          <cell r="AP262">
            <v>31</v>
          </cell>
        </row>
        <row r="263">
          <cell r="D263" t="str">
            <v>蒲俊峰</v>
          </cell>
          <cell r="AP263">
            <v>31</v>
          </cell>
        </row>
        <row r="264">
          <cell r="D264" t="str">
            <v>张雪颖</v>
          </cell>
          <cell r="AP264">
            <v>31</v>
          </cell>
        </row>
        <row r="265">
          <cell r="D265" t="str">
            <v>张雨露</v>
          </cell>
          <cell r="AP265">
            <v>31</v>
          </cell>
        </row>
        <row r="266">
          <cell r="D266" t="str">
            <v>刘祖红</v>
          </cell>
          <cell r="AP266">
            <v>31</v>
          </cell>
        </row>
        <row r="267">
          <cell r="D267" t="str">
            <v>谢宗富</v>
          </cell>
          <cell r="AP267">
            <v>31</v>
          </cell>
        </row>
        <row r="268">
          <cell r="D268" t="str">
            <v>余文</v>
          </cell>
          <cell r="AP268">
            <v>31</v>
          </cell>
        </row>
        <row r="269">
          <cell r="D269" t="str">
            <v>王洪武</v>
          </cell>
          <cell r="AP269">
            <v>31</v>
          </cell>
        </row>
        <row r="270">
          <cell r="D270" t="str">
            <v>王国英</v>
          </cell>
          <cell r="AP270">
            <v>31</v>
          </cell>
        </row>
        <row r="271">
          <cell r="D271" t="str">
            <v>周莉</v>
          </cell>
          <cell r="AP271">
            <v>31</v>
          </cell>
        </row>
        <row r="272">
          <cell r="D272" t="str">
            <v>吴斌</v>
          </cell>
          <cell r="AP272">
            <v>31</v>
          </cell>
        </row>
        <row r="273">
          <cell r="D273" t="str">
            <v>吴斌</v>
          </cell>
          <cell r="AP273">
            <v>31</v>
          </cell>
        </row>
        <row r="274">
          <cell r="D274" t="str">
            <v>杨汉玉</v>
          </cell>
          <cell r="AP274">
            <v>31</v>
          </cell>
        </row>
        <row r="275">
          <cell r="D275" t="str">
            <v>杨润琼</v>
          </cell>
          <cell r="AP275">
            <v>31</v>
          </cell>
        </row>
        <row r="276">
          <cell r="D276" t="str">
            <v>林玉琼</v>
          </cell>
          <cell r="AP276">
            <v>31</v>
          </cell>
        </row>
        <row r="277">
          <cell r="D277" t="str">
            <v>王秀华</v>
          </cell>
          <cell r="AP277">
            <v>31</v>
          </cell>
        </row>
        <row r="278">
          <cell r="D278" t="str">
            <v>刘陈秀</v>
          </cell>
          <cell r="AP278">
            <v>31</v>
          </cell>
        </row>
        <row r="279">
          <cell r="D279" t="str">
            <v>钟术群</v>
          </cell>
          <cell r="AP279">
            <v>31</v>
          </cell>
        </row>
        <row r="280">
          <cell r="D280" t="str">
            <v>郑竹兰</v>
          </cell>
          <cell r="AP280">
            <v>31</v>
          </cell>
        </row>
        <row r="281">
          <cell r="D281" t="str">
            <v>陈春蓉</v>
          </cell>
          <cell r="AP281">
            <v>31</v>
          </cell>
        </row>
        <row r="282">
          <cell r="D282" t="str">
            <v>陈明秀</v>
          </cell>
          <cell r="AP282">
            <v>31</v>
          </cell>
        </row>
        <row r="283">
          <cell r="D283" t="str">
            <v>许开会</v>
          </cell>
          <cell r="AP283">
            <v>31</v>
          </cell>
        </row>
        <row r="284">
          <cell r="D284" t="str">
            <v>蒋治琼</v>
          </cell>
          <cell r="AP284">
            <v>31</v>
          </cell>
        </row>
        <row r="285">
          <cell r="D285" t="str">
            <v>曾志芬</v>
          </cell>
          <cell r="AP285">
            <v>31</v>
          </cell>
        </row>
        <row r="286">
          <cell r="D286" t="str">
            <v>罗广秀</v>
          </cell>
          <cell r="AP286">
            <v>31</v>
          </cell>
        </row>
        <row r="287">
          <cell r="D287" t="str">
            <v>何先会</v>
          </cell>
          <cell r="AP287">
            <v>31</v>
          </cell>
        </row>
        <row r="288">
          <cell r="D288" t="str">
            <v>陈德芳</v>
          </cell>
          <cell r="AP288">
            <v>31</v>
          </cell>
        </row>
        <row r="289">
          <cell r="D289" t="str">
            <v>邓成分</v>
          </cell>
          <cell r="AP289">
            <v>31</v>
          </cell>
        </row>
        <row r="290">
          <cell r="D290" t="str">
            <v>刘胜琼</v>
          </cell>
          <cell r="AP290">
            <v>31</v>
          </cell>
        </row>
        <row r="291">
          <cell r="D291" t="str">
            <v>陈文先</v>
          </cell>
          <cell r="AP291">
            <v>31</v>
          </cell>
        </row>
        <row r="292">
          <cell r="D292" t="str">
            <v>杨则琼</v>
          </cell>
          <cell r="AP292">
            <v>31</v>
          </cell>
        </row>
        <row r="293">
          <cell r="D293" t="str">
            <v>李培英</v>
          </cell>
          <cell r="AP293">
            <v>31</v>
          </cell>
        </row>
        <row r="294">
          <cell r="D294" t="str">
            <v>陈永秀</v>
          </cell>
          <cell r="AP294">
            <v>31</v>
          </cell>
        </row>
        <row r="295">
          <cell r="D295" t="str">
            <v>李大英</v>
          </cell>
          <cell r="AP295">
            <v>31</v>
          </cell>
        </row>
        <row r="296">
          <cell r="D296" t="str">
            <v>范世琼</v>
          </cell>
          <cell r="AP296">
            <v>31</v>
          </cell>
        </row>
        <row r="297">
          <cell r="D297" t="str">
            <v>倪巧琼</v>
          </cell>
          <cell r="AP297">
            <v>31</v>
          </cell>
        </row>
        <row r="298">
          <cell r="D298" t="str">
            <v>颜香兰</v>
          </cell>
          <cell r="AP298">
            <v>31</v>
          </cell>
        </row>
        <row r="299">
          <cell r="D299" t="str">
            <v>刘治菊</v>
          </cell>
          <cell r="AP299">
            <v>31</v>
          </cell>
        </row>
        <row r="300">
          <cell r="D300" t="str">
            <v>陈珊珊</v>
          </cell>
          <cell r="AP300">
            <v>22</v>
          </cell>
        </row>
        <row r="301">
          <cell r="D301" t="str">
            <v>安家晴</v>
          </cell>
          <cell r="AP301">
            <v>18</v>
          </cell>
        </row>
        <row r="302">
          <cell r="D302" t="str">
            <v>刘雨佳</v>
          </cell>
          <cell r="AP302">
            <v>16</v>
          </cell>
        </row>
        <row r="303">
          <cell r="D303" t="str">
            <v>谢翠华</v>
          </cell>
          <cell r="AP303">
            <v>13</v>
          </cell>
        </row>
        <row r="304">
          <cell r="D304" t="str">
            <v>袁晓梅</v>
          </cell>
          <cell r="AP304">
            <v>15</v>
          </cell>
        </row>
        <row r="305">
          <cell r="D305" t="str">
            <v>孙鲜</v>
          </cell>
          <cell r="AP305">
            <v>8</v>
          </cell>
        </row>
        <row r="306">
          <cell r="D306" t="str">
            <v>陈春秀</v>
          </cell>
          <cell r="AP306">
            <v>9</v>
          </cell>
        </row>
        <row r="307">
          <cell r="D307" t="str">
            <v>郑晓芳</v>
          </cell>
          <cell r="AP307">
            <v>8</v>
          </cell>
        </row>
        <row r="308">
          <cell r="D308" t="str">
            <v>曾小凤</v>
          </cell>
          <cell r="AP308">
            <v>11</v>
          </cell>
        </row>
        <row r="309">
          <cell r="D309" t="str">
            <v>邹奇圻</v>
          </cell>
          <cell r="AP309">
            <v>10</v>
          </cell>
        </row>
        <row r="310">
          <cell r="D310" t="str">
            <v>路平</v>
          </cell>
          <cell r="AP310">
            <v>10</v>
          </cell>
        </row>
        <row r="311">
          <cell r="D311" t="str">
            <v>康丹</v>
          </cell>
          <cell r="AP311">
            <v>16</v>
          </cell>
        </row>
        <row r="312">
          <cell r="D312" t="str">
            <v>尹佩佩</v>
          </cell>
          <cell r="AP312">
            <v>17</v>
          </cell>
        </row>
        <row r="313">
          <cell r="D313" t="str">
            <v>周柏燚</v>
          </cell>
          <cell r="AP313">
            <v>29</v>
          </cell>
        </row>
        <row r="314">
          <cell r="D314" t="str">
            <v>李文龙</v>
          </cell>
          <cell r="AP314">
            <v>12</v>
          </cell>
        </row>
        <row r="315">
          <cell r="D315" t="str">
            <v>张文卓</v>
          </cell>
          <cell r="AP315">
            <v>17</v>
          </cell>
        </row>
        <row r="316">
          <cell r="D316" t="str">
            <v>曹煦菡</v>
          </cell>
          <cell r="AP316">
            <v>13</v>
          </cell>
        </row>
        <row r="317">
          <cell r="D317" t="str">
            <v>蹇雨珊</v>
          </cell>
          <cell r="AP317">
            <v>12</v>
          </cell>
        </row>
        <row r="318">
          <cell r="D318" t="str">
            <v>赵圆缘</v>
          </cell>
          <cell r="AP318">
            <v>12</v>
          </cell>
        </row>
        <row r="319">
          <cell r="D319" t="str">
            <v>李从丽</v>
          </cell>
          <cell r="AP319">
            <v>9</v>
          </cell>
        </row>
        <row r="320">
          <cell r="D320" t="str">
            <v>杨慧琳</v>
          </cell>
          <cell r="AP320">
            <v>9</v>
          </cell>
        </row>
        <row r="321">
          <cell r="D321" t="str">
            <v>袁琳育</v>
          </cell>
          <cell r="AP321">
            <v>9</v>
          </cell>
        </row>
        <row r="322">
          <cell r="D322" t="str">
            <v>蒲敏</v>
          </cell>
          <cell r="AP322">
            <v>8</v>
          </cell>
        </row>
        <row r="323">
          <cell r="D323" t="str">
            <v>黄芬</v>
          </cell>
          <cell r="AP323">
            <v>4</v>
          </cell>
        </row>
        <row r="324">
          <cell r="D324" t="str">
            <v>杨娇</v>
          </cell>
          <cell r="AP324">
            <v>7</v>
          </cell>
        </row>
        <row r="325">
          <cell r="D325" t="str">
            <v>郭芬</v>
          </cell>
          <cell r="AP325">
            <v>5</v>
          </cell>
        </row>
        <row r="326">
          <cell r="D326" t="str">
            <v>陈丽</v>
          </cell>
          <cell r="AP326">
            <v>9</v>
          </cell>
        </row>
      </sheetData>
      <sheetData sheetId="5">
        <row r="1">
          <cell r="A1" t="str">
            <v>姓名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月"/>
    </sheetNames>
    <sheetDataSet>
      <sheetData sheetId="0">
        <row r="1">
          <cell r="C1" t="str">
            <v>员工</v>
          </cell>
          <cell r="D1" t="str">
            <v>项目数</v>
          </cell>
          <cell r="E1" t="str">
            <v>消耗</v>
          </cell>
          <cell r="F1" t="str">
            <v>手工</v>
          </cell>
        </row>
        <row r="2">
          <cell r="C2" t="str">
            <v>李文龙</v>
          </cell>
          <cell r="D2">
            <v>6</v>
          </cell>
          <cell r="E2">
            <v>6800</v>
          </cell>
          <cell r="F2">
            <v>180</v>
          </cell>
        </row>
        <row r="3">
          <cell r="C3" t="str">
            <v>刘祖红</v>
          </cell>
          <cell r="D3">
            <v>132</v>
          </cell>
          <cell r="E3">
            <v>122913.82</v>
          </cell>
          <cell r="F3">
            <v>2555</v>
          </cell>
        </row>
        <row r="4">
          <cell r="C4" t="str">
            <v>孙鲜</v>
          </cell>
          <cell r="D4">
            <v>4</v>
          </cell>
          <cell r="E4">
            <v>7950</v>
          </cell>
          <cell r="F4">
            <v>90</v>
          </cell>
        </row>
        <row r="5">
          <cell r="C5" t="str">
            <v>王洪武</v>
          </cell>
          <cell r="D5">
            <v>114</v>
          </cell>
          <cell r="E5">
            <v>137026.67000000001</v>
          </cell>
          <cell r="F5">
            <v>3405</v>
          </cell>
        </row>
        <row r="6">
          <cell r="C6" t="str">
            <v>谢宗富</v>
          </cell>
          <cell r="D6">
            <v>105</v>
          </cell>
          <cell r="E6">
            <v>122893.57</v>
          </cell>
          <cell r="F6">
            <v>3015</v>
          </cell>
        </row>
        <row r="7">
          <cell r="C7" t="str">
            <v>余文</v>
          </cell>
          <cell r="D7">
            <v>134</v>
          </cell>
          <cell r="E7">
            <v>125320.94</v>
          </cell>
          <cell r="F7">
            <v>2670</v>
          </cell>
        </row>
        <row r="8">
          <cell r="C8" t="str">
            <v>张雨露</v>
          </cell>
          <cell r="D8">
            <v>149</v>
          </cell>
          <cell r="E8">
            <v>145128.6</v>
          </cell>
          <cell r="F8">
            <v>3275</v>
          </cell>
        </row>
        <row r="9">
          <cell r="C9" t="str">
            <v>戴林</v>
          </cell>
          <cell r="D9">
            <v>98</v>
          </cell>
          <cell r="E9">
            <v>121186.53</v>
          </cell>
          <cell r="F9">
            <v>2940</v>
          </cell>
        </row>
        <row r="10">
          <cell r="C10" t="str">
            <v>郭兰</v>
          </cell>
          <cell r="D10">
            <v>162</v>
          </cell>
          <cell r="E10">
            <v>194602.29</v>
          </cell>
          <cell r="F10">
            <v>3570</v>
          </cell>
        </row>
        <row r="11">
          <cell r="C11" t="str">
            <v>蒲俊峰</v>
          </cell>
          <cell r="D11">
            <v>124</v>
          </cell>
          <cell r="E11">
            <v>170456.18</v>
          </cell>
          <cell r="F11">
            <v>3795</v>
          </cell>
        </row>
        <row r="12">
          <cell r="C12" t="str">
            <v>王方贤</v>
          </cell>
          <cell r="D12">
            <v>116</v>
          </cell>
          <cell r="E12">
            <v>253652.65</v>
          </cell>
          <cell r="F12">
            <v>4150</v>
          </cell>
        </row>
        <row r="13">
          <cell r="C13" t="str">
            <v>杨琴</v>
          </cell>
          <cell r="D13">
            <v>138</v>
          </cell>
          <cell r="E13">
            <v>143186.04</v>
          </cell>
          <cell r="F13">
            <v>3290</v>
          </cell>
        </row>
        <row r="14">
          <cell r="C14" t="str">
            <v>尹佩佩</v>
          </cell>
          <cell r="D14">
            <v>2</v>
          </cell>
          <cell r="E14">
            <v>3129.33</v>
          </cell>
          <cell r="F14">
            <v>60</v>
          </cell>
        </row>
        <row r="15">
          <cell r="C15" t="str">
            <v>张文卓</v>
          </cell>
          <cell r="D15">
            <v>5</v>
          </cell>
          <cell r="E15">
            <v>7121.33</v>
          </cell>
          <cell r="F15">
            <v>120</v>
          </cell>
        </row>
        <row r="16">
          <cell r="C16" t="str">
            <v>赵美艳</v>
          </cell>
          <cell r="D16">
            <v>115</v>
          </cell>
          <cell r="E16">
            <v>138410.29</v>
          </cell>
          <cell r="F16">
            <v>2100</v>
          </cell>
        </row>
        <row r="17">
          <cell r="C17" t="str">
            <v>周柏燚</v>
          </cell>
          <cell r="D17">
            <v>75</v>
          </cell>
          <cell r="E17">
            <v>87302.64</v>
          </cell>
          <cell r="F17">
            <v>1850</v>
          </cell>
        </row>
        <row r="18">
          <cell r="C18" t="str">
            <v>邓笑</v>
          </cell>
          <cell r="D18">
            <v>118</v>
          </cell>
          <cell r="E18">
            <v>19040.330000000002</v>
          </cell>
          <cell r="F18">
            <v>1637</v>
          </cell>
        </row>
        <row r="19">
          <cell r="C19" t="str">
            <v>贾琳</v>
          </cell>
          <cell r="D19">
            <v>108</v>
          </cell>
          <cell r="E19">
            <v>15154.56</v>
          </cell>
          <cell r="F19">
            <v>1498</v>
          </cell>
        </row>
        <row r="20">
          <cell r="C20" t="str">
            <v>李维</v>
          </cell>
          <cell r="D20">
            <v>136</v>
          </cell>
          <cell r="E20">
            <v>36278.51</v>
          </cell>
          <cell r="F20">
            <v>1730</v>
          </cell>
        </row>
        <row r="21">
          <cell r="C21" t="str">
            <v>刘丽华</v>
          </cell>
          <cell r="D21">
            <v>102</v>
          </cell>
          <cell r="E21">
            <v>6417.83</v>
          </cell>
          <cell r="F21">
            <v>1229</v>
          </cell>
        </row>
        <row r="22">
          <cell r="C22" t="str">
            <v>彭鑫</v>
          </cell>
          <cell r="D22">
            <v>104</v>
          </cell>
          <cell r="E22">
            <v>16263.86</v>
          </cell>
          <cell r="F22">
            <v>1159</v>
          </cell>
        </row>
        <row r="23">
          <cell r="C23" t="str">
            <v>王智慧</v>
          </cell>
          <cell r="D23">
            <v>113</v>
          </cell>
          <cell r="E23">
            <v>13041.74</v>
          </cell>
          <cell r="F23">
            <v>1493</v>
          </cell>
        </row>
        <row r="24">
          <cell r="C24" t="str">
            <v>优品道店</v>
          </cell>
          <cell r="D24">
            <v>43</v>
          </cell>
          <cell r="E24">
            <v>41060</v>
          </cell>
          <cell r="F24">
            <v>4</v>
          </cell>
        </row>
        <row r="25">
          <cell r="C25" t="str">
            <v>陈珊珊</v>
          </cell>
          <cell r="D25">
            <v>36</v>
          </cell>
          <cell r="E25">
            <v>1887.22</v>
          </cell>
          <cell r="F25">
            <v>508</v>
          </cell>
        </row>
        <row r="26">
          <cell r="C26" t="str">
            <v>陈世琳</v>
          </cell>
          <cell r="D26">
            <v>120</v>
          </cell>
          <cell r="E26">
            <v>20407.3</v>
          </cell>
          <cell r="F26">
            <v>2023</v>
          </cell>
        </row>
        <row r="27">
          <cell r="C27" t="str">
            <v>大源店</v>
          </cell>
          <cell r="D27">
            <v>93</v>
          </cell>
          <cell r="E27">
            <v>30811.75</v>
          </cell>
          <cell r="F27">
            <v>0</v>
          </cell>
        </row>
        <row r="28">
          <cell r="C28" t="str">
            <v>李燕1</v>
          </cell>
          <cell r="D28">
            <v>97</v>
          </cell>
          <cell r="E28">
            <v>5717.98</v>
          </cell>
          <cell r="F28">
            <v>1261</v>
          </cell>
        </row>
        <row r="29">
          <cell r="C29" t="str">
            <v>张林英</v>
          </cell>
          <cell r="D29">
            <v>2</v>
          </cell>
          <cell r="E29">
            <v>81.13</v>
          </cell>
          <cell r="F29">
            <v>30</v>
          </cell>
        </row>
        <row r="30">
          <cell r="C30" t="str">
            <v>钟秦</v>
          </cell>
          <cell r="D30">
            <v>96</v>
          </cell>
          <cell r="E30">
            <v>9214.99</v>
          </cell>
          <cell r="F30">
            <v>1186</v>
          </cell>
        </row>
        <row r="31">
          <cell r="C31" t="str">
            <v>周林</v>
          </cell>
          <cell r="D31">
            <v>122</v>
          </cell>
          <cell r="E31">
            <v>14187.07</v>
          </cell>
          <cell r="F31">
            <v>1615</v>
          </cell>
        </row>
        <row r="32">
          <cell r="C32" t="str">
            <v>保利店</v>
          </cell>
          <cell r="D32">
            <v>21</v>
          </cell>
          <cell r="E32">
            <v>21218</v>
          </cell>
          <cell r="F32">
            <v>0</v>
          </cell>
        </row>
        <row r="33">
          <cell r="C33" t="str">
            <v>陈琼</v>
          </cell>
          <cell r="D33">
            <v>114</v>
          </cell>
          <cell r="E33">
            <v>11825.28</v>
          </cell>
          <cell r="F33">
            <v>1474</v>
          </cell>
        </row>
        <row r="34">
          <cell r="C34" t="str">
            <v>黄江</v>
          </cell>
          <cell r="D34">
            <v>111</v>
          </cell>
          <cell r="E34">
            <v>14027.7</v>
          </cell>
          <cell r="F34">
            <v>1234</v>
          </cell>
        </row>
        <row r="35">
          <cell r="C35" t="str">
            <v>米琪</v>
          </cell>
          <cell r="D35">
            <v>101</v>
          </cell>
          <cell r="E35">
            <v>6892.7</v>
          </cell>
          <cell r="F35">
            <v>1337</v>
          </cell>
        </row>
        <row r="36">
          <cell r="C36" t="str">
            <v>尚杨</v>
          </cell>
          <cell r="D36">
            <v>68</v>
          </cell>
          <cell r="E36">
            <v>3721.76</v>
          </cell>
          <cell r="F36">
            <v>938</v>
          </cell>
        </row>
        <row r="37">
          <cell r="C37" t="str">
            <v>谭言希</v>
          </cell>
          <cell r="D37">
            <v>102</v>
          </cell>
          <cell r="E37">
            <v>7861.8</v>
          </cell>
          <cell r="F37">
            <v>1140</v>
          </cell>
        </row>
        <row r="38">
          <cell r="C38" t="str">
            <v>杜兰兰</v>
          </cell>
          <cell r="D38">
            <v>106</v>
          </cell>
          <cell r="E38">
            <v>67533.37</v>
          </cell>
          <cell r="F38">
            <v>1237</v>
          </cell>
        </row>
        <row r="39">
          <cell r="C39" t="str">
            <v>马冬梅</v>
          </cell>
          <cell r="D39">
            <v>79</v>
          </cell>
          <cell r="E39">
            <v>5771.98</v>
          </cell>
          <cell r="F39">
            <v>1129</v>
          </cell>
        </row>
        <row r="40">
          <cell r="C40" t="str">
            <v>彭莉群</v>
          </cell>
          <cell r="D40">
            <v>71</v>
          </cell>
          <cell r="E40">
            <v>4789.33</v>
          </cell>
          <cell r="F40">
            <v>952</v>
          </cell>
        </row>
        <row r="41">
          <cell r="C41" t="str">
            <v>千禧店</v>
          </cell>
          <cell r="D41">
            <v>23</v>
          </cell>
          <cell r="E41">
            <v>2797.5</v>
          </cell>
          <cell r="F41">
            <v>0</v>
          </cell>
        </row>
        <row r="42">
          <cell r="C42" t="str">
            <v>王显珍</v>
          </cell>
          <cell r="D42">
            <v>111</v>
          </cell>
          <cell r="E42">
            <v>8434.52</v>
          </cell>
          <cell r="F42">
            <v>1161</v>
          </cell>
        </row>
        <row r="43">
          <cell r="C43" t="str">
            <v>张廷妍</v>
          </cell>
          <cell r="D43">
            <v>103</v>
          </cell>
          <cell r="E43">
            <v>23569.279999999999</v>
          </cell>
          <cell r="F43">
            <v>1480</v>
          </cell>
        </row>
        <row r="44">
          <cell r="C44" t="str">
            <v>凤凰山店</v>
          </cell>
          <cell r="D44">
            <v>25</v>
          </cell>
          <cell r="E44">
            <v>15219</v>
          </cell>
          <cell r="F44">
            <v>0</v>
          </cell>
        </row>
        <row r="45">
          <cell r="C45" t="str">
            <v>徐文平</v>
          </cell>
          <cell r="D45">
            <v>99</v>
          </cell>
          <cell r="E45">
            <v>26333.16</v>
          </cell>
          <cell r="F45">
            <v>1450</v>
          </cell>
        </row>
        <row r="46">
          <cell r="C46" t="str">
            <v>喻容</v>
          </cell>
          <cell r="D46">
            <v>92</v>
          </cell>
          <cell r="E46">
            <v>20649.43</v>
          </cell>
          <cell r="F46">
            <v>1160</v>
          </cell>
        </row>
        <row r="47">
          <cell r="C47" t="str">
            <v>张白金</v>
          </cell>
          <cell r="D47">
            <v>105</v>
          </cell>
          <cell r="E47">
            <v>6608.24</v>
          </cell>
          <cell r="F47">
            <v>1263</v>
          </cell>
        </row>
        <row r="48">
          <cell r="C48" t="str">
            <v>张欣</v>
          </cell>
          <cell r="D48">
            <v>12</v>
          </cell>
          <cell r="E48">
            <v>8727.02</v>
          </cell>
          <cell r="F48">
            <v>49</v>
          </cell>
        </row>
        <row r="49">
          <cell r="C49" t="str">
            <v>郑美函</v>
          </cell>
          <cell r="D49">
            <v>81</v>
          </cell>
          <cell r="E49">
            <v>5713.5</v>
          </cell>
          <cell r="F49">
            <v>1123</v>
          </cell>
        </row>
        <row r="50">
          <cell r="C50" t="str">
            <v>周文慧</v>
          </cell>
          <cell r="D50">
            <v>85</v>
          </cell>
          <cell r="E50">
            <v>5446.22</v>
          </cell>
          <cell r="F50">
            <v>1089</v>
          </cell>
        </row>
        <row r="51">
          <cell r="C51" t="str">
            <v>大丰店</v>
          </cell>
          <cell r="D51">
            <v>47</v>
          </cell>
          <cell r="E51">
            <v>50751.5</v>
          </cell>
          <cell r="F51">
            <v>204</v>
          </cell>
        </row>
        <row r="52">
          <cell r="C52" t="str">
            <v>黎红花</v>
          </cell>
          <cell r="D52">
            <v>156</v>
          </cell>
          <cell r="E52">
            <v>51418.54</v>
          </cell>
          <cell r="F52">
            <v>2340</v>
          </cell>
        </row>
        <row r="53">
          <cell r="C53" t="str">
            <v>刘帆</v>
          </cell>
          <cell r="D53">
            <v>97</v>
          </cell>
          <cell r="E53">
            <v>10085.799999999999</v>
          </cell>
          <cell r="F53">
            <v>1241</v>
          </cell>
        </row>
        <row r="54">
          <cell r="C54" t="str">
            <v>蒲艳婷</v>
          </cell>
          <cell r="D54">
            <v>134</v>
          </cell>
          <cell r="E54">
            <v>17876.88</v>
          </cell>
          <cell r="F54">
            <v>1843</v>
          </cell>
        </row>
        <row r="55">
          <cell r="C55" t="str">
            <v>孙红梅</v>
          </cell>
          <cell r="D55">
            <v>159</v>
          </cell>
          <cell r="E55">
            <v>57021.5</v>
          </cell>
          <cell r="F55">
            <v>2007</v>
          </cell>
        </row>
        <row r="56">
          <cell r="C56" t="str">
            <v>杨艳</v>
          </cell>
          <cell r="D56">
            <v>81</v>
          </cell>
          <cell r="E56">
            <v>4540.6499999999996</v>
          </cell>
          <cell r="F56">
            <v>1039</v>
          </cell>
        </row>
        <row r="57">
          <cell r="C57" t="str">
            <v>袁晓梅</v>
          </cell>
          <cell r="D57">
            <v>33</v>
          </cell>
          <cell r="E57">
            <v>2141.39</v>
          </cell>
          <cell r="F57">
            <v>460</v>
          </cell>
        </row>
        <row r="58">
          <cell r="C58" t="str">
            <v>龚艳</v>
          </cell>
          <cell r="D58">
            <v>107</v>
          </cell>
          <cell r="E58">
            <v>20075.759999999998</v>
          </cell>
          <cell r="F58">
            <v>1546</v>
          </cell>
        </row>
        <row r="59">
          <cell r="C59" t="str">
            <v>李红梅</v>
          </cell>
          <cell r="D59">
            <v>108</v>
          </cell>
          <cell r="E59">
            <v>24816.880000000001</v>
          </cell>
          <cell r="F59">
            <v>1594</v>
          </cell>
        </row>
        <row r="60">
          <cell r="C60" t="str">
            <v>唐尹</v>
          </cell>
          <cell r="D60">
            <v>105.5</v>
          </cell>
          <cell r="E60">
            <v>21255.46</v>
          </cell>
          <cell r="F60">
            <v>1406</v>
          </cell>
        </row>
        <row r="61">
          <cell r="C61" t="str">
            <v>叶朝春</v>
          </cell>
          <cell r="D61">
            <v>88</v>
          </cell>
          <cell r="E61">
            <v>7009.51</v>
          </cell>
          <cell r="F61">
            <v>1186</v>
          </cell>
        </row>
        <row r="62">
          <cell r="C62" t="str">
            <v>余姣姣</v>
          </cell>
          <cell r="D62">
            <v>101.5</v>
          </cell>
          <cell r="E62">
            <v>11905.51</v>
          </cell>
          <cell r="F62">
            <v>1339</v>
          </cell>
        </row>
        <row r="63">
          <cell r="C63" t="str">
            <v>中和店</v>
          </cell>
          <cell r="D63">
            <v>10</v>
          </cell>
          <cell r="E63">
            <v>18360</v>
          </cell>
          <cell r="F63">
            <v>0</v>
          </cell>
        </row>
        <row r="64">
          <cell r="C64" t="str">
            <v>曾怡</v>
          </cell>
          <cell r="D64">
            <v>70.5</v>
          </cell>
          <cell r="E64">
            <v>5032.04</v>
          </cell>
          <cell r="F64">
            <v>963</v>
          </cell>
        </row>
        <row r="65">
          <cell r="C65" t="str">
            <v>胡钦秀</v>
          </cell>
          <cell r="D65">
            <v>78</v>
          </cell>
          <cell r="E65">
            <v>5947.88</v>
          </cell>
          <cell r="F65">
            <v>980</v>
          </cell>
        </row>
        <row r="66">
          <cell r="C66" t="str">
            <v>涌泉店</v>
          </cell>
          <cell r="D66">
            <v>21</v>
          </cell>
          <cell r="E66">
            <v>64770</v>
          </cell>
          <cell r="F66">
            <v>0</v>
          </cell>
        </row>
        <row r="67">
          <cell r="C67" t="str">
            <v>袁玉</v>
          </cell>
          <cell r="D67">
            <v>81.5</v>
          </cell>
          <cell r="E67">
            <v>28112.98</v>
          </cell>
          <cell r="F67">
            <v>1055</v>
          </cell>
        </row>
        <row r="68">
          <cell r="C68" t="str">
            <v>赵晴亮</v>
          </cell>
          <cell r="D68">
            <v>104</v>
          </cell>
          <cell r="E68">
            <v>26242.55</v>
          </cell>
          <cell r="F68">
            <v>1394</v>
          </cell>
        </row>
        <row r="69">
          <cell r="C69" t="str">
            <v>郑丹</v>
          </cell>
          <cell r="D69">
            <v>93</v>
          </cell>
          <cell r="E69">
            <v>8694.48</v>
          </cell>
          <cell r="F69">
            <v>1093</v>
          </cell>
        </row>
        <row r="70">
          <cell r="C70" t="str">
            <v>沙河店</v>
          </cell>
          <cell r="D70">
            <v>35</v>
          </cell>
          <cell r="E70">
            <v>10389</v>
          </cell>
          <cell r="F70">
            <v>20</v>
          </cell>
        </row>
        <row r="71">
          <cell r="C71" t="str">
            <v>唐容</v>
          </cell>
          <cell r="D71">
            <v>139</v>
          </cell>
          <cell r="E71">
            <v>31869.96</v>
          </cell>
          <cell r="F71">
            <v>1977</v>
          </cell>
        </row>
        <row r="72">
          <cell r="C72" t="str">
            <v>王依蕊</v>
          </cell>
          <cell r="D72">
            <v>118.5</v>
          </cell>
          <cell r="E72">
            <v>15459.98</v>
          </cell>
          <cell r="F72">
            <v>1545</v>
          </cell>
        </row>
        <row r="73">
          <cell r="C73" t="str">
            <v>叶文娟</v>
          </cell>
          <cell r="D73">
            <v>114</v>
          </cell>
          <cell r="E73">
            <v>15290.08</v>
          </cell>
          <cell r="F73">
            <v>1466</v>
          </cell>
        </row>
        <row r="74">
          <cell r="C74" t="str">
            <v>张芮</v>
          </cell>
          <cell r="D74">
            <v>128.5</v>
          </cell>
          <cell r="E74">
            <v>36070.199999999997</v>
          </cell>
          <cell r="F74">
            <v>1632</v>
          </cell>
        </row>
        <row r="75">
          <cell r="C75" t="str">
            <v>张元琼</v>
          </cell>
          <cell r="D75">
            <v>145</v>
          </cell>
          <cell r="E75">
            <v>33374.620000000003</v>
          </cell>
          <cell r="F75">
            <v>2127</v>
          </cell>
        </row>
        <row r="76">
          <cell r="C76" t="str">
            <v>曹悦</v>
          </cell>
          <cell r="D76">
            <v>89</v>
          </cell>
          <cell r="E76">
            <v>34300.11</v>
          </cell>
          <cell r="F76">
            <v>1028</v>
          </cell>
        </row>
        <row r="77">
          <cell r="C77" t="str">
            <v>李思忆</v>
          </cell>
          <cell r="D77">
            <v>88</v>
          </cell>
          <cell r="E77">
            <v>22991.78</v>
          </cell>
          <cell r="F77">
            <v>1248</v>
          </cell>
        </row>
        <row r="78">
          <cell r="C78" t="str">
            <v>梁缘缘</v>
          </cell>
          <cell r="D78">
            <v>69</v>
          </cell>
          <cell r="E78">
            <v>18391.38</v>
          </cell>
          <cell r="F78">
            <v>979</v>
          </cell>
        </row>
        <row r="79">
          <cell r="C79" t="str">
            <v>融创店</v>
          </cell>
          <cell r="D79">
            <v>19</v>
          </cell>
          <cell r="E79">
            <v>1320</v>
          </cell>
          <cell r="F79">
            <v>0</v>
          </cell>
        </row>
        <row r="80">
          <cell r="C80" t="str">
            <v>吴飞雁</v>
          </cell>
          <cell r="D80">
            <v>70</v>
          </cell>
          <cell r="E80">
            <v>11679.15</v>
          </cell>
          <cell r="F80">
            <v>896</v>
          </cell>
        </row>
        <row r="81">
          <cell r="C81" t="str">
            <v>尹桂香</v>
          </cell>
          <cell r="D81">
            <v>82</v>
          </cell>
          <cell r="E81">
            <v>11535.34</v>
          </cell>
          <cell r="F81">
            <v>1032</v>
          </cell>
        </row>
        <row r="82">
          <cell r="C82" t="str">
            <v>赵情情</v>
          </cell>
          <cell r="D82">
            <v>86</v>
          </cell>
          <cell r="E82">
            <v>18249.46</v>
          </cell>
          <cell r="F82">
            <v>1014</v>
          </cell>
        </row>
        <row r="83">
          <cell r="C83" t="str">
            <v>陈洁</v>
          </cell>
          <cell r="D83">
            <v>94</v>
          </cell>
          <cell r="E83">
            <v>23088.240000000002</v>
          </cell>
          <cell r="F83">
            <v>1257</v>
          </cell>
        </row>
        <row r="84">
          <cell r="C84" t="str">
            <v>侯英</v>
          </cell>
          <cell r="D84">
            <v>82</v>
          </cell>
          <cell r="E84">
            <v>8043.96</v>
          </cell>
          <cell r="F84">
            <v>1185</v>
          </cell>
        </row>
        <row r="85">
          <cell r="C85" t="str">
            <v>马宏梅</v>
          </cell>
          <cell r="D85">
            <v>83</v>
          </cell>
          <cell r="E85">
            <v>27866.76</v>
          </cell>
          <cell r="F85">
            <v>979</v>
          </cell>
        </row>
        <row r="86">
          <cell r="C86" t="str">
            <v>荣华南路店</v>
          </cell>
          <cell r="D86">
            <v>3</v>
          </cell>
          <cell r="E86">
            <v>4592.87</v>
          </cell>
          <cell r="F86">
            <v>0</v>
          </cell>
        </row>
        <row r="87">
          <cell r="C87" t="str">
            <v>谢德芳</v>
          </cell>
          <cell r="D87">
            <v>78</v>
          </cell>
          <cell r="E87">
            <v>7520.64</v>
          </cell>
          <cell r="F87">
            <v>1066</v>
          </cell>
        </row>
        <row r="88">
          <cell r="C88" t="str">
            <v>郑加焕</v>
          </cell>
          <cell r="D88">
            <v>104</v>
          </cell>
          <cell r="E88">
            <v>18058.03</v>
          </cell>
          <cell r="F88">
            <v>1533</v>
          </cell>
        </row>
        <row r="89">
          <cell r="C89" t="str">
            <v>李凤</v>
          </cell>
          <cell r="D89">
            <v>85</v>
          </cell>
          <cell r="E89">
            <v>7126.18</v>
          </cell>
          <cell r="F89">
            <v>1095</v>
          </cell>
        </row>
        <row r="90">
          <cell r="C90" t="str">
            <v>刘裕琼</v>
          </cell>
          <cell r="D90">
            <v>101</v>
          </cell>
          <cell r="E90">
            <v>21310.35</v>
          </cell>
          <cell r="F90">
            <v>1292</v>
          </cell>
        </row>
        <row r="91">
          <cell r="C91" t="str">
            <v>龙巧云</v>
          </cell>
          <cell r="D91">
            <v>106</v>
          </cell>
          <cell r="E91">
            <v>19482.240000000002</v>
          </cell>
          <cell r="F91">
            <v>1279</v>
          </cell>
        </row>
        <row r="92">
          <cell r="C92" t="str">
            <v>骑士郡店</v>
          </cell>
          <cell r="D92">
            <v>20</v>
          </cell>
          <cell r="E92">
            <v>4197.9799999999996</v>
          </cell>
          <cell r="F92">
            <v>0</v>
          </cell>
        </row>
        <row r="93">
          <cell r="C93" t="str">
            <v>谭福英</v>
          </cell>
          <cell r="D93">
            <v>109</v>
          </cell>
          <cell r="E93">
            <v>12395.25</v>
          </cell>
          <cell r="F93">
            <v>1209</v>
          </cell>
        </row>
        <row r="94">
          <cell r="C94" t="str">
            <v>唐施语</v>
          </cell>
          <cell r="D94">
            <v>101</v>
          </cell>
          <cell r="E94">
            <v>18303.84</v>
          </cell>
          <cell r="F94">
            <v>1155</v>
          </cell>
        </row>
        <row r="95">
          <cell r="C95" t="str">
            <v>唐玉芳</v>
          </cell>
          <cell r="D95">
            <v>79</v>
          </cell>
          <cell r="E95">
            <v>40016.480000000003</v>
          </cell>
          <cell r="F95">
            <v>1095</v>
          </cell>
        </row>
        <row r="96">
          <cell r="C96" t="str">
            <v>川音店</v>
          </cell>
          <cell r="D96">
            <v>53</v>
          </cell>
          <cell r="E96">
            <v>80699</v>
          </cell>
          <cell r="F96">
            <v>0</v>
          </cell>
        </row>
        <row r="97">
          <cell r="C97" t="str">
            <v>贺丽</v>
          </cell>
          <cell r="D97">
            <v>67</v>
          </cell>
          <cell r="E97">
            <v>5211.9399999999996</v>
          </cell>
          <cell r="F97">
            <v>1062</v>
          </cell>
        </row>
        <row r="98">
          <cell r="C98" t="str">
            <v>李海瑛</v>
          </cell>
          <cell r="D98">
            <v>56</v>
          </cell>
          <cell r="E98">
            <v>2668.06</v>
          </cell>
          <cell r="F98">
            <v>656</v>
          </cell>
        </row>
        <row r="99">
          <cell r="C99" t="str">
            <v>彭羽佳</v>
          </cell>
          <cell r="D99">
            <v>45</v>
          </cell>
          <cell r="E99">
            <v>3082.38</v>
          </cell>
          <cell r="F99">
            <v>610</v>
          </cell>
        </row>
        <row r="100">
          <cell r="C100" t="str">
            <v>王能琴</v>
          </cell>
          <cell r="D100">
            <v>59</v>
          </cell>
          <cell r="E100">
            <v>2856.63</v>
          </cell>
          <cell r="F100">
            <v>814</v>
          </cell>
        </row>
        <row r="101">
          <cell r="C101" t="str">
            <v>翁玲</v>
          </cell>
          <cell r="D101">
            <v>56</v>
          </cell>
          <cell r="E101">
            <v>3540.96</v>
          </cell>
          <cell r="F101">
            <v>613</v>
          </cell>
        </row>
        <row r="102">
          <cell r="C102" t="str">
            <v>殷小燕</v>
          </cell>
          <cell r="D102">
            <v>74</v>
          </cell>
          <cell r="E102">
            <v>8653.2099999999991</v>
          </cell>
          <cell r="F102">
            <v>950</v>
          </cell>
        </row>
        <row r="103">
          <cell r="C103" t="str">
            <v>朱成芳</v>
          </cell>
          <cell r="D103">
            <v>56</v>
          </cell>
          <cell r="E103">
            <v>5148.9799999999996</v>
          </cell>
          <cell r="F103">
            <v>559</v>
          </cell>
        </row>
        <row r="104">
          <cell r="C104" t="str">
            <v>邹孟君</v>
          </cell>
          <cell r="D104">
            <v>57</v>
          </cell>
          <cell r="E104">
            <v>3102.44</v>
          </cell>
          <cell r="F104">
            <v>796</v>
          </cell>
        </row>
        <row r="105">
          <cell r="C105" t="str">
            <v>陈红霞</v>
          </cell>
          <cell r="D105">
            <v>99</v>
          </cell>
          <cell r="E105">
            <v>7885.26</v>
          </cell>
          <cell r="F105">
            <v>1208</v>
          </cell>
        </row>
        <row r="106">
          <cell r="C106" t="str">
            <v>康红梅</v>
          </cell>
          <cell r="D106">
            <v>120.5</v>
          </cell>
          <cell r="E106">
            <v>53433.05</v>
          </cell>
          <cell r="F106">
            <v>1692</v>
          </cell>
        </row>
        <row r="107">
          <cell r="C107" t="str">
            <v>廖增珍</v>
          </cell>
          <cell r="D107">
            <v>83</v>
          </cell>
          <cell r="E107">
            <v>15849.5</v>
          </cell>
          <cell r="F107">
            <v>1037</v>
          </cell>
        </row>
        <row r="108">
          <cell r="C108" t="str">
            <v>刘巧艳</v>
          </cell>
          <cell r="D108">
            <v>88</v>
          </cell>
          <cell r="E108">
            <v>69681.67</v>
          </cell>
          <cell r="F108">
            <v>1160</v>
          </cell>
        </row>
        <row r="109">
          <cell r="C109" t="str">
            <v>刘晓丽</v>
          </cell>
          <cell r="D109">
            <v>114</v>
          </cell>
          <cell r="E109">
            <v>24707.94</v>
          </cell>
          <cell r="F109">
            <v>1173.5</v>
          </cell>
        </row>
        <row r="110">
          <cell r="C110" t="str">
            <v>任静</v>
          </cell>
          <cell r="D110">
            <v>100</v>
          </cell>
          <cell r="E110">
            <v>31398.68</v>
          </cell>
          <cell r="F110">
            <v>1087.5</v>
          </cell>
        </row>
        <row r="111">
          <cell r="C111" t="str">
            <v>唐银春</v>
          </cell>
          <cell r="D111">
            <v>128</v>
          </cell>
          <cell r="E111">
            <v>33731.67</v>
          </cell>
          <cell r="F111">
            <v>1541</v>
          </cell>
        </row>
        <row r="112">
          <cell r="C112" t="str">
            <v>紫荆店</v>
          </cell>
          <cell r="D112">
            <v>17</v>
          </cell>
          <cell r="E112">
            <v>105411</v>
          </cell>
          <cell r="F112">
            <v>12</v>
          </cell>
        </row>
        <row r="113">
          <cell r="C113" t="str">
            <v>郝中南</v>
          </cell>
          <cell r="D113">
            <v>129.5</v>
          </cell>
          <cell r="E113">
            <v>25042.22</v>
          </cell>
          <cell r="F113">
            <v>1869</v>
          </cell>
        </row>
        <row r="114">
          <cell r="C114" t="str">
            <v>罗湘湘</v>
          </cell>
          <cell r="D114">
            <v>114</v>
          </cell>
          <cell r="E114">
            <v>8687.26</v>
          </cell>
          <cell r="F114">
            <v>1449</v>
          </cell>
        </row>
        <row r="115">
          <cell r="C115" t="str">
            <v>彭措志玛</v>
          </cell>
          <cell r="D115">
            <v>130</v>
          </cell>
          <cell r="E115">
            <v>21667.48</v>
          </cell>
          <cell r="F115">
            <v>1322.5</v>
          </cell>
        </row>
        <row r="116">
          <cell r="C116" t="str">
            <v>冉芳霞</v>
          </cell>
          <cell r="D116">
            <v>144.5</v>
          </cell>
          <cell r="E116">
            <v>28989.86</v>
          </cell>
          <cell r="F116">
            <v>1752.5</v>
          </cell>
        </row>
        <row r="117">
          <cell r="C117" t="str">
            <v>双流店</v>
          </cell>
          <cell r="D117">
            <v>40</v>
          </cell>
          <cell r="E117">
            <v>186417</v>
          </cell>
          <cell r="F117">
            <v>0</v>
          </cell>
        </row>
        <row r="118">
          <cell r="C118" t="str">
            <v>谭萍</v>
          </cell>
          <cell r="D118">
            <v>139.5</v>
          </cell>
          <cell r="E118">
            <v>20314.169999999998</v>
          </cell>
          <cell r="F118">
            <v>1693</v>
          </cell>
        </row>
        <row r="119">
          <cell r="C119" t="str">
            <v>陈美合</v>
          </cell>
          <cell r="D119">
            <v>104.5</v>
          </cell>
          <cell r="E119">
            <v>14841.44</v>
          </cell>
          <cell r="F119">
            <v>1112</v>
          </cell>
        </row>
        <row r="120">
          <cell r="C120" t="str">
            <v>郝莉娜</v>
          </cell>
          <cell r="D120">
            <v>73</v>
          </cell>
          <cell r="E120">
            <v>4249.66</v>
          </cell>
          <cell r="F120">
            <v>865</v>
          </cell>
        </row>
        <row r="121">
          <cell r="C121" t="str">
            <v>胡红琳</v>
          </cell>
          <cell r="D121">
            <v>116</v>
          </cell>
          <cell r="E121">
            <v>37325.57</v>
          </cell>
          <cell r="F121">
            <v>1256</v>
          </cell>
        </row>
        <row r="122">
          <cell r="C122" t="str">
            <v>路平</v>
          </cell>
          <cell r="D122">
            <v>14</v>
          </cell>
          <cell r="E122">
            <v>1149.21</v>
          </cell>
          <cell r="F122">
            <v>178</v>
          </cell>
        </row>
        <row r="123">
          <cell r="C123" t="str">
            <v>荣华北路店</v>
          </cell>
          <cell r="D123">
            <v>37</v>
          </cell>
          <cell r="E123">
            <v>15557</v>
          </cell>
          <cell r="F123">
            <v>231</v>
          </cell>
        </row>
        <row r="124">
          <cell r="C124" t="str">
            <v>王萍</v>
          </cell>
          <cell r="D124">
            <v>117</v>
          </cell>
          <cell r="E124">
            <v>42959.34</v>
          </cell>
          <cell r="F124">
            <v>1851</v>
          </cell>
        </row>
        <row r="125">
          <cell r="C125" t="str">
            <v>谢娟</v>
          </cell>
          <cell r="D125">
            <v>123</v>
          </cell>
          <cell r="E125">
            <v>25746.36</v>
          </cell>
          <cell r="F125">
            <v>2035</v>
          </cell>
        </row>
        <row r="126">
          <cell r="C126" t="str">
            <v>达卓措</v>
          </cell>
          <cell r="D126">
            <v>79.5</v>
          </cell>
          <cell r="E126">
            <v>5287.65</v>
          </cell>
          <cell r="F126">
            <v>1021</v>
          </cell>
        </row>
        <row r="127">
          <cell r="C127" t="str">
            <v>高琴</v>
          </cell>
          <cell r="D127">
            <v>130</v>
          </cell>
          <cell r="E127">
            <v>6148.22</v>
          </cell>
          <cell r="F127">
            <v>1339</v>
          </cell>
        </row>
        <row r="128">
          <cell r="C128" t="str">
            <v>李彩华</v>
          </cell>
          <cell r="D128">
            <v>106</v>
          </cell>
          <cell r="E128">
            <v>9635.01</v>
          </cell>
          <cell r="F128">
            <v>1748</v>
          </cell>
        </row>
        <row r="129">
          <cell r="C129" t="str">
            <v>廖妍</v>
          </cell>
          <cell r="D129">
            <v>100</v>
          </cell>
          <cell r="E129">
            <v>14073.36</v>
          </cell>
          <cell r="F129">
            <v>854</v>
          </cell>
        </row>
        <row r="130">
          <cell r="C130" t="str">
            <v>刘九招</v>
          </cell>
          <cell r="D130">
            <v>121</v>
          </cell>
          <cell r="E130">
            <v>20521.48</v>
          </cell>
          <cell r="F130">
            <v>1662</v>
          </cell>
        </row>
        <row r="131">
          <cell r="C131" t="str">
            <v>南湖店</v>
          </cell>
          <cell r="D131">
            <v>44</v>
          </cell>
          <cell r="E131">
            <v>61499.07</v>
          </cell>
          <cell r="F131">
            <v>75</v>
          </cell>
        </row>
        <row r="132">
          <cell r="C132" t="str">
            <v>朱羽</v>
          </cell>
          <cell r="D132">
            <v>110</v>
          </cell>
          <cell r="E132">
            <v>9662.0400000000009</v>
          </cell>
          <cell r="F132">
            <v>1139</v>
          </cell>
        </row>
        <row r="133">
          <cell r="C133" t="str">
            <v>安家晴</v>
          </cell>
          <cell r="D133">
            <v>37</v>
          </cell>
          <cell r="E133">
            <v>2623.68</v>
          </cell>
          <cell r="F133">
            <v>493</v>
          </cell>
        </row>
        <row r="134">
          <cell r="C134" t="str">
            <v>顾红艳</v>
          </cell>
          <cell r="D134">
            <v>105</v>
          </cell>
          <cell r="E134">
            <v>20239.59</v>
          </cell>
          <cell r="F134">
            <v>1394</v>
          </cell>
        </row>
        <row r="135">
          <cell r="C135" t="str">
            <v>郭小丽</v>
          </cell>
          <cell r="D135">
            <v>121</v>
          </cell>
          <cell r="E135">
            <v>16834.400000000001</v>
          </cell>
          <cell r="F135">
            <v>1746</v>
          </cell>
        </row>
        <row r="136">
          <cell r="C136" t="str">
            <v>雷娜婷</v>
          </cell>
          <cell r="D136">
            <v>135.5</v>
          </cell>
          <cell r="E136">
            <v>17565.3</v>
          </cell>
          <cell r="F136">
            <v>1800</v>
          </cell>
        </row>
        <row r="137">
          <cell r="C137" t="str">
            <v>梁婷</v>
          </cell>
          <cell r="D137">
            <v>108</v>
          </cell>
          <cell r="E137">
            <v>21935.93</v>
          </cell>
          <cell r="F137">
            <v>1301</v>
          </cell>
        </row>
        <row r="138">
          <cell r="C138" t="str">
            <v>鹭岛店</v>
          </cell>
          <cell r="D138">
            <v>14</v>
          </cell>
          <cell r="E138">
            <v>11817.05</v>
          </cell>
          <cell r="F138">
            <v>0</v>
          </cell>
        </row>
        <row r="139">
          <cell r="C139" t="str">
            <v>叶美霞</v>
          </cell>
          <cell r="D139">
            <v>52</v>
          </cell>
          <cell r="E139">
            <v>3564.77</v>
          </cell>
          <cell r="F139">
            <v>605</v>
          </cell>
        </row>
        <row r="140">
          <cell r="C140" t="str">
            <v>陈春秀</v>
          </cell>
          <cell r="D140">
            <v>23</v>
          </cell>
          <cell r="E140">
            <v>1647.92</v>
          </cell>
          <cell r="F140">
            <v>283</v>
          </cell>
        </row>
        <row r="141">
          <cell r="C141" t="str">
            <v>邓雪梅</v>
          </cell>
          <cell r="D141">
            <v>142</v>
          </cell>
          <cell r="E141">
            <v>28082.959999999999</v>
          </cell>
          <cell r="F141">
            <v>1843</v>
          </cell>
        </row>
        <row r="142">
          <cell r="C142" t="str">
            <v>高雪</v>
          </cell>
          <cell r="D142">
            <v>116</v>
          </cell>
          <cell r="E142">
            <v>18564.669999999998</v>
          </cell>
          <cell r="F142">
            <v>1268</v>
          </cell>
        </row>
        <row r="143">
          <cell r="C143" t="str">
            <v>何婷</v>
          </cell>
          <cell r="D143">
            <v>138</v>
          </cell>
          <cell r="E143">
            <v>24568.3</v>
          </cell>
          <cell r="F143">
            <v>1674</v>
          </cell>
        </row>
        <row r="144">
          <cell r="C144" t="str">
            <v>刘慧</v>
          </cell>
          <cell r="D144">
            <v>114</v>
          </cell>
          <cell r="E144">
            <v>46164.46</v>
          </cell>
          <cell r="F144">
            <v>1296</v>
          </cell>
        </row>
        <row r="145">
          <cell r="C145" t="str">
            <v>龙湖店</v>
          </cell>
          <cell r="D145">
            <v>25</v>
          </cell>
          <cell r="E145">
            <v>32053.26</v>
          </cell>
          <cell r="F145">
            <v>0</v>
          </cell>
        </row>
        <row r="146">
          <cell r="C146" t="str">
            <v>张候敏</v>
          </cell>
          <cell r="D146">
            <v>133</v>
          </cell>
          <cell r="E146">
            <v>58362.94</v>
          </cell>
          <cell r="F146">
            <v>1687</v>
          </cell>
        </row>
        <row r="147">
          <cell r="C147" t="str">
            <v>达哇卓玛</v>
          </cell>
          <cell r="D147">
            <v>110</v>
          </cell>
          <cell r="E147">
            <v>12768.22</v>
          </cell>
          <cell r="F147">
            <v>1312</v>
          </cell>
        </row>
        <row r="148">
          <cell r="C148" t="str">
            <v>光华店</v>
          </cell>
          <cell r="D148">
            <v>11</v>
          </cell>
          <cell r="E148">
            <v>1789.33</v>
          </cell>
          <cell r="F148">
            <v>32</v>
          </cell>
        </row>
        <row r="149">
          <cell r="C149" t="str">
            <v>康钦</v>
          </cell>
          <cell r="D149">
            <v>115</v>
          </cell>
          <cell r="E149">
            <v>40480.21</v>
          </cell>
          <cell r="F149">
            <v>1739</v>
          </cell>
        </row>
        <row r="150">
          <cell r="C150" t="str">
            <v>马菁</v>
          </cell>
          <cell r="D150">
            <v>122</v>
          </cell>
          <cell r="E150">
            <v>18967.5</v>
          </cell>
          <cell r="F150">
            <v>1520</v>
          </cell>
        </row>
        <row r="151">
          <cell r="C151" t="str">
            <v>聂娟</v>
          </cell>
          <cell r="D151">
            <v>135</v>
          </cell>
          <cell r="E151">
            <v>48257.49</v>
          </cell>
          <cell r="F151">
            <v>1937</v>
          </cell>
        </row>
        <row r="152">
          <cell r="C152" t="str">
            <v>熊艳</v>
          </cell>
          <cell r="D152">
            <v>120.5</v>
          </cell>
          <cell r="E152">
            <v>29465.21</v>
          </cell>
          <cell r="F152">
            <v>1585</v>
          </cell>
        </row>
        <row r="153">
          <cell r="C153" t="str">
            <v>陈定坤</v>
          </cell>
          <cell r="D153">
            <v>102</v>
          </cell>
          <cell r="E153">
            <v>5913.88</v>
          </cell>
          <cell r="F153">
            <v>1110</v>
          </cell>
        </row>
        <row r="154">
          <cell r="C154" t="str">
            <v>付薪燕</v>
          </cell>
          <cell r="D154">
            <v>115.5</v>
          </cell>
          <cell r="E154">
            <v>8021.09</v>
          </cell>
          <cell r="F154">
            <v>1344</v>
          </cell>
        </row>
        <row r="155">
          <cell r="C155" t="str">
            <v>李科</v>
          </cell>
          <cell r="D155">
            <v>118</v>
          </cell>
          <cell r="E155">
            <v>17541.330000000002</v>
          </cell>
          <cell r="F155">
            <v>1707</v>
          </cell>
        </row>
        <row r="156">
          <cell r="C156" t="str">
            <v>刘霞</v>
          </cell>
          <cell r="D156">
            <v>78</v>
          </cell>
          <cell r="E156">
            <v>12053.89</v>
          </cell>
          <cell r="F156">
            <v>819</v>
          </cell>
        </row>
        <row r="157">
          <cell r="C157" t="str">
            <v>石海力</v>
          </cell>
          <cell r="D157">
            <v>94.5</v>
          </cell>
          <cell r="E157">
            <v>13323.72</v>
          </cell>
          <cell r="F157">
            <v>1155</v>
          </cell>
        </row>
        <row r="158">
          <cell r="C158" t="str">
            <v>亚洲湾店</v>
          </cell>
          <cell r="D158">
            <v>34</v>
          </cell>
          <cell r="E158">
            <v>46218.71</v>
          </cell>
          <cell r="F158">
            <v>0</v>
          </cell>
        </row>
        <row r="159">
          <cell r="C159" t="str">
            <v>贺金云</v>
          </cell>
          <cell r="D159">
            <v>71</v>
          </cell>
          <cell r="E159">
            <v>7654.79</v>
          </cell>
          <cell r="F159">
            <v>892</v>
          </cell>
        </row>
        <row r="160">
          <cell r="C160" t="str">
            <v>冷忠翠</v>
          </cell>
          <cell r="D160">
            <v>140</v>
          </cell>
          <cell r="E160">
            <v>25735.17</v>
          </cell>
          <cell r="F160">
            <v>1889</v>
          </cell>
        </row>
        <row r="161">
          <cell r="C161" t="str">
            <v>明信店</v>
          </cell>
          <cell r="D161">
            <v>31.5</v>
          </cell>
          <cell r="E161">
            <v>4996.3</v>
          </cell>
          <cell r="F161">
            <v>0</v>
          </cell>
        </row>
        <row r="162">
          <cell r="C162" t="str">
            <v>舒许芳</v>
          </cell>
          <cell r="D162">
            <v>76</v>
          </cell>
          <cell r="E162">
            <v>4125.03</v>
          </cell>
          <cell r="F162">
            <v>1064</v>
          </cell>
        </row>
        <row r="163">
          <cell r="C163" t="str">
            <v>王红</v>
          </cell>
          <cell r="D163">
            <v>109.5</v>
          </cell>
          <cell r="E163">
            <v>11864.38</v>
          </cell>
          <cell r="F163">
            <v>1467</v>
          </cell>
        </row>
        <row r="164">
          <cell r="C164" t="str">
            <v>谢翠华</v>
          </cell>
          <cell r="D164">
            <v>39</v>
          </cell>
          <cell r="E164">
            <v>2543.87</v>
          </cell>
          <cell r="F164">
            <v>536</v>
          </cell>
        </row>
        <row r="165">
          <cell r="C165" t="str">
            <v>郑晓芳</v>
          </cell>
          <cell r="D165">
            <v>18</v>
          </cell>
          <cell r="E165">
            <v>1250.07</v>
          </cell>
          <cell r="F165">
            <v>233</v>
          </cell>
        </row>
        <row r="166">
          <cell r="C166" t="str">
            <v>川师店</v>
          </cell>
          <cell r="D166">
            <v>58</v>
          </cell>
          <cell r="E166">
            <v>65106.42</v>
          </cell>
          <cell r="F166">
            <v>0</v>
          </cell>
        </row>
        <row r="167">
          <cell r="C167" t="str">
            <v>李萌</v>
          </cell>
          <cell r="D167">
            <v>95</v>
          </cell>
          <cell r="E167">
            <v>14369.11</v>
          </cell>
          <cell r="F167">
            <v>1073</v>
          </cell>
        </row>
        <row r="168">
          <cell r="C168" t="str">
            <v>李巧娇</v>
          </cell>
          <cell r="D168">
            <v>110</v>
          </cell>
          <cell r="E168">
            <v>43190.45</v>
          </cell>
          <cell r="F168">
            <v>1112</v>
          </cell>
        </row>
        <row r="169">
          <cell r="C169" t="str">
            <v>柳全菊</v>
          </cell>
          <cell r="D169">
            <v>97</v>
          </cell>
          <cell r="E169">
            <v>12371.53</v>
          </cell>
          <cell r="F169">
            <v>1064</v>
          </cell>
        </row>
        <row r="170">
          <cell r="C170" t="str">
            <v>罗雪</v>
          </cell>
          <cell r="D170">
            <v>125</v>
          </cell>
          <cell r="E170">
            <v>25702.1</v>
          </cell>
          <cell r="F170">
            <v>1840</v>
          </cell>
        </row>
        <row r="171">
          <cell r="C171" t="str">
            <v>唐宇欣</v>
          </cell>
          <cell r="D171">
            <v>113</v>
          </cell>
          <cell r="E171">
            <v>31950.77</v>
          </cell>
          <cell r="F171">
            <v>1181</v>
          </cell>
        </row>
        <row r="172">
          <cell r="C172" t="str">
            <v>刘婵琴</v>
          </cell>
          <cell r="D172">
            <v>119</v>
          </cell>
          <cell r="E172">
            <v>16872.439999999999</v>
          </cell>
          <cell r="F172">
            <v>1489</v>
          </cell>
        </row>
        <row r="173">
          <cell r="C173" t="str">
            <v>欧迎春</v>
          </cell>
          <cell r="D173">
            <v>129</v>
          </cell>
          <cell r="E173">
            <v>48184.25</v>
          </cell>
          <cell r="F173">
            <v>1894</v>
          </cell>
        </row>
        <row r="174">
          <cell r="C174" t="str">
            <v>舒阳</v>
          </cell>
          <cell r="D174">
            <v>104</v>
          </cell>
          <cell r="E174">
            <v>7445.38</v>
          </cell>
          <cell r="F174">
            <v>1252</v>
          </cell>
        </row>
        <row r="175">
          <cell r="C175" t="str">
            <v>谭芙蓉</v>
          </cell>
          <cell r="D175">
            <v>111</v>
          </cell>
          <cell r="E175">
            <v>19882.2</v>
          </cell>
          <cell r="F175">
            <v>1352</v>
          </cell>
        </row>
        <row r="176">
          <cell r="C176" t="str">
            <v>犀浦店</v>
          </cell>
          <cell r="D176">
            <v>12</v>
          </cell>
          <cell r="E176">
            <v>0</v>
          </cell>
          <cell r="F176">
            <v>0</v>
          </cell>
        </row>
        <row r="177">
          <cell r="C177" t="str">
            <v>泽仁拉姆</v>
          </cell>
          <cell r="D177">
            <v>101</v>
          </cell>
          <cell r="E177">
            <v>15050.06</v>
          </cell>
          <cell r="F177">
            <v>1422</v>
          </cell>
        </row>
        <row r="178">
          <cell r="C178" t="str">
            <v>张霞</v>
          </cell>
          <cell r="D178">
            <v>126</v>
          </cell>
          <cell r="E178">
            <v>12792.49</v>
          </cell>
          <cell r="F178">
            <v>1437</v>
          </cell>
        </row>
        <row r="179">
          <cell r="C179" t="str">
            <v>陈丽</v>
          </cell>
          <cell r="D179">
            <v>5</v>
          </cell>
          <cell r="E179">
            <v>270.95999999999998</v>
          </cell>
          <cell r="F179">
            <v>70</v>
          </cell>
        </row>
        <row r="180">
          <cell r="C180" t="str">
            <v>李洪芳</v>
          </cell>
          <cell r="D180">
            <v>99.5</v>
          </cell>
          <cell r="E180">
            <v>25992.16</v>
          </cell>
          <cell r="F180">
            <v>1526</v>
          </cell>
        </row>
        <row r="181">
          <cell r="C181" t="str">
            <v>龙城国际店</v>
          </cell>
          <cell r="D181">
            <v>23</v>
          </cell>
          <cell r="E181">
            <v>68388</v>
          </cell>
          <cell r="F181">
            <v>0</v>
          </cell>
        </row>
        <row r="182">
          <cell r="C182" t="str">
            <v>罗文文</v>
          </cell>
          <cell r="D182">
            <v>73.5</v>
          </cell>
          <cell r="E182">
            <v>6857.83</v>
          </cell>
          <cell r="F182">
            <v>971.5</v>
          </cell>
        </row>
        <row r="183">
          <cell r="C183" t="str">
            <v>王维</v>
          </cell>
          <cell r="D183">
            <v>84</v>
          </cell>
          <cell r="E183">
            <v>7072.69</v>
          </cell>
          <cell r="F183">
            <v>1009</v>
          </cell>
        </row>
        <row r="184">
          <cell r="C184" t="str">
            <v>谢金梅</v>
          </cell>
          <cell r="D184">
            <v>39</v>
          </cell>
          <cell r="E184">
            <v>7196.53</v>
          </cell>
          <cell r="F184">
            <v>504.5</v>
          </cell>
        </row>
        <row r="185">
          <cell r="C185" t="str">
            <v>钟心悦</v>
          </cell>
          <cell r="D185">
            <v>20</v>
          </cell>
          <cell r="E185">
            <v>864.77</v>
          </cell>
          <cell r="F185">
            <v>210</v>
          </cell>
        </row>
        <row r="186">
          <cell r="C186" t="str">
            <v>邹奇圻</v>
          </cell>
          <cell r="D186">
            <v>16</v>
          </cell>
          <cell r="E186">
            <v>780.5</v>
          </cell>
          <cell r="F186">
            <v>211</v>
          </cell>
        </row>
        <row r="187">
          <cell r="C187" t="str">
            <v>陈建蓉</v>
          </cell>
          <cell r="D187">
            <v>138</v>
          </cell>
          <cell r="E187">
            <v>28777.7</v>
          </cell>
          <cell r="F187">
            <v>1622</v>
          </cell>
        </row>
        <row r="188">
          <cell r="C188" t="str">
            <v>董顺秀</v>
          </cell>
          <cell r="D188">
            <v>126</v>
          </cell>
          <cell r="E188">
            <v>86891.64</v>
          </cell>
          <cell r="F188">
            <v>1593</v>
          </cell>
        </row>
        <row r="189">
          <cell r="C189" t="str">
            <v>静居寺店</v>
          </cell>
          <cell r="D189">
            <v>57</v>
          </cell>
          <cell r="E189">
            <v>182027.66</v>
          </cell>
          <cell r="F189">
            <v>232</v>
          </cell>
        </row>
        <row r="190">
          <cell r="C190" t="str">
            <v>黎茂婷</v>
          </cell>
          <cell r="D190">
            <v>141</v>
          </cell>
          <cell r="E190">
            <v>46794.41</v>
          </cell>
          <cell r="F190">
            <v>1846</v>
          </cell>
        </row>
        <row r="191">
          <cell r="C191" t="str">
            <v>王娇</v>
          </cell>
          <cell r="D191">
            <v>119</v>
          </cell>
          <cell r="E191">
            <v>32374.69</v>
          </cell>
          <cell r="F191">
            <v>1254</v>
          </cell>
        </row>
        <row r="192">
          <cell r="C192" t="str">
            <v>杨金花</v>
          </cell>
          <cell r="D192">
            <v>141</v>
          </cell>
          <cell r="E192">
            <v>55759.65</v>
          </cell>
          <cell r="F192">
            <v>1755</v>
          </cell>
        </row>
        <row r="193">
          <cell r="C193" t="str">
            <v>张丽</v>
          </cell>
          <cell r="D193">
            <v>128</v>
          </cell>
          <cell r="E193">
            <v>86403.54</v>
          </cell>
          <cell r="F193">
            <v>1728</v>
          </cell>
        </row>
        <row r="194">
          <cell r="C194" t="str">
            <v>陈雪莲</v>
          </cell>
          <cell r="D194">
            <v>102</v>
          </cell>
          <cell r="E194">
            <v>20974.32</v>
          </cell>
          <cell r="F194">
            <v>1223.5</v>
          </cell>
        </row>
        <row r="195">
          <cell r="C195" t="str">
            <v>华润店</v>
          </cell>
          <cell r="D195">
            <v>37</v>
          </cell>
          <cell r="E195">
            <v>15111.11</v>
          </cell>
          <cell r="F195">
            <v>220</v>
          </cell>
        </row>
        <row r="196">
          <cell r="C196" t="str">
            <v>黄小燕</v>
          </cell>
          <cell r="D196">
            <v>124</v>
          </cell>
          <cell r="E196">
            <v>56864.800000000003</v>
          </cell>
          <cell r="F196">
            <v>1782.5</v>
          </cell>
        </row>
        <row r="197">
          <cell r="C197" t="str">
            <v>雷朝霞</v>
          </cell>
          <cell r="D197">
            <v>77</v>
          </cell>
          <cell r="E197">
            <v>10407.49</v>
          </cell>
          <cell r="F197">
            <v>1094</v>
          </cell>
        </row>
        <row r="198">
          <cell r="C198" t="str">
            <v>王如意</v>
          </cell>
          <cell r="D198">
            <v>77</v>
          </cell>
          <cell r="E198">
            <v>15179.01</v>
          </cell>
          <cell r="F198">
            <v>1007</v>
          </cell>
        </row>
        <row r="199">
          <cell r="C199" t="str">
            <v>王瑞琳</v>
          </cell>
          <cell r="D199">
            <v>116</v>
          </cell>
          <cell r="E199">
            <v>48340.47</v>
          </cell>
          <cell r="F199">
            <v>1712</v>
          </cell>
        </row>
        <row r="200">
          <cell r="C200" t="str">
            <v>赵玉晓</v>
          </cell>
          <cell r="D200">
            <v>82</v>
          </cell>
          <cell r="E200">
            <v>14652.31</v>
          </cell>
          <cell r="F200">
            <v>1006</v>
          </cell>
        </row>
        <row r="201">
          <cell r="C201" t="str">
            <v>阿衣尔扎</v>
          </cell>
          <cell r="D201">
            <v>64</v>
          </cell>
          <cell r="E201">
            <v>3537.89</v>
          </cell>
          <cell r="F201">
            <v>860</v>
          </cell>
        </row>
        <row r="202">
          <cell r="C202" t="str">
            <v>包竹梅</v>
          </cell>
          <cell r="D202">
            <v>124</v>
          </cell>
          <cell r="E202">
            <v>14051.89</v>
          </cell>
          <cell r="F202">
            <v>1917</v>
          </cell>
        </row>
        <row r="203">
          <cell r="C203" t="str">
            <v>红光店</v>
          </cell>
          <cell r="D203">
            <v>16</v>
          </cell>
          <cell r="E203">
            <v>130200</v>
          </cell>
          <cell r="F203">
            <v>0</v>
          </cell>
        </row>
        <row r="204">
          <cell r="C204" t="str">
            <v>刘梦蓝</v>
          </cell>
          <cell r="D204">
            <v>77</v>
          </cell>
          <cell r="E204">
            <v>6609.12</v>
          </cell>
          <cell r="F204">
            <v>1027</v>
          </cell>
        </row>
        <row r="205">
          <cell r="C205" t="str">
            <v>马丽亚</v>
          </cell>
          <cell r="D205">
            <v>99</v>
          </cell>
          <cell r="E205">
            <v>15611.31</v>
          </cell>
          <cell r="F205">
            <v>1400</v>
          </cell>
        </row>
        <row r="206">
          <cell r="C206" t="str">
            <v>蒙亦锌</v>
          </cell>
          <cell r="D206">
            <v>96</v>
          </cell>
          <cell r="E206">
            <v>10460.950000000001</v>
          </cell>
          <cell r="F206">
            <v>1139</v>
          </cell>
        </row>
        <row r="207">
          <cell r="C207" t="str">
            <v>468店</v>
          </cell>
          <cell r="D207">
            <v>64</v>
          </cell>
          <cell r="E207">
            <v>12825.42</v>
          </cell>
          <cell r="F207">
            <v>147</v>
          </cell>
        </row>
        <row r="208">
          <cell r="C208" t="str">
            <v>陈萍</v>
          </cell>
          <cell r="D208">
            <v>116</v>
          </cell>
          <cell r="E208">
            <v>14604.05</v>
          </cell>
          <cell r="F208">
            <v>1571</v>
          </cell>
        </row>
        <row r="209">
          <cell r="C209" t="str">
            <v>陈小琴</v>
          </cell>
          <cell r="D209">
            <v>142</v>
          </cell>
          <cell r="E209">
            <v>65626.87</v>
          </cell>
          <cell r="F209">
            <v>1931</v>
          </cell>
        </row>
        <row r="210">
          <cell r="C210" t="str">
            <v>苟小春</v>
          </cell>
          <cell r="D210">
            <v>129</v>
          </cell>
          <cell r="E210">
            <v>24362.94</v>
          </cell>
          <cell r="F210">
            <v>1642</v>
          </cell>
        </row>
        <row r="211">
          <cell r="C211" t="str">
            <v>李燕</v>
          </cell>
          <cell r="D211">
            <v>127</v>
          </cell>
          <cell r="E211">
            <v>48303.1</v>
          </cell>
          <cell r="F211">
            <v>1533</v>
          </cell>
        </row>
        <row r="212">
          <cell r="C212" t="str">
            <v>刘恬恬</v>
          </cell>
          <cell r="D212">
            <v>128</v>
          </cell>
          <cell r="E212">
            <v>25060.39</v>
          </cell>
          <cell r="F212">
            <v>1585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门店排名"/>
      <sheetName val="人头人次表"/>
      <sheetName val="大项目部业绩统计"/>
      <sheetName val="业绩明细表"/>
    </sheetNames>
    <sheetDataSet>
      <sheetData sheetId="0">
        <row r="1">
          <cell r="C1" t="str">
            <v>时间</v>
          </cell>
        </row>
      </sheetData>
      <sheetData sheetId="1">
        <row r="1">
          <cell r="A1" t="str">
            <v>门店</v>
          </cell>
        </row>
      </sheetData>
      <sheetData sheetId="2">
        <row r="1">
          <cell r="A1" t="str">
            <v>时间</v>
          </cell>
          <cell r="E1" t="str">
            <v>时间占比</v>
          </cell>
        </row>
        <row r="2">
          <cell r="A2" t="str">
            <v>部门</v>
          </cell>
          <cell r="E2" t="str">
            <v>完成业绩</v>
          </cell>
        </row>
        <row r="3">
          <cell r="A3" t="str">
            <v>教育二部</v>
          </cell>
          <cell r="E3">
            <v>1698929.1300000001</v>
          </cell>
        </row>
        <row r="4">
          <cell r="A4" t="str">
            <v>教育一部</v>
          </cell>
          <cell r="E4">
            <v>1540197.48</v>
          </cell>
        </row>
        <row r="5">
          <cell r="A5" t="str">
            <v>科技一部</v>
          </cell>
          <cell r="E5">
            <v>652326.88</v>
          </cell>
        </row>
        <row r="6">
          <cell r="A6" t="str">
            <v>科技二部</v>
          </cell>
          <cell r="E6">
            <v>426145</v>
          </cell>
        </row>
        <row r="7">
          <cell r="A7" t="str">
            <v>大项目二部</v>
          </cell>
          <cell r="E7">
            <v>625493</v>
          </cell>
        </row>
        <row r="8">
          <cell r="A8" t="str">
            <v>大项目一部</v>
          </cell>
          <cell r="E8">
            <v>385650</v>
          </cell>
        </row>
        <row r="9">
          <cell r="A9" t="str">
            <v>合作</v>
          </cell>
          <cell r="E9">
            <v>45919.990000000005</v>
          </cell>
        </row>
        <row r="10">
          <cell r="A10" t="str">
            <v>产品/储值</v>
          </cell>
          <cell r="E10">
            <v>2571.3999999999996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门店排名"/>
      <sheetName val="人头人次表"/>
      <sheetName val="大项目部业绩统计"/>
      <sheetName val="业绩明细表"/>
    </sheetNames>
    <sheetDataSet>
      <sheetData sheetId="0" refreshError="1"/>
      <sheetData sheetId="1" refreshError="1"/>
      <sheetData sheetId="2">
        <row r="1">
          <cell r="M1" t="str">
            <v>归属老师</v>
          </cell>
          <cell r="N1" t="str">
            <v>医美业绩合计</v>
          </cell>
        </row>
        <row r="2">
          <cell r="N2">
            <v>34460</v>
          </cell>
        </row>
        <row r="3">
          <cell r="M3" t="str">
            <v>李洁</v>
          </cell>
          <cell r="N3">
            <v>6800</v>
          </cell>
        </row>
        <row r="4">
          <cell r="M4" t="str">
            <v>李洁</v>
          </cell>
          <cell r="N4">
            <v>42080</v>
          </cell>
        </row>
        <row r="5">
          <cell r="N5">
            <v>65650</v>
          </cell>
        </row>
        <row r="6">
          <cell r="M6" t="str">
            <v>陈思思</v>
          </cell>
          <cell r="N6">
            <v>19350</v>
          </cell>
        </row>
        <row r="7">
          <cell r="M7" t="str">
            <v>陈思思</v>
          </cell>
          <cell r="N7">
            <v>-3200</v>
          </cell>
        </row>
        <row r="8">
          <cell r="N8">
            <v>7060</v>
          </cell>
        </row>
        <row r="9">
          <cell r="N9">
            <v>80120</v>
          </cell>
        </row>
        <row r="10">
          <cell r="N10">
            <v>0</v>
          </cell>
        </row>
        <row r="11">
          <cell r="M11" t="str">
            <v>李洁</v>
          </cell>
          <cell r="N11">
            <v>-14970</v>
          </cell>
        </row>
        <row r="12">
          <cell r="N12">
            <v>95500</v>
          </cell>
        </row>
        <row r="13">
          <cell r="M13" t="str">
            <v>陈思思</v>
          </cell>
          <cell r="N13">
            <v>-15000</v>
          </cell>
        </row>
        <row r="14">
          <cell r="N14">
            <v>207540</v>
          </cell>
        </row>
        <row r="15">
          <cell r="N15">
            <v>34220</v>
          </cell>
        </row>
        <row r="16">
          <cell r="N16">
            <v>35440</v>
          </cell>
        </row>
        <row r="17">
          <cell r="N17">
            <v>86480</v>
          </cell>
        </row>
        <row r="18">
          <cell r="M18" t="str">
            <v>李洁</v>
          </cell>
          <cell r="N18">
            <v>29120</v>
          </cell>
        </row>
        <row r="19">
          <cell r="M19" t="str">
            <v>陈思思</v>
          </cell>
          <cell r="N19">
            <v>132680</v>
          </cell>
        </row>
        <row r="20">
          <cell r="M20" t="str">
            <v>陈思思</v>
          </cell>
          <cell r="N20">
            <v>-520</v>
          </cell>
        </row>
        <row r="21">
          <cell r="N21">
            <v>9800</v>
          </cell>
        </row>
        <row r="22">
          <cell r="M22" t="str">
            <v>李洁</v>
          </cell>
          <cell r="N22">
            <v>12000</v>
          </cell>
        </row>
        <row r="23">
          <cell r="M23" t="str">
            <v>李洁</v>
          </cell>
          <cell r="N23">
            <v>10200</v>
          </cell>
        </row>
        <row r="24">
          <cell r="N24">
            <v>16086</v>
          </cell>
        </row>
        <row r="25">
          <cell r="N25">
            <v>10800</v>
          </cell>
        </row>
        <row r="26">
          <cell r="M26" t="str">
            <v>陈思思</v>
          </cell>
          <cell r="N26">
            <v>19766</v>
          </cell>
        </row>
        <row r="27">
          <cell r="N27">
            <v>200</v>
          </cell>
        </row>
        <row r="28">
          <cell r="N28">
            <v>51401</v>
          </cell>
        </row>
        <row r="29">
          <cell r="N29">
            <v>19900</v>
          </cell>
        </row>
        <row r="30">
          <cell r="N30">
            <v>18180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workbookViewId="0">
      <selection activeCell="D14" sqref="D14"/>
    </sheetView>
  </sheetViews>
  <sheetFormatPr defaultColWidth="9" defaultRowHeight="19.5" customHeight="1" x14ac:dyDescent="0.15"/>
  <cols>
    <col min="1" max="1" width="15.125" customWidth="1"/>
    <col min="2" max="2" width="24.5" customWidth="1"/>
    <col min="3" max="3" width="23.5" bestFit="1" customWidth="1"/>
    <col min="4" max="4" width="27.625" customWidth="1"/>
    <col min="5" max="5" width="17.25" bestFit="1" customWidth="1"/>
    <col min="6" max="6" width="21.375" bestFit="1" customWidth="1"/>
  </cols>
  <sheetData>
    <row r="1" spans="1:6" ht="19.5" customHeight="1" x14ac:dyDescent="0.15">
      <c r="A1" s="5" t="s">
        <v>356</v>
      </c>
    </row>
    <row r="2" spans="1:6" ht="19.5" customHeight="1" x14ac:dyDescent="0.15">
      <c r="B2" s="5" t="s">
        <v>327</v>
      </c>
      <c r="C2" s="5" t="s">
        <v>325</v>
      </c>
      <c r="D2" s="5" t="s">
        <v>326</v>
      </c>
    </row>
    <row r="3" spans="1:6" ht="19.5" customHeight="1" x14ac:dyDescent="0.15">
      <c r="B3" s="5" t="s">
        <v>331</v>
      </c>
      <c r="C3" s="5" t="s">
        <v>330</v>
      </c>
    </row>
    <row r="4" spans="1:6" ht="19.5" customHeight="1" x14ac:dyDescent="0.15">
      <c r="B4" s="5" t="s">
        <v>332</v>
      </c>
      <c r="C4" s="5" t="s">
        <v>333</v>
      </c>
    </row>
    <row r="5" spans="1:6" ht="19.5" customHeight="1" x14ac:dyDescent="0.15">
      <c r="B5" s="5" t="s">
        <v>339</v>
      </c>
      <c r="C5" s="5" t="s">
        <v>334</v>
      </c>
      <c r="D5" s="5" t="s">
        <v>335</v>
      </c>
      <c r="E5" s="5" t="s">
        <v>340</v>
      </c>
      <c r="F5" s="5" t="s">
        <v>341</v>
      </c>
    </row>
    <row r="6" spans="1:6" ht="19.5" customHeight="1" x14ac:dyDescent="0.15">
      <c r="B6" s="5" t="s">
        <v>342</v>
      </c>
      <c r="C6" s="63" t="s">
        <v>343</v>
      </c>
    </row>
    <row r="7" spans="1:6" ht="19.5" customHeight="1" x14ac:dyDescent="0.15">
      <c r="B7" t="s">
        <v>344</v>
      </c>
      <c r="C7" s="5" t="s">
        <v>345</v>
      </c>
    </row>
    <row r="8" spans="1:6" ht="19.5" customHeight="1" x14ac:dyDescent="0.15">
      <c r="C8" s="5" t="s">
        <v>346</v>
      </c>
    </row>
    <row r="9" spans="1:6" ht="19.5" customHeight="1" x14ac:dyDescent="0.15">
      <c r="C9" s="5" t="s">
        <v>347</v>
      </c>
    </row>
    <row r="10" spans="1:6" ht="19.5" customHeight="1" x14ac:dyDescent="0.15">
      <c r="B10" s="5" t="s">
        <v>348</v>
      </c>
      <c r="C10" s="5" t="s">
        <v>349</v>
      </c>
    </row>
    <row r="11" spans="1:6" ht="19.5" customHeight="1" x14ac:dyDescent="0.15">
      <c r="B11" s="5" t="s">
        <v>351</v>
      </c>
      <c r="C11" s="5" t="s">
        <v>350</v>
      </c>
      <c r="D11" s="5" t="s">
        <v>357</v>
      </c>
    </row>
    <row r="12" spans="1:6" ht="19.5" customHeight="1" x14ac:dyDescent="0.15">
      <c r="C12" s="5" t="s">
        <v>352</v>
      </c>
    </row>
    <row r="13" spans="1:6" ht="19.5" customHeight="1" x14ac:dyDescent="0.15">
      <c r="C13" s="5" t="s">
        <v>353</v>
      </c>
    </row>
    <row r="14" spans="1:6" ht="19.5" customHeight="1" x14ac:dyDescent="0.15">
      <c r="C14" s="5" t="s">
        <v>319</v>
      </c>
    </row>
    <row r="15" spans="1:6" ht="19.5" customHeight="1" x14ac:dyDescent="0.15">
      <c r="C15" s="5" t="s">
        <v>329</v>
      </c>
    </row>
    <row r="16" spans="1:6" ht="19.5" customHeight="1" x14ac:dyDescent="0.15">
      <c r="C16" s="5" t="s">
        <v>328</v>
      </c>
    </row>
    <row r="17" spans="3:3" ht="19.5" customHeight="1" x14ac:dyDescent="0.15">
      <c r="C17" s="5" t="s">
        <v>354</v>
      </c>
    </row>
    <row r="18" spans="3:3" ht="19.5" customHeight="1" x14ac:dyDescent="0.15">
      <c r="C18" s="57" t="s">
        <v>355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X362"/>
  <sheetViews>
    <sheetView workbookViewId="0">
      <selection activeCell="A7" sqref="A7:XFD7"/>
    </sheetView>
  </sheetViews>
  <sheetFormatPr defaultColWidth="9" defaultRowHeight="14.25" x14ac:dyDescent="0.15"/>
  <cols>
    <col min="1" max="3" width="9" style="72"/>
    <col min="4" max="4" width="14" style="72" customWidth="1"/>
    <col min="5" max="5" width="10.375" style="72"/>
    <col min="6" max="9" width="9" style="72"/>
    <col min="10" max="10" width="10.375" style="72"/>
    <col min="11" max="11" width="13.875" style="72" customWidth="1"/>
    <col min="12" max="12" width="9" style="72"/>
    <col min="13" max="13" width="12.625" style="72" customWidth="1"/>
    <col min="14" max="14" width="9.625" style="113" customWidth="1"/>
    <col min="15" max="16" width="9" style="113"/>
    <col min="17" max="17" width="13.875" style="113" bestFit="1" customWidth="1"/>
    <col min="18" max="18" width="9.5" style="72" customWidth="1"/>
    <col min="19" max="19" width="11.625" style="116" customWidth="1"/>
    <col min="20" max="20" width="13.5" style="76" customWidth="1"/>
    <col min="21" max="21" width="10.5" style="76" customWidth="1"/>
    <col min="22" max="16384" width="9" style="76"/>
  </cols>
  <sheetData>
    <row r="1" spans="1:24" s="72" customFormat="1" x14ac:dyDescent="0.15">
      <c r="A1" s="107" t="s">
        <v>14</v>
      </c>
      <c r="B1" s="107" t="s">
        <v>7</v>
      </c>
      <c r="C1" s="107" t="s">
        <v>63</v>
      </c>
      <c r="D1" s="108" t="s">
        <v>154</v>
      </c>
      <c r="E1" s="108" t="s">
        <v>155</v>
      </c>
      <c r="F1" s="108" t="s">
        <v>156</v>
      </c>
      <c r="G1" s="109" t="s">
        <v>192</v>
      </c>
      <c r="H1" s="109" t="s">
        <v>193</v>
      </c>
      <c r="I1" s="109" t="s">
        <v>194</v>
      </c>
      <c r="J1" s="109" t="s">
        <v>195</v>
      </c>
      <c r="K1" s="109" t="s">
        <v>196</v>
      </c>
      <c r="L1" s="109" t="s">
        <v>197</v>
      </c>
      <c r="M1" s="109" t="s">
        <v>165</v>
      </c>
      <c r="N1" s="110" t="s">
        <v>198</v>
      </c>
      <c r="O1" s="110" t="s">
        <v>305</v>
      </c>
      <c r="P1" s="110" t="s">
        <v>385</v>
      </c>
      <c r="Q1" s="110" t="s">
        <v>386</v>
      </c>
      <c r="R1" s="111" t="s">
        <v>199</v>
      </c>
      <c r="S1" s="112" t="s">
        <v>200</v>
      </c>
      <c r="T1" s="76"/>
      <c r="U1" s="76"/>
      <c r="V1" s="76"/>
      <c r="W1" s="76">
        <v>2025</v>
      </c>
      <c r="X1" s="76">
        <v>7</v>
      </c>
    </row>
    <row r="2" spans="1:24" x14ac:dyDescent="0.15">
      <c r="B2" s="72" t="str">
        <f>②当月数据及门店毛利!B4</f>
        <v>紫荆</v>
      </c>
      <c r="C2" s="72" t="str">
        <f>_xlfn.XLOOKUP(B2,店长核算!B:B,店长核算!P:P,0)</f>
        <v>莫志英</v>
      </c>
      <c r="D2" s="72">
        <f>②当月数据及门店毛利!C4</f>
        <v>522756</v>
      </c>
      <c r="E2" s="72">
        <f>②当月数据及门店毛利!D4</f>
        <v>368762.45</v>
      </c>
      <c r="F2" s="72">
        <f>②当月数据及门店毛利!E4</f>
        <v>210</v>
      </c>
      <c r="G2" s="72">
        <f>②当月数据及门店毛利!G4</f>
        <v>2025</v>
      </c>
      <c r="H2" s="72">
        <f>②当月数据及门店毛利!H4</f>
        <v>1715.29</v>
      </c>
      <c r="I2" s="72">
        <f>②当月数据及门店毛利!I4</f>
        <v>3589.34</v>
      </c>
      <c r="J2" s="72">
        <f>②当月数据及门店毛利!J4</f>
        <v>23805</v>
      </c>
      <c r="K2" s="72">
        <f>②当月数据及门店毛利!K4</f>
        <v>0</v>
      </c>
      <c r="L2" s="72">
        <f>②当月数据及门店毛利!L4</f>
        <v>961.8</v>
      </c>
      <c r="M2" s="72">
        <f>②当月数据及门店毛利!N4</f>
        <v>490659.57</v>
      </c>
      <c r="N2" s="113">
        <f>_xlfn.XLOOKUP(C2,店长核算!P:P,店长核算!W:W,0)</f>
        <v>3500</v>
      </c>
      <c r="O2" s="113">
        <f>_xlfn.XLOOKUP(C2,'①考勤-B-a-26考勤汇总表'!D:D,'①考勤-B-a-26考勤汇总表'!U:U,0)</f>
        <v>0</v>
      </c>
      <c r="P2" s="114">
        <f>N2/DAY(DATE($W$1,$X$1+1,0))*O2</f>
        <v>0</v>
      </c>
      <c r="Q2" s="114">
        <f>N2-P2</f>
        <v>3500</v>
      </c>
      <c r="R2" s="115">
        <f>店长核算!X6</f>
        <v>0.03</v>
      </c>
      <c r="S2" s="116">
        <f>_xlfn.XLOOKUP(C2,店长核算!$P:$P,店长核算!$Y:$Y,0)</f>
        <v>17173.08495</v>
      </c>
    </row>
    <row r="3" spans="1:24" x14ac:dyDescent="0.15">
      <c r="B3" s="72" t="str">
        <f>②当月数据及门店毛利!B5</f>
        <v>龙湖</v>
      </c>
      <c r="C3" s="72" t="str">
        <f>_xlfn.XLOOKUP(B3,店长核算!B:B,店长核算!P:P,0)</f>
        <v>彭龙惠</v>
      </c>
      <c r="D3" s="72">
        <f>②当月数据及门店毛利!C5</f>
        <v>220223</v>
      </c>
      <c r="E3" s="72">
        <f>②当月数据及门店毛利!D5</f>
        <v>210203.02</v>
      </c>
      <c r="F3" s="72">
        <f>②当月数据及门店毛利!E5</f>
        <v>205</v>
      </c>
      <c r="G3" s="72">
        <f>②当月数据及门店毛利!G5</f>
        <v>2426.79</v>
      </c>
      <c r="H3" s="72">
        <f>②当月数据及门店毛利!H5</f>
        <v>997.28</v>
      </c>
      <c r="I3" s="72">
        <f>②当月数据及门店毛利!I5</f>
        <v>3222.84</v>
      </c>
      <c r="J3" s="72">
        <f>②当月数据及门店毛利!J5</f>
        <v>8600</v>
      </c>
      <c r="K3" s="72">
        <f>②当月数据及门店毛利!K5</f>
        <v>0</v>
      </c>
      <c r="L3" s="72">
        <f>②当月数据及门店毛利!L5</f>
        <v>775.2</v>
      </c>
      <c r="M3" s="72">
        <f>②当月数据及门店毛利!N5</f>
        <v>204200.89</v>
      </c>
      <c r="N3" s="113">
        <f>_xlfn.XLOOKUP(C3,店长核算!P:P,店长核算!W:W,0)</f>
        <v>3000</v>
      </c>
      <c r="O3" s="113">
        <f>_xlfn.XLOOKUP(C3,'①考勤-B-a-26考勤汇总表'!D:D,'①考勤-B-a-26考勤汇总表'!U:U,0)</f>
        <v>0</v>
      </c>
      <c r="P3" s="114">
        <f t="shared" ref="P3:P30" si="0">N3/DAY(DATE($W$1,$X$1+1,0))*O3</f>
        <v>0</v>
      </c>
      <c r="Q3" s="114">
        <f t="shared" ref="Q3:Q30" si="1">N3-P3</f>
        <v>3000</v>
      </c>
      <c r="R3" s="115">
        <f>店长核算!X7</f>
        <v>3.5000000000000003E-2</v>
      </c>
      <c r="S3" s="116">
        <f>_xlfn.XLOOKUP(C3,店长核算!$P:$P,店长核算!$Y:$Y,0)</f>
        <v>6126.0267000000003</v>
      </c>
    </row>
    <row r="4" spans="1:24" x14ac:dyDescent="0.15">
      <c r="B4" s="72" t="str">
        <f>②当月数据及门店毛利!B6</f>
        <v>沙河</v>
      </c>
      <c r="C4" s="72" t="str">
        <f>_xlfn.XLOOKUP(B4,店长核算!B:B,店长核算!P:P,0)</f>
        <v>向郑瑶</v>
      </c>
      <c r="D4" s="72">
        <f>②当月数据及门店毛利!C6</f>
        <v>150694</v>
      </c>
      <c r="E4" s="72">
        <f>②当月数据及门店毛利!D6</f>
        <v>142453.84</v>
      </c>
      <c r="F4" s="72">
        <f>②当月数据及门店毛利!E6</f>
        <v>160</v>
      </c>
      <c r="G4" s="72">
        <f>②当月数据及门店毛利!G6</f>
        <v>2001</v>
      </c>
      <c r="H4" s="72">
        <f>②当月数据及门店毛利!H6</f>
        <v>2190.15</v>
      </c>
      <c r="I4" s="72">
        <f>②当月数据及门店毛利!I6</f>
        <v>11665.32</v>
      </c>
      <c r="J4" s="72">
        <f>②当月数据及门店毛利!J6</f>
        <v>2450</v>
      </c>
      <c r="K4" s="72">
        <f>②当月数据及门店毛利!K6</f>
        <v>0</v>
      </c>
      <c r="L4" s="72">
        <f>②当月数据及门店毛利!L6</f>
        <v>1113.3</v>
      </c>
      <c r="M4" s="72">
        <f>②当月数据及门店毛利!N6</f>
        <v>131274.23000000001</v>
      </c>
      <c r="N4" s="113">
        <f>_xlfn.XLOOKUP(C4,店长核算!P:P,店长核算!W:W,0)</f>
        <v>3500</v>
      </c>
      <c r="O4" s="113">
        <f>_xlfn.XLOOKUP(C4,'①考勤-B-a-26考勤汇总表'!D:D,'①考勤-B-a-26考勤汇总表'!U:U,0)</f>
        <v>0</v>
      </c>
      <c r="P4" s="114">
        <f t="shared" si="0"/>
        <v>0</v>
      </c>
      <c r="Q4" s="114">
        <f t="shared" si="1"/>
        <v>3500</v>
      </c>
      <c r="R4" s="115">
        <f>店长核算!X8</f>
        <v>0.03</v>
      </c>
      <c r="S4" s="116">
        <f>_xlfn.XLOOKUP(C4,店长核算!$P:$P,店长核算!$Y:$Y,0)</f>
        <v>5450.9692000000005</v>
      </c>
    </row>
    <row r="5" spans="1:24" x14ac:dyDescent="0.15">
      <c r="B5" s="72" t="str">
        <f>②当月数据及门店毛利!B7</f>
        <v>华润</v>
      </c>
      <c r="C5" s="72" t="str">
        <f>_xlfn.XLOOKUP(B5,店长核算!B:B,店长核算!P:P,0)</f>
        <v>易春梅</v>
      </c>
      <c r="D5" s="72">
        <f>②当月数据及门店毛利!C7</f>
        <v>201952.3</v>
      </c>
      <c r="E5" s="72">
        <f>②当月数据及门店毛利!D7</f>
        <v>179433.01</v>
      </c>
      <c r="F5" s="72">
        <f>②当月数据及门店毛利!E7</f>
        <v>195</v>
      </c>
      <c r="G5" s="72">
        <f>②当月数据及门店毛利!G7</f>
        <v>2114.34</v>
      </c>
      <c r="H5" s="72">
        <f>②当月数据及门店毛利!H7</f>
        <v>701.6</v>
      </c>
      <c r="I5" s="72">
        <f>②当月数据及门店毛利!I7</f>
        <v>2895.52</v>
      </c>
      <c r="J5" s="72">
        <f>②当月数据及门店毛利!J7</f>
        <v>4750</v>
      </c>
      <c r="K5" s="72">
        <f>②当月数据及门店毛利!K7</f>
        <v>0</v>
      </c>
      <c r="L5" s="72">
        <f>②当月数据及门店毛利!L7</f>
        <v>1005.1</v>
      </c>
      <c r="M5" s="72">
        <f>②当月数据及门店毛利!N7</f>
        <v>190485.74</v>
      </c>
      <c r="N5" s="113">
        <f>_xlfn.XLOOKUP(C5,店长核算!P:P,店长核算!W:W,0)</f>
        <v>3000</v>
      </c>
      <c r="O5" s="113">
        <f>_xlfn.XLOOKUP(C5,'①考勤-B-a-26考勤汇总表'!D:D,'①考勤-B-a-26考勤汇总表'!U:U,0)</f>
        <v>0</v>
      </c>
      <c r="P5" s="114">
        <f t="shared" si="0"/>
        <v>0</v>
      </c>
      <c r="Q5" s="114">
        <f t="shared" si="1"/>
        <v>3000</v>
      </c>
      <c r="R5" s="115">
        <f>店长核算!X9</f>
        <v>0.04</v>
      </c>
      <c r="S5" s="116">
        <f>_xlfn.XLOOKUP(C5,店长核算!$P:$P,店长核算!$Y:$Y,0)</f>
        <v>5714.5721999999996</v>
      </c>
    </row>
    <row r="6" spans="1:24" x14ac:dyDescent="0.15">
      <c r="B6" s="72" t="str">
        <f>②当月数据及门店毛利!B8</f>
        <v>静居寺</v>
      </c>
      <c r="C6" s="72" t="str">
        <f>_xlfn.XLOOKUP(B6,店长核算!B:B,店长核算!P:P,0)</f>
        <v>陈怡名</v>
      </c>
      <c r="D6" s="72">
        <f>②当月数据及门店毛利!C8</f>
        <v>407490.19</v>
      </c>
      <c r="E6" s="72">
        <f>②当月数据及门店毛利!D8</f>
        <v>518617.05</v>
      </c>
      <c r="F6" s="72">
        <f>②当月数据及门店毛利!E8</f>
        <v>206</v>
      </c>
      <c r="G6" s="72">
        <f>②当月数据及门店毛利!G8</f>
        <v>4907.0600000000004</v>
      </c>
      <c r="H6" s="72">
        <f>②当月数据及门店毛利!H8</f>
        <v>689.11</v>
      </c>
      <c r="I6" s="72">
        <f>②当月数据及门店毛利!I8</f>
        <v>3515.1</v>
      </c>
      <c r="J6" s="72">
        <f>②当月数据及门店毛利!J8</f>
        <v>25892.5</v>
      </c>
      <c r="K6" s="72">
        <f>②当月数据及门店毛利!K8</f>
        <v>7360</v>
      </c>
      <c r="L6" s="72">
        <f>②当月数据及门店毛利!L8</f>
        <v>1155.3</v>
      </c>
      <c r="M6" s="72">
        <f>②当月数据及门店毛利!N8</f>
        <v>363971.12</v>
      </c>
      <c r="N6" s="113">
        <f>_xlfn.XLOOKUP(C6,店长核算!P:P,店长核算!W:W,0)</f>
        <v>4000</v>
      </c>
      <c r="O6" s="113">
        <f>_xlfn.XLOOKUP(C6,'①考勤-B-a-26考勤汇总表'!D:D,'①考勤-B-a-26考勤汇总表'!U:U,0)</f>
        <v>0</v>
      </c>
      <c r="P6" s="114">
        <f t="shared" si="0"/>
        <v>0</v>
      </c>
      <c r="Q6" s="114">
        <f t="shared" si="1"/>
        <v>4000</v>
      </c>
      <c r="R6" s="115">
        <f>店长核算!X10</f>
        <v>3.5000000000000003E-2</v>
      </c>
      <c r="S6" s="116">
        <f>_xlfn.XLOOKUP(C6,店长核算!$P:$P,店长核算!$Y:$Y,0)</f>
        <v>12738.989200000002</v>
      </c>
    </row>
    <row r="7" spans="1:24" x14ac:dyDescent="0.15">
      <c r="B7" s="72" t="str">
        <f>②当月数据及门店毛利!B9</f>
        <v>优品道</v>
      </c>
      <c r="C7" s="72" t="str">
        <f>_xlfn.XLOOKUP(B7,店长核算!B:B,店长核算!P:P,0)</f>
        <v>张清华</v>
      </c>
      <c r="D7" s="72">
        <f>②当月数据及门店毛利!C9</f>
        <v>160812</v>
      </c>
      <c r="E7" s="72">
        <f>②当月数据及门店毛利!D9</f>
        <v>146778.57999999999</v>
      </c>
      <c r="F7" s="72">
        <f>②当月数据及门店毛利!E9</f>
        <v>192</v>
      </c>
      <c r="G7" s="72">
        <f>②当月数据及门店毛利!G9</f>
        <v>3500</v>
      </c>
      <c r="H7" s="72">
        <f>②当月数据及门店毛利!H9</f>
        <v>1215.3800000000001</v>
      </c>
      <c r="I7" s="72">
        <f>②当月数据及门店毛利!I9</f>
        <v>3582.9</v>
      </c>
      <c r="J7" s="72">
        <f>②当月数据及门店毛利!J9</f>
        <v>5590</v>
      </c>
      <c r="K7" s="72">
        <f>②当月数据及门店毛利!K9</f>
        <v>0</v>
      </c>
      <c r="L7" s="72">
        <f>②当月数据及门店毛利!L9</f>
        <v>920.3</v>
      </c>
      <c r="M7" s="72">
        <f>②当月数据及门店毛利!N9</f>
        <v>146003.42000000001</v>
      </c>
      <c r="N7" s="113">
        <f>_xlfn.XLOOKUP(C7,店长核算!P:P,店长核算!W:W,0)</f>
        <v>3500</v>
      </c>
      <c r="O7" s="113">
        <f>_xlfn.XLOOKUP(C7,'①考勤-B-a-26考勤汇总表'!D:D,'①考勤-B-a-26考勤汇总表'!U:U,0)</f>
        <v>0</v>
      </c>
      <c r="P7" s="114">
        <f t="shared" si="0"/>
        <v>0</v>
      </c>
      <c r="Q7" s="114">
        <f t="shared" si="1"/>
        <v>3500</v>
      </c>
      <c r="R7" s="115">
        <f>店长核算!X11</f>
        <v>0.03</v>
      </c>
      <c r="S7" s="116">
        <f>_xlfn.XLOOKUP(C7,店长核算!$P:$P,店长核算!$Y:$Y,0)</f>
        <v>5840.1368000000002</v>
      </c>
    </row>
    <row r="8" spans="1:24" x14ac:dyDescent="0.15">
      <c r="B8" s="72">
        <f>②当月数据及门店毛利!B10</f>
        <v>468</v>
      </c>
      <c r="C8" s="72" t="str">
        <f>_xlfn.XLOOKUP(B8,店长核算!B:B,店长核算!P:P,0)</f>
        <v>张小华</v>
      </c>
      <c r="D8" s="72">
        <f>②当月数据及门店毛利!C10</f>
        <v>140295</v>
      </c>
      <c r="E8" s="72">
        <f>②当月数据及门店毛利!D10</f>
        <v>190782.77</v>
      </c>
      <c r="F8" s="72">
        <f>②当月数据及门店毛利!E10</f>
        <v>217</v>
      </c>
      <c r="G8" s="72">
        <f>②当月数据及门店毛利!G10</f>
        <v>3754.95</v>
      </c>
      <c r="H8" s="72">
        <f>②当月数据及门店毛利!H10</f>
        <v>1491.04</v>
      </c>
      <c r="I8" s="72">
        <f>②当月数据及门店毛利!I10</f>
        <v>3218.6</v>
      </c>
      <c r="J8" s="72">
        <f>②当月数据及门店毛利!J10</f>
        <v>3600</v>
      </c>
      <c r="K8" s="72">
        <f>②当月数据及门店毛利!K10</f>
        <v>90</v>
      </c>
      <c r="L8" s="72">
        <f>②当月数据及门店毛利!L10</f>
        <v>947.3</v>
      </c>
      <c r="M8" s="72">
        <f>②当月数据及门店毛利!N10</f>
        <v>127193.11</v>
      </c>
      <c r="N8" s="113">
        <f>_xlfn.XLOOKUP(C8,店长核算!P:P,店长核算!W:W,0)</f>
        <v>3500</v>
      </c>
      <c r="O8" s="113">
        <f>_xlfn.XLOOKUP(C8,'①考勤-B-a-26考勤汇总表'!D:D,'①考勤-B-a-26考勤汇总表'!U:U,0)</f>
        <v>0</v>
      </c>
      <c r="P8" s="114">
        <f t="shared" si="0"/>
        <v>0</v>
      </c>
      <c r="Q8" s="114">
        <f t="shared" si="1"/>
        <v>3500</v>
      </c>
      <c r="R8" s="115">
        <f>店长核算!X12</f>
        <v>3.5000000000000003E-2</v>
      </c>
      <c r="S8" s="116">
        <f>_xlfn.XLOOKUP(C8,店长核算!$P:$P,店长核算!$Y:$Y,0)</f>
        <v>3815.7932999999998</v>
      </c>
    </row>
    <row r="9" spans="1:24" x14ac:dyDescent="0.15">
      <c r="B9" s="72" t="str">
        <f>②当月数据及门店毛利!B11</f>
        <v>光华</v>
      </c>
      <c r="C9" s="72" t="str">
        <f>_xlfn.XLOOKUP(B9,店长核算!B:B,店长核算!P:P,0)</f>
        <v>徐睦垚</v>
      </c>
      <c r="D9" s="72">
        <f>②当月数据及门店毛利!C11</f>
        <v>135590</v>
      </c>
      <c r="E9" s="72">
        <f>②当月数据及门店毛利!D11</f>
        <v>120657.22</v>
      </c>
      <c r="F9" s="72">
        <f>②当月数据及门店毛利!E11</f>
        <v>150</v>
      </c>
      <c r="G9" s="72">
        <f>②当月数据及门店毛利!G11</f>
        <v>1259.28</v>
      </c>
      <c r="H9" s="72">
        <f>②当月数据及门店毛利!H11</f>
        <v>1380.21</v>
      </c>
      <c r="I9" s="72">
        <f>②当月数据及门店毛利!I11</f>
        <v>3929.7</v>
      </c>
      <c r="J9" s="72">
        <f>②当月数据及门店毛利!J11</f>
        <v>3240</v>
      </c>
      <c r="K9" s="72">
        <f>②当月数据及门店毛利!K11</f>
        <v>0</v>
      </c>
      <c r="L9" s="72">
        <f>②当月数据及门店毛利!L11</f>
        <v>428.8</v>
      </c>
      <c r="M9" s="72">
        <f>②当月数据及门店毛利!N11</f>
        <v>125352.01000000001</v>
      </c>
      <c r="N9" s="113">
        <f>_xlfn.XLOOKUP(C9,店长核算!P:P,店长核算!W:W,0)</f>
        <v>3000</v>
      </c>
      <c r="O9" s="113">
        <f>_xlfn.XLOOKUP(C9,'①考勤-B-a-26考勤汇总表'!D:D,'①考勤-B-a-26考勤汇总表'!U:U,0)</f>
        <v>0</v>
      </c>
      <c r="P9" s="114">
        <f t="shared" si="0"/>
        <v>0</v>
      </c>
      <c r="Q9" s="114">
        <f t="shared" si="1"/>
        <v>3000</v>
      </c>
      <c r="R9" s="115">
        <f>店长核算!X13</f>
        <v>3.5000000000000003E-2</v>
      </c>
      <c r="S9" s="116">
        <f>_xlfn.XLOOKUP(C9,店长核算!$P:$P,店长核算!$Y:$Y,0)</f>
        <v>4387.3203500000009</v>
      </c>
    </row>
    <row r="10" spans="1:24" x14ac:dyDescent="0.15">
      <c r="B10" s="72" t="str">
        <f>②当月数据及门店毛利!B12</f>
        <v>融创</v>
      </c>
      <c r="C10" s="72">
        <f>_xlfn.XLOOKUP(B10,店长核算!B:B,店长核算!P:P,0)</f>
        <v>0</v>
      </c>
      <c r="D10" s="72">
        <f>②当月数据及门店毛利!C12</f>
        <v>152421</v>
      </c>
      <c r="E10" s="72">
        <f>②当月数据及门店毛利!D12</f>
        <v>117167.22</v>
      </c>
      <c r="F10" s="72">
        <f>②当月数据及门店毛利!E12</f>
        <v>138</v>
      </c>
      <c r="G10" s="72">
        <f>②当月数据及门店毛利!G12</f>
        <v>2889.06</v>
      </c>
      <c r="H10" s="72">
        <f>②当月数据及门店毛利!H12</f>
        <v>981.27</v>
      </c>
      <c r="I10" s="72">
        <f>②当月数据及门店毛利!I12</f>
        <v>2847.42</v>
      </c>
      <c r="J10" s="72">
        <f>②当月数据及门店毛利!J12</f>
        <v>-800</v>
      </c>
      <c r="K10" s="72">
        <f>②当月数据及门店毛利!K12</f>
        <v>0</v>
      </c>
      <c r="L10" s="72">
        <f>②当月数据及门店毛利!L12</f>
        <v>589.20000000000005</v>
      </c>
      <c r="M10" s="72">
        <f>②当月数据及门店毛利!N12</f>
        <v>145914.04999999999</v>
      </c>
      <c r="N10" s="113">
        <f>_xlfn.XLOOKUP(C10,店长核算!P:P,店长核算!W:W,0)</f>
        <v>0</v>
      </c>
      <c r="O10" s="113">
        <f>_xlfn.XLOOKUP(C10,'①考勤-B-a-26考勤汇总表'!D:D,'①考勤-B-a-26考勤汇总表'!U:U,0)</f>
        <v>0</v>
      </c>
      <c r="P10" s="114">
        <f t="shared" si="0"/>
        <v>0</v>
      </c>
      <c r="Q10" s="114">
        <f t="shared" si="1"/>
        <v>0</v>
      </c>
      <c r="R10" s="115">
        <f>店长核算!X14</f>
        <v>0.04</v>
      </c>
      <c r="S10" s="116">
        <f>_xlfn.XLOOKUP(C10,店长核算!$P:$P,店长核算!$Y:$Y,0)</f>
        <v>0</v>
      </c>
    </row>
    <row r="11" spans="1:24" x14ac:dyDescent="0.15">
      <c r="B11" s="72" t="str">
        <f>②当月数据及门店毛利!B13</f>
        <v>川师</v>
      </c>
      <c r="C11" s="72" t="str">
        <f>_xlfn.XLOOKUP(B11,店长核算!B:B,店长核算!P:P,0)</f>
        <v>刘安琼</v>
      </c>
      <c r="D11" s="72">
        <f>②当月数据及门店毛利!C13</f>
        <v>205041</v>
      </c>
      <c r="E11" s="72">
        <f>②当月数据及门店毛利!D13</f>
        <v>194741.48</v>
      </c>
      <c r="F11" s="72">
        <f>②当月数据及门店毛利!E13</f>
        <v>157</v>
      </c>
      <c r="G11" s="72">
        <f>②当月数据及门店毛利!G13</f>
        <v>2000</v>
      </c>
      <c r="H11" s="72">
        <f>②当月数据及门店毛利!H13</f>
        <v>902.66</v>
      </c>
      <c r="I11" s="72">
        <f>②当月数据及门店毛利!I13</f>
        <v>1049.7</v>
      </c>
      <c r="J11" s="72">
        <f>②当月数据及门店毛利!J13</f>
        <v>12845</v>
      </c>
      <c r="K11" s="72">
        <f>②当月数据及门店毛利!K13</f>
        <v>3203</v>
      </c>
      <c r="L11" s="72">
        <f>②当月数据及门店毛利!L13</f>
        <v>701.7</v>
      </c>
      <c r="M11" s="72">
        <f>②当月数据及门店毛利!N13</f>
        <v>184338.94</v>
      </c>
      <c r="N11" s="113">
        <f>_xlfn.XLOOKUP(C11,店长核算!P:P,店长核算!W:W,0)</f>
        <v>3000</v>
      </c>
      <c r="O11" s="113">
        <f>_xlfn.XLOOKUP(C11,'①考勤-B-a-26考勤汇总表'!D:D,'①考勤-B-a-26考勤汇总表'!U:U,0)</f>
        <v>0</v>
      </c>
      <c r="P11" s="114">
        <f t="shared" si="0"/>
        <v>0</v>
      </c>
      <c r="Q11" s="114">
        <f t="shared" si="1"/>
        <v>3000</v>
      </c>
      <c r="R11" s="115">
        <f>店长核算!X15</f>
        <v>0.04</v>
      </c>
      <c r="S11" s="116">
        <f>_xlfn.XLOOKUP(C11,店长核算!$P:$P,店长核算!$Y:$Y,0)</f>
        <v>6451.862900000001</v>
      </c>
    </row>
    <row r="12" spans="1:24" x14ac:dyDescent="0.15">
      <c r="B12" s="72" t="str">
        <f>②当月数据及门店毛利!B14</f>
        <v>鹭岛</v>
      </c>
      <c r="C12" s="72" t="str">
        <f>_xlfn.XLOOKUP(B12,店长核算!B:B,店长核算!P:P,0)</f>
        <v>何琼华</v>
      </c>
      <c r="D12" s="72">
        <f>②当月数据及门店毛利!C14</f>
        <v>111267</v>
      </c>
      <c r="E12" s="72">
        <f>②当月数据及门店毛利!D14</f>
        <v>87745.89</v>
      </c>
      <c r="F12" s="72">
        <f>②当月数据及门店毛利!E14</f>
        <v>142</v>
      </c>
      <c r="G12" s="72">
        <f>②当月数据及门店毛利!G14</f>
        <v>7901.28</v>
      </c>
      <c r="H12" s="72">
        <f>②当月数据及门店毛利!H14</f>
        <v>896.98</v>
      </c>
      <c r="I12" s="72">
        <f>②当月数据及门店毛利!I14</f>
        <v>3666.72</v>
      </c>
      <c r="J12" s="72">
        <f>②当月数据及门店毛利!J14</f>
        <v>2550</v>
      </c>
      <c r="K12" s="72">
        <f>②当月数据及门店毛利!K14</f>
        <v>0</v>
      </c>
      <c r="L12" s="72">
        <f>②当月数据及门店毛利!L14</f>
        <v>717.2</v>
      </c>
      <c r="M12" s="72">
        <f>②当月数据及门店毛利!N14</f>
        <v>95534.82</v>
      </c>
      <c r="N12" s="113">
        <f>_xlfn.XLOOKUP(C12,店长核算!P:P,店长核算!W:W,0)</f>
        <v>3000</v>
      </c>
      <c r="O12" s="113">
        <f>_xlfn.XLOOKUP(C12,'①考勤-B-a-26考勤汇总表'!D:D,'①考勤-B-a-26考勤汇总表'!U:U,0)</f>
        <v>0</v>
      </c>
      <c r="P12" s="114">
        <f t="shared" si="0"/>
        <v>0</v>
      </c>
      <c r="Q12" s="114">
        <f t="shared" si="1"/>
        <v>3000</v>
      </c>
      <c r="R12" s="115">
        <f>店长核算!X16</f>
        <v>0.04</v>
      </c>
      <c r="S12" s="116">
        <f>_xlfn.XLOOKUP(C12,店长核算!$P:$P,店长核算!$Y:$Y,0)</f>
        <v>3821.3928000000005</v>
      </c>
    </row>
    <row r="13" spans="1:24" x14ac:dyDescent="0.15">
      <c r="B13" s="72" t="str">
        <f>②当月数据及门店毛利!B15</f>
        <v>荣华南路</v>
      </c>
      <c r="C13" s="72" t="str">
        <f>_xlfn.XLOOKUP(B13,店长核算!B:B,店长核算!P:P,0)</f>
        <v>邓丽莉</v>
      </c>
      <c r="D13" s="72">
        <f>②当月数据及门店毛利!C15</f>
        <v>180024</v>
      </c>
      <c r="E13" s="72">
        <f>②当月数据及门店毛利!D15</f>
        <v>87671.5</v>
      </c>
      <c r="F13" s="72">
        <f>②当月数据及门店毛利!E15</f>
        <v>140</v>
      </c>
      <c r="G13" s="72">
        <f>②当月数据及门店毛利!G15</f>
        <v>2665.77</v>
      </c>
      <c r="H13" s="72">
        <f>②当月数据及门店毛利!H15</f>
        <v>2365.85</v>
      </c>
      <c r="I13" s="72">
        <f>②当月数据及门店毛利!I15</f>
        <v>2773.14</v>
      </c>
      <c r="J13" s="72">
        <f>②当月数据及门店毛利!J15</f>
        <v>0</v>
      </c>
      <c r="K13" s="72">
        <f>②当月数据及门店毛利!K15</f>
        <v>0</v>
      </c>
      <c r="L13" s="72">
        <f>②当月数据及门店毛利!L15</f>
        <v>858.8</v>
      </c>
      <c r="M13" s="72">
        <f>②当月数据及门店毛利!N15</f>
        <v>171360.44</v>
      </c>
      <c r="N13" s="113">
        <f>_xlfn.XLOOKUP(C13,店长核算!P:P,店长核算!W:W,0)</f>
        <v>3500</v>
      </c>
      <c r="O13" s="113">
        <f>_xlfn.XLOOKUP(C13,'①考勤-B-a-26考勤汇总表'!D:D,'①考勤-B-a-26考勤汇总表'!U:U,0)</f>
        <v>0</v>
      </c>
      <c r="P13" s="114">
        <f t="shared" si="0"/>
        <v>0</v>
      </c>
      <c r="Q13" s="114">
        <f t="shared" si="1"/>
        <v>3500</v>
      </c>
      <c r="R13" s="115">
        <f>店长核算!X17</f>
        <v>3.5000000000000003E-2</v>
      </c>
      <c r="S13" s="116">
        <f>_xlfn.XLOOKUP(C13,店长核算!$P:$P,店长核算!$Y:$Y,0)</f>
        <v>6854.4176000000007</v>
      </c>
    </row>
    <row r="14" spans="1:24" x14ac:dyDescent="0.15">
      <c r="B14" s="72" t="str">
        <f>②当月数据及门店毛利!B16</f>
        <v>荣华北路</v>
      </c>
      <c r="C14" s="72" t="str">
        <f>_xlfn.XLOOKUP(B14,店长核算!B:B,店长核算!P:P,0)</f>
        <v>秦娜</v>
      </c>
      <c r="D14" s="72">
        <f>②当月数据及门店毛利!C16</f>
        <v>153950.6</v>
      </c>
      <c r="E14" s="72">
        <f>②当月数据及门店毛利!D16</f>
        <v>140812.54</v>
      </c>
      <c r="F14" s="72">
        <f>②当月数据及门店毛利!E16</f>
        <v>153</v>
      </c>
      <c r="G14" s="72">
        <f>②当月数据及门店毛利!G16</f>
        <v>3263.25</v>
      </c>
      <c r="H14" s="72">
        <f>②当月数据及门店毛利!H16</f>
        <v>1044.5</v>
      </c>
      <c r="I14" s="72">
        <f>②当月数据及门店毛利!I16</f>
        <v>4129.88</v>
      </c>
      <c r="J14" s="72">
        <f>②当月数据及门店毛利!J16</f>
        <v>2040</v>
      </c>
      <c r="K14" s="72">
        <f>②当月数据及门店毛利!K16</f>
        <v>0</v>
      </c>
      <c r="L14" s="72">
        <f>②当月数据及门店毛利!L16</f>
        <v>888.4</v>
      </c>
      <c r="M14" s="72">
        <f>②当月数据及门店毛利!N16</f>
        <v>142584.57</v>
      </c>
      <c r="N14" s="113">
        <f>_xlfn.XLOOKUP(C14,店长核算!P:P,店长核算!W:W,0)</f>
        <v>3000</v>
      </c>
      <c r="O14" s="113">
        <f>_xlfn.XLOOKUP(C14,'①考勤-B-a-26考勤汇总表'!D:D,'①考勤-B-a-26考勤汇总表'!U:U,0)</f>
        <v>1</v>
      </c>
      <c r="P14" s="114">
        <f t="shared" si="0"/>
        <v>96.774193548387103</v>
      </c>
      <c r="Q14" s="114">
        <f t="shared" si="1"/>
        <v>2903.2258064516127</v>
      </c>
      <c r="R14" s="115">
        <f>店长核算!X18</f>
        <v>0.04</v>
      </c>
      <c r="S14" s="116">
        <f>_xlfn.XLOOKUP(C14,店长核算!$P:$P,店长核算!$Y:$Y,0)</f>
        <v>5703.3828000000003</v>
      </c>
    </row>
    <row r="15" spans="1:24" x14ac:dyDescent="0.15">
      <c r="B15" s="72" t="str">
        <f>②当月数据及门店毛利!B17</f>
        <v>涌泉</v>
      </c>
      <c r="C15" s="72" t="str">
        <f>_xlfn.XLOOKUP(B15,店长核算!B:B,店长核算!P:P,0)</f>
        <v>赵忠芬</v>
      </c>
      <c r="D15" s="72">
        <f>②当月数据及门店毛利!C17</f>
        <v>169632</v>
      </c>
      <c r="E15" s="72">
        <f>②当月数据及门店毛利!D17</f>
        <v>139162.62</v>
      </c>
      <c r="F15" s="72">
        <f>②当月数据及门店毛利!E17</f>
        <v>180</v>
      </c>
      <c r="G15" s="72">
        <f>②当月数据及门店毛利!G17</f>
        <v>4000</v>
      </c>
      <c r="H15" s="72">
        <f>②当月数据及门店毛利!H17</f>
        <v>869.26</v>
      </c>
      <c r="I15" s="72">
        <f>②当月数据及门店毛利!I17</f>
        <v>4870.34</v>
      </c>
      <c r="J15" s="72">
        <f>②当月数据及门店毛利!J17</f>
        <v>17777.5</v>
      </c>
      <c r="K15" s="72">
        <f>②当月数据及门店毛利!K17</f>
        <v>0</v>
      </c>
      <c r="L15" s="72">
        <f>②当月数据及门店毛利!L17</f>
        <v>817.1</v>
      </c>
      <c r="M15" s="72">
        <f>②当月数据及门店毛利!N17</f>
        <v>141297.79999999999</v>
      </c>
      <c r="N15" s="113">
        <f>_xlfn.XLOOKUP(C15,店长核算!P:P,店长核算!W:W,0)</f>
        <v>3500</v>
      </c>
      <c r="O15" s="113">
        <f>_xlfn.XLOOKUP(C15,'①考勤-B-a-26考勤汇总表'!D:D,'①考勤-B-a-26考勤汇总表'!U:U,0)</f>
        <v>0</v>
      </c>
      <c r="P15" s="114">
        <f t="shared" si="0"/>
        <v>0</v>
      </c>
      <c r="Q15" s="114">
        <f t="shared" si="1"/>
        <v>3500</v>
      </c>
      <c r="R15" s="115">
        <f>店长核算!X19</f>
        <v>0.03</v>
      </c>
      <c r="S15" s="116">
        <f>_xlfn.XLOOKUP(C15,店长核算!$P:$P,店长核算!$Y:$Y,0)</f>
        <v>5651.9119999999994</v>
      </c>
    </row>
    <row r="16" spans="1:24" x14ac:dyDescent="0.15">
      <c r="B16" s="72" t="str">
        <f>②当月数据及门店毛利!B18</f>
        <v>大丰</v>
      </c>
      <c r="C16" s="72" t="str">
        <f>_xlfn.XLOOKUP(B16,店长核算!B:B,店长核算!P:P,0)</f>
        <v>李茂</v>
      </c>
      <c r="D16" s="72">
        <f>②当月数据及门店毛利!C18</f>
        <v>200049.7</v>
      </c>
      <c r="E16" s="72">
        <f>②当月数据及门店毛利!D18</f>
        <v>192405.22</v>
      </c>
      <c r="F16" s="72">
        <f>②当月数据及门店毛利!E18</f>
        <v>172</v>
      </c>
      <c r="G16" s="72">
        <f>②当月数据及门店毛利!G18</f>
        <v>2686.64</v>
      </c>
      <c r="H16" s="72">
        <f>②当月数据及门店毛利!H18</f>
        <v>1269.98</v>
      </c>
      <c r="I16" s="72">
        <f>②当月数据及门店毛利!I18</f>
        <v>2572.54</v>
      </c>
      <c r="J16" s="72">
        <f>②当月数据及门店毛利!J18</f>
        <v>10560</v>
      </c>
      <c r="K16" s="72">
        <f>②当月数据及门店毛利!K18</f>
        <v>281.39999999999998</v>
      </c>
      <c r="L16" s="72">
        <f>②当月数据及门店毛利!L18</f>
        <v>820.9</v>
      </c>
      <c r="M16" s="72">
        <f>②当月数据及门店毛利!N18</f>
        <v>181858.24000000002</v>
      </c>
      <c r="N16" s="113">
        <f>_xlfn.XLOOKUP(C16,店长核算!P:P,店长核算!W:W,0)</f>
        <v>3500</v>
      </c>
      <c r="O16" s="113">
        <f>_xlfn.XLOOKUP(C16,'①考勤-B-a-26考勤汇总表'!D:D,'①考勤-B-a-26考勤汇总表'!U:U,0)</f>
        <v>0</v>
      </c>
      <c r="P16" s="114">
        <f t="shared" si="0"/>
        <v>0</v>
      </c>
      <c r="Q16" s="114">
        <f t="shared" si="1"/>
        <v>3500</v>
      </c>
      <c r="R16" s="115">
        <f>店长核算!X20</f>
        <v>0.04</v>
      </c>
      <c r="S16" s="116">
        <f>_xlfn.XLOOKUP(C16,店长核算!$P:$P,店长核算!$Y:$Y,0)</f>
        <v>6365.0384000000013</v>
      </c>
    </row>
    <row r="17" spans="2:19" x14ac:dyDescent="0.15">
      <c r="B17" s="72" t="str">
        <f>②当月数据及门店毛利!B19</f>
        <v>双流</v>
      </c>
      <c r="C17" s="72" t="str">
        <f>_xlfn.XLOOKUP(B17,店长核算!B:B,店长核算!P:P,0)</f>
        <v>王晓琳</v>
      </c>
      <c r="D17" s="72">
        <f>②当月数据及门店毛利!C19</f>
        <v>311108</v>
      </c>
      <c r="E17" s="72">
        <f>②当月数据及门店毛利!D19</f>
        <v>291471.05</v>
      </c>
      <c r="F17" s="72">
        <f>②当月数据及门店毛利!E19</f>
        <v>163</v>
      </c>
      <c r="G17" s="72">
        <f>②当月数据及门店毛利!G19</f>
        <v>2500</v>
      </c>
      <c r="H17" s="72">
        <f>②当月数据及门店毛利!H19</f>
        <v>571.79</v>
      </c>
      <c r="I17" s="72">
        <f>②当月数据及门店毛利!I19</f>
        <v>3078.24</v>
      </c>
      <c r="J17" s="72">
        <f>②当月数据及门店毛利!J19</f>
        <v>62020</v>
      </c>
      <c r="K17" s="72">
        <f>②当月数据及门店毛利!K19</f>
        <v>5200</v>
      </c>
      <c r="L17" s="72">
        <f>②当月数据及门店毛利!L19</f>
        <v>722.2</v>
      </c>
      <c r="M17" s="72">
        <f>②当月数据及门店毛利!N19</f>
        <v>237015.77000000002</v>
      </c>
      <c r="N17" s="113">
        <f>_xlfn.XLOOKUP(C17,店长核算!P:P,店长核算!W:W,0)</f>
        <v>4000</v>
      </c>
      <c r="O17" s="113">
        <f>_xlfn.XLOOKUP(C17,'①考勤-B-a-26考勤汇总表'!D:D,'①考勤-B-a-26考勤汇总表'!U:U,0)</f>
        <v>0</v>
      </c>
      <c r="P17" s="114">
        <f t="shared" si="0"/>
        <v>0</v>
      </c>
      <c r="Q17" s="114">
        <f t="shared" si="1"/>
        <v>4000</v>
      </c>
      <c r="R17" s="115">
        <f>店长核算!X21</f>
        <v>3.5000000000000003E-2</v>
      </c>
      <c r="S17" s="116">
        <f>_xlfn.XLOOKUP(C17,店长核算!$P:$P,店长核算!$Y:$Y,0)</f>
        <v>9480.6308000000008</v>
      </c>
    </row>
    <row r="18" spans="2:19" x14ac:dyDescent="0.15">
      <c r="B18" s="72" t="str">
        <f>②当月数据及门店毛利!B20</f>
        <v>骑士郡</v>
      </c>
      <c r="C18" s="72" t="str">
        <f>_xlfn.XLOOKUP(B18,店长核算!B:B,店长核算!P:P,0)</f>
        <v>张勤</v>
      </c>
      <c r="D18" s="72">
        <f>②当月数据及门店毛利!C20</f>
        <v>158633</v>
      </c>
      <c r="E18" s="72">
        <f>②当月数据及门店毛利!D20</f>
        <v>123760.98</v>
      </c>
      <c r="F18" s="72">
        <f>②当月数据及门店毛利!E20</f>
        <v>177</v>
      </c>
      <c r="G18" s="72">
        <f>②当月数据及门店毛利!G20</f>
        <v>4219.55</v>
      </c>
      <c r="H18" s="72">
        <f>②当月数据及门店毛利!H20</f>
        <v>955.53</v>
      </c>
      <c r="I18" s="72">
        <f>②当月数据及门店毛利!I20</f>
        <v>3464.34</v>
      </c>
      <c r="J18" s="72">
        <f>②当月数据及门店毛利!J20</f>
        <v>-3750</v>
      </c>
      <c r="K18" s="72">
        <f>②当月数据及门店毛利!K20</f>
        <v>300</v>
      </c>
      <c r="L18" s="72">
        <f>②当月数据及门店毛利!L20</f>
        <v>1373.4</v>
      </c>
      <c r="M18" s="72">
        <f>②当月数据及门店毛利!N20</f>
        <v>152070.18</v>
      </c>
      <c r="N18" s="113">
        <f>_xlfn.XLOOKUP(C18,店长核算!P:P,店长核算!W:W,0)</f>
        <v>3000</v>
      </c>
      <c r="O18" s="113">
        <f>_xlfn.XLOOKUP(C18,'①考勤-B-a-26考勤汇总表'!D:D,'①考勤-B-a-26考勤汇总表'!U:U,0)</f>
        <v>0</v>
      </c>
      <c r="P18" s="114">
        <f t="shared" si="0"/>
        <v>0</v>
      </c>
      <c r="Q18" s="114">
        <f t="shared" si="1"/>
        <v>3000</v>
      </c>
      <c r="R18" s="115">
        <f>店长核算!X22</f>
        <v>0.04</v>
      </c>
      <c r="S18" s="116">
        <f>_xlfn.XLOOKUP(C18,店长核算!$P:$P,店长核算!$Y:$Y,0)</f>
        <v>4562.1053999999995</v>
      </c>
    </row>
    <row r="19" spans="2:19" x14ac:dyDescent="0.15">
      <c r="B19" s="72" t="str">
        <f>②当月数据及门店毛利!B21</f>
        <v>明信</v>
      </c>
      <c r="C19" s="72" t="str">
        <f>_xlfn.XLOOKUP(B19,店长核算!B:B,店长核算!P:P,0)</f>
        <v>糜清云</v>
      </c>
      <c r="D19" s="72">
        <f>②当月数据及门店毛利!C21</f>
        <v>92371</v>
      </c>
      <c r="E19" s="72">
        <f>②当月数据及门店毛利!D21</f>
        <v>58105.8</v>
      </c>
      <c r="F19" s="72">
        <f>②当月数据及门店毛利!E21</f>
        <v>169</v>
      </c>
      <c r="G19" s="72">
        <f>②当月数据及门店毛利!G21</f>
        <v>156</v>
      </c>
      <c r="H19" s="72">
        <f>②当月数据及门店毛利!H21</f>
        <v>375.92</v>
      </c>
      <c r="I19" s="72">
        <f>②当月数据及门店毛利!I21</f>
        <v>3175.2</v>
      </c>
      <c r="J19" s="72">
        <f>②当月数据及门店毛利!J21</f>
        <v>0</v>
      </c>
      <c r="K19" s="72">
        <f>②当月数据及门店毛利!K21</f>
        <v>0</v>
      </c>
      <c r="L19" s="72">
        <f>②当月数据及门店毛利!L21</f>
        <v>723.3</v>
      </c>
      <c r="M19" s="72">
        <f>②当月数据及门店毛利!N21</f>
        <v>87940.58</v>
      </c>
      <c r="N19" s="113">
        <f>_xlfn.XLOOKUP(C19,店长核算!P:P,店长核算!W:W,0)</f>
        <v>3000</v>
      </c>
      <c r="O19" s="113">
        <f>_xlfn.XLOOKUP(C19,'①考勤-B-a-26考勤汇总表'!D:D,'①考勤-B-a-26考勤汇总表'!U:U,0)</f>
        <v>1</v>
      </c>
      <c r="P19" s="114">
        <f t="shared" si="0"/>
        <v>96.774193548387103</v>
      </c>
      <c r="Q19" s="114">
        <f t="shared" si="1"/>
        <v>2903.2258064516127</v>
      </c>
      <c r="R19" s="115">
        <f>店长核算!X23</f>
        <v>4.4999999999999998E-2</v>
      </c>
      <c r="S19" s="116">
        <f>_xlfn.XLOOKUP(C19,店长核算!$P:$P,店长核算!$Y:$Y,0)</f>
        <v>3517.6232</v>
      </c>
    </row>
    <row r="20" spans="2:19" x14ac:dyDescent="0.15">
      <c r="B20" s="72" t="str">
        <f>②当月数据及门店毛利!B22</f>
        <v>犀浦</v>
      </c>
      <c r="C20" s="72" t="str">
        <f>_xlfn.XLOOKUP(B20,店长核算!B:B,店长核算!P:P,0)</f>
        <v>曾玉莲</v>
      </c>
      <c r="D20" s="72">
        <f>②当月数据及门店毛利!C22</f>
        <v>100934</v>
      </c>
      <c r="E20" s="72">
        <f>②当月数据及门店毛利!D22</f>
        <v>120573.32</v>
      </c>
      <c r="F20" s="72">
        <f>②当月数据及门店毛利!E22</f>
        <v>183</v>
      </c>
      <c r="G20" s="72">
        <f>②当月数据及门店毛利!G22</f>
        <v>5076.66</v>
      </c>
      <c r="H20" s="72">
        <f>②当月数据及门店毛利!H22</f>
        <v>1209.6500000000001</v>
      </c>
      <c r="I20" s="72">
        <f>②当月数据及门店毛利!I22</f>
        <v>4620.6000000000004</v>
      </c>
      <c r="J20" s="72">
        <f>②当月数据及门店毛利!J22</f>
        <v>0</v>
      </c>
      <c r="K20" s="72">
        <f>②当月数据及门店毛利!K22</f>
        <v>0</v>
      </c>
      <c r="L20" s="72">
        <f>②当月数据及门店毛利!L22</f>
        <v>930.3</v>
      </c>
      <c r="M20" s="72">
        <f>②当月数据及门店毛利!N22</f>
        <v>89096.790000000008</v>
      </c>
      <c r="N20" s="113">
        <f>_xlfn.XLOOKUP(C20,店长核算!P:P,店长核算!W:W,0)</f>
        <v>3000</v>
      </c>
      <c r="O20" s="113">
        <f>_xlfn.XLOOKUP(C20,'①考勤-B-a-26考勤汇总表'!D:D,'①考勤-B-a-26考勤汇总表'!U:U,0)</f>
        <v>0</v>
      </c>
      <c r="P20" s="114">
        <f t="shared" si="0"/>
        <v>0</v>
      </c>
      <c r="Q20" s="114">
        <f t="shared" si="1"/>
        <v>3000</v>
      </c>
      <c r="R20" s="115">
        <f>店长核算!X24</f>
        <v>0.04</v>
      </c>
      <c r="S20" s="116">
        <f>_xlfn.XLOOKUP(C20,店长核算!$P:$P,店长核算!$Y:$Y,0)</f>
        <v>3118.3876500000006</v>
      </c>
    </row>
    <row r="21" spans="2:19" x14ac:dyDescent="0.15">
      <c r="B21" s="72" t="str">
        <f>②当月数据及门店毛利!B23</f>
        <v>千禧</v>
      </c>
      <c r="C21" s="72" t="str">
        <f>_xlfn.XLOOKUP(B21,店长核算!B:B,店长核算!P:P,0)</f>
        <v>白丽</v>
      </c>
      <c r="D21" s="72">
        <f>②当月数据及门店毛利!C23</f>
        <v>151129</v>
      </c>
      <c r="E21" s="72">
        <f>②当月数据及门店毛利!D23</f>
        <v>112580.75</v>
      </c>
      <c r="F21" s="72">
        <f>②当月数据及门店毛利!E23</f>
        <v>164</v>
      </c>
      <c r="G21" s="72">
        <f>②当月数据及门店毛利!G23</f>
        <v>6040.43</v>
      </c>
      <c r="H21" s="72">
        <f>②当月数据及门店毛利!H23</f>
        <v>477.24</v>
      </c>
      <c r="I21" s="72">
        <f>②当月数据及门店毛利!I23</f>
        <v>3086.14</v>
      </c>
      <c r="J21" s="72">
        <f>②当月数据及门店毛利!J23</f>
        <v>-4305</v>
      </c>
      <c r="K21" s="72">
        <f>②当月数据及门店毛利!K23</f>
        <v>0</v>
      </c>
      <c r="L21" s="72">
        <f>②当月数据及门店毛利!L23</f>
        <v>871.5</v>
      </c>
      <c r="M21" s="72">
        <f>②当月数据及门店毛利!N23</f>
        <v>144958.69</v>
      </c>
      <c r="N21" s="113">
        <f>_xlfn.XLOOKUP(C21,店长核算!P:P,店长核算!W:W,0)</f>
        <v>3500</v>
      </c>
      <c r="O21" s="113">
        <f>_xlfn.XLOOKUP(C21,'①考勤-B-a-26考勤汇总表'!D:D,'①考勤-B-a-26考勤汇总表'!U:U,0)</f>
        <v>0</v>
      </c>
      <c r="P21" s="114">
        <f t="shared" si="0"/>
        <v>0</v>
      </c>
      <c r="Q21" s="114">
        <f t="shared" si="1"/>
        <v>3500</v>
      </c>
      <c r="R21" s="115">
        <f>店长核算!X25</f>
        <v>3.5000000000000003E-2</v>
      </c>
      <c r="S21" s="116">
        <f>_xlfn.XLOOKUP(C21,店长核算!$P:$P,店长核算!$Y:$Y,0)</f>
        <v>5798.3476000000001</v>
      </c>
    </row>
    <row r="22" spans="2:19" x14ac:dyDescent="0.15">
      <c r="B22" s="72" t="str">
        <f>②当月数据及门店毛利!B24</f>
        <v>亚洲湾</v>
      </c>
      <c r="C22" s="72" t="str">
        <f>_xlfn.XLOOKUP(B22,店长核算!B:B,店长核算!P:P,0)</f>
        <v>尧丹丹</v>
      </c>
      <c r="D22" s="72">
        <f>②当月数据及门店毛利!C24</f>
        <v>143757</v>
      </c>
      <c r="E22" s="72">
        <f>②当月数据及门店毛利!D24</f>
        <v>100865.33</v>
      </c>
      <c r="F22" s="72">
        <f>②当月数据及门店毛利!E24</f>
        <v>156</v>
      </c>
      <c r="G22" s="72">
        <f>②当月数据及门店毛利!G24</f>
        <v>3000</v>
      </c>
      <c r="H22" s="72">
        <f>②当月数据及门店毛利!H24</f>
        <v>681.77</v>
      </c>
      <c r="I22" s="72">
        <f>②当月数据及门店毛利!I24</f>
        <v>2764.42</v>
      </c>
      <c r="J22" s="72">
        <f>②当月数据及门店毛利!J24</f>
        <v>10520</v>
      </c>
      <c r="K22" s="72">
        <f>②当月数据及门店毛利!K24</f>
        <v>0</v>
      </c>
      <c r="L22" s="72">
        <f>②当月数据及门店毛利!L24</f>
        <v>618.70000000000005</v>
      </c>
      <c r="M22" s="72">
        <f>②当月数据及门店毛利!N24</f>
        <v>126172.11</v>
      </c>
      <c r="N22" s="113">
        <f>_xlfn.XLOOKUP(C22,店长核算!P:P,店长核算!W:W,0)</f>
        <v>3000</v>
      </c>
      <c r="O22" s="113">
        <f>_xlfn.XLOOKUP(C22,'①考勤-B-a-26考勤汇总表'!D:D,'①考勤-B-a-26考勤汇总表'!U:U,0)</f>
        <v>0</v>
      </c>
      <c r="P22" s="114">
        <f t="shared" si="0"/>
        <v>0</v>
      </c>
      <c r="Q22" s="114">
        <f t="shared" si="1"/>
        <v>3000</v>
      </c>
      <c r="R22" s="115">
        <f>店长核算!X26</f>
        <v>0.03</v>
      </c>
      <c r="S22" s="116">
        <f>_xlfn.XLOOKUP(C22,店长核算!$P:$P,店长核算!$Y:$Y,0)</f>
        <v>5677.7449500000002</v>
      </c>
    </row>
    <row r="23" spans="2:19" x14ac:dyDescent="0.15">
      <c r="B23" s="72" t="str">
        <f>②当月数据及门店毛利!B25</f>
        <v>中和</v>
      </c>
      <c r="C23" s="72" t="str">
        <f>_xlfn.XLOOKUP(B23,店长核算!B:B,店长核算!P:P,0)</f>
        <v>关晓燕</v>
      </c>
      <c r="D23" s="72">
        <f>②当月数据及门店毛利!C25</f>
        <v>150422</v>
      </c>
      <c r="E23" s="72">
        <f>②当月数据及门店毛利!D25</f>
        <v>103361.72</v>
      </c>
      <c r="F23" s="72">
        <f>②当月数据及门店毛利!E25</f>
        <v>111</v>
      </c>
      <c r="G23" s="72">
        <f>②当月数据及门店毛利!G25</f>
        <v>2371.5</v>
      </c>
      <c r="H23" s="72">
        <f>②当月数据及门店毛利!H25</f>
        <v>1827.5</v>
      </c>
      <c r="I23" s="72">
        <f>②当月数据及门店毛利!I25</f>
        <v>3256.3</v>
      </c>
      <c r="J23" s="72">
        <f>②当月数据及门店毛利!J25</f>
        <v>4590</v>
      </c>
      <c r="K23" s="72">
        <f>②当月数据及门店毛利!K25</f>
        <v>0</v>
      </c>
      <c r="L23" s="72">
        <f>②当月数据及门店毛利!L25</f>
        <v>791.3</v>
      </c>
      <c r="M23" s="72">
        <f>②当月数据及门店毛利!N25</f>
        <v>137585.4</v>
      </c>
      <c r="N23" s="113">
        <f>_xlfn.XLOOKUP(C23,店长核算!P:P,店长核算!W:W,0)</f>
        <v>3000</v>
      </c>
      <c r="O23" s="113">
        <f>_xlfn.XLOOKUP(C23,'①考勤-B-a-26考勤汇总表'!D:D,'①考勤-B-a-26考勤汇总表'!U:U,0)</f>
        <v>0</v>
      </c>
      <c r="P23" s="114">
        <f t="shared" si="0"/>
        <v>0</v>
      </c>
      <c r="Q23" s="114">
        <f t="shared" si="1"/>
        <v>3000</v>
      </c>
      <c r="R23" s="115">
        <f>店长核算!X27</f>
        <v>0.04</v>
      </c>
      <c r="S23" s="116">
        <f>_xlfn.XLOOKUP(C23,店长核算!$P:$P,店长核算!$Y:$Y,0)</f>
        <v>5503.4160000000002</v>
      </c>
    </row>
    <row r="24" spans="2:19" x14ac:dyDescent="0.15">
      <c r="B24" s="72" t="str">
        <f>②当月数据及门店毛利!B26</f>
        <v>凤凰山</v>
      </c>
      <c r="C24" s="72" t="str">
        <f>_xlfn.XLOOKUP(B24,店长核算!B:B,店长核算!P:P,0)</f>
        <v>魏柯</v>
      </c>
      <c r="D24" s="72">
        <f>②当月数据及门店毛利!C26</f>
        <v>180307.8</v>
      </c>
      <c r="E24" s="72">
        <f>②当月数据及门店毛利!D26</f>
        <v>89092.800000000003</v>
      </c>
      <c r="F24" s="72">
        <f>②当月数据及门店毛利!E26</f>
        <v>154</v>
      </c>
      <c r="G24" s="72">
        <f>②当月数据及门店毛利!G26</f>
        <v>4438.3599999999997</v>
      </c>
      <c r="H24" s="72">
        <f>②当月数据及门店毛利!H26</f>
        <v>1593.28</v>
      </c>
      <c r="I24" s="72">
        <f>②当月数据及门店毛利!I26</f>
        <v>4101.6000000000004</v>
      </c>
      <c r="J24" s="72">
        <f>②当月数据及门店毛利!J26</f>
        <v>1655</v>
      </c>
      <c r="K24" s="72">
        <f>②当月数据及门店毛利!K26</f>
        <v>0</v>
      </c>
      <c r="L24" s="72">
        <f>②当月数据及门店毛利!L26</f>
        <v>1122.5</v>
      </c>
      <c r="M24" s="72">
        <f>②当月数据及门店毛利!N26</f>
        <v>167397.06</v>
      </c>
      <c r="N24" s="113">
        <f>_xlfn.XLOOKUP(C24,店长核算!P:P,店长核算!W:W,0)</f>
        <v>3000</v>
      </c>
      <c r="O24" s="113">
        <f>_xlfn.XLOOKUP(C24,'①考勤-B-a-26考勤汇总表'!D:D,'①考勤-B-a-26考勤汇总表'!U:U,0)</f>
        <v>0</v>
      </c>
      <c r="P24" s="114">
        <f t="shared" si="0"/>
        <v>0</v>
      </c>
      <c r="Q24" s="114">
        <f t="shared" si="1"/>
        <v>3000</v>
      </c>
      <c r="R24" s="115">
        <f>店长核算!X28</f>
        <v>0.04</v>
      </c>
      <c r="S24" s="116">
        <f>_xlfn.XLOOKUP(C24,店长核算!$P:$P,店长核算!$Y:$Y,0)</f>
        <v>5858.8971000000001</v>
      </c>
    </row>
    <row r="25" spans="2:19" x14ac:dyDescent="0.15">
      <c r="B25" s="72" t="str">
        <f>②当月数据及门店毛利!B27</f>
        <v>南湖</v>
      </c>
      <c r="C25" s="72" t="str">
        <f>_xlfn.XLOOKUP(B25,店长核算!B:B,店长核算!P:P,0)</f>
        <v>龚茜</v>
      </c>
      <c r="D25" s="72">
        <f>②当月数据及门店毛利!C27</f>
        <v>139022</v>
      </c>
      <c r="E25" s="72">
        <f>②当月数据及门店毛利!D27</f>
        <v>127157.72</v>
      </c>
      <c r="F25" s="72">
        <f>②当月数据及门店毛利!E27</f>
        <v>191</v>
      </c>
      <c r="G25" s="72">
        <f>②当月数据及门店毛利!G27</f>
        <v>4456.45</v>
      </c>
      <c r="H25" s="72">
        <f>②当月数据及门店毛利!H27</f>
        <v>1510.72</v>
      </c>
      <c r="I25" s="72">
        <f>②当月数据及门店毛利!I27</f>
        <v>3717.66</v>
      </c>
      <c r="J25" s="72">
        <f>②当月数据及门店毛利!J27</f>
        <v>8980</v>
      </c>
      <c r="K25" s="72">
        <f>②当月数据及门店毛利!K27</f>
        <v>0</v>
      </c>
      <c r="L25" s="72">
        <f>②当月数据及门店毛利!L27</f>
        <v>881.5</v>
      </c>
      <c r="M25" s="72">
        <f>②当月数据及门店毛利!N27</f>
        <v>119475.67</v>
      </c>
      <c r="N25" s="113">
        <f>_xlfn.XLOOKUP(C25,店长核算!P:P,店长核算!W:W,0)</f>
        <v>3000</v>
      </c>
      <c r="O25" s="113">
        <f>_xlfn.XLOOKUP(C25,'①考勤-B-a-26考勤汇总表'!D:D,'①考勤-B-a-26考勤汇总表'!U:U,0)</f>
        <v>0</v>
      </c>
      <c r="P25" s="114">
        <f t="shared" si="0"/>
        <v>0</v>
      </c>
      <c r="Q25" s="114">
        <f t="shared" si="1"/>
        <v>3000</v>
      </c>
      <c r="R25" s="115">
        <f>店长核算!X29</f>
        <v>4.4999999999999998E-2</v>
      </c>
      <c r="S25" s="116">
        <f>_xlfn.XLOOKUP(C25,店长核算!$P:$P,店长核算!$Y:$Y,0)</f>
        <v>3584.2700999999997</v>
      </c>
    </row>
    <row r="26" spans="2:19" x14ac:dyDescent="0.15">
      <c r="B26" s="72" t="str">
        <f>②当月数据及门店毛利!B28</f>
        <v>大源</v>
      </c>
      <c r="C26" s="72" t="str">
        <f>_xlfn.XLOOKUP(B26,店长核算!B:B,店长核算!P:P,0)</f>
        <v>张红霞</v>
      </c>
      <c r="D26" s="72">
        <f>②当月数据及门店毛利!C28</f>
        <v>120949.6</v>
      </c>
      <c r="E26" s="72">
        <f>②当月数据及门店毛利!D28</f>
        <v>82307.44</v>
      </c>
      <c r="F26" s="72">
        <f>②当月数据及门店毛利!E28</f>
        <v>149</v>
      </c>
      <c r="G26" s="72">
        <f>②当月数据及门店毛利!G28</f>
        <v>3699.8</v>
      </c>
      <c r="H26" s="72">
        <f>②当月数据及门店毛利!H28</f>
        <v>646.76</v>
      </c>
      <c r="I26" s="72">
        <f>②当月数据及门店毛利!I28</f>
        <v>6831.08</v>
      </c>
      <c r="J26" s="72">
        <f>②当月数据及门店毛利!J28</f>
        <v>7225</v>
      </c>
      <c r="K26" s="72">
        <f>②当月数据及门店毛利!K28</f>
        <v>0</v>
      </c>
      <c r="L26" s="72">
        <f>②当月数据及门店毛利!L28</f>
        <v>525.5</v>
      </c>
      <c r="M26" s="72">
        <f>②当月数据及门店毛利!N28</f>
        <v>102021.46</v>
      </c>
      <c r="N26" s="113">
        <f>_xlfn.XLOOKUP(C26,店长核算!P:P,店长核算!W:W,0)</f>
        <v>3500</v>
      </c>
      <c r="O26" s="113">
        <f>_xlfn.XLOOKUP(C26,'①考勤-B-a-26考勤汇总表'!D:D,'①考勤-B-a-26考勤汇总表'!U:U,0)</f>
        <v>0</v>
      </c>
      <c r="P26" s="114">
        <f t="shared" si="0"/>
        <v>0</v>
      </c>
      <c r="Q26" s="114">
        <f t="shared" si="1"/>
        <v>3500</v>
      </c>
      <c r="R26" s="115">
        <f>店长核算!X30</f>
        <v>4.4999999999999998E-2</v>
      </c>
      <c r="S26" s="116">
        <f>_xlfn.XLOOKUP(C26,店长核算!$P:$P,店长核算!$Y:$Y,0)</f>
        <v>4590.9656999999997</v>
      </c>
    </row>
    <row r="27" spans="2:19" x14ac:dyDescent="0.15">
      <c r="B27" s="72" t="str">
        <f>②当月数据及门店毛利!B29</f>
        <v>红光</v>
      </c>
      <c r="C27" s="72" t="str">
        <f>_xlfn.XLOOKUP(B27,店长核算!B:B,店长核算!P:P,0)</f>
        <v>宋林琳</v>
      </c>
      <c r="D27" s="72">
        <f>②当月数据及门店毛利!C29</f>
        <v>259744.88</v>
      </c>
      <c r="E27" s="72">
        <f>②当月数据及门店毛利!D29</f>
        <v>180406.1</v>
      </c>
      <c r="F27" s="72">
        <f>②当月数据及门店毛利!E29</f>
        <v>155</v>
      </c>
      <c r="G27" s="72">
        <f>②当月数据及门店毛利!G29</f>
        <v>2250</v>
      </c>
      <c r="H27" s="72">
        <f>②当月数据及门店毛利!H29</f>
        <v>892.58</v>
      </c>
      <c r="I27" s="72">
        <f>②当月数据及门店毛利!I29</f>
        <v>2190.88</v>
      </c>
      <c r="J27" s="72">
        <f>②当月数据及门店毛利!J29</f>
        <v>39560</v>
      </c>
      <c r="K27" s="72">
        <f>②当月数据及门店毛利!K29</f>
        <v>0</v>
      </c>
      <c r="L27" s="72">
        <f>②当月数据及门店毛利!L29</f>
        <v>582.9</v>
      </c>
      <c r="M27" s="72">
        <f>②当月数据及门店毛利!N29</f>
        <v>214268.52000000002</v>
      </c>
      <c r="N27" s="113">
        <f>_xlfn.XLOOKUP(C27,店长核算!P:P,店长核算!W:W,0)</f>
        <v>4000</v>
      </c>
      <c r="O27" s="113">
        <f>_xlfn.XLOOKUP(C27,'①考勤-B-a-26考勤汇总表'!D:D,'①考勤-B-a-26考勤汇总表'!U:U,0)</f>
        <v>0</v>
      </c>
      <c r="P27" s="114">
        <f t="shared" si="0"/>
        <v>0</v>
      </c>
      <c r="Q27" s="114">
        <f t="shared" si="1"/>
        <v>4000</v>
      </c>
      <c r="R27" s="115">
        <f>店长核算!X31</f>
        <v>0</v>
      </c>
      <c r="S27" s="116">
        <f>_xlfn.XLOOKUP(C27,店长核算!$P:$P,店长核算!$Y:$Y,0)</f>
        <v>9642.0834000000013</v>
      </c>
    </row>
    <row r="28" spans="2:19" x14ac:dyDescent="0.15">
      <c r="B28" s="72" t="str">
        <f>②当月数据及门店毛利!B30</f>
        <v>保利</v>
      </c>
      <c r="C28" s="72">
        <f>_xlfn.XLOOKUP(B28,店长核算!B:B,店长核算!P:P,0)</f>
        <v>0</v>
      </c>
      <c r="D28" s="72">
        <f>②当月数据及门店毛利!C30</f>
        <v>150031.32999999999</v>
      </c>
      <c r="E28" s="72">
        <f>②当月数据及门店毛利!D30</f>
        <v>65878.570000000007</v>
      </c>
      <c r="F28" s="72">
        <f>②当月数据及门店毛利!E30</f>
        <v>186</v>
      </c>
      <c r="G28" s="72">
        <f>②当月数据及门店毛利!G30</f>
        <v>4509.84</v>
      </c>
      <c r="H28" s="72">
        <f>②当月数据及门店毛利!H30</f>
        <v>1001.07</v>
      </c>
      <c r="I28" s="72">
        <f>②当月数据及门店毛利!I30</f>
        <v>4515.3</v>
      </c>
      <c r="J28" s="72">
        <f>②当月数据及门店毛利!J30</f>
        <v>5940</v>
      </c>
      <c r="K28" s="72">
        <f>②当月数据及门店毛利!K30</f>
        <v>0</v>
      </c>
      <c r="L28" s="72">
        <f>②当月数据及门店毛利!L30</f>
        <v>537.20000000000005</v>
      </c>
      <c r="M28" s="72">
        <f>②当月数据及门店毛利!N30</f>
        <v>133527.91999999998</v>
      </c>
      <c r="N28" s="113">
        <f>_xlfn.XLOOKUP(C28,店长核算!P:P,店长核算!W:W,0)</f>
        <v>0</v>
      </c>
      <c r="O28" s="113">
        <f>_xlfn.XLOOKUP(C28,'①考勤-B-a-26考勤汇总表'!D:D,'①考勤-B-a-26考勤汇总表'!U:U,0)</f>
        <v>0</v>
      </c>
      <c r="P28" s="114">
        <f t="shared" si="0"/>
        <v>0</v>
      </c>
      <c r="Q28" s="114">
        <f t="shared" si="1"/>
        <v>0</v>
      </c>
      <c r="R28" s="115">
        <f>店长核算!X32</f>
        <v>0</v>
      </c>
      <c r="S28" s="116">
        <f>_xlfn.XLOOKUP(C28,店长核算!$P:$P,店长核算!$Y:$Y,0)</f>
        <v>0</v>
      </c>
    </row>
    <row r="29" spans="2:19" x14ac:dyDescent="0.15">
      <c r="B29" s="72" t="str">
        <f>②当月数据及门店毛利!B31</f>
        <v>龙城国际</v>
      </c>
      <c r="C29" s="72">
        <f>_xlfn.XLOOKUP(B29,店长核算!B:B,店长核算!P:P,0)</f>
        <v>0</v>
      </c>
      <c r="D29" s="72">
        <f>②当月数据及门店毛利!C31</f>
        <v>133334.88</v>
      </c>
      <c r="E29" s="72">
        <f>②当月数据及门店毛利!D31</f>
        <v>117423.44</v>
      </c>
      <c r="F29" s="72">
        <f>②当月数据及门店毛利!E31</f>
        <v>117</v>
      </c>
      <c r="G29" s="72">
        <f>②当月数据及门店毛利!G31</f>
        <v>1000</v>
      </c>
      <c r="H29" s="72">
        <f>②当月数据及门店毛利!H31</f>
        <v>1563.73</v>
      </c>
      <c r="I29" s="72">
        <f>②当月数据及门店毛利!I31</f>
        <v>7388.46</v>
      </c>
      <c r="J29" s="72">
        <f>②当月数据及门店毛利!J31</f>
        <v>8495</v>
      </c>
      <c r="K29" s="72">
        <f>②当月数据及门店毛利!K31</f>
        <v>0</v>
      </c>
      <c r="L29" s="72">
        <f>②当月数据及门店毛利!L31</f>
        <v>482.4</v>
      </c>
      <c r="M29" s="72">
        <f>②当月数据及门店毛利!N31</f>
        <v>114405.29000000001</v>
      </c>
      <c r="N29" s="113">
        <f>_xlfn.XLOOKUP(C29,店长核算!P:P,店长核算!W:W,0)</f>
        <v>0</v>
      </c>
      <c r="O29" s="113">
        <f>_xlfn.XLOOKUP(C29,'①考勤-B-a-26考勤汇总表'!D:D,'①考勤-B-a-26考勤汇总表'!U:U,0)</f>
        <v>0</v>
      </c>
      <c r="P29" s="114">
        <f t="shared" si="0"/>
        <v>0</v>
      </c>
      <c r="Q29" s="114">
        <f t="shared" si="1"/>
        <v>0</v>
      </c>
      <c r="R29" s="115">
        <f>店长核算!X33</f>
        <v>0</v>
      </c>
      <c r="S29" s="116">
        <f>_xlfn.XLOOKUP(C29,店长核算!$P:$P,店长核算!$Y:$Y,0)</f>
        <v>0</v>
      </c>
    </row>
    <row r="30" spans="2:19" x14ac:dyDescent="0.15">
      <c r="B30" s="72" t="str">
        <f>②当月数据及门店毛利!B32</f>
        <v>川音</v>
      </c>
      <c r="C30" s="72">
        <f>_xlfn.XLOOKUP(B30,店长核算!B:B,店长核算!P:P,0)</f>
        <v>0</v>
      </c>
      <c r="D30" s="72">
        <f>②当月数据及门店毛利!C32</f>
        <v>173290.6</v>
      </c>
      <c r="E30" s="72">
        <f>②当月数据及门店毛利!D32</f>
        <v>115560.6</v>
      </c>
      <c r="F30" s="72">
        <f>②当月数据及门店毛利!E32</f>
        <v>169</v>
      </c>
      <c r="G30" s="72">
        <f>②当月数据及门店毛利!G32</f>
        <v>4000</v>
      </c>
      <c r="H30" s="72">
        <f>②当月数据及门店毛利!H32</f>
        <v>2060.02</v>
      </c>
      <c r="I30" s="72">
        <f>②当月数据及门店毛利!I32</f>
        <v>10183.44</v>
      </c>
      <c r="J30" s="72">
        <f>②当月数据及门店毛利!J32</f>
        <v>23992.5</v>
      </c>
      <c r="K30" s="72">
        <f>②当月数据及门店毛利!K32</f>
        <v>0</v>
      </c>
      <c r="L30" s="72">
        <f>②当月数据及门店毛利!L32</f>
        <v>863.9</v>
      </c>
      <c r="M30" s="72">
        <f>②当月数据及门店毛利!N32</f>
        <v>132190.74</v>
      </c>
      <c r="N30" s="113">
        <f>_xlfn.XLOOKUP(C30,店长核算!P:P,店长核算!W:W,0)</f>
        <v>0</v>
      </c>
      <c r="O30" s="113">
        <f>_xlfn.XLOOKUP(C30,'①考勤-B-a-26考勤汇总表'!D:D,'①考勤-B-a-26考勤汇总表'!U:U,0)</f>
        <v>0</v>
      </c>
      <c r="P30" s="114">
        <f t="shared" si="0"/>
        <v>0</v>
      </c>
      <c r="Q30" s="114">
        <f t="shared" si="1"/>
        <v>0</v>
      </c>
      <c r="R30" s="115">
        <f>店长核算!X34</f>
        <v>0</v>
      </c>
      <c r="S30" s="116">
        <f>_xlfn.XLOOKUP(C30,店长核算!$P:$P,店长核算!$Y:$Y,0)</f>
        <v>0</v>
      </c>
    </row>
    <row r="31" spans="2:19" x14ac:dyDescent="0.15">
      <c r="N31" s="72"/>
      <c r="O31" s="72"/>
      <c r="P31" s="72"/>
      <c r="Q31" s="72"/>
      <c r="S31" s="117"/>
    </row>
    <row r="32" spans="2:19" x14ac:dyDescent="0.15">
      <c r="N32" s="72"/>
      <c r="O32" s="72"/>
      <c r="P32" s="72"/>
      <c r="Q32" s="72"/>
      <c r="S32" s="117"/>
    </row>
    <row r="33" spans="14:19" x14ac:dyDescent="0.15">
      <c r="N33" s="72"/>
      <c r="O33" s="72"/>
      <c r="P33" s="72"/>
      <c r="Q33" s="72"/>
      <c r="S33" s="117"/>
    </row>
    <row r="34" spans="14:19" x14ac:dyDescent="0.15">
      <c r="N34" s="72"/>
      <c r="O34" s="72"/>
      <c r="P34" s="72"/>
      <c r="Q34" s="72"/>
      <c r="S34" s="117"/>
    </row>
    <row r="35" spans="14:19" x14ac:dyDescent="0.15">
      <c r="N35" s="72"/>
      <c r="O35" s="72"/>
      <c r="P35" s="72"/>
      <c r="Q35" s="72"/>
      <c r="S35" s="117"/>
    </row>
    <row r="36" spans="14:19" x14ac:dyDescent="0.15">
      <c r="N36" s="72"/>
      <c r="O36" s="72"/>
      <c r="P36" s="72"/>
      <c r="Q36" s="72"/>
      <c r="S36" s="117"/>
    </row>
    <row r="37" spans="14:19" x14ac:dyDescent="0.15">
      <c r="N37" s="72"/>
      <c r="O37" s="72"/>
      <c r="P37" s="72"/>
      <c r="Q37" s="72"/>
      <c r="S37" s="117"/>
    </row>
    <row r="38" spans="14:19" x14ac:dyDescent="0.15">
      <c r="N38" s="72"/>
      <c r="O38" s="72"/>
      <c r="P38" s="72"/>
      <c r="Q38" s="72"/>
      <c r="S38" s="117"/>
    </row>
    <row r="39" spans="14:19" x14ac:dyDescent="0.15">
      <c r="N39" s="72"/>
      <c r="O39" s="72"/>
      <c r="P39" s="72"/>
      <c r="Q39" s="72"/>
      <c r="S39" s="117"/>
    </row>
    <row r="40" spans="14:19" x14ac:dyDescent="0.15">
      <c r="N40" s="72"/>
      <c r="O40" s="72"/>
      <c r="P40" s="72"/>
      <c r="Q40" s="72"/>
      <c r="S40" s="117"/>
    </row>
    <row r="41" spans="14:19" x14ac:dyDescent="0.15">
      <c r="N41" s="72"/>
      <c r="O41" s="72"/>
      <c r="P41" s="72"/>
      <c r="Q41" s="72"/>
      <c r="S41" s="117"/>
    </row>
    <row r="42" spans="14:19" x14ac:dyDescent="0.15">
      <c r="N42" s="72"/>
      <c r="O42" s="72"/>
      <c r="P42" s="72"/>
      <c r="Q42" s="72"/>
      <c r="S42" s="117"/>
    </row>
    <row r="43" spans="14:19" x14ac:dyDescent="0.15">
      <c r="N43" s="72"/>
      <c r="O43" s="72"/>
      <c r="P43" s="72"/>
      <c r="Q43" s="72"/>
      <c r="S43" s="117"/>
    </row>
    <row r="44" spans="14:19" x14ac:dyDescent="0.15">
      <c r="N44" s="72"/>
      <c r="O44" s="72"/>
      <c r="P44" s="72"/>
      <c r="Q44" s="72"/>
      <c r="S44" s="117"/>
    </row>
    <row r="45" spans="14:19" x14ac:dyDescent="0.15">
      <c r="N45" s="72"/>
      <c r="O45" s="72"/>
      <c r="P45" s="72"/>
      <c r="Q45" s="72"/>
      <c r="S45" s="117"/>
    </row>
    <row r="46" spans="14:19" x14ac:dyDescent="0.15">
      <c r="N46" s="72"/>
      <c r="O46" s="72"/>
      <c r="P46" s="72"/>
      <c r="Q46" s="72"/>
      <c r="S46" s="117"/>
    </row>
    <row r="47" spans="14:19" x14ac:dyDescent="0.15">
      <c r="N47" s="72"/>
      <c r="O47" s="72"/>
      <c r="P47" s="72"/>
      <c r="Q47" s="72"/>
      <c r="S47" s="117"/>
    </row>
    <row r="48" spans="14:19" x14ac:dyDescent="0.15">
      <c r="N48" s="72"/>
      <c r="O48" s="72"/>
      <c r="P48" s="72"/>
      <c r="Q48" s="72"/>
      <c r="S48" s="117"/>
    </row>
    <row r="49" spans="14:19" x14ac:dyDescent="0.15">
      <c r="N49" s="72"/>
      <c r="O49" s="72"/>
      <c r="P49" s="72"/>
      <c r="Q49" s="72"/>
      <c r="S49" s="117"/>
    </row>
    <row r="50" spans="14:19" x14ac:dyDescent="0.15">
      <c r="N50" s="72"/>
      <c r="O50" s="72"/>
      <c r="P50" s="72"/>
      <c r="Q50" s="72"/>
      <c r="S50" s="117"/>
    </row>
    <row r="51" spans="14:19" x14ac:dyDescent="0.15">
      <c r="N51" s="72"/>
      <c r="O51" s="72"/>
      <c r="P51" s="72"/>
      <c r="Q51" s="72"/>
      <c r="S51" s="117"/>
    </row>
    <row r="52" spans="14:19" x14ac:dyDescent="0.15">
      <c r="N52" s="72"/>
      <c r="O52" s="72"/>
      <c r="P52" s="72"/>
      <c r="Q52" s="72"/>
      <c r="S52" s="117"/>
    </row>
    <row r="53" spans="14:19" x14ac:dyDescent="0.15">
      <c r="N53" s="72"/>
      <c r="O53" s="72"/>
      <c r="P53" s="72"/>
      <c r="Q53" s="72"/>
      <c r="S53" s="117"/>
    </row>
    <row r="54" spans="14:19" x14ac:dyDescent="0.15">
      <c r="N54" s="72"/>
      <c r="O54" s="72"/>
      <c r="P54" s="72"/>
      <c r="Q54" s="72"/>
      <c r="S54" s="117"/>
    </row>
    <row r="55" spans="14:19" x14ac:dyDescent="0.15">
      <c r="N55" s="72"/>
      <c r="O55" s="72"/>
      <c r="P55" s="72"/>
      <c r="Q55" s="72"/>
      <c r="S55" s="117"/>
    </row>
    <row r="56" spans="14:19" x14ac:dyDescent="0.15">
      <c r="N56" s="72"/>
      <c r="O56" s="72"/>
      <c r="P56" s="72"/>
      <c r="Q56" s="72"/>
      <c r="S56" s="117"/>
    </row>
    <row r="57" spans="14:19" x14ac:dyDescent="0.15">
      <c r="N57" s="72"/>
      <c r="O57" s="72"/>
      <c r="P57" s="72"/>
      <c r="Q57" s="72"/>
      <c r="S57" s="117"/>
    </row>
    <row r="58" spans="14:19" x14ac:dyDescent="0.15">
      <c r="N58" s="72"/>
      <c r="O58" s="72"/>
      <c r="P58" s="72"/>
      <c r="Q58" s="72"/>
      <c r="S58" s="117"/>
    </row>
    <row r="59" spans="14:19" x14ac:dyDescent="0.15">
      <c r="N59" s="72"/>
      <c r="O59" s="72"/>
      <c r="P59" s="72"/>
      <c r="Q59" s="72"/>
      <c r="S59" s="117"/>
    </row>
    <row r="60" spans="14:19" x14ac:dyDescent="0.15">
      <c r="N60" s="72"/>
      <c r="O60" s="72"/>
      <c r="P60" s="72"/>
      <c r="Q60" s="72"/>
      <c r="S60" s="117"/>
    </row>
    <row r="61" spans="14:19" x14ac:dyDescent="0.15">
      <c r="N61" s="72"/>
      <c r="O61" s="72"/>
      <c r="P61" s="72"/>
      <c r="Q61" s="72"/>
      <c r="S61" s="117"/>
    </row>
    <row r="62" spans="14:19" x14ac:dyDescent="0.15">
      <c r="N62" s="72"/>
      <c r="O62" s="72"/>
      <c r="P62" s="72"/>
      <c r="Q62" s="72"/>
      <c r="S62" s="117"/>
    </row>
    <row r="63" spans="14:19" x14ac:dyDescent="0.15">
      <c r="N63" s="72"/>
      <c r="O63" s="72"/>
      <c r="P63" s="72"/>
      <c r="Q63" s="72"/>
      <c r="S63" s="117"/>
    </row>
    <row r="64" spans="14:19" x14ac:dyDescent="0.15">
      <c r="N64" s="72"/>
      <c r="O64" s="72"/>
      <c r="P64" s="72"/>
      <c r="Q64" s="72"/>
      <c r="S64" s="117"/>
    </row>
    <row r="65" spans="14:19" x14ac:dyDescent="0.15">
      <c r="N65" s="72"/>
      <c r="O65" s="72"/>
      <c r="P65" s="72"/>
      <c r="Q65" s="72"/>
      <c r="S65" s="117"/>
    </row>
    <row r="66" spans="14:19" x14ac:dyDescent="0.15">
      <c r="N66" s="72"/>
      <c r="O66" s="72"/>
      <c r="P66" s="72"/>
      <c r="Q66" s="72"/>
      <c r="S66" s="117"/>
    </row>
    <row r="67" spans="14:19" x14ac:dyDescent="0.15">
      <c r="N67" s="72"/>
      <c r="O67" s="72"/>
      <c r="P67" s="72"/>
      <c r="Q67" s="72"/>
      <c r="S67" s="117"/>
    </row>
    <row r="68" spans="14:19" x14ac:dyDescent="0.15">
      <c r="N68" s="72"/>
      <c r="O68" s="72"/>
      <c r="P68" s="72"/>
      <c r="Q68" s="72"/>
      <c r="S68" s="117"/>
    </row>
    <row r="69" spans="14:19" x14ac:dyDescent="0.15">
      <c r="N69" s="72"/>
      <c r="O69" s="72"/>
      <c r="P69" s="72"/>
      <c r="Q69" s="72"/>
      <c r="S69" s="117"/>
    </row>
    <row r="70" spans="14:19" x14ac:dyDescent="0.15">
      <c r="N70" s="72"/>
      <c r="O70" s="72"/>
      <c r="P70" s="72"/>
      <c r="Q70" s="72"/>
      <c r="S70" s="117"/>
    </row>
    <row r="71" spans="14:19" x14ac:dyDescent="0.15">
      <c r="N71" s="72"/>
      <c r="O71" s="72"/>
      <c r="P71" s="72"/>
      <c r="Q71" s="72"/>
      <c r="S71" s="117"/>
    </row>
    <row r="72" spans="14:19" x14ac:dyDescent="0.15">
      <c r="N72" s="72"/>
      <c r="O72" s="72"/>
      <c r="P72" s="72"/>
      <c r="Q72" s="72"/>
      <c r="S72" s="117"/>
    </row>
    <row r="73" spans="14:19" x14ac:dyDescent="0.15">
      <c r="N73" s="72"/>
      <c r="O73" s="72"/>
      <c r="P73" s="72"/>
      <c r="Q73" s="72"/>
      <c r="S73" s="117"/>
    </row>
    <row r="74" spans="14:19" x14ac:dyDescent="0.15">
      <c r="N74" s="72"/>
      <c r="O74" s="72"/>
      <c r="P74" s="72"/>
      <c r="Q74" s="72"/>
      <c r="S74" s="117"/>
    </row>
    <row r="75" spans="14:19" x14ac:dyDescent="0.15">
      <c r="N75" s="72"/>
      <c r="O75" s="72"/>
      <c r="P75" s="72"/>
      <c r="Q75" s="72"/>
      <c r="S75" s="117"/>
    </row>
    <row r="76" spans="14:19" x14ac:dyDescent="0.15">
      <c r="N76" s="72"/>
      <c r="O76" s="72"/>
      <c r="P76" s="72"/>
      <c r="Q76" s="72"/>
      <c r="S76" s="117"/>
    </row>
    <row r="77" spans="14:19" x14ac:dyDescent="0.15">
      <c r="N77" s="72"/>
      <c r="O77" s="72"/>
      <c r="P77" s="72"/>
      <c r="Q77" s="72"/>
      <c r="S77" s="117"/>
    </row>
    <row r="78" spans="14:19" x14ac:dyDescent="0.15">
      <c r="N78" s="72"/>
      <c r="O78" s="72"/>
      <c r="P78" s="72"/>
      <c r="Q78" s="72"/>
      <c r="S78" s="117"/>
    </row>
    <row r="79" spans="14:19" x14ac:dyDescent="0.15">
      <c r="N79" s="72"/>
      <c r="O79" s="72"/>
      <c r="P79" s="72"/>
      <c r="Q79" s="72"/>
      <c r="S79" s="117"/>
    </row>
    <row r="80" spans="14:19" x14ac:dyDescent="0.15">
      <c r="N80" s="72"/>
      <c r="O80" s="72"/>
      <c r="P80" s="72"/>
      <c r="Q80" s="72"/>
      <c r="S80" s="117"/>
    </row>
    <row r="81" spans="14:19" x14ac:dyDescent="0.15">
      <c r="N81" s="72"/>
      <c r="O81" s="72"/>
      <c r="P81" s="72"/>
      <c r="Q81" s="72"/>
      <c r="S81" s="117"/>
    </row>
    <row r="82" spans="14:19" x14ac:dyDescent="0.15">
      <c r="N82" s="72"/>
      <c r="O82" s="72"/>
      <c r="P82" s="72"/>
      <c r="Q82" s="72"/>
      <c r="S82" s="117"/>
    </row>
    <row r="83" spans="14:19" x14ac:dyDescent="0.15">
      <c r="N83" s="72"/>
      <c r="O83" s="72"/>
      <c r="P83" s="72"/>
      <c r="Q83" s="72"/>
      <c r="S83" s="117"/>
    </row>
    <row r="84" spans="14:19" x14ac:dyDescent="0.15">
      <c r="N84" s="72"/>
      <c r="O84" s="72"/>
      <c r="P84" s="72"/>
      <c r="Q84" s="72"/>
      <c r="S84" s="117"/>
    </row>
    <row r="85" spans="14:19" x14ac:dyDescent="0.15">
      <c r="N85" s="72"/>
      <c r="O85" s="72"/>
      <c r="P85" s="72"/>
      <c r="Q85" s="72"/>
      <c r="S85" s="117"/>
    </row>
    <row r="86" spans="14:19" x14ac:dyDescent="0.15">
      <c r="N86" s="72"/>
      <c r="O86" s="72"/>
      <c r="P86" s="72"/>
      <c r="Q86" s="72"/>
      <c r="S86" s="117"/>
    </row>
    <row r="87" spans="14:19" x14ac:dyDescent="0.15">
      <c r="N87" s="72"/>
      <c r="O87" s="72"/>
      <c r="P87" s="72"/>
      <c r="Q87" s="72"/>
      <c r="S87" s="117"/>
    </row>
    <row r="88" spans="14:19" x14ac:dyDescent="0.15">
      <c r="N88" s="72"/>
      <c r="O88" s="72"/>
      <c r="P88" s="72"/>
      <c r="Q88" s="72"/>
      <c r="S88" s="117"/>
    </row>
    <row r="89" spans="14:19" x14ac:dyDescent="0.15">
      <c r="N89" s="72"/>
      <c r="O89" s="72"/>
      <c r="P89" s="72"/>
      <c r="Q89" s="72"/>
      <c r="S89" s="117"/>
    </row>
    <row r="90" spans="14:19" x14ac:dyDescent="0.15">
      <c r="N90" s="72"/>
      <c r="O90" s="72"/>
      <c r="P90" s="72"/>
      <c r="Q90" s="72"/>
      <c r="S90" s="117"/>
    </row>
    <row r="91" spans="14:19" x14ac:dyDescent="0.15">
      <c r="N91" s="72"/>
      <c r="O91" s="72"/>
      <c r="P91" s="72"/>
      <c r="Q91" s="72"/>
      <c r="S91" s="117"/>
    </row>
    <row r="92" spans="14:19" x14ac:dyDescent="0.15">
      <c r="N92" s="72"/>
      <c r="O92" s="72"/>
      <c r="P92" s="72"/>
      <c r="Q92" s="72"/>
      <c r="S92" s="117"/>
    </row>
    <row r="93" spans="14:19" x14ac:dyDescent="0.15">
      <c r="N93" s="72"/>
      <c r="O93" s="72"/>
      <c r="P93" s="72"/>
      <c r="Q93" s="72"/>
      <c r="S93" s="117"/>
    </row>
    <row r="94" spans="14:19" x14ac:dyDescent="0.15">
      <c r="N94" s="72"/>
      <c r="O94" s="72"/>
      <c r="P94" s="72"/>
      <c r="Q94" s="72"/>
      <c r="S94" s="117"/>
    </row>
    <row r="95" spans="14:19" x14ac:dyDescent="0.15">
      <c r="N95" s="72"/>
      <c r="O95" s="72"/>
      <c r="P95" s="72"/>
      <c r="Q95" s="72"/>
      <c r="S95" s="117"/>
    </row>
    <row r="96" spans="14:19" x14ac:dyDescent="0.15">
      <c r="N96" s="72"/>
      <c r="O96" s="72"/>
      <c r="P96" s="72"/>
      <c r="Q96" s="72"/>
      <c r="S96" s="117"/>
    </row>
    <row r="97" spans="14:19" x14ac:dyDescent="0.15">
      <c r="N97" s="72"/>
      <c r="O97" s="72"/>
      <c r="P97" s="72"/>
      <c r="Q97" s="72"/>
      <c r="S97" s="117"/>
    </row>
    <row r="98" spans="14:19" x14ac:dyDescent="0.15">
      <c r="N98" s="72"/>
      <c r="O98" s="72"/>
      <c r="P98" s="72"/>
      <c r="Q98" s="72"/>
      <c r="S98" s="117"/>
    </row>
    <row r="99" spans="14:19" x14ac:dyDescent="0.15">
      <c r="N99" s="72"/>
      <c r="O99" s="72"/>
      <c r="P99" s="72"/>
      <c r="Q99" s="72"/>
      <c r="S99" s="117"/>
    </row>
    <row r="100" spans="14:19" x14ac:dyDescent="0.15">
      <c r="N100" s="72"/>
      <c r="O100" s="72"/>
      <c r="P100" s="72"/>
      <c r="Q100" s="72"/>
      <c r="S100" s="117"/>
    </row>
    <row r="101" spans="14:19" x14ac:dyDescent="0.15">
      <c r="N101" s="72"/>
      <c r="O101" s="72"/>
      <c r="P101" s="72"/>
      <c r="Q101" s="72"/>
      <c r="S101" s="117"/>
    </row>
    <row r="102" spans="14:19" x14ac:dyDescent="0.15">
      <c r="N102" s="72"/>
      <c r="O102" s="72"/>
      <c r="P102" s="72"/>
      <c r="Q102" s="72"/>
      <c r="S102" s="117"/>
    </row>
    <row r="103" spans="14:19" x14ac:dyDescent="0.15">
      <c r="N103" s="72"/>
      <c r="O103" s="72"/>
      <c r="P103" s="72"/>
      <c r="Q103" s="72"/>
      <c r="S103" s="117"/>
    </row>
    <row r="104" spans="14:19" x14ac:dyDescent="0.15">
      <c r="N104" s="72"/>
      <c r="O104" s="72"/>
      <c r="P104" s="72"/>
      <c r="Q104" s="72"/>
      <c r="S104" s="117"/>
    </row>
    <row r="105" spans="14:19" x14ac:dyDescent="0.15">
      <c r="N105" s="72"/>
      <c r="O105" s="72"/>
      <c r="P105" s="72"/>
      <c r="Q105" s="72"/>
      <c r="S105" s="117"/>
    </row>
    <row r="106" spans="14:19" x14ac:dyDescent="0.15">
      <c r="N106" s="72"/>
      <c r="O106" s="72"/>
      <c r="P106" s="72"/>
      <c r="Q106" s="72"/>
      <c r="S106" s="117"/>
    </row>
    <row r="107" spans="14:19" x14ac:dyDescent="0.15">
      <c r="N107" s="72"/>
      <c r="O107" s="72"/>
      <c r="P107" s="72"/>
      <c r="Q107" s="72"/>
      <c r="S107" s="117"/>
    </row>
    <row r="108" spans="14:19" x14ac:dyDescent="0.15">
      <c r="N108" s="72"/>
      <c r="O108" s="72"/>
      <c r="P108" s="72"/>
      <c r="Q108" s="72"/>
      <c r="S108" s="117"/>
    </row>
    <row r="109" spans="14:19" x14ac:dyDescent="0.15">
      <c r="N109" s="72"/>
      <c r="O109" s="72"/>
      <c r="P109" s="72"/>
      <c r="Q109" s="72"/>
      <c r="S109" s="117"/>
    </row>
    <row r="110" spans="14:19" x14ac:dyDescent="0.15">
      <c r="N110" s="72"/>
      <c r="O110" s="72"/>
      <c r="P110" s="72"/>
      <c r="Q110" s="72"/>
      <c r="S110" s="117"/>
    </row>
    <row r="111" spans="14:19" x14ac:dyDescent="0.15">
      <c r="N111" s="72"/>
      <c r="O111" s="72"/>
      <c r="P111" s="72"/>
      <c r="Q111" s="72"/>
      <c r="S111" s="117"/>
    </row>
    <row r="112" spans="14:19" x14ac:dyDescent="0.15">
      <c r="N112" s="72"/>
      <c r="O112" s="72"/>
      <c r="P112" s="72"/>
      <c r="Q112" s="72"/>
      <c r="S112" s="117"/>
    </row>
    <row r="113" spans="14:19" x14ac:dyDescent="0.15">
      <c r="N113" s="72"/>
      <c r="O113" s="72"/>
      <c r="P113" s="72"/>
      <c r="Q113" s="72"/>
      <c r="S113" s="117"/>
    </row>
    <row r="114" spans="14:19" x14ac:dyDescent="0.15">
      <c r="N114" s="72"/>
      <c r="O114" s="72"/>
      <c r="P114" s="72"/>
      <c r="Q114" s="72"/>
      <c r="S114" s="117"/>
    </row>
    <row r="115" spans="14:19" x14ac:dyDescent="0.15">
      <c r="N115" s="72"/>
      <c r="O115" s="72"/>
      <c r="P115" s="72"/>
      <c r="Q115" s="72"/>
      <c r="S115" s="117"/>
    </row>
    <row r="116" spans="14:19" x14ac:dyDescent="0.15">
      <c r="N116" s="72"/>
      <c r="O116" s="72"/>
      <c r="P116" s="72"/>
      <c r="Q116" s="72"/>
      <c r="S116" s="117"/>
    </row>
    <row r="117" spans="14:19" x14ac:dyDescent="0.15">
      <c r="N117" s="72"/>
      <c r="O117" s="72"/>
      <c r="P117" s="72"/>
      <c r="Q117" s="72"/>
      <c r="S117" s="117"/>
    </row>
    <row r="118" spans="14:19" x14ac:dyDescent="0.15">
      <c r="N118" s="72"/>
      <c r="O118" s="72"/>
      <c r="P118" s="72"/>
      <c r="Q118" s="72"/>
      <c r="S118" s="117"/>
    </row>
    <row r="119" spans="14:19" x14ac:dyDescent="0.15">
      <c r="N119" s="72"/>
      <c r="O119" s="72"/>
      <c r="P119" s="72"/>
      <c r="Q119" s="72"/>
      <c r="S119" s="117"/>
    </row>
    <row r="120" spans="14:19" x14ac:dyDescent="0.15">
      <c r="N120" s="72"/>
      <c r="O120" s="72"/>
      <c r="P120" s="72"/>
      <c r="Q120" s="72"/>
      <c r="S120" s="117"/>
    </row>
    <row r="121" spans="14:19" x14ac:dyDescent="0.15">
      <c r="N121" s="72"/>
      <c r="O121" s="72"/>
      <c r="P121" s="72"/>
      <c r="Q121" s="72"/>
      <c r="S121" s="117"/>
    </row>
    <row r="122" spans="14:19" x14ac:dyDescent="0.15">
      <c r="N122" s="72"/>
      <c r="O122" s="72"/>
      <c r="P122" s="72"/>
      <c r="Q122" s="72"/>
      <c r="S122" s="117"/>
    </row>
    <row r="123" spans="14:19" x14ac:dyDescent="0.15">
      <c r="N123" s="72"/>
      <c r="O123" s="72"/>
      <c r="P123" s="72"/>
      <c r="Q123" s="72"/>
      <c r="S123" s="117"/>
    </row>
    <row r="124" spans="14:19" x14ac:dyDescent="0.15">
      <c r="N124" s="72"/>
      <c r="O124" s="72"/>
      <c r="P124" s="72"/>
      <c r="Q124" s="72"/>
      <c r="S124" s="117"/>
    </row>
    <row r="125" spans="14:19" x14ac:dyDescent="0.15">
      <c r="N125" s="72"/>
      <c r="O125" s="72"/>
      <c r="P125" s="72"/>
      <c r="Q125" s="72"/>
      <c r="S125" s="117"/>
    </row>
    <row r="126" spans="14:19" x14ac:dyDescent="0.15">
      <c r="N126" s="72"/>
      <c r="O126" s="72"/>
      <c r="P126" s="72"/>
      <c r="Q126" s="72"/>
      <c r="S126" s="117"/>
    </row>
    <row r="127" spans="14:19" x14ac:dyDescent="0.15">
      <c r="N127" s="72"/>
      <c r="O127" s="72"/>
      <c r="P127" s="72"/>
      <c r="Q127" s="72"/>
      <c r="S127" s="117"/>
    </row>
    <row r="128" spans="14:19" x14ac:dyDescent="0.15">
      <c r="N128" s="72"/>
      <c r="O128" s="72"/>
      <c r="P128" s="72"/>
      <c r="Q128" s="72"/>
      <c r="S128" s="117"/>
    </row>
    <row r="129" spans="14:19" x14ac:dyDescent="0.15">
      <c r="N129" s="72"/>
      <c r="O129" s="72"/>
      <c r="P129" s="72"/>
      <c r="Q129" s="72"/>
      <c r="S129" s="117"/>
    </row>
    <row r="130" spans="14:19" x14ac:dyDescent="0.15">
      <c r="N130" s="72"/>
      <c r="O130" s="72"/>
      <c r="P130" s="72"/>
      <c r="Q130" s="72"/>
      <c r="S130" s="117"/>
    </row>
    <row r="131" spans="14:19" x14ac:dyDescent="0.15">
      <c r="N131" s="72"/>
      <c r="O131" s="72"/>
      <c r="P131" s="72"/>
      <c r="Q131" s="72"/>
      <c r="S131" s="117"/>
    </row>
    <row r="132" spans="14:19" x14ac:dyDescent="0.15">
      <c r="N132" s="72"/>
      <c r="O132" s="72"/>
      <c r="P132" s="72"/>
      <c r="Q132" s="72"/>
      <c r="S132" s="117"/>
    </row>
    <row r="133" spans="14:19" x14ac:dyDescent="0.15">
      <c r="N133" s="72"/>
      <c r="O133" s="72"/>
      <c r="P133" s="72"/>
      <c r="Q133" s="72"/>
      <c r="S133" s="117"/>
    </row>
    <row r="134" spans="14:19" x14ac:dyDescent="0.15">
      <c r="N134" s="72"/>
      <c r="O134" s="72"/>
      <c r="P134" s="72"/>
      <c r="Q134" s="72"/>
      <c r="S134" s="117"/>
    </row>
    <row r="135" spans="14:19" x14ac:dyDescent="0.15">
      <c r="N135" s="72"/>
      <c r="O135" s="72"/>
      <c r="P135" s="72"/>
      <c r="Q135" s="72"/>
      <c r="S135" s="117"/>
    </row>
    <row r="136" spans="14:19" x14ac:dyDescent="0.15">
      <c r="N136" s="72"/>
      <c r="O136" s="72"/>
      <c r="P136" s="72"/>
      <c r="Q136" s="72"/>
      <c r="S136" s="117"/>
    </row>
    <row r="137" spans="14:19" x14ac:dyDescent="0.15">
      <c r="N137" s="72"/>
      <c r="O137" s="72"/>
      <c r="P137" s="72"/>
      <c r="Q137" s="72"/>
      <c r="S137" s="117"/>
    </row>
    <row r="138" spans="14:19" x14ac:dyDescent="0.15">
      <c r="N138" s="72"/>
      <c r="O138" s="72"/>
      <c r="P138" s="72"/>
      <c r="Q138" s="72"/>
      <c r="S138" s="117"/>
    </row>
    <row r="139" spans="14:19" x14ac:dyDescent="0.15">
      <c r="N139" s="72"/>
      <c r="O139" s="72"/>
      <c r="P139" s="72"/>
      <c r="Q139" s="72"/>
      <c r="S139" s="117"/>
    </row>
    <row r="140" spans="14:19" x14ac:dyDescent="0.15">
      <c r="N140" s="72"/>
      <c r="O140" s="72"/>
      <c r="P140" s="72"/>
      <c r="Q140" s="72"/>
      <c r="S140" s="117"/>
    </row>
    <row r="141" spans="14:19" x14ac:dyDescent="0.15">
      <c r="N141" s="72"/>
      <c r="O141" s="72"/>
      <c r="P141" s="72"/>
      <c r="Q141" s="72"/>
      <c r="S141" s="117"/>
    </row>
    <row r="142" spans="14:19" x14ac:dyDescent="0.15">
      <c r="N142" s="72"/>
      <c r="O142" s="72"/>
      <c r="P142" s="72"/>
      <c r="Q142" s="72"/>
      <c r="S142" s="117"/>
    </row>
    <row r="143" spans="14:19" x14ac:dyDescent="0.15">
      <c r="N143" s="72"/>
      <c r="O143" s="72"/>
      <c r="P143" s="72"/>
      <c r="Q143" s="72"/>
      <c r="S143" s="117"/>
    </row>
    <row r="144" spans="14:19" x14ac:dyDescent="0.15">
      <c r="N144" s="72"/>
      <c r="O144" s="72"/>
      <c r="P144" s="72"/>
      <c r="Q144" s="72"/>
      <c r="S144" s="117"/>
    </row>
    <row r="145" spans="14:19" x14ac:dyDescent="0.15">
      <c r="N145" s="72"/>
      <c r="O145" s="72"/>
      <c r="P145" s="72"/>
      <c r="Q145" s="72"/>
      <c r="S145" s="117"/>
    </row>
    <row r="146" spans="14:19" x14ac:dyDescent="0.15">
      <c r="N146" s="72"/>
      <c r="O146" s="72"/>
      <c r="P146" s="72"/>
      <c r="Q146" s="72"/>
      <c r="S146" s="117"/>
    </row>
    <row r="147" spans="14:19" x14ac:dyDescent="0.15">
      <c r="N147" s="72"/>
      <c r="O147" s="72"/>
      <c r="P147" s="72"/>
      <c r="Q147" s="72"/>
      <c r="S147" s="117"/>
    </row>
    <row r="148" spans="14:19" x14ac:dyDescent="0.15">
      <c r="N148" s="72"/>
      <c r="O148" s="72"/>
      <c r="P148" s="72"/>
      <c r="Q148" s="72"/>
      <c r="S148" s="117"/>
    </row>
    <row r="149" spans="14:19" x14ac:dyDescent="0.15">
      <c r="N149" s="72"/>
      <c r="O149" s="72"/>
      <c r="P149" s="72"/>
      <c r="Q149" s="72"/>
      <c r="S149" s="117"/>
    </row>
    <row r="150" spans="14:19" x14ac:dyDescent="0.15">
      <c r="N150" s="72"/>
      <c r="O150" s="72"/>
      <c r="P150" s="72"/>
      <c r="Q150" s="72"/>
      <c r="S150" s="117"/>
    </row>
    <row r="151" spans="14:19" x14ac:dyDescent="0.15">
      <c r="N151" s="72"/>
      <c r="O151" s="72"/>
      <c r="P151" s="72"/>
      <c r="Q151" s="72"/>
      <c r="S151" s="117"/>
    </row>
    <row r="152" spans="14:19" x14ac:dyDescent="0.15">
      <c r="N152" s="72"/>
      <c r="O152" s="72"/>
      <c r="P152" s="72"/>
      <c r="Q152" s="72"/>
      <c r="S152" s="117"/>
    </row>
    <row r="153" spans="14:19" x14ac:dyDescent="0.15">
      <c r="N153" s="72"/>
      <c r="O153" s="72"/>
      <c r="P153" s="72"/>
      <c r="Q153" s="72"/>
      <c r="S153" s="117"/>
    </row>
    <row r="154" spans="14:19" x14ac:dyDescent="0.15">
      <c r="N154" s="72"/>
      <c r="O154" s="72"/>
      <c r="P154" s="72"/>
      <c r="Q154" s="72"/>
      <c r="S154" s="117"/>
    </row>
    <row r="155" spans="14:19" x14ac:dyDescent="0.15">
      <c r="N155" s="72"/>
      <c r="O155" s="72"/>
      <c r="P155" s="72"/>
      <c r="Q155" s="72"/>
      <c r="S155" s="117"/>
    </row>
    <row r="156" spans="14:19" x14ac:dyDescent="0.15">
      <c r="N156" s="72"/>
      <c r="O156" s="72"/>
      <c r="P156" s="72"/>
      <c r="Q156" s="72"/>
      <c r="S156" s="117"/>
    </row>
    <row r="157" spans="14:19" x14ac:dyDescent="0.15">
      <c r="N157" s="72"/>
      <c r="O157" s="72"/>
      <c r="P157" s="72"/>
      <c r="Q157" s="72"/>
      <c r="S157" s="117"/>
    </row>
    <row r="158" spans="14:19" x14ac:dyDescent="0.15">
      <c r="N158" s="72"/>
      <c r="O158" s="72"/>
      <c r="P158" s="72"/>
      <c r="Q158" s="72"/>
      <c r="S158" s="117"/>
    </row>
    <row r="159" spans="14:19" x14ac:dyDescent="0.15">
      <c r="N159" s="72"/>
      <c r="O159" s="72"/>
      <c r="P159" s="72"/>
      <c r="Q159" s="72"/>
      <c r="S159" s="117"/>
    </row>
    <row r="160" spans="14:19" x14ac:dyDescent="0.15">
      <c r="N160" s="72"/>
      <c r="O160" s="72"/>
      <c r="P160" s="72"/>
      <c r="Q160" s="72"/>
      <c r="S160" s="117"/>
    </row>
    <row r="161" spans="14:19" x14ac:dyDescent="0.15">
      <c r="N161" s="72"/>
      <c r="O161" s="72"/>
      <c r="P161" s="72"/>
      <c r="Q161" s="72"/>
      <c r="S161" s="117"/>
    </row>
    <row r="162" spans="14:19" x14ac:dyDescent="0.15">
      <c r="N162" s="72"/>
      <c r="O162" s="72"/>
      <c r="P162" s="72"/>
      <c r="Q162" s="72"/>
      <c r="S162" s="117"/>
    </row>
    <row r="163" spans="14:19" x14ac:dyDescent="0.15">
      <c r="N163" s="72"/>
      <c r="O163" s="72"/>
      <c r="P163" s="72"/>
      <c r="Q163" s="72"/>
      <c r="S163" s="117"/>
    </row>
    <row r="164" spans="14:19" x14ac:dyDescent="0.15">
      <c r="N164" s="72"/>
      <c r="O164" s="72"/>
      <c r="P164" s="72"/>
      <c r="Q164" s="72"/>
      <c r="S164" s="117"/>
    </row>
    <row r="165" spans="14:19" x14ac:dyDescent="0.15">
      <c r="N165" s="72"/>
      <c r="O165" s="72"/>
      <c r="P165" s="72"/>
      <c r="Q165" s="72"/>
      <c r="S165" s="117"/>
    </row>
    <row r="166" spans="14:19" x14ac:dyDescent="0.15">
      <c r="N166" s="72"/>
      <c r="O166" s="72"/>
      <c r="P166" s="72"/>
      <c r="Q166" s="72"/>
      <c r="S166" s="117"/>
    </row>
    <row r="167" spans="14:19" x14ac:dyDescent="0.15">
      <c r="N167" s="72"/>
      <c r="O167" s="72"/>
      <c r="P167" s="72"/>
      <c r="Q167" s="72"/>
      <c r="S167" s="117"/>
    </row>
    <row r="168" spans="14:19" x14ac:dyDescent="0.15">
      <c r="N168" s="72"/>
      <c r="O168" s="72"/>
      <c r="P168" s="72"/>
      <c r="Q168" s="72"/>
      <c r="S168" s="117"/>
    </row>
    <row r="169" spans="14:19" x14ac:dyDescent="0.15">
      <c r="N169" s="72"/>
      <c r="O169" s="72"/>
      <c r="P169" s="72"/>
      <c r="Q169" s="72"/>
      <c r="S169" s="117"/>
    </row>
    <row r="170" spans="14:19" x14ac:dyDescent="0.15">
      <c r="N170" s="72"/>
      <c r="O170" s="72"/>
      <c r="P170" s="72"/>
      <c r="Q170" s="72"/>
      <c r="S170" s="117"/>
    </row>
    <row r="171" spans="14:19" x14ac:dyDescent="0.15">
      <c r="N171" s="72"/>
      <c r="O171" s="72"/>
      <c r="P171" s="72"/>
      <c r="Q171" s="72"/>
      <c r="S171" s="117"/>
    </row>
    <row r="172" spans="14:19" x14ac:dyDescent="0.15">
      <c r="N172" s="72"/>
      <c r="O172" s="72"/>
      <c r="P172" s="72"/>
      <c r="Q172" s="72"/>
      <c r="S172" s="117"/>
    </row>
    <row r="173" spans="14:19" x14ac:dyDescent="0.15">
      <c r="N173" s="72"/>
      <c r="O173" s="72"/>
      <c r="P173" s="72"/>
      <c r="Q173" s="72"/>
      <c r="S173" s="117"/>
    </row>
    <row r="174" spans="14:19" x14ac:dyDescent="0.15">
      <c r="N174" s="72"/>
      <c r="O174" s="72"/>
      <c r="P174" s="72"/>
      <c r="Q174" s="72"/>
      <c r="S174" s="117"/>
    </row>
    <row r="175" spans="14:19" x14ac:dyDescent="0.15">
      <c r="N175" s="72"/>
      <c r="O175" s="72"/>
      <c r="P175" s="72"/>
      <c r="Q175" s="72"/>
      <c r="S175" s="117"/>
    </row>
    <row r="176" spans="14:19" x14ac:dyDescent="0.15">
      <c r="N176" s="72"/>
      <c r="O176" s="72"/>
      <c r="P176" s="72"/>
      <c r="Q176" s="72"/>
      <c r="S176" s="117"/>
    </row>
    <row r="177" spans="14:19" x14ac:dyDescent="0.15">
      <c r="N177" s="72"/>
      <c r="O177" s="72"/>
      <c r="P177" s="72"/>
      <c r="Q177" s="72"/>
      <c r="S177" s="117"/>
    </row>
    <row r="178" spans="14:19" x14ac:dyDescent="0.15">
      <c r="N178" s="72"/>
      <c r="O178" s="72"/>
      <c r="P178" s="72"/>
      <c r="Q178" s="72"/>
      <c r="S178" s="117"/>
    </row>
    <row r="179" spans="14:19" x14ac:dyDescent="0.15">
      <c r="N179" s="72"/>
      <c r="O179" s="72"/>
      <c r="P179" s="72"/>
      <c r="Q179" s="72"/>
      <c r="S179" s="117"/>
    </row>
    <row r="180" spans="14:19" x14ac:dyDescent="0.15">
      <c r="N180" s="72"/>
      <c r="O180" s="72"/>
      <c r="P180" s="72"/>
      <c r="Q180" s="72"/>
      <c r="S180" s="117"/>
    </row>
    <row r="181" spans="14:19" x14ac:dyDescent="0.15">
      <c r="N181" s="72"/>
      <c r="O181" s="72"/>
      <c r="P181" s="72"/>
      <c r="Q181" s="72"/>
      <c r="S181" s="117"/>
    </row>
    <row r="182" spans="14:19" x14ac:dyDescent="0.15">
      <c r="N182" s="72"/>
      <c r="O182" s="72"/>
      <c r="P182" s="72"/>
      <c r="Q182" s="72"/>
      <c r="S182" s="117"/>
    </row>
    <row r="183" spans="14:19" x14ac:dyDescent="0.15">
      <c r="N183" s="72"/>
      <c r="O183" s="72"/>
      <c r="P183" s="72"/>
      <c r="Q183" s="72"/>
      <c r="S183" s="117"/>
    </row>
    <row r="184" spans="14:19" x14ac:dyDescent="0.15">
      <c r="N184" s="72"/>
      <c r="O184" s="72"/>
      <c r="P184" s="72"/>
      <c r="Q184" s="72"/>
      <c r="S184" s="117"/>
    </row>
    <row r="185" spans="14:19" x14ac:dyDescent="0.15">
      <c r="N185" s="72"/>
      <c r="O185" s="72"/>
      <c r="P185" s="72"/>
      <c r="Q185" s="72"/>
      <c r="S185" s="117"/>
    </row>
    <row r="186" spans="14:19" x14ac:dyDescent="0.15">
      <c r="N186" s="72"/>
      <c r="O186" s="72"/>
      <c r="P186" s="72"/>
      <c r="Q186" s="72"/>
      <c r="S186" s="117"/>
    </row>
    <row r="187" spans="14:19" x14ac:dyDescent="0.15">
      <c r="N187" s="72"/>
      <c r="O187" s="72"/>
      <c r="P187" s="72"/>
      <c r="Q187" s="72"/>
      <c r="S187" s="117"/>
    </row>
    <row r="188" spans="14:19" x14ac:dyDescent="0.15">
      <c r="N188" s="72"/>
      <c r="O188" s="72"/>
      <c r="P188" s="72"/>
      <c r="Q188" s="72"/>
      <c r="S188" s="117"/>
    </row>
    <row r="189" spans="14:19" x14ac:dyDescent="0.15">
      <c r="N189" s="72"/>
      <c r="O189" s="72"/>
      <c r="P189" s="72"/>
      <c r="Q189" s="72"/>
      <c r="S189" s="117"/>
    </row>
    <row r="190" spans="14:19" x14ac:dyDescent="0.15">
      <c r="N190" s="72"/>
      <c r="O190" s="72"/>
      <c r="P190" s="72"/>
      <c r="Q190" s="72"/>
      <c r="S190" s="117"/>
    </row>
    <row r="191" spans="14:19" x14ac:dyDescent="0.15">
      <c r="N191" s="72"/>
      <c r="O191" s="72"/>
      <c r="P191" s="72"/>
      <c r="Q191" s="72"/>
      <c r="S191" s="117"/>
    </row>
    <row r="192" spans="14:19" x14ac:dyDescent="0.15">
      <c r="N192" s="72"/>
      <c r="O192" s="72"/>
      <c r="P192" s="72"/>
      <c r="Q192" s="72"/>
      <c r="S192" s="117"/>
    </row>
    <row r="193" spans="14:19" x14ac:dyDescent="0.15">
      <c r="N193" s="72"/>
      <c r="O193" s="72"/>
      <c r="P193" s="72"/>
      <c r="Q193" s="72"/>
      <c r="S193" s="117"/>
    </row>
    <row r="194" spans="14:19" x14ac:dyDescent="0.15">
      <c r="N194" s="72"/>
      <c r="O194" s="72"/>
      <c r="P194" s="72"/>
      <c r="Q194" s="72"/>
      <c r="S194" s="117"/>
    </row>
    <row r="195" spans="14:19" x14ac:dyDescent="0.15">
      <c r="N195" s="72"/>
      <c r="O195" s="72"/>
      <c r="P195" s="72"/>
      <c r="Q195" s="72"/>
      <c r="S195" s="117"/>
    </row>
    <row r="196" spans="14:19" x14ac:dyDescent="0.15">
      <c r="N196" s="72"/>
      <c r="O196" s="72"/>
      <c r="P196" s="72"/>
      <c r="Q196" s="72"/>
      <c r="S196" s="117"/>
    </row>
    <row r="197" spans="14:19" x14ac:dyDescent="0.15">
      <c r="N197" s="72"/>
      <c r="O197" s="72"/>
      <c r="P197" s="72"/>
      <c r="Q197" s="72"/>
      <c r="S197" s="117"/>
    </row>
    <row r="198" spans="14:19" x14ac:dyDescent="0.15">
      <c r="N198" s="72"/>
      <c r="O198" s="72"/>
      <c r="P198" s="72"/>
      <c r="Q198" s="72"/>
      <c r="S198" s="117"/>
    </row>
    <row r="199" spans="14:19" x14ac:dyDescent="0.15">
      <c r="N199" s="72"/>
      <c r="O199" s="72"/>
      <c r="P199" s="72"/>
      <c r="Q199" s="72"/>
      <c r="S199" s="117"/>
    </row>
    <row r="200" spans="14:19" x14ac:dyDescent="0.15">
      <c r="N200" s="72"/>
      <c r="O200" s="72"/>
      <c r="P200" s="72"/>
      <c r="Q200" s="72"/>
      <c r="S200" s="117"/>
    </row>
    <row r="201" spans="14:19" x14ac:dyDescent="0.15">
      <c r="N201" s="72"/>
      <c r="O201" s="72"/>
      <c r="P201" s="72"/>
      <c r="Q201" s="72"/>
      <c r="S201" s="117"/>
    </row>
    <row r="202" spans="14:19" x14ac:dyDescent="0.15">
      <c r="N202" s="72"/>
      <c r="O202" s="72"/>
      <c r="P202" s="72"/>
      <c r="Q202" s="72"/>
      <c r="S202" s="117"/>
    </row>
    <row r="203" spans="14:19" x14ac:dyDescent="0.15">
      <c r="N203" s="72"/>
      <c r="O203" s="72"/>
      <c r="P203" s="72"/>
      <c r="Q203" s="72"/>
      <c r="S203" s="117"/>
    </row>
    <row r="204" spans="14:19" x14ac:dyDescent="0.15">
      <c r="N204" s="72"/>
      <c r="O204" s="72"/>
      <c r="P204" s="72"/>
      <c r="Q204" s="72"/>
      <c r="S204" s="117"/>
    </row>
    <row r="205" spans="14:19" x14ac:dyDescent="0.15">
      <c r="N205" s="72"/>
      <c r="O205" s="72"/>
      <c r="P205" s="72"/>
      <c r="Q205" s="72"/>
      <c r="S205" s="117"/>
    </row>
    <row r="206" spans="14:19" x14ac:dyDescent="0.15">
      <c r="N206" s="72"/>
      <c r="O206" s="72"/>
      <c r="P206" s="72"/>
      <c r="Q206" s="72"/>
      <c r="S206" s="117"/>
    </row>
    <row r="207" spans="14:19" x14ac:dyDescent="0.15">
      <c r="N207" s="72"/>
      <c r="O207" s="72"/>
      <c r="P207" s="72"/>
      <c r="Q207" s="72"/>
      <c r="S207" s="117"/>
    </row>
    <row r="208" spans="14:19" x14ac:dyDescent="0.15">
      <c r="N208" s="72"/>
      <c r="O208" s="72"/>
      <c r="P208" s="72"/>
      <c r="Q208" s="72"/>
      <c r="S208" s="117"/>
    </row>
    <row r="209" spans="14:19" x14ac:dyDescent="0.15">
      <c r="N209" s="72"/>
      <c r="O209" s="72"/>
      <c r="P209" s="72"/>
      <c r="Q209" s="72"/>
      <c r="S209" s="117"/>
    </row>
    <row r="210" spans="14:19" x14ac:dyDescent="0.15">
      <c r="N210" s="72"/>
      <c r="O210" s="72"/>
      <c r="P210" s="72"/>
      <c r="Q210" s="72"/>
      <c r="S210" s="117"/>
    </row>
    <row r="211" spans="14:19" x14ac:dyDescent="0.15">
      <c r="N211" s="72"/>
      <c r="O211" s="72"/>
      <c r="P211" s="72"/>
      <c r="Q211" s="72"/>
      <c r="S211" s="117"/>
    </row>
    <row r="212" spans="14:19" x14ac:dyDescent="0.15">
      <c r="N212" s="72"/>
      <c r="O212" s="72"/>
      <c r="P212" s="72"/>
      <c r="Q212" s="72"/>
      <c r="S212" s="117"/>
    </row>
    <row r="213" spans="14:19" x14ac:dyDescent="0.15">
      <c r="N213" s="72"/>
      <c r="O213" s="72"/>
      <c r="P213" s="72"/>
      <c r="Q213" s="72"/>
      <c r="S213" s="117"/>
    </row>
    <row r="214" spans="14:19" x14ac:dyDescent="0.15">
      <c r="N214" s="72"/>
      <c r="O214" s="72"/>
      <c r="P214" s="72"/>
      <c r="Q214" s="72"/>
      <c r="S214" s="117"/>
    </row>
    <row r="215" spans="14:19" x14ac:dyDescent="0.15">
      <c r="N215" s="72"/>
      <c r="O215" s="72"/>
      <c r="P215" s="72"/>
      <c r="Q215" s="72"/>
      <c r="S215" s="117"/>
    </row>
    <row r="216" spans="14:19" x14ac:dyDescent="0.15">
      <c r="N216" s="72"/>
      <c r="O216" s="72"/>
      <c r="P216" s="72"/>
      <c r="Q216" s="72"/>
      <c r="S216" s="117"/>
    </row>
    <row r="217" spans="14:19" x14ac:dyDescent="0.15">
      <c r="N217" s="72"/>
      <c r="O217" s="72"/>
      <c r="P217" s="72"/>
      <c r="Q217" s="72"/>
      <c r="S217" s="117"/>
    </row>
    <row r="218" spans="14:19" x14ac:dyDescent="0.15">
      <c r="N218" s="72"/>
      <c r="O218" s="72"/>
      <c r="P218" s="72"/>
      <c r="Q218" s="72"/>
      <c r="S218" s="117"/>
    </row>
    <row r="219" spans="14:19" x14ac:dyDescent="0.15">
      <c r="N219" s="72"/>
      <c r="O219" s="72"/>
      <c r="P219" s="72"/>
      <c r="Q219" s="72"/>
      <c r="S219" s="117"/>
    </row>
    <row r="220" spans="14:19" x14ac:dyDescent="0.15">
      <c r="N220" s="72"/>
      <c r="O220" s="72"/>
      <c r="P220" s="72"/>
      <c r="Q220" s="72"/>
      <c r="S220" s="117"/>
    </row>
    <row r="221" spans="14:19" x14ac:dyDescent="0.15">
      <c r="N221" s="72"/>
      <c r="O221" s="72"/>
      <c r="P221" s="72"/>
      <c r="Q221" s="72"/>
      <c r="S221" s="117"/>
    </row>
    <row r="222" spans="14:19" x14ac:dyDescent="0.15">
      <c r="N222" s="72"/>
      <c r="O222" s="72"/>
      <c r="P222" s="72"/>
      <c r="Q222" s="72"/>
      <c r="S222" s="117"/>
    </row>
    <row r="223" spans="14:19" x14ac:dyDescent="0.15">
      <c r="N223" s="72"/>
      <c r="O223" s="72"/>
      <c r="P223" s="72"/>
      <c r="Q223" s="72"/>
      <c r="S223" s="117"/>
    </row>
    <row r="224" spans="14:19" x14ac:dyDescent="0.15">
      <c r="N224" s="72"/>
      <c r="O224" s="72"/>
      <c r="P224" s="72"/>
      <c r="Q224" s="72"/>
      <c r="S224" s="117"/>
    </row>
    <row r="225" spans="14:19" x14ac:dyDescent="0.15">
      <c r="N225" s="72"/>
      <c r="O225" s="72"/>
      <c r="P225" s="72"/>
      <c r="Q225" s="72"/>
      <c r="S225" s="117"/>
    </row>
    <row r="226" spans="14:19" x14ac:dyDescent="0.15">
      <c r="N226" s="72"/>
      <c r="O226" s="72"/>
      <c r="P226" s="72"/>
      <c r="Q226" s="72"/>
      <c r="S226" s="117"/>
    </row>
    <row r="227" spans="14:19" x14ac:dyDescent="0.15">
      <c r="N227" s="72"/>
      <c r="O227" s="72"/>
      <c r="P227" s="72"/>
      <c r="Q227" s="72"/>
      <c r="S227" s="117"/>
    </row>
    <row r="228" spans="14:19" x14ac:dyDescent="0.15">
      <c r="N228" s="72"/>
      <c r="O228" s="72"/>
      <c r="P228" s="72"/>
      <c r="Q228" s="72"/>
      <c r="S228" s="117"/>
    </row>
    <row r="229" spans="14:19" x14ac:dyDescent="0.15">
      <c r="N229" s="72"/>
      <c r="O229" s="72"/>
      <c r="P229" s="72"/>
      <c r="Q229" s="72"/>
      <c r="S229" s="117"/>
    </row>
    <row r="230" spans="14:19" x14ac:dyDescent="0.15">
      <c r="N230" s="72"/>
      <c r="O230" s="72"/>
      <c r="P230" s="72"/>
      <c r="Q230" s="72"/>
      <c r="S230" s="117"/>
    </row>
    <row r="231" spans="14:19" x14ac:dyDescent="0.15">
      <c r="N231" s="72"/>
      <c r="O231" s="72"/>
      <c r="P231" s="72"/>
      <c r="Q231" s="72"/>
      <c r="S231" s="117"/>
    </row>
    <row r="232" spans="14:19" x14ac:dyDescent="0.15">
      <c r="N232" s="72"/>
      <c r="O232" s="72"/>
      <c r="P232" s="72"/>
      <c r="Q232" s="72"/>
      <c r="S232" s="117"/>
    </row>
    <row r="233" spans="14:19" x14ac:dyDescent="0.15">
      <c r="N233" s="72"/>
      <c r="O233" s="72"/>
      <c r="P233" s="72"/>
      <c r="Q233" s="72"/>
      <c r="S233" s="117"/>
    </row>
    <row r="234" spans="14:19" x14ac:dyDescent="0.15">
      <c r="N234" s="72"/>
      <c r="O234" s="72"/>
      <c r="P234" s="72"/>
      <c r="Q234" s="72"/>
      <c r="S234" s="117"/>
    </row>
    <row r="235" spans="14:19" x14ac:dyDescent="0.15">
      <c r="N235" s="72"/>
      <c r="O235" s="72"/>
      <c r="P235" s="72"/>
      <c r="Q235" s="72"/>
      <c r="S235" s="117"/>
    </row>
    <row r="236" spans="14:19" x14ac:dyDescent="0.15">
      <c r="N236" s="72"/>
      <c r="O236" s="72"/>
      <c r="P236" s="72"/>
      <c r="Q236" s="72"/>
      <c r="S236" s="117"/>
    </row>
    <row r="237" spans="14:19" x14ac:dyDescent="0.15">
      <c r="N237" s="72"/>
      <c r="O237" s="72"/>
      <c r="P237" s="72"/>
      <c r="Q237" s="72"/>
      <c r="S237" s="117"/>
    </row>
    <row r="238" spans="14:19" x14ac:dyDescent="0.15">
      <c r="N238" s="72"/>
      <c r="O238" s="72"/>
      <c r="P238" s="72"/>
      <c r="Q238" s="72"/>
      <c r="S238" s="117"/>
    </row>
    <row r="239" spans="14:19" x14ac:dyDescent="0.15">
      <c r="N239" s="72"/>
      <c r="O239" s="72"/>
      <c r="P239" s="72"/>
      <c r="Q239" s="72"/>
      <c r="S239" s="117"/>
    </row>
    <row r="240" spans="14:19" x14ac:dyDescent="0.15">
      <c r="N240" s="72"/>
      <c r="O240" s="72"/>
      <c r="P240" s="72"/>
      <c r="Q240" s="72"/>
      <c r="S240" s="117"/>
    </row>
    <row r="241" spans="14:19" x14ac:dyDescent="0.15">
      <c r="N241" s="72"/>
      <c r="O241" s="72"/>
      <c r="P241" s="72"/>
      <c r="Q241" s="72"/>
      <c r="S241" s="117"/>
    </row>
    <row r="242" spans="14:19" x14ac:dyDescent="0.15">
      <c r="N242" s="72"/>
      <c r="O242" s="72"/>
      <c r="P242" s="72"/>
      <c r="Q242" s="72"/>
      <c r="S242" s="117"/>
    </row>
    <row r="243" spans="14:19" x14ac:dyDescent="0.15">
      <c r="N243" s="72"/>
      <c r="O243" s="72"/>
      <c r="P243" s="72"/>
      <c r="Q243" s="72"/>
      <c r="S243" s="117"/>
    </row>
    <row r="244" spans="14:19" x14ac:dyDescent="0.15">
      <c r="N244" s="72"/>
      <c r="O244" s="72"/>
      <c r="P244" s="72"/>
      <c r="Q244" s="72"/>
      <c r="S244" s="117"/>
    </row>
    <row r="245" spans="14:19" x14ac:dyDescent="0.15">
      <c r="N245" s="72"/>
      <c r="O245" s="72"/>
      <c r="P245" s="72"/>
      <c r="Q245" s="72"/>
      <c r="S245" s="117"/>
    </row>
    <row r="246" spans="14:19" x14ac:dyDescent="0.15">
      <c r="N246" s="72"/>
      <c r="O246" s="72"/>
      <c r="P246" s="72"/>
      <c r="Q246" s="72"/>
      <c r="S246" s="117"/>
    </row>
    <row r="247" spans="14:19" x14ac:dyDescent="0.15">
      <c r="N247" s="72"/>
      <c r="O247" s="72"/>
      <c r="P247" s="72"/>
      <c r="Q247" s="72"/>
      <c r="S247" s="117"/>
    </row>
    <row r="248" spans="14:19" x14ac:dyDescent="0.15">
      <c r="N248" s="72"/>
      <c r="O248" s="72"/>
      <c r="P248" s="72"/>
      <c r="Q248" s="72"/>
      <c r="S248" s="117"/>
    </row>
    <row r="249" spans="14:19" x14ac:dyDescent="0.15">
      <c r="N249" s="72"/>
      <c r="O249" s="72"/>
      <c r="P249" s="72"/>
      <c r="Q249" s="72"/>
      <c r="S249" s="117"/>
    </row>
    <row r="250" spans="14:19" x14ac:dyDescent="0.15">
      <c r="N250" s="72"/>
      <c r="O250" s="72"/>
      <c r="P250" s="72"/>
      <c r="Q250" s="72"/>
      <c r="S250" s="117"/>
    </row>
    <row r="251" spans="14:19" x14ac:dyDescent="0.15">
      <c r="N251" s="72"/>
      <c r="O251" s="72"/>
      <c r="P251" s="72"/>
      <c r="Q251" s="72"/>
      <c r="S251" s="117"/>
    </row>
    <row r="252" spans="14:19" x14ac:dyDescent="0.15">
      <c r="N252" s="72"/>
      <c r="O252" s="72"/>
      <c r="P252" s="72"/>
      <c r="Q252" s="72"/>
      <c r="S252" s="117"/>
    </row>
    <row r="253" spans="14:19" x14ac:dyDescent="0.15">
      <c r="N253" s="72"/>
      <c r="O253" s="72"/>
      <c r="P253" s="72"/>
      <c r="Q253" s="72"/>
      <c r="S253" s="117"/>
    </row>
    <row r="254" spans="14:19" x14ac:dyDescent="0.15">
      <c r="N254" s="72"/>
      <c r="O254" s="72"/>
      <c r="P254" s="72"/>
      <c r="Q254" s="72"/>
      <c r="S254" s="117"/>
    </row>
    <row r="255" spans="14:19" x14ac:dyDescent="0.15">
      <c r="N255" s="72"/>
      <c r="O255" s="72"/>
      <c r="P255" s="72"/>
      <c r="Q255" s="72"/>
      <c r="S255" s="117"/>
    </row>
    <row r="256" spans="14:19" x14ac:dyDescent="0.15">
      <c r="N256" s="72"/>
      <c r="O256" s="72"/>
      <c r="P256" s="72"/>
      <c r="Q256" s="72"/>
      <c r="S256" s="117"/>
    </row>
    <row r="257" spans="14:19" x14ac:dyDescent="0.15">
      <c r="N257" s="72"/>
      <c r="O257" s="72"/>
      <c r="P257" s="72"/>
      <c r="Q257" s="72"/>
      <c r="S257" s="117"/>
    </row>
    <row r="258" spans="14:19" x14ac:dyDescent="0.15">
      <c r="N258" s="72"/>
      <c r="O258" s="72"/>
      <c r="P258" s="72"/>
      <c r="Q258" s="72"/>
      <c r="S258" s="117"/>
    </row>
    <row r="259" spans="14:19" x14ac:dyDescent="0.15">
      <c r="N259" s="72"/>
      <c r="O259" s="72"/>
      <c r="P259" s="72"/>
      <c r="Q259" s="72"/>
      <c r="S259" s="117"/>
    </row>
    <row r="260" spans="14:19" x14ac:dyDescent="0.15">
      <c r="N260" s="72"/>
      <c r="O260" s="72"/>
      <c r="P260" s="72"/>
      <c r="Q260" s="72"/>
      <c r="S260" s="117"/>
    </row>
    <row r="261" spans="14:19" x14ac:dyDescent="0.15">
      <c r="N261" s="72"/>
      <c r="O261" s="72"/>
      <c r="P261" s="72"/>
      <c r="Q261" s="72"/>
      <c r="S261" s="117"/>
    </row>
    <row r="262" spans="14:19" x14ac:dyDescent="0.15">
      <c r="N262" s="72"/>
      <c r="O262" s="72"/>
      <c r="P262" s="72"/>
      <c r="Q262" s="72"/>
      <c r="S262" s="117"/>
    </row>
    <row r="263" spans="14:19" x14ac:dyDescent="0.15">
      <c r="N263" s="72"/>
      <c r="O263" s="72"/>
      <c r="P263" s="72"/>
      <c r="Q263" s="72"/>
      <c r="S263" s="117"/>
    </row>
    <row r="264" spans="14:19" x14ac:dyDescent="0.15">
      <c r="N264" s="72"/>
      <c r="O264" s="72"/>
      <c r="P264" s="72"/>
      <c r="Q264" s="72"/>
      <c r="S264" s="117"/>
    </row>
    <row r="265" spans="14:19" x14ac:dyDescent="0.15">
      <c r="N265" s="72"/>
      <c r="O265" s="72"/>
      <c r="P265" s="72"/>
      <c r="Q265" s="72"/>
      <c r="S265" s="117"/>
    </row>
    <row r="266" spans="14:19" x14ac:dyDescent="0.15">
      <c r="N266" s="72"/>
      <c r="O266" s="72"/>
      <c r="P266" s="72"/>
      <c r="Q266" s="72"/>
      <c r="S266" s="117"/>
    </row>
    <row r="267" spans="14:19" x14ac:dyDescent="0.15">
      <c r="N267" s="72"/>
      <c r="O267" s="72"/>
      <c r="P267" s="72"/>
      <c r="Q267" s="72"/>
      <c r="S267" s="117"/>
    </row>
    <row r="268" spans="14:19" x14ac:dyDescent="0.15">
      <c r="N268" s="72"/>
      <c r="O268" s="72"/>
      <c r="P268" s="72"/>
      <c r="Q268" s="72"/>
      <c r="S268" s="117"/>
    </row>
    <row r="269" spans="14:19" x14ac:dyDescent="0.15">
      <c r="N269" s="72"/>
      <c r="O269" s="72"/>
      <c r="P269" s="72"/>
      <c r="Q269" s="72"/>
      <c r="S269" s="117"/>
    </row>
    <row r="270" spans="14:19" x14ac:dyDescent="0.15">
      <c r="N270" s="72"/>
      <c r="O270" s="72"/>
      <c r="P270" s="72"/>
      <c r="Q270" s="72"/>
      <c r="S270" s="117"/>
    </row>
    <row r="271" spans="14:19" x14ac:dyDescent="0.15">
      <c r="N271" s="72"/>
      <c r="O271" s="72"/>
      <c r="P271" s="72"/>
      <c r="Q271" s="72"/>
      <c r="S271" s="117"/>
    </row>
    <row r="272" spans="14:19" x14ac:dyDescent="0.15">
      <c r="N272" s="72"/>
      <c r="O272" s="72"/>
      <c r="P272" s="72"/>
      <c r="Q272" s="72"/>
      <c r="S272" s="117"/>
    </row>
    <row r="273" spans="14:19" x14ac:dyDescent="0.15">
      <c r="N273" s="72"/>
      <c r="O273" s="72"/>
      <c r="P273" s="72"/>
      <c r="Q273" s="72"/>
      <c r="S273" s="117"/>
    </row>
    <row r="274" spans="14:19" x14ac:dyDescent="0.15">
      <c r="N274" s="72"/>
      <c r="O274" s="72"/>
      <c r="P274" s="72"/>
      <c r="Q274" s="72"/>
      <c r="S274" s="117"/>
    </row>
    <row r="275" spans="14:19" x14ac:dyDescent="0.15">
      <c r="N275" s="72"/>
      <c r="O275" s="72"/>
      <c r="P275" s="72"/>
      <c r="Q275" s="72"/>
      <c r="S275" s="117"/>
    </row>
    <row r="276" spans="14:19" x14ac:dyDescent="0.15">
      <c r="N276" s="72"/>
      <c r="O276" s="72"/>
      <c r="P276" s="72"/>
      <c r="Q276" s="72"/>
      <c r="S276" s="117"/>
    </row>
    <row r="277" spans="14:19" x14ac:dyDescent="0.15">
      <c r="N277" s="72"/>
      <c r="O277" s="72"/>
      <c r="P277" s="72"/>
      <c r="Q277" s="72"/>
      <c r="S277" s="117"/>
    </row>
    <row r="278" spans="14:19" x14ac:dyDescent="0.15">
      <c r="N278" s="72"/>
      <c r="O278" s="72"/>
      <c r="P278" s="72"/>
      <c r="Q278" s="72"/>
      <c r="S278" s="117"/>
    </row>
    <row r="279" spans="14:19" x14ac:dyDescent="0.15">
      <c r="N279" s="72"/>
      <c r="O279" s="72"/>
      <c r="P279" s="72"/>
      <c r="Q279" s="72"/>
      <c r="S279" s="117"/>
    </row>
    <row r="280" spans="14:19" x14ac:dyDescent="0.15">
      <c r="N280" s="72"/>
      <c r="O280" s="72"/>
      <c r="P280" s="72"/>
      <c r="Q280" s="72"/>
      <c r="S280" s="117"/>
    </row>
    <row r="281" spans="14:19" x14ac:dyDescent="0.15">
      <c r="N281" s="72"/>
      <c r="O281" s="72"/>
      <c r="P281" s="72"/>
      <c r="Q281" s="72"/>
      <c r="S281" s="117"/>
    </row>
    <row r="282" spans="14:19" x14ac:dyDescent="0.15">
      <c r="N282" s="72"/>
      <c r="O282" s="72"/>
      <c r="P282" s="72"/>
      <c r="Q282" s="72"/>
      <c r="S282" s="117"/>
    </row>
    <row r="283" spans="14:19" x14ac:dyDescent="0.15">
      <c r="N283" s="72"/>
      <c r="O283" s="72"/>
      <c r="P283" s="72"/>
      <c r="Q283" s="72"/>
      <c r="S283" s="117"/>
    </row>
    <row r="284" spans="14:19" x14ac:dyDescent="0.15">
      <c r="N284" s="72"/>
      <c r="O284" s="72"/>
      <c r="P284" s="72"/>
      <c r="Q284" s="72"/>
      <c r="S284" s="117"/>
    </row>
    <row r="285" spans="14:19" x14ac:dyDescent="0.15">
      <c r="N285" s="72"/>
      <c r="O285" s="72"/>
      <c r="P285" s="72"/>
      <c r="Q285" s="72"/>
      <c r="S285" s="117"/>
    </row>
    <row r="286" spans="14:19" x14ac:dyDescent="0.15">
      <c r="N286" s="72"/>
      <c r="O286" s="72"/>
      <c r="P286" s="72"/>
      <c r="Q286" s="72"/>
      <c r="S286" s="117"/>
    </row>
    <row r="287" spans="14:19" x14ac:dyDescent="0.15">
      <c r="N287" s="72"/>
      <c r="O287" s="72"/>
      <c r="P287" s="72"/>
      <c r="Q287" s="72"/>
      <c r="S287" s="117"/>
    </row>
    <row r="288" spans="14:19" x14ac:dyDescent="0.15">
      <c r="N288" s="72"/>
      <c r="O288" s="72"/>
      <c r="P288" s="72"/>
      <c r="Q288" s="72"/>
      <c r="S288" s="117"/>
    </row>
    <row r="289" spans="14:19" x14ac:dyDescent="0.15">
      <c r="N289" s="72"/>
      <c r="O289" s="72"/>
      <c r="P289" s="72"/>
      <c r="Q289" s="72"/>
      <c r="S289" s="117"/>
    </row>
    <row r="290" spans="14:19" x14ac:dyDescent="0.15">
      <c r="N290" s="72"/>
      <c r="O290" s="72"/>
      <c r="P290" s="72"/>
      <c r="Q290" s="72"/>
      <c r="S290" s="117"/>
    </row>
    <row r="291" spans="14:19" x14ac:dyDescent="0.15">
      <c r="N291" s="72"/>
      <c r="O291" s="72"/>
      <c r="P291" s="72"/>
      <c r="Q291" s="72"/>
      <c r="S291" s="117"/>
    </row>
    <row r="292" spans="14:19" x14ac:dyDescent="0.15">
      <c r="N292" s="72"/>
      <c r="O292" s="72"/>
      <c r="P292" s="72"/>
      <c r="Q292" s="72"/>
      <c r="S292" s="117"/>
    </row>
    <row r="293" spans="14:19" x14ac:dyDescent="0.15">
      <c r="N293" s="72"/>
      <c r="O293" s="72"/>
      <c r="P293" s="72"/>
      <c r="Q293" s="72"/>
      <c r="S293" s="117"/>
    </row>
    <row r="294" spans="14:19" x14ac:dyDescent="0.15">
      <c r="N294" s="72"/>
      <c r="O294" s="72"/>
      <c r="P294" s="72"/>
      <c r="Q294" s="72"/>
      <c r="S294" s="117"/>
    </row>
    <row r="295" spans="14:19" x14ac:dyDescent="0.15">
      <c r="N295" s="72"/>
      <c r="O295" s="72"/>
      <c r="P295" s="72"/>
      <c r="Q295" s="72"/>
      <c r="S295" s="117"/>
    </row>
    <row r="296" spans="14:19" x14ac:dyDescent="0.15">
      <c r="N296" s="72"/>
      <c r="O296" s="72"/>
      <c r="P296" s="72"/>
      <c r="Q296" s="72"/>
      <c r="S296" s="117"/>
    </row>
    <row r="297" spans="14:19" x14ac:dyDescent="0.15">
      <c r="N297" s="72"/>
      <c r="O297" s="72"/>
      <c r="P297" s="72"/>
      <c r="Q297" s="72"/>
      <c r="S297" s="117"/>
    </row>
    <row r="298" spans="14:19" x14ac:dyDescent="0.15">
      <c r="N298" s="72"/>
      <c r="O298" s="72"/>
      <c r="P298" s="72"/>
      <c r="Q298" s="72"/>
      <c r="S298" s="117"/>
    </row>
    <row r="299" spans="14:19" x14ac:dyDescent="0.15">
      <c r="N299" s="72"/>
      <c r="O299" s="72"/>
      <c r="P299" s="72"/>
      <c r="Q299" s="72"/>
      <c r="S299" s="117"/>
    </row>
    <row r="300" spans="14:19" x14ac:dyDescent="0.15">
      <c r="N300" s="72"/>
      <c r="O300" s="72"/>
      <c r="P300" s="72"/>
      <c r="Q300" s="72"/>
      <c r="S300" s="117"/>
    </row>
    <row r="301" spans="14:19" x14ac:dyDescent="0.15">
      <c r="N301" s="72"/>
      <c r="O301" s="72"/>
      <c r="P301" s="72"/>
      <c r="Q301" s="72"/>
      <c r="S301" s="117"/>
    </row>
    <row r="302" spans="14:19" x14ac:dyDescent="0.15">
      <c r="N302" s="72"/>
      <c r="O302" s="72"/>
      <c r="P302" s="72"/>
      <c r="Q302" s="72"/>
      <c r="S302" s="117"/>
    </row>
    <row r="303" spans="14:19" x14ac:dyDescent="0.15">
      <c r="N303" s="72"/>
      <c r="O303" s="72"/>
      <c r="P303" s="72"/>
      <c r="Q303" s="72"/>
      <c r="S303" s="117"/>
    </row>
    <row r="304" spans="14:19" x14ac:dyDescent="0.15">
      <c r="N304" s="72"/>
      <c r="O304" s="72"/>
      <c r="P304" s="72"/>
      <c r="Q304" s="72"/>
      <c r="S304" s="117"/>
    </row>
    <row r="305" spans="14:19" x14ac:dyDescent="0.15">
      <c r="N305" s="72"/>
      <c r="O305" s="72"/>
      <c r="P305" s="72"/>
      <c r="Q305" s="72"/>
      <c r="S305" s="117"/>
    </row>
    <row r="306" spans="14:19" x14ac:dyDescent="0.15">
      <c r="N306" s="72"/>
      <c r="O306" s="72"/>
      <c r="P306" s="72"/>
      <c r="Q306" s="72"/>
      <c r="S306" s="117"/>
    </row>
    <row r="307" spans="14:19" x14ac:dyDescent="0.15">
      <c r="N307" s="72"/>
      <c r="O307" s="72"/>
      <c r="P307" s="72"/>
      <c r="Q307" s="72"/>
      <c r="S307" s="117"/>
    </row>
    <row r="308" spans="14:19" x14ac:dyDescent="0.15">
      <c r="N308" s="72"/>
      <c r="O308" s="72"/>
      <c r="P308" s="72"/>
      <c r="Q308" s="72"/>
      <c r="S308" s="117"/>
    </row>
    <row r="309" spans="14:19" x14ac:dyDescent="0.15">
      <c r="N309" s="72"/>
      <c r="O309" s="72"/>
      <c r="P309" s="72"/>
      <c r="Q309" s="72"/>
      <c r="S309" s="117"/>
    </row>
    <row r="310" spans="14:19" x14ac:dyDescent="0.15">
      <c r="N310" s="72"/>
      <c r="O310" s="72"/>
      <c r="P310" s="72"/>
      <c r="Q310" s="72"/>
      <c r="S310" s="117"/>
    </row>
    <row r="311" spans="14:19" x14ac:dyDescent="0.15">
      <c r="N311" s="72"/>
      <c r="O311" s="72"/>
      <c r="P311" s="72"/>
      <c r="Q311" s="72"/>
      <c r="S311" s="117"/>
    </row>
    <row r="312" spans="14:19" x14ac:dyDescent="0.15">
      <c r="N312" s="72"/>
      <c r="O312" s="72"/>
      <c r="P312" s="72"/>
      <c r="Q312" s="72"/>
      <c r="S312" s="117"/>
    </row>
    <row r="313" spans="14:19" x14ac:dyDescent="0.15">
      <c r="N313" s="72"/>
      <c r="O313" s="72"/>
      <c r="P313" s="72"/>
      <c r="Q313" s="72"/>
      <c r="S313" s="117"/>
    </row>
    <row r="314" spans="14:19" x14ac:dyDescent="0.15">
      <c r="N314" s="72"/>
      <c r="O314" s="72"/>
      <c r="P314" s="72"/>
      <c r="Q314" s="72"/>
      <c r="S314" s="117"/>
    </row>
    <row r="315" spans="14:19" x14ac:dyDescent="0.15">
      <c r="N315" s="72"/>
      <c r="O315" s="72"/>
      <c r="P315" s="72"/>
      <c r="Q315" s="72"/>
      <c r="S315" s="117"/>
    </row>
    <row r="316" spans="14:19" x14ac:dyDescent="0.15">
      <c r="N316" s="72"/>
      <c r="O316" s="72"/>
      <c r="P316" s="72"/>
      <c r="Q316" s="72"/>
      <c r="S316" s="117"/>
    </row>
    <row r="317" spans="14:19" x14ac:dyDescent="0.15">
      <c r="N317" s="72"/>
      <c r="O317" s="72"/>
      <c r="P317" s="72"/>
      <c r="Q317" s="72"/>
      <c r="S317" s="117"/>
    </row>
    <row r="318" spans="14:19" x14ac:dyDescent="0.15">
      <c r="N318" s="72"/>
      <c r="O318" s="72"/>
      <c r="P318" s="72"/>
      <c r="Q318" s="72"/>
      <c r="S318" s="117"/>
    </row>
    <row r="319" spans="14:19" x14ac:dyDescent="0.15">
      <c r="N319" s="72"/>
      <c r="O319" s="72"/>
      <c r="P319" s="72"/>
      <c r="Q319" s="72"/>
      <c r="S319" s="117"/>
    </row>
    <row r="320" spans="14:19" x14ac:dyDescent="0.15">
      <c r="N320" s="72"/>
      <c r="O320" s="72"/>
      <c r="P320" s="72"/>
      <c r="Q320" s="72"/>
      <c r="S320" s="117"/>
    </row>
    <row r="321" spans="14:19" x14ac:dyDescent="0.15">
      <c r="N321" s="72"/>
      <c r="O321" s="72"/>
      <c r="P321" s="72"/>
      <c r="Q321" s="72"/>
      <c r="S321" s="117"/>
    </row>
    <row r="322" spans="14:19" x14ac:dyDescent="0.15">
      <c r="N322" s="72"/>
      <c r="O322" s="72"/>
      <c r="P322" s="72"/>
      <c r="Q322" s="72"/>
      <c r="S322" s="117"/>
    </row>
    <row r="323" spans="14:19" x14ac:dyDescent="0.15">
      <c r="N323" s="72"/>
      <c r="O323" s="72"/>
      <c r="P323" s="72"/>
      <c r="Q323" s="72"/>
      <c r="S323" s="117"/>
    </row>
    <row r="324" spans="14:19" x14ac:dyDescent="0.15">
      <c r="N324" s="72"/>
      <c r="O324" s="72"/>
      <c r="P324" s="72"/>
      <c r="Q324" s="72"/>
      <c r="S324" s="117"/>
    </row>
    <row r="325" spans="14:19" x14ac:dyDescent="0.15">
      <c r="N325" s="72"/>
      <c r="O325" s="72"/>
      <c r="P325" s="72"/>
      <c r="Q325" s="72"/>
      <c r="S325" s="117"/>
    </row>
    <row r="326" spans="14:19" x14ac:dyDescent="0.15">
      <c r="N326" s="72"/>
      <c r="O326" s="72"/>
      <c r="P326" s="72"/>
      <c r="Q326" s="72"/>
      <c r="S326" s="117"/>
    </row>
    <row r="327" spans="14:19" x14ac:dyDescent="0.15">
      <c r="N327" s="72"/>
      <c r="O327" s="72"/>
      <c r="P327" s="72"/>
      <c r="Q327" s="72"/>
      <c r="S327" s="117"/>
    </row>
    <row r="328" spans="14:19" x14ac:dyDescent="0.15">
      <c r="N328" s="72"/>
      <c r="O328" s="72"/>
      <c r="P328" s="72"/>
      <c r="Q328" s="72"/>
      <c r="S328" s="117"/>
    </row>
    <row r="329" spans="14:19" x14ac:dyDescent="0.15">
      <c r="N329" s="72"/>
      <c r="O329" s="72"/>
      <c r="P329" s="72"/>
      <c r="Q329" s="72"/>
      <c r="S329" s="117"/>
    </row>
    <row r="330" spans="14:19" x14ac:dyDescent="0.15">
      <c r="N330" s="72"/>
      <c r="O330" s="72"/>
      <c r="P330" s="72"/>
      <c r="Q330" s="72"/>
      <c r="S330" s="117"/>
    </row>
    <row r="331" spans="14:19" x14ac:dyDescent="0.15">
      <c r="N331" s="72"/>
      <c r="O331" s="72"/>
      <c r="P331" s="72"/>
      <c r="Q331" s="72"/>
      <c r="S331" s="117"/>
    </row>
    <row r="332" spans="14:19" x14ac:dyDescent="0.15">
      <c r="N332" s="72"/>
      <c r="O332" s="72"/>
      <c r="P332" s="72"/>
      <c r="Q332" s="72"/>
      <c r="S332" s="117"/>
    </row>
    <row r="333" spans="14:19" x14ac:dyDescent="0.15">
      <c r="N333" s="72"/>
      <c r="O333" s="72"/>
      <c r="P333" s="72"/>
      <c r="Q333" s="72"/>
      <c r="S333" s="117"/>
    </row>
    <row r="334" spans="14:19" x14ac:dyDescent="0.15">
      <c r="N334" s="72"/>
      <c r="O334" s="72"/>
      <c r="P334" s="72"/>
      <c r="Q334" s="72"/>
      <c r="S334" s="117"/>
    </row>
    <row r="335" spans="14:19" x14ac:dyDescent="0.15">
      <c r="N335" s="72"/>
      <c r="O335" s="72"/>
      <c r="P335" s="72"/>
      <c r="Q335" s="72"/>
      <c r="S335" s="117"/>
    </row>
    <row r="336" spans="14:19" x14ac:dyDescent="0.15">
      <c r="N336" s="72"/>
      <c r="O336" s="72"/>
      <c r="P336" s="72"/>
      <c r="Q336" s="72"/>
      <c r="S336" s="117"/>
    </row>
    <row r="337" spans="14:19" x14ac:dyDescent="0.15">
      <c r="N337" s="72"/>
      <c r="O337" s="72"/>
      <c r="P337" s="72"/>
      <c r="Q337" s="72"/>
      <c r="S337" s="117"/>
    </row>
    <row r="338" spans="14:19" x14ac:dyDescent="0.15">
      <c r="N338" s="72"/>
      <c r="O338" s="72"/>
      <c r="P338" s="72"/>
      <c r="Q338" s="72"/>
      <c r="S338" s="117"/>
    </row>
    <row r="339" spans="14:19" x14ac:dyDescent="0.15">
      <c r="N339" s="72"/>
      <c r="O339" s="72"/>
      <c r="P339" s="72"/>
      <c r="Q339" s="72"/>
      <c r="S339" s="117"/>
    </row>
    <row r="340" spans="14:19" x14ac:dyDescent="0.15">
      <c r="N340" s="72"/>
      <c r="O340" s="72"/>
      <c r="P340" s="72"/>
      <c r="Q340" s="72"/>
      <c r="S340" s="117"/>
    </row>
    <row r="341" spans="14:19" x14ac:dyDescent="0.15">
      <c r="N341" s="72"/>
      <c r="O341" s="72"/>
      <c r="P341" s="72"/>
      <c r="Q341" s="72"/>
      <c r="S341" s="117"/>
    </row>
    <row r="342" spans="14:19" x14ac:dyDescent="0.15">
      <c r="N342" s="72"/>
      <c r="O342" s="72"/>
      <c r="P342" s="72"/>
      <c r="Q342" s="72"/>
      <c r="S342" s="117"/>
    </row>
    <row r="343" spans="14:19" x14ac:dyDescent="0.15">
      <c r="N343" s="72"/>
      <c r="O343" s="72"/>
      <c r="P343" s="72"/>
      <c r="Q343" s="72"/>
      <c r="S343" s="117"/>
    </row>
    <row r="344" spans="14:19" x14ac:dyDescent="0.15">
      <c r="N344" s="72"/>
      <c r="O344" s="72"/>
      <c r="P344" s="72"/>
      <c r="Q344" s="72"/>
      <c r="S344" s="117"/>
    </row>
    <row r="345" spans="14:19" x14ac:dyDescent="0.15">
      <c r="N345" s="72"/>
      <c r="O345" s="72"/>
      <c r="P345" s="72"/>
      <c r="Q345" s="72"/>
      <c r="S345" s="117"/>
    </row>
    <row r="346" spans="14:19" x14ac:dyDescent="0.15">
      <c r="N346" s="72"/>
      <c r="O346" s="72"/>
      <c r="P346" s="72"/>
      <c r="Q346" s="72"/>
      <c r="S346" s="117"/>
    </row>
    <row r="347" spans="14:19" x14ac:dyDescent="0.15">
      <c r="N347" s="72"/>
      <c r="O347" s="72"/>
      <c r="P347" s="72"/>
      <c r="Q347" s="72"/>
      <c r="S347" s="117"/>
    </row>
    <row r="348" spans="14:19" x14ac:dyDescent="0.15">
      <c r="N348" s="72"/>
      <c r="O348" s="72"/>
      <c r="P348" s="72"/>
      <c r="Q348" s="72"/>
      <c r="S348" s="117"/>
    </row>
    <row r="349" spans="14:19" x14ac:dyDescent="0.15">
      <c r="N349" s="72"/>
      <c r="O349" s="72"/>
      <c r="P349" s="72"/>
      <c r="Q349" s="72"/>
      <c r="S349" s="117"/>
    </row>
    <row r="350" spans="14:19" x14ac:dyDescent="0.15">
      <c r="N350" s="72"/>
      <c r="O350" s="72"/>
      <c r="P350" s="72"/>
      <c r="Q350" s="72"/>
      <c r="S350" s="117"/>
    </row>
    <row r="351" spans="14:19" x14ac:dyDescent="0.15">
      <c r="N351" s="72"/>
      <c r="O351" s="72"/>
      <c r="P351" s="72"/>
      <c r="Q351" s="72"/>
      <c r="S351" s="117"/>
    </row>
    <row r="352" spans="14:19" x14ac:dyDescent="0.15">
      <c r="N352" s="72"/>
      <c r="O352" s="72"/>
      <c r="P352" s="72"/>
      <c r="Q352" s="72"/>
      <c r="S352" s="117"/>
    </row>
    <row r="353" spans="14:19" x14ac:dyDescent="0.15">
      <c r="N353" s="72"/>
      <c r="O353" s="72"/>
      <c r="P353" s="72"/>
      <c r="Q353" s="72"/>
      <c r="S353" s="117"/>
    </row>
    <row r="354" spans="14:19" x14ac:dyDescent="0.15">
      <c r="N354" s="72"/>
      <c r="O354" s="72"/>
      <c r="P354" s="72"/>
      <c r="Q354" s="72"/>
      <c r="S354" s="117"/>
    </row>
    <row r="355" spans="14:19" x14ac:dyDescent="0.15">
      <c r="N355" s="72"/>
      <c r="O355" s="72"/>
      <c r="P355" s="72"/>
      <c r="Q355" s="72"/>
      <c r="S355" s="117"/>
    </row>
    <row r="356" spans="14:19" x14ac:dyDescent="0.15">
      <c r="N356" s="72"/>
      <c r="O356" s="72"/>
      <c r="P356" s="72"/>
      <c r="Q356" s="72"/>
      <c r="S356" s="117"/>
    </row>
    <row r="357" spans="14:19" x14ac:dyDescent="0.15">
      <c r="N357" s="72"/>
      <c r="O357" s="72"/>
      <c r="P357" s="72"/>
      <c r="Q357" s="72"/>
      <c r="S357" s="117"/>
    </row>
    <row r="358" spans="14:19" x14ac:dyDescent="0.15">
      <c r="N358" s="72"/>
      <c r="O358" s="72"/>
      <c r="P358" s="72"/>
      <c r="Q358" s="72"/>
      <c r="S358" s="117"/>
    </row>
    <row r="359" spans="14:19" x14ac:dyDescent="0.15">
      <c r="N359" s="72"/>
      <c r="O359" s="72"/>
      <c r="P359" s="72"/>
      <c r="Q359" s="72"/>
      <c r="S359" s="117"/>
    </row>
    <row r="360" spans="14:19" x14ac:dyDescent="0.15">
      <c r="N360" s="72"/>
      <c r="O360" s="72"/>
      <c r="P360" s="72"/>
      <c r="Q360" s="72"/>
      <c r="S360" s="117"/>
    </row>
    <row r="361" spans="14:19" x14ac:dyDescent="0.15">
      <c r="N361" s="72"/>
      <c r="O361" s="72"/>
      <c r="P361" s="72"/>
      <c r="Q361" s="72"/>
      <c r="S361" s="117"/>
    </row>
    <row r="362" spans="14:19" x14ac:dyDescent="0.15">
      <c r="N362" s="72"/>
      <c r="O362" s="72"/>
      <c r="P362" s="72"/>
      <c r="Q362" s="72"/>
      <c r="S362" s="117"/>
    </row>
  </sheetData>
  <phoneticPr fontId="4" type="noConversion"/>
  <conditionalFormatting sqref="A1">
    <cfRule type="duplicateValues" dxfId="17" priority="3"/>
  </conditionalFormatting>
  <conditionalFormatting sqref="B1:C1">
    <cfRule type="duplicateValues" dxfId="16" priority="4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38"/>
  <sheetViews>
    <sheetView topLeftCell="A7" workbookViewId="0">
      <selection activeCell="H33" sqref="H33"/>
    </sheetView>
  </sheetViews>
  <sheetFormatPr defaultColWidth="9" defaultRowHeight="14.25" x14ac:dyDescent="0.15"/>
  <cols>
    <col min="1" max="2" width="13.25" style="76" customWidth="1"/>
    <col min="3" max="3" width="10.875" style="76" customWidth="1"/>
    <col min="4" max="5" width="8.875" style="76" customWidth="1"/>
    <col min="6" max="6" width="10.875" style="76" customWidth="1"/>
    <col min="7" max="8" width="8.875" style="76" customWidth="1"/>
    <col min="9" max="9" width="7.375" style="76" customWidth="1"/>
    <col min="10" max="11" width="12" style="76" customWidth="1"/>
    <col min="12" max="12" width="11.5" style="76" customWidth="1"/>
    <col min="13" max="13" width="12.625" style="76" customWidth="1"/>
    <col min="14" max="14" width="8.875" style="76" customWidth="1"/>
    <col min="15" max="15" width="10.375" style="76" customWidth="1"/>
    <col min="16" max="16" width="10.25" style="76" customWidth="1"/>
    <col min="17" max="17" width="12" style="76" customWidth="1"/>
    <col min="18" max="18" width="13.125" style="76" customWidth="1"/>
    <col min="19" max="20" width="13.25" style="76" customWidth="1"/>
    <col min="21" max="21" width="11.125" style="76" customWidth="1"/>
    <col min="22" max="23" width="13.25" style="76" customWidth="1"/>
    <col min="24" max="24" width="10.25" style="79" customWidth="1"/>
    <col min="25" max="25" width="12.375" style="76" customWidth="1"/>
    <col min="26" max="26" width="13.375" style="76" customWidth="1"/>
    <col min="27" max="27" width="11.375" style="76" customWidth="1"/>
    <col min="28" max="28" width="11.5" style="79"/>
    <col min="29" max="16384" width="9" style="76"/>
  </cols>
  <sheetData>
    <row r="1" spans="1:28" x14ac:dyDescent="0.15">
      <c r="A1" s="76" t="s">
        <v>119</v>
      </c>
      <c r="B1" s="76" t="s">
        <v>122</v>
      </c>
      <c r="C1" s="76" t="s">
        <v>131</v>
      </c>
      <c r="E1" s="77">
        <v>0.02</v>
      </c>
      <c r="F1" s="78">
        <v>2.5000000000000001E-2</v>
      </c>
      <c r="G1" s="77">
        <v>0.03</v>
      </c>
      <c r="H1" s="78">
        <v>3.5000000000000003E-2</v>
      </c>
      <c r="O1" s="76" t="s">
        <v>119</v>
      </c>
      <c r="P1" s="77">
        <v>0.02</v>
      </c>
      <c r="Q1" s="78">
        <v>2.5000000000000001E-2</v>
      </c>
      <c r="T1" s="76" t="s">
        <v>360</v>
      </c>
      <c r="X1" s="79">
        <f>SUM(X6:X38)</f>
        <v>19788.533850000003</v>
      </c>
      <c r="Y1" s="79">
        <f t="shared" ref="Y1:Z1" si="0">SUM(Y6:Y38)</f>
        <v>15628.4697</v>
      </c>
      <c r="Z1" s="79">
        <f t="shared" si="0"/>
        <v>2288.1058000000003</v>
      </c>
    </row>
    <row r="2" spans="1:28" x14ac:dyDescent="0.15">
      <c r="A2" s="76" t="s">
        <v>206</v>
      </c>
      <c r="E2" s="77"/>
      <c r="F2" s="77"/>
      <c r="G2" s="77"/>
      <c r="H2" s="77"/>
      <c r="O2" s="76" t="s">
        <v>122</v>
      </c>
      <c r="P2" s="78">
        <v>2.5000000000000001E-2</v>
      </c>
      <c r="Q2" s="77">
        <v>0.03</v>
      </c>
      <c r="T2" s="76" t="s">
        <v>361</v>
      </c>
    </row>
    <row r="3" spans="1:28" x14ac:dyDescent="0.15">
      <c r="O3" s="76" t="s">
        <v>131</v>
      </c>
      <c r="P3" s="77">
        <v>0.03</v>
      </c>
      <c r="Q3" s="78">
        <v>3.5000000000000003E-2</v>
      </c>
    </row>
    <row r="4" spans="1:28" x14ac:dyDescent="0.15">
      <c r="A4" s="76" t="s">
        <v>168</v>
      </c>
      <c r="J4" s="76" t="s">
        <v>359</v>
      </c>
      <c r="K4" s="76" t="s">
        <v>310</v>
      </c>
      <c r="L4" s="76" t="e">
        <f t="shared" ref="L4:N4" si="1">SUM(L6:L35)</f>
        <v>#N/A</v>
      </c>
      <c r="M4" s="76" t="e">
        <f t="shared" si="1"/>
        <v>#N/A</v>
      </c>
      <c r="N4" s="76" t="e">
        <f t="shared" si="1"/>
        <v>#N/A</v>
      </c>
      <c r="R4" s="76" t="s">
        <v>207</v>
      </c>
    </row>
    <row r="5" spans="1:28" x14ac:dyDescent="0.15">
      <c r="A5" s="76" t="s">
        <v>7</v>
      </c>
      <c r="C5" s="76" t="s">
        <v>170</v>
      </c>
      <c r="D5" s="76" t="s">
        <v>171</v>
      </c>
      <c r="E5" s="76" t="s">
        <v>172</v>
      </c>
      <c r="F5" s="76" t="s">
        <v>173</v>
      </c>
      <c r="G5" s="85" t="s">
        <v>105</v>
      </c>
      <c r="H5" s="85" t="s">
        <v>106</v>
      </c>
      <c r="I5" s="85" t="s">
        <v>104</v>
      </c>
      <c r="J5" s="85" t="s">
        <v>107</v>
      </c>
      <c r="K5" s="85" t="s">
        <v>174</v>
      </c>
      <c r="L5" s="86" t="s">
        <v>175</v>
      </c>
      <c r="M5" s="86" t="s">
        <v>176</v>
      </c>
      <c r="N5" s="86" t="s">
        <v>177</v>
      </c>
      <c r="O5" s="86" t="s">
        <v>178</v>
      </c>
      <c r="P5" s="87" t="s">
        <v>16</v>
      </c>
      <c r="Q5" s="76" t="s">
        <v>179</v>
      </c>
      <c r="R5" s="76" t="s">
        <v>180</v>
      </c>
      <c r="S5" s="76" t="s">
        <v>181</v>
      </c>
      <c r="T5" s="76" t="s">
        <v>182</v>
      </c>
      <c r="U5" s="76" t="s">
        <v>183</v>
      </c>
      <c r="V5" s="76" t="s">
        <v>184</v>
      </c>
      <c r="W5" s="85" t="s">
        <v>185</v>
      </c>
      <c r="X5" s="79" t="s">
        <v>119</v>
      </c>
      <c r="Y5" s="76" t="s">
        <v>122</v>
      </c>
      <c r="Z5" s="76" t="s">
        <v>131</v>
      </c>
      <c r="AA5" s="85" t="s">
        <v>208</v>
      </c>
      <c r="AB5" s="79" t="s">
        <v>168</v>
      </c>
    </row>
    <row r="6" spans="1:28" x14ac:dyDescent="0.15">
      <c r="A6" s="88" t="s">
        <v>116</v>
      </c>
      <c r="B6" s="88" t="s">
        <v>117</v>
      </c>
      <c r="C6" s="88" t="s">
        <v>96</v>
      </c>
      <c r="D6" s="88" t="s">
        <v>96</v>
      </c>
      <c r="E6" s="88" t="s">
        <v>96</v>
      </c>
      <c r="F6" s="88" t="s">
        <v>96</v>
      </c>
      <c r="G6" s="88">
        <f>VLOOKUP(B6,'④前置信息-大固定-包含了工资和总经理'!B:E,4,0)</f>
        <v>0</v>
      </c>
      <c r="H6" s="88">
        <f>VLOOKUP(B6,'④前置信息-大固定-包含了工资和总经理'!B:F,5,0)</f>
        <v>0</v>
      </c>
      <c r="I6" s="88">
        <f>VLOOKUP(B6,'④前置信息-大固定-包含了工资和总经理'!B:D,3,0)</f>
        <v>0</v>
      </c>
      <c r="J6" s="88">
        <f>VLOOKUP(B6,'④前置信息-大固定-包含了工资和总经理'!B:G,6,0)</f>
        <v>0</v>
      </c>
      <c r="K6" s="88">
        <f>IFERROR(VLOOKUP(B6,③工资核算浮动条件设置①!$B$4:$C$31,2,0),0)</f>
        <v>0</v>
      </c>
      <c r="L6" s="88" t="e">
        <f>VLOOKUP(B6,②当月数据及门店毛利!B:C,2,0)</f>
        <v>#N/A</v>
      </c>
      <c r="M6" s="88" t="e">
        <f>VLOOKUP(B6,②当月数据及门店毛利!B:D,3,0)</f>
        <v>#N/A</v>
      </c>
      <c r="N6" s="89" t="e">
        <f>VLOOKUP(B6,②当月数据及门店毛利!B:E,4,0)</f>
        <v>#N/A</v>
      </c>
      <c r="O6" s="89">
        <f>IFERROR(IF(P6=0,0,VLOOKUP(B6,②当月数据及门店毛利!B:N,13,0)),0)</f>
        <v>0</v>
      </c>
      <c r="P6" s="89">
        <f>IFERROR(VLOOKUP(B6,'④前置信息-大固定-包含了工资和总经理'!B:M,12,0),0)</f>
        <v>0</v>
      </c>
      <c r="Q6" s="88">
        <f>IF(P6=0,0,3500)</f>
        <v>0</v>
      </c>
      <c r="R6" s="88">
        <f>IF(P6=0,0,IF(L6&gt;=K6,"Yes",0))</f>
        <v>0</v>
      </c>
      <c r="S6" s="88">
        <f>IF(P6=0,0,IF(N6&gt;=VLOOKUP(B6,'④前置信息-大固定-包含了工资和总经理'!B:P,15,0),"YES",0))</f>
        <v>0</v>
      </c>
      <c r="T6" s="88">
        <f>IF(G6="新店","yes",IF(P6=0,0,IF(M6&gt;=VLOOKUP(B6,'④前置信息-大固定-包含了工资和总经理'!B:Q,16,0),"YES",0)))</f>
        <v>0</v>
      </c>
      <c r="U6" s="88">
        <f>COUNTIF(R6:T6,"yes")</f>
        <v>0</v>
      </c>
      <c r="V6" s="88">
        <f>IF(P6=0,0,-(3-U6)*500)</f>
        <v>0</v>
      </c>
      <c r="W6" s="88">
        <f>IF(P6=0,0,Q6+V6)</f>
        <v>0</v>
      </c>
      <c r="X6" s="91">
        <f>IF(I6=$X$5,IF(G6="新店",IF(O6&lt;J6,O6*$P$1,J6*$P$1+(O6-J6)*$Q$1),IF(I6=$X$5,IF(O6&lt;J6,O6*$P$1,J6*$P$1+(O6-J6)*$Q$1),0)),0)</f>
        <v>0</v>
      </c>
      <c r="Y6" s="91">
        <f>IF(I6=$Y$5,IF(G6="新店",IF(O6&lt;J6,O6*$P$1,J6*$P$1+(O6-J6)*$Q$1),IF(I6=$Y$5,IF(O6&lt;J6,O6*$P$2,J6*$P$2+(O6-J6)*$Q$2),0)),0)</f>
        <v>0</v>
      </c>
      <c r="Z6" s="91">
        <f>IF(I6=$Z$5,IF(G6="新店",IF(O6&lt;J6,O6*$P$1,J6*$P$1+(O6-J6)*$Q$1),IF(I6=$Z$5,IF(O6&lt;J6,$P$3*O6,J6*$P$3+(O6-J6)*$Q$3),0)),0)</f>
        <v>0</v>
      </c>
      <c r="AA6" s="91">
        <f>SUM(X6:Z6)</f>
        <v>0</v>
      </c>
      <c r="AB6" s="91">
        <f>AA6+W6</f>
        <v>0</v>
      </c>
    </row>
    <row r="7" spans="1:28" x14ac:dyDescent="0.15">
      <c r="A7" s="88" t="s">
        <v>118</v>
      </c>
      <c r="B7" s="88" t="s">
        <v>40</v>
      </c>
      <c r="C7" s="88" t="s">
        <v>22</v>
      </c>
      <c r="D7" s="88" t="s">
        <v>188</v>
      </c>
      <c r="E7" s="88" t="s">
        <v>90</v>
      </c>
      <c r="F7" s="88" t="s">
        <v>189</v>
      </c>
      <c r="G7" s="88">
        <f>VLOOKUP(B7,'④前置信息-大固定-包含了工资和总经理'!B:E,4,0)</f>
        <v>0</v>
      </c>
      <c r="H7" s="88">
        <f>VLOOKUP(B7,'④前置信息-大固定-包含了工资和总经理'!B:F,5,0)</f>
        <v>0</v>
      </c>
      <c r="I7" s="88" t="str">
        <f>VLOOKUP(B7,'④前置信息-大固定-包含了工资和总经理'!B:D,3,0)</f>
        <v>A类</v>
      </c>
      <c r="J7" s="88">
        <f>VLOOKUP(B7,'④前置信息-大固定-包含了工资和总经理'!B:G,6,0)</f>
        <v>350000</v>
      </c>
      <c r="K7" s="88">
        <f>IFERROR(VLOOKUP(B7,③工资核算浮动条件设置①!$B$4:$C$31,2,0),0)</f>
        <v>350000</v>
      </c>
      <c r="L7" s="88">
        <f>VLOOKUP(B7,②当月数据及门店毛利!B:C,2,0)</f>
        <v>522756</v>
      </c>
      <c r="M7" s="88">
        <f>VLOOKUP(B7,②当月数据及门店毛利!B:D,3,0)</f>
        <v>368762.45</v>
      </c>
      <c r="N7" s="89">
        <f>VLOOKUP(B7,②当月数据及门店毛利!B:E,4,0)</f>
        <v>210</v>
      </c>
      <c r="O7" s="89">
        <f>IFERROR(IF(P7=0,0,VLOOKUP(B7,②当月数据及门店毛利!B:N,13,0)),0)</f>
        <v>490659.57</v>
      </c>
      <c r="P7" s="89" t="str">
        <f>IFERROR(VLOOKUP(B7,'④前置信息-大固定-包含了工资和总经理'!B:M,12,0),0)</f>
        <v>李春华</v>
      </c>
      <c r="Q7" s="88">
        <f t="shared" ref="Q7:Q38" si="2">IF(P7=0,0,3500)</f>
        <v>3500</v>
      </c>
      <c r="R7" s="88" t="str">
        <f>IF(P7=0,0,IF(L7&gt;=K7,"Yes",0))</f>
        <v>Yes</v>
      </c>
      <c r="S7" s="88" t="str">
        <f>IF(P7=0,0,IF(N7&gt;=VLOOKUP(B7,'④前置信息-大固定-包含了工资和总经理'!B:P,15,0),"YES",0))</f>
        <v>YES</v>
      </c>
      <c r="T7" s="88">
        <f>IF(G7="新店","yes",IF(P7=0,0,IF(M7&gt;=VLOOKUP(B7,'④前置信息-大固定-包含了工资和总经理'!B:Q,16,0),"YES",0)))</f>
        <v>0</v>
      </c>
      <c r="U7" s="88">
        <f t="shared" ref="U7:U38" si="3">COUNTIF(R7:T7,"yes")</f>
        <v>2</v>
      </c>
      <c r="V7" s="88">
        <f t="shared" ref="V7:V38" si="4">IF(P7=0,0,-(3-U7)*500)</f>
        <v>-500</v>
      </c>
      <c r="W7" s="88">
        <f t="shared" ref="W7:W38" si="5">IF(P7=0,0,Q7+V7)</f>
        <v>3000</v>
      </c>
      <c r="X7" s="91">
        <f t="shared" ref="X7:X38" si="6">IF(I7=$X$5,IF(G7="新店",IF(O7&lt;J7,O7*$P$1,J7*$P$1+(O7-J7)*$Q$1),IF(I7=$X$5,IF(O7&lt;J7,O7*$P$1,J7*$P$1+(O7-J7)*$Q$1),0)),0)</f>
        <v>10516.489250000001</v>
      </c>
      <c r="Y7" s="91">
        <f t="shared" ref="Y7:Y38" si="7">IF(I7=$Y$5,IF(G7="新店",IF(O7&lt;J7,O7*$P$1,J7*$P$1+(O7-J7)*$Q$1),IF(I7=$Y$5,IF(O7&lt;J7,O7*$P$2,J7*$P$2+(O7-J7)*$Q$2),0)),0)</f>
        <v>0</v>
      </c>
      <c r="Z7" s="91">
        <f t="shared" ref="Z7:Z38" si="8">IF(I7=$Z$5,IF(G7="新店",IF(O7&lt;J7,O7*$P$1,J7*$P$1+(O7-J7)*$Q$1),IF(I7=$Z$5,IF(O7&lt;J7,$P$3*O7,J7*$P$3+(O7-J7)*$Q$3),0)),0)</f>
        <v>0</v>
      </c>
      <c r="AA7" s="91">
        <f t="shared" ref="AA7:AA38" si="9">SUM(X7:Z7)</f>
        <v>10516.489250000001</v>
      </c>
      <c r="AB7" s="91">
        <f t="shared" ref="AB7:AB38" si="10">AA7+W7</f>
        <v>13516.489250000001</v>
      </c>
    </row>
    <row r="8" spans="1:28" x14ac:dyDescent="0.15">
      <c r="A8" s="88" t="s">
        <v>120</v>
      </c>
      <c r="B8" s="88" t="s">
        <v>42</v>
      </c>
      <c r="C8" s="88" t="s">
        <v>22</v>
      </c>
      <c r="D8" s="88" t="s">
        <v>190</v>
      </c>
      <c r="E8" s="88" t="s">
        <v>81</v>
      </c>
      <c r="F8" s="88" t="s">
        <v>191</v>
      </c>
      <c r="G8" s="88">
        <f>VLOOKUP(B8,'④前置信息-大固定-包含了工资和总经理'!B:E,4,0)</f>
        <v>0</v>
      </c>
      <c r="H8" s="88">
        <f>VLOOKUP(B8,'④前置信息-大固定-包含了工资和总经理'!B:F,5,0)</f>
        <v>0</v>
      </c>
      <c r="I8" s="88" t="str">
        <f>VLOOKUP(B8,'④前置信息-大固定-包含了工资和总经理'!B:D,3,0)</f>
        <v>A类</v>
      </c>
      <c r="J8" s="88">
        <f>VLOOKUP(B8,'④前置信息-大固定-包含了工资和总经理'!B:G,6,0)</f>
        <v>300000</v>
      </c>
      <c r="K8" s="88">
        <f>IFERROR(VLOOKUP(B8,③工资核算浮动条件设置①!$B$4:$C$31,2,0),0)</f>
        <v>300000</v>
      </c>
      <c r="L8" s="88">
        <f>VLOOKUP(B8,②当月数据及门店毛利!B:C,2,0)</f>
        <v>220223</v>
      </c>
      <c r="M8" s="88">
        <f>VLOOKUP(B8,②当月数据及门店毛利!B:D,3,0)</f>
        <v>210203.02</v>
      </c>
      <c r="N8" s="89">
        <f>VLOOKUP(B8,②当月数据及门店毛利!B:E,4,0)</f>
        <v>205</v>
      </c>
      <c r="O8" s="89">
        <f>IFERROR(IF(P8=0,0,VLOOKUP(B8,②当月数据及门店毛利!B:N,13,0)),0)</f>
        <v>0</v>
      </c>
      <c r="P8" s="89">
        <f>IFERROR(VLOOKUP(B8,'④前置信息-大固定-包含了工资和总经理'!B:M,12,0),0)</f>
        <v>0</v>
      </c>
      <c r="Q8" s="88">
        <f t="shared" si="2"/>
        <v>0</v>
      </c>
      <c r="R8" s="88">
        <f t="shared" ref="R8:R38" si="11">IF(P8=0,0,IF(L8&gt;=K8,"Yes",0))</f>
        <v>0</v>
      </c>
      <c r="S8" s="88">
        <f>IF(P8=0,0,IF(N8&gt;=VLOOKUP(B8,'④前置信息-大固定-包含了工资和总经理'!B:P,15,0),"YES",0))</f>
        <v>0</v>
      </c>
      <c r="T8" s="88">
        <f>IF(G8="新店","yes",IF(P8=0,0,IF(M8&gt;=VLOOKUP(B8,'④前置信息-大固定-包含了工资和总经理'!B:Q,16,0),"YES",0)))</f>
        <v>0</v>
      </c>
      <c r="U8" s="88">
        <f t="shared" si="3"/>
        <v>0</v>
      </c>
      <c r="V8" s="88">
        <f t="shared" si="4"/>
        <v>0</v>
      </c>
      <c r="W8" s="88">
        <f t="shared" si="5"/>
        <v>0</v>
      </c>
      <c r="X8" s="91">
        <f t="shared" si="6"/>
        <v>0</v>
      </c>
      <c r="Y8" s="91">
        <f t="shared" si="7"/>
        <v>0</v>
      </c>
      <c r="Z8" s="91">
        <f t="shared" si="8"/>
        <v>0</v>
      </c>
      <c r="AA8" s="91">
        <f t="shared" si="9"/>
        <v>0</v>
      </c>
      <c r="AB8" s="91">
        <f t="shared" si="10"/>
        <v>0</v>
      </c>
    </row>
    <row r="9" spans="1:28" x14ac:dyDescent="0.15">
      <c r="A9" s="88" t="s">
        <v>121</v>
      </c>
      <c r="B9" s="88" t="s">
        <v>35</v>
      </c>
      <c r="C9" s="88" t="s">
        <v>21</v>
      </c>
      <c r="D9" s="88" t="s">
        <v>190</v>
      </c>
      <c r="E9" s="88" t="s">
        <v>90</v>
      </c>
      <c r="F9" s="88" t="s">
        <v>191</v>
      </c>
      <c r="G9" s="88">
        <f>VLOOKUP(B9,'④前置信息-大固定-包含了工资和总经理'!B:E,4,0)</f>
        <v>0</v>
      </c>
      <c r="H9" s="88">
        <f>VLOOKUP(B9,'④前置信息-大固定-包含了工资和总经理'!B:F,5,0)</f>
        <v>0</v>
      </c>
      <c r="I9" s="88" t="str">
        <f>VLOOKUP(B9,'④前置信息-大固定-包含了工资和总经理'!B:D,3,0)</f>
        <v>B类</v>
      </c>
      <c r="J9" s="88">
        <f>VLOOKUP(B9,'④前置信息-大固定-包含了工资和总经理'!B:G,6,0)</f>
        <v>150000</v>
      </c>
      <c r="K9" s="88">
        <f>IFERROR(VLOOKUP(B9,③工资核算浮动条件设置①!$B$4:$C$31,2,0),0)</f>
        <v>150000</v>
      </c>
      <c r="L9" s="88">
        <f>VLOOKUP(B9,②当月数据及门店毛利!B:C,2,0)</f>
        <v>150694</v>
      </c>
      <c r="M9" s="88">
        <f>VLOOKUP(B9,②当月数据及门店毛利!B:D,3,0)</f>
        <v>142453.84</v>
      </c>
      <c r="N9" s="89">
        <f>VLOOKUP(B9,②当月数据及门店毛利!B:E,4,0)</f>
        <v>160</v>
      </c>
      <c r="O9" s="89">
        <f>IFERROR(IF(P9=0,0,VLOOKUP(B9,②当月数据及门店毛利!B:N,13,0)),0)</f>
        <v>0</v>
      </c>
      <c r="P9" s="89">
        <f>IFERROR(VLOOKUP(B9,'④前置信息-大固定-包含了工资和总经理'!B:M,12,0),0)</f>
        <v>0</v>
      </c>
      <c r="Q9" s="88">
        <f t="shared" si="2"/>
        <v>0</v>
      </c>
      <c r="R9" s="88">
        <f t="shared" si="11"/>
        <v>0</v>
      </c>
      <c r="S9" s="88">
        <f>IF(P9=0,0,IF(N9&gt;=VLOOKUP(B9,'④前置信息-大固定-包含了工资和总经理'!B:P,15,0),"YES",0))</f>
        <v>0</v>
      </c>
      <c r="T9" s="88">
        <f>IF(G9="新店","yes",IF(P9=0,0,IF(M9&gt;=VLOOKUP(B9,'④前置信息-大固定-包含了工资和总经理'!B:Q,16,0),"YES",0)))</f>
        <v>0</v>
      </c>
      <c r="U9" s="88">
        <f t="shared" si="3"/>
        <v>0</v>
      </c>
      <c r="V9" s="88">
        <f t="shared" si="4"/>
        <v>0</v>
      </c>
      <c r="W9" s="88">
        <f t="shared" si="5"/>
        <v>0</v>
      </c>
      <c r="X9" s="91">
        <f t="shared" si="6"/>
        <v>0</v>
      </c>
      <c r="Y9" s="91">
        <f t="shared" si="7"/>
        <v>0</v>
      </c>
      <c r="Z9" s="91">
        <f t="shared" si="8"/>
        <v>0</v>
      </c>
      <c r="AA9" s="91">
        <f t="shared" si="9"/>
        <v>0</v>
      </c>
      <c r="AB9" s="91">
        <f t="shared" si="10"/>
        <v>0</v>
      </c>
    </row>
    <row r="10" spans="1:28" x14ac:dyDescent="0.15">
      <c r="A10" s="88" t="s">
        <v>123</v>
      </c>
      <c r="B10" s="88" t="s">
        <v>23</v>
      </c>
      <c r="C10" s="88" t="s">
        <v>4</v>
      </c>
      <c r="D10" s="88" t="s">
        <v>190</v>
      </c>
      <c r="E10" s="88" t="s">
        <v>81</v>
      </c>
      <c r="F10" s="88" t="s">
        <v>189</v>
      </c>
      <c r="G10" s="88">
        <f>VLOOKUP(B10,'④前置信息-大固定-包含了工资和总经理'!B:E,4,0)</f>
        <v>0</v>
      </c>
      <c r="H10" s="88">
        <f>VLOOKUP(B10,'④前置信息-大固定-包含了工资和总经理'!B:F,5,0)</f>
        <v>0</v>
      </c>
      <c r="I10" s="88" t="str">
        <f>VLOOKUP(B10,'④前置信息-大固定-包含了工资和总经理'!B:D,3,0)</f>
        <v>A类</v>
      </c>
      <c r="J10" s="88">
        <f>VLOOKUP(B10,'④前置信息-大固定-包含了工资和总经理'!B:G,6,0)</f>
        <v>250000</v>
      </c>
      <c r="K10" s="88">
        <f>IFERROR(VLOOKUP(B10,③工资核算浮动条件设置①!$B$4:$C$31,2,0),0)</f>
        <v>250000</v>
      </c>
      <c r="L10" s="88">
        <f>VLOOKUP(B10,②当月数据及门店毛利!B:C,2,0)</f>
        <v>201952.3</v>
      </c>
      <c r="M10" s="88">
        <f>VLOOKUP(B10,②当月数据及门店毛利!B:D,3,0)</f>
        <v>179433.01</v>
      </c>
      <c r="N10" s="89">
        <f>VLOOKUP(B10,②当月数据及门店毛利!B:E,4,0)</f>
        <v>195</v>
      </c>
      <c r="O10" s="89">
        <f>IFERROR(IF(P10=0,0,VLOOKUP(B10,②当月数据及门店毛利!B:N,13,0)),0)</f>
        <v>0</v>
      </c>
      <c r="P10" s="89">
        <f>IFERROR(VLOOKUP(B10,'④前置信息-大固定-包含了工资和总经理'!B:M,12,0),0)</f>
        <v>0</v>
      </c>
      <c r="Q10" s="88">
        <f t="shared" si="2"/>
        <v>0</v>
      </c>
      <c r="R10" s="88">
        <f t="shared" si="11"/>
        <v>0</v>
      </c>
      <c r="S10" s="88">
        <f>IF(P10=0,0,IF(N10&gt;=VLOOKUP(B10,'④前置信息-大固定-包含了工资和总经理'!B:P,15,0),"YES",0))</f>
        <v>0</v>
      </c>
      <c r="T10" s="88">
        <f>IF(G10="新店","yes",IF(P10=0,0,IF(M10&gt;=VLOOKUP(B10,'④前置信息-大固定-包含了工资和总经理'!B:Q,16,0),"YES",0)))</f>
        <v>0</v>
      </c>
      <c r="U10" s="88">
        <f t="shared" si="3"/>
        <v>0</v>
      </c>
      <c r="V10" s="88">
        <f t="shared" si="4"/>
        <v>0</v>
      </c>
      <c r="W10" s="88">
        <f t="shared" si="5"/>
        <v>0</v>
      </c>
      <c r="X10" s="91">
        <f t="shared" si="6"/>
        <v>0</v>
      </c>
      <c r="Y10" s="91">
        <f t="shared" si="7"/>
        <v>0</v>
      </c>
      <c r="Z10" s="91">
        <f t="shared" si="8"/>
        <v>0</v>
      </c>
      <c r="AA10" s="91">
        <f t="shared" si="9"/>
        <v>0</v>
      </c>
      <c r="AB10" s="91">
        <f t="shared" si="10"/>
        <v>0</v>
      </c>
    </row>
    <row r="11" spans="1:28" x14ac:dyDescent="0.15">
      <c r="A11" s="88" t="s">
        <v>124</v>
      </c>
      <c r="B11" s="88" t="s">
        <v>19</v>
      </c>
      <c r="C11" s="88" t="s">
        <v>4</v>
      </c>
      <c r="D11" s="88" t="s">
        <v>188</v>
      </c>
      <c r="E11" s="88" t="s">
        <v>81</v>
      </c>
      <c r="F11" s="88" t="s">
        <v>191</v>
      </c>
      <c r="G11" s="88">
        <f>VLOOKUP(B11,'④前置信息-大固定-包含了工资和总经理'!B:E,4,0)</f>
        <v>0</v>
      </c>
      <c r="H11" s="88">
        <f>VLOOKUP(B11,'④前置信息-大固定-包含了工资和总经理'!B:F,5,0)</f>
        <v>0</v>
      </c>
      <c r="I11" s="88" t="str">
        <f>VLOOKUP(B11,'④前置信息-大固定-包含了工资和总经理'!B:D,3,0)</f>
        <v>A类</v>
      </c>
      <c r="J11" s="88">
        <f>VLOOKUP(B11,'④前置信息-大固定-包含了工资和总经理'!B:G,6,0)</f>
        <v>320000</v>
      </c>
      <c r="K11" s="88">
        <f>IFERROR(VLOOKUP(B11,③工资核算浮动条件设置①!$B$4:$C$31,2,0),0)</f>
        <v>320000</v>
      </c>
      <c r="L11" s="88">
        <f>VLOOKUP(B11,②当月数据及门店毛利!B:C,2,0)</f>
        <v>407490.19</v>
      </c>
      <c r="M11" s="88">
        <f>VLOOKUP(B11,②当月数据及门店毛利!B:D,3,0)</f>
        <v>518617.05</v>
      </c>
      <c r="N11" s="89">
        <f>VLOOKUP(B11,②当月数据及门店毛利!B:E,4,0)</f>
        <v>206</v>
      </c>
      <c r="O11" s="89">
        <f>IFERROR(IF(P11=0,0,VLOOKUP(B11,②当月数据及门店毛利!B:N,13,0)),0)</f>
        <v>0</v>
      </c>
      <c r="P11" s="89">
        <f>IFERROR(VLOOKUP(B11,'④前置信息-大固定-包含了工资和总经理'!B:M,12,0),0)</f>
        <v>0</v>
      </c>
      <c r="Q11" s="88">
        <f t="shared" si="2"/>
        <v>0</v>
      </c>
      <c r="R11" s="88">
        <f t="shared" si="11"/>
        <v>0</v>
      </c>
      <c r="S11" s="88">
        <f>IF(P11=0,0,IF(N11&gt;=VLOOKUP(B11,'④前置信息-大固定-包含了工资和总经理'!B:P,15,0),"YES",0))</f>
        <v>0</v>
      </c>
      <c r="T11" s="88">
        <f>IF(G11="新店","yes",IF(P11=0,0,IF(M11&gt;=VLOOKUP(B11,'④前置信息-大固定-包含了工资和总经理'!B:Q,16,0),"YES",0)))</f>
        <v>0</v>
      </c>
      <c r="U11" s="88">
        <f t="shared" si="3"/>
        <v>0</v>
      </c>
      <c r="V11" s="88">
        <f t="shared" si="4"/>
        <v>0</v>
      </c>
      <c r="W11" s="88">
        <f t="shared" si="5"/>
        <v>0</v>
      </c>
      <c r="X11" s="91">
        <f t="shared" si="6"/>
        <v>0</v>
      </c>
      <c r="Y11" s="91">
        <f t="shared" si="7"/>
        <v>0</v>
      </c>
      <c r="Z11" s="91">
        <f t="shared" si="8"/>
        <v>0</v>
      </c>
      <c r="AA11" s="91">
        <f t="shared" si="9"/>
        <v>0</v>
      </c>
      <c r="AB11" s="91">
        <f t="shared" si="10"/>
        <v>0</v>
      </c>
    </row>
    <row r="12" spans="1:28" x14ac:dyDescent="0.15">
      <c r="A12" s="88" t="s">
        <v>125</v>
      </c>
      <c r="B12" s="88" t="s">
        <v>30</v>
      </c>
      <c r="C12" s="88" t="s">
        <v>17</v>
      </c>
      <c r="D12" s="88" t="s">
        <v>190</v>
      </c>
      <c r="E12" s="88" t="s">
        <v>90</v>
      </c>
      <c r="F12" s="88" t="s">
        <v>191</v>
      </c>
      <c r="G12" s="88">
        <f>VLOOKUP(B12,'④前置信息-大固定-包含了工资和总经理'!B:E,4,0)</f>
        <v>0</v>
      </c>
      <c r="H12" s="88">
        <f>VLOOKUP(B12,'④前置信息-大固定-包含了工资和总经理'!B:F,5,0)</f>
        <v>0</v>
      </c>
      <c r="I12" s="88" t="str">
        <f>VLOOKUP(B12,'④前置信息-大固定-包含了工资和总经理'!B:D,3,0)</f>
        <v>B类</v>
      </c>
      <c r="J12" s="88">
        <f>VLOOKUP(B12,'④前置信息-大固定-包含了工资和总经理'!B:G,6,0)</f>
        <v>150000</v>
      </c>
      <c r="K12" s="88">
        <f>IFERROR(VLOOKUP(B12,③工资核算浮动条件设置①!$B$4:$C$31,2,0),0)</f>
        <v>150000</v>
      </c>
      <c r="L12" s="88">
        <f>VLOOKUP(B12,②当月数据及门店毛利!B:C,2,0)</f>
        <v>160812</v>
      </c>
      <c r="M12" s="88">
        <f>VLOOKUP(B12,②当月数据及门店毛利!B:D,3,0)</f>
        <v>146778.57999999999</v>
      </c>
      <c r="N12" s="89">
        <f>VLOOKUP(B12,②当月数据及门店毛利!B:E,4,0)</f>
        <v>192</v>
      </c>
      <c r="O12" s="89">
        <f>IFERROR(IF(P12=0,0,VLOOKUP(B12,②当月数据及门店毛利!B:N,13,0)),0)</f>
        <v>0</v>
      </c>
      <c r="P12" s="89">
        <f>IFERROR(VLOOKUP(B12,'④前置信息-大固定-包含了工资和总经理'!B:M,12,0),0)</f>
        <v>0</v>
      </c>
      <c r="Q12" s="88">
        <f t="shared" si="2"/>
        <v>0</v>
      </c>
      <c r="R12" s="88">
        <f t="shared" si="11"/>
        <v>0</v>
      </c>
      <c r="S12" s="88">
        <f>IF(P12=0,0,IF(N12&gt;=VLOOKUP(B12,'④前置信息-大固定-包含了工资和总经理'!B:P,15,0),"YES",0))</f>
        <v>0</v>
      </c>
      <c r="T12" s="88">
        <f>IF(G12="新店","yes",IF(P12=0,0,IF(M12&gt;=VLOOKUP(B12,'④前置信息-大固定-包含了工资和总经理'!B:Q,16,0),"YES",0)))</f>
        <v>0</v>
      </c>
      <c r="U12" s="88">
        <f t="shared" si="3"/>
        <v>0</v>
      </c>
      <c r="V12" s="88">
        <f t="shared" si="4"/>
        <v>0</v>
      </c>
      <c r="W12" s="88">
        <f t="shared" si="5"/>
        <v>0</v>
      </c>
      <c r="X12" s="91">
        <f t="shared" si="6"/>
        <v>0</v>
      </c>
      <c r="Y12" s="91">
        <f t="shared" si="7"/>
        <v>0</v>
      </c>
      <c r="Z12" s="91">
        <f t="shared" si="8"/>
        <v>0</v>
      </c>
      <c r="AA12" s="91">
        <f t="shared" si="9"/>
        <v>0</v>
      </c>
      <c r="AB12" s="91">
        <f t="shared" si="10"/>
        <v>0</v>
      </c>
    </row>
    <row r="13" spans="1:28" x14ac:dyDescent="0.15">
      <c r="A13" s="88" t="s">
        <v>126</v>
      </c>
      <c r="B13" s="88">
        <v>468</v>
      </c>
      <c r="C13" s="88" t="s">
        <v>4</v>
      </c>
      <c r="D13" s="88" t="s">
        <v>190</v>
      </c>
      <c r="E13" s="88" t="s">
        <v>81</v>
      </c>
      <c r="F13" s="88" t="s">
        <v>191</v>
      </c>
      <c r="G13" s="88">
        <f>VLOOKUP(B13,'④前置信息-大固定-包含了工资和总经理'!B:E,4,0)</f>
        <v>0</v>
      </c>
      <c r="H13" s="88">
        <f>VLOOKUP(B13,'④前置信息-大固定-包含了工资和总经理'!B:F,5,0)</f>
        <v>0</v>
      </c>
      <c r="I13" s="88" t="str">
        <f>VLOOKUP(B13,'④前置信息-大固定-包含了工资和总经理'!B:D,3,0)</f>
        <v>A类</v>
      </c>
      <c r="J13" s="88">
        <f>VLOOKUP(B13,'④前置信息-大固定-包含了工资和总经理'!B:G,6,0)</f>
        <v>200000</v>
      </c>
      <c r="K13" s="88">
        <f>IFERROR(VLOOKUP(B13,③工资核算浮动条件设置①!$B$4:$C$31,2,0),0)</f>
        <v>200000</v>
      </c>
      <c r="L13" s="88">
        <f>VLOOKUP(B13,②当月数据及门店毛利!B:C,2,0)</f>
        <v>140295</v>
      </c>
      <c r="M13" s="88">
        <f>VLOOKUP(B13,②当月数据及门店毛利!B:D,3,0)</f>
        <v>190782.77</v>
      </c>
      <c r="N13" s="89">
        <f>VLOOKUP(B13,②当月数据及门店毛利!B:E,4,0)</f>
        <v>217</v>
      </c>
      <c r="O13" s="89">
        <f>IFERROR(IF(P13=0,0,VLOOKUP(B13,②当月数据及门店毛利!B:N,13,0)),0)</f>
        <v>127193.11</v>
      </c>
      <c r="P13" s="89" t="str">
        <f>IFERROR(VLOOKUP(B13,'④前置信息-大固定-包含了工资和总经理'!B:M,12,0),0)</f>
        <v>吴敏</v>
      </c>
      <c r="Q13" s="88">
        <f t="shared" si="2"/>
        <v>3500</v>
      </c>
      <c r="R13" s="88">
        <f t="shared" si="11"/>
        <v>0</v>
      </c>
      <c r="S13" s="88" t="str">
        <f>IF(P13=0,0,IF(N13&gt;=VLOOKUP(B13,'④前置信息-大固定-包含了工资和总经理'!B:P,15,0),"YES",0))</f>
        <v>YES</v>
      </c>
      <c r="T13" s="88" t="str">
        <f>IF(G13="新店","yes",IF(P13=0,0,IF(M13&gt;=VLOOKUP(B13,'④前置信息-大固定-包含了工资和总经理'!B:Q,16,0),"YES",0)))</f>
        <v>YES</v>
      </c>
      <c r="U13" s="88">
        <f t="shared" si="3"/>
        <v>2</v>
      </c>
      <c r="V13" s="88">
        <f t="shared" si="4"/>
        <v>-500</v>
      </c>
      <c r="W13" s="88">
        <f t="shared" si="5"/>
        <v>3000</v>
      </c>
      <c r="X13" s="91">
        <f t="shared" si="6"/>
        <v>2543.8622</v>
      </c>
      <c r="Y13" s="91">
        <f t="shared" si="7"/>
        <v>0</v>
      </c>
      <c r="Z13" s="91">
        <f t="shared" si="8"/>
        <v>0</v>
      </c>
      <c r="AA13" s="91">
        <f t="shared" si="9"/>
        <v>2543.8622</v>
      </c>
      <c r="AB13" s="91">
        <f t="shared" si="10"/>
        <v>5543.8621999999996</v>
      </c>
    </row>
    <row r="14" spans="1:28" x14ac:dyDescent="0.15">
      <c r="A14" s="88" t="s">
        <v>127</v>
      </c>
      <c r="B14" s="88" t="s">
        <v>47</v>
      </c>
      <c r="C14" s="88" t="s">
        <v>22</v>
      </c>
      <c r="D14" s="88" t="s">
        <v>188</v>
      </c>
      <c r="E14" s="88" t="s">
        <v>81</v>
      </c>
      <c r="F14" s="88" t="s">
        <v>191</v>
      </c>
      <c r="G14" s="88">
        <f>VLOOKUP(B14,'④前置信息-大固定-包含了工资和总经理'!B:E,4,0)</f>
        <v>0</v>
      </c>
      <c r="H14" s="88">
        <f>VLOOKUP(B14,'④前置信息-大固定-包含了工资和总经理'!B:F,5,0)</f>
        <v>0</v>
      </c>
      <c r="I14" s="88" t="str">
        <f>VLOOKUP(B14,'④前置信息-大固定-包含了工资和总经理'!B:D,3,0)</f>
        <v>B类</v>
      </c>
      <c r="J14" s="88">
        <f>VLOOKUP(B14,'④前置信息-大固定-包含了工资和总经理'!B:G,6,0)</f>
        <v>150000</v>
      </c>
      <c r="K14" s="88">
        <f>IFERROR(VLOOKUP(B14,③工资核算浮动条件设置①!$B$4:$C$31,2,0),0)</f>
        <v>150000</v>
      </c>
      <c r="L14" s="88">
        <f>VLOOKUP(B14,②当月数据及门店毛利!B:C,2,0)</f>
        <v>135590</v>
      </c>
      <c r="M14" s="88">
        <f>VLOOKUP(B14,②当月数据及门店毛利!B:D,3,0)</f>
        <v>120657.22</v>
      </c>
      <c r="N14" s="89">
        <f>VLOOKUP(B14,②当月数据及门店毛利!B:E,4,0)</f>
        <v>150</v>
      </c>
      <c r="O14" s="89">
        <f>IFERROR(IF(P14=0,0,VLOOKUP(B14,②当月数据及门店毛利!B:N,13,0)),0)</f>
        <v>125352.01000000001</v>
      </c>
      <c r="P14" s="89" t="str">
        <f>IFERROR(VLOOKUP(B14,'④前置信息-大固定-包含了工资和总经理'!B:M,12,0),0)</f>
        <v>刘金凤</v>
      </c>
      <c r="Q14" s="88">
        <f t="shared" si="2"/>
        <v>3500</v>
      </c>
      <c r="R14" s="88">
        <f t="shared" si="11"/>
        <v>0</v>
      </c>
      <c r="S14" s="88" t="str">
        <f>IF(P14=0,0,IF(N14&gt;=VLOOKUP(B14,'④前置信息-大固定-包含了工资和总经理'!B:P,15,0),"YES",0))</f>
        <v>YES</v>
      </c>
      <c r="T14" s="88">
        <f>IF(G14="新店","yes",IF(P14=0,0,IF(M14&gt;=VLOOKUP(B14,'④前置信息-大固定-包含了工资和总经理'!B:Q,16,0),"YES",0)))</f>
        <v>0</v>
      </c>
      <c r="U14" s="88">
        <f t="shared" si="3"/>
        <v>1</v>
      </c>
      <c r="V14" s="88">
        <f t="shared" si="4"/>
        <v>-1000</v>
      </c>
      <c r="W14" s="88">
        <f t="shared" si="5"/>
        <v>2500</v>
      </c>
      <c r="X14" s="91">
        <f t="shared" si="6"/>
        <v>0</v>
      </c>
      <c r="Y14" s="91">
        <f t="shared" si="7"/>
        <v>3133.8002500000002</v>
      </c>
      <c r="Z14" s="91">
        <f t="shared" si="8"/>
        <v>0</v>
      </c>
      <c r="AA14" s="91">
        <f t="shared" si="9"/>
        <v>3133.8002500000002</v>
      </c>
      <c r="AB14" s="91">
        <f t="shared" si="10"/>
        <v>5633.8002500000002</v>
      </c>
    </row>
    <row r="15" spans="1:28" x14ac:dyDescent="0.15">
      <c r="A15" s="88" t="s">
        <v>128</v>
      </c>
      <c r="B15" s="88" t="s">
        <v>37</v>
      </c>
      <c r="C15" s="88" t="s">
        <v>21</v>
      </c>
      <c r="D15" s="88" t="s">
        <v>190</v>
      </c>
      <c r="E15" s="88" t="s">
        <v>81</v>
      </c>
      <c r="F15" s="88" t="s">
        <v>189</v>
      </c>
      <c r="G15" s="88">
        <f>VLOOKUP(B15,'④前置信息-大固定-包含了工资和总经理'!B:E,4,0)</f>
        <v>0</v>
      </c>
      <c r="H15" s="88">
        <f>VLOOKUP(B15,'④前置信息-大固定-包含了工资和总经理'!B:F,5,0)</f>
        <v>0</v>
      </c>
      <c r="I15" s="88" t="str">
        <f>VLOOKUP(B15,'④前置信息-大固定-包含了工资和总经理'!B:D,3,0)</f>
        <v>B类</v>
      </c>
      <c r="J15" s="88">
        <f>VLOOKUP(B15,'④前置信息-大固定-包含了工资和总经理'!B:G,6,0)</f>
        <v>150000</v>
      </c>
      <c r="K15" s="88">
        <f>IFERROR(VLOOKUP(B15,③工资核算浮动条件设置①!$B$4:$C$31,2,0),0)</f>
        <v>150000</v>
      </c>
      <c r="L15" s="88">
        <f>VLOOKUP(B15,②当月数据及门店毛利!B:C,2,0)</f>
        <v>152421</v>
      </c>
      <c r="M15" s="88">
        <f>VLOOKUP(B15,②当月数据及门店毛利!B:D,3,0)</f>
        <v>117167.22</v>
      </c>
      <c r="N15" s="89">
        <f>VLOOKUP(B15,②当月数据及门店毛利!B:E,4,0)</f>
        <v>138</v>
      </c>
      <c r="O15" s="89">
        <f>IFERROR(IF(P15=0,0,VLOOKUP(B15,②当月数据及门店毛利!B:N,13,0)),0)</f>
        <v>145914.04999999999</v>
      </c>
      <c r="P15" s="89" t="str">
        <f>IFERROR(VLOOKUP(B15,'④前置信息-大固定-包含了工资和总经理'!B:M,12,0),0)</f>
        <v>李萱君</v>
      </c>
      <c r="Q15" s="88">
        <f t="shared" si="2"/>
        <v>3500</v>
      </c>
      <c r="R15" s="88" t="str">
        <f t="shared" si="11"/>
        <v>Yes</v>
      </c>
      <c r="S15" s="88">
        <f>IF(P15=0,0,IF(N15&gt;=VLOOKUP(B15,'④前置信息-大固定-包含了工资和总经理'!B:P,15,0),"YES",0))</f>
        <v>0</v>
      </c>
      <c r="T15" s="88">
        <f>IF(G15="新店","yes",IF(P15=0,0,IF(M15&gt;=VLOOKUP(B15,'④前置信息-大固定-包含了工资和总经理'!B:Q,16,0),"YES",0)))</f>
        <v>0</v>
      </c>
      <c r="U15" s="88">
        <f t="shared" si="3"/>
        <v>1</v>
      </c>
      <c r="V15" s="88">
        <f t="shared" si="4"/>
        <v>-1000</v>
      </c>
      <c r="W15" s="88">
        <f t="shared" si="5"/>
        <v>2500</v>
      </c>
      <c r="X15" s="91">
        <f t="shared" si="6"/>
        <v>0</v>
      </c>
      <c r="Y15" s="91">
        <f t="shared" si="7"/>
        <v>3647.8512499999997</v>
      </c>
      <c r="Z15" s="91">
        <f t="shared" si="8"/>
        <v>0</v>
      </c>
      <c r="AA15" s="91">
        <f t="shared" si="9"/>
        <v>3647.8512499999997</v>
      </c>
      <c r="AB15" s="91">
        <f t="shared" si="10"/>
        <v>6147.8512499999997</v>
      </c>
    </row>
    <row r="16" spans="1:28" x14ac:dyDescent="0.15">
      <c r="A16" s="88" t="s">
        <v>129</v>
      </c>
      <c r="B16" s="88" t="s">
        <v>49</v>
      </c>
      <c r="C16" s="88" t="s">
        <v>24</v>
      </c>
      <c r="D16" s="88" t="s">
        <v>190</v>
      </c>
      <c r="E16" s="88" t="s">
        <v>90</v>
      </c>
      <c r="F16" s="88" t="s">
        <v>189</v>
      </c>
      <c r="G16" s="88">
        <f>VLOOKUP(B16,'④前置信息-大固定-包含了工资和总经理'!B:E,4,0)</f>
        <v>0</v>
      </c>
      <c r="H16" s="88">
        <f>VLOOKUP(B16,'④前置信息-大固定-包含了工资和总经理'!B:F,5,0)</f>
        <v>0</v>
      </c>
      <c r="I16" s="88" t="str">
        <f>VLOOKUP(B16,'④前置信息-大固定-包含了工资和总经理'!B:D,3,0)</f>
        <v>A类</v>
      </c>
      <c r="J16" s="88">
        <f>VLOOKUP(B16,'④前置信息-大固定-包含了工资和总经理'!B:G,6,0)</f>
        <v>200000</v>
      </c>
      <c r="K16" s="88">
        <f>IFERROR(VLOOKUP(B16,③工资核算浮动条件设置①!$B$4:$C$31,2,0),0)</f>
        <v>200000</v>
      </c>
      <c r="L16" s="88">
        <f>VLOOKUP(B16,②当月数据及门店毛利!B:C,2,0)</f>
        <v>205041</v>
      </c>
      <c r="M16" s="88">
        <f>VLOOKUP(B16,②当月数据及门店毛利!B:D,3,0)</f>
        <v>194741.48</v>
      </c>
      <c r="N16" s="89">
        <f>VLOOKUP(B16,②当月数据及门店毛利!B:E,4,0)</f>
        <v>157</v>
      </c>
      <c r="O16" s="89">
        <f>IFERROR(IF(P16=0,0,VLOOKUP(B16,②当月数据及门店毛利!B:N,13,0)),0)</f>
        <v>184338.94</v>
      </c>
      <c r="P16" s="89" t="str">
        <f>IFERROR(VLOOKUP(B16,'④前置信息-大固定-包含了工资和总经理'!B:M,12,0),0)</f>
        <v>刘晓林</v>
      </c>
      <c r="Q16" s="88">
        <f t="shared" si="2"/>
        <v>3500</v>
      </c>
      <c r="R16" s="88" t="str">
        <f t="shared" si="11"/>
        <v>Yes</v>
      </c>
      <c r="S16" s="88">
        <f>IF(P16=0,0,IF(N16&gt;=VLOOKUP(B16,'④前置信息-大固定-包含了工资和总经理'!B:P,15,0),"YES",0))</f>
        <v>0</v>
      </c>
      <c r="T16" s="88">
        <f>IF(G16="新店","yes",IF(P16=0,0,IF(M16&gt;=VLOOKUP(B16,'④前置信息-大固定-包含了工资和总经理'!B:Q,16,0),"YES",0)))</f>
        <v>0</v>
      </c>
      <c r="U16" s="88">
        <f t="shared" si="3"/>
        <v>1</v>
      </c>
      <c r="V16" s="88">
        <f t="shared" si="4"/>
        <v>-1000</v>
      </c>
      <c r="W16" s="88">
        <f t="shared" si="5"/>
        <v>2500</v>
      </c>
      <c r="X16" s="91">
        <f t="shared" si="6"/>
        <v>3686.7788</v>
      </c>
      <c r="Y16" s="91">
        <f t="shared" si="7"/>
        <v>0</v>
      </c>
      <c r="Z16" s="91">
        <f t="shared" si="8"/>
        <v>0</v>
      </c>
      <c r="AA16" s="91">
        <f t="shared" si="9"/>
        <v>3686.7788</v>
      </c>
      <c r="AB16" s="91">
        <f t="shared" si="10"/>
        <v>6186.7788</v>
      </c>
    </row>
    <row r="17" spans="1:28" x14ac:dyDescent="0.15">
      <c r="A17" s="88" t="s">
        <v>130</v>
      </c>
      <c r="B17" s="88" t="s">
        <v>46</v>
      </c>
      <c r="C17" s="88" t="s">
        <v>22</v>
      </c>
      <c r="D17" s="88" t="s">
        <v>190</v>
      </c>
      <c r="E17" s="88" t="s">
        <v>90</v>
      </c>
      <c r="F17" s="88" t="s">
        <v>189</v>
      </c>
      <c r="G17" s="88">
        <f>VLOOKUP(B17,'④前置信息-大固定-包含了工资和总经理'!B:E,4,0)</f>
        <v>0</v>
      </c>
      <c r="H17" s="88">
        <f>VLOOKUP(B17,'④前置信息-大固定-包含了工资和总经理'!B:F,5,0)</f>
        <v>0</v>
      </c>
      <c r="I17" s="88" t="str">
        <f>VLOOKUP(B17,'④前置信息-大固定-包含了工资和总经理'!B:D,3,0)</f>
        <v>C类</v>
      </c>
      <c r="J17" s="88">
        <f>VLOOKUP(B17,'④前置信息-大固定-包含了工资和总经理'!B:G,6,0)</f>
        <v>120000</v>
      </c>
      <c r="K17" s="88">
        <f>IFERROR(VLOOKUP(B17,③工资核算浮动条件设置①!$B$4:$C$31,2,0),0)</f>
        <v>120000</v>
      </c>
      <c r="L17" s="88">
        <f>VLOOKUP(B17,②当月数据及门店毛利!B:C,2,0)</f>
        <v>111267</v>
      </c>
      <c r="M17" s="88">
        <f>VLOOKUP(B17,②当月数据及门店毛利!B:D,3,0)</f>
        <v>87745.89</v>
      </c>
      <c r="N17" s="89">
        <f>VLOOKUP(B17,②当月数据及门店毛利!B:E,4,0)</f>
        <v>142</v>
      </c>
      <c r="O17" s="89">
        <f>IFERROR(IF(P17=0,0,VLOOKUP(B17,②当月数据及门店毛利!B:N,13,0)),0)</f>
        <v>0</v>
      </c>
      <c r="P17" s="89">
        <f>IFERROR(VLOOKUP(B17,'④前置信息-大固定-包含了工资和总经理'!B:M,12,0),0)</f>
        <v>0</v>
      </c>
      <c r="Q17" s="88">
        <f t="shared" si="2"/>
        <v>0</v>
      </c>
      <c r="R17" s="88">
        <f>IF(P17=0,0,IF(L17&gt;=K17,"Yes",0))</f>
        <v>0</v>
      </c>
      <c r="S17" s="88">
        <f>IF(P17=0,0,IF(N17&gt;=VLOOKUP(B17,'④前置信息-大固定-包含了工资和总经理'!B:P,15,0),"YES",0))</f>
        <v>0</v>
      </c>
      <c r="T17" s="88">
        <f>IF(G17="新店","yes",IF(P17=0,0,IF(M17&gt;=VLOOKUP(B17,'④前置信息-大固定-包含了工资和总经理'!B:Q,16,0),"YES",0)))</f>
        <v>0</v>
      </c>
      <c r="U17" s="88">
        <f t="shared" si="3"/>
        <v>0</v>
      </c>
      <c r="V17" s="88">
        <f t="shared" si="4"/>
        <v>0</v>
      </c>
      <c r="W17" s="88">
        <f t="shared" si="5"/>
        <v>0</v>
      </c>
      <c r="X17" s="91">
        <f t="shared" si="6"/>
        <v>0</v>
      </c>
      <c r="Y17" s="91">
        <f t="shared" si="7"/>
        <v>0</v>
      </c>
      <c r="Z17" s="91">
        <f t="shared" si="8"/>
        <v>0</v>
      </c>
      <c r="AA17" s="91">
        <f t="shared" si="9"/>
        <v>0</v>
      </c>
      <c r="AB17" s="91">
        <f t="shared" si="10"/>
        <v>0</v>
      </c>
    </row>
    <row r="18" spans="1:28" x14ac:dyDescent="0.15">
      <c r="A18" s="88" t="s">
        <v>132</v>
      </c>
      <c r="B18" s="88" t="s">
        <v>36</v>
      </c>
      <c r="C18" s="88" t="s">
        <v>21</v>
      </c>
      <c r="D18" s="88" t="s">
        <v>188</v>
      </c>
      <c r="E18" s="88" t="s">
        <v>90</v>
      </c>
      <c r="F18" s="88" t="s">
        <v>189</v>
      </c>
      <c r="G18" s="88">
        <f>VLOOKUP(B18,'④前置信息-大固定-包含了工资和总经理'!B:E,4,0)</f>
        <v>0</v>
      </c>
      <c r="H18" s="88">
        <f>VLOOKUP(B18,'④前置信息-大固定-包含了工资和总经理'!B:F,5,0)</f>
        <v>0</v>
      </c>
      <c r="I18" s="88" t="str">
        <f>VLOOKUP(B18,'④前置信息-大固定-包含了工资和总经理'!B:D,3,0)</f>
        <v>B类</v>
      </c>
      <c r="J18" s="88">
        <f>VLOOKUP(B18,'④前置信息-大固定-包含了工资和总经理'!B:G,6,0)</f>
        <v>150000</v>
      </c>
      <c r="K18" s="88">
        <f>IFERROR(VLOOKUP(B18,③工资核算浮动条件设置①!$B$4:$C$31,2,0),0)</f>
        <v>150000</v>
      </c>
      <c r="L18" s="88">
        <f>VLOOKUP(B18,②当月数据及门店毛利!B:C,2,0)</f>
        <v>180024</v>
      </c>
      <c r="M18" s="88">
        <f>VLOOKUP(B18,②当月数据及门店毛利!B:D,3,0)</f>
        <v>87671.5</v>
      </c>
      <c r="N18" s="89">
        <f>VLOOKUP(B18,②当月数据及门店毛利!B:E,4,0)</f>
        <v>140</v>
      </c>
      <c r="O18" s="89">
        <f>IFERROR(IF(P18=0,0,VLOOKUP(B18,②当月数据及门店毛利!B:N,13,0)),0)</f>
        <v>0</v>
      </c>
      <c r="P18" s="89">
        <f>IFERROR(VLOOKUP(B18,'④前置信息-大固定-包含了工资和总经理'!B:M,12,0),0)</f>
        <v>0</v>
      </c>
      <c r="Q18" s="88">
        <f t="shared" si="2"/>
        <v>0</v>
      </c>
      <c r="R18" s="88">
        <f t="shared" si="11"/>
        <v>0</v>
      </c>
      <c r="S18" s="88">
        <f>IF(P18=0,0,IF(N18&gt;=VLOOKUP(B18,'④前置信息-大固定-包含了工资和总经理'!B:P,15,0),"YES",0))</f>
        <v>0</v>
      </c>
      <c r="T18" s="88">
        <f>IF(G18="新店","yes",IF(P18=0,0,IF(M18&gt;=VLOOKUP(B18,'④前置信息-大固定-包含了工资和总经理'!B:Q,16,0),"YES",0)))</f>
        <v>0</v>
      </c>
      <c r="U18" s="88">
        <f t="shared" si="3"/>
        <v>0</v>
      </c>
      <c r="V18" s="88">
        <f t="shared" si="4"/>
        <v>0</v>
      </c>
      <c r="W18" s="88">
        <f t="shared" si="5"/>
        <v>0</v>
      </c>
      <c r="X18" s="91">
        <f t="shared" si="6"/>
        <v>0</v>
      </c>
      <c r="Y18" s="91">
        <f t="shared" si="7"/>
        <v>0</v>
      </c>
      <c r="Z18" s="91">
        <f t="shared" si="8"/>
        <v>0</v>
      </c>
      <c r="AA18" s="91">
        <f t="shared" si="9"/>
        <v>0</v>
      </c>
      <c r="AB18" s="91">
        <f t="shared" si="10"/>
        <v>0</v>
      </c>
    </row>
    <row r="19" spans="1:28" x14ac:dyDescent="0.15">
      <c r="A19" s="88" t="s">
        <v>133</v>
      </c>
      <c r="B19" s="88" t="s">
        <v>48</v>
      </c>
      <c r="C19" s="88" t="s">
        <v>22</v>
      </c>
      <c r="D19" s="88" t="s">
        <v>190</v>
      </c>
      <c r="E19" s="88" t="s">
        <v>90</v>
      </c>
      <c r="F19" s="88" t="s">
        <v>191</v>
      </c>
      <c r="G19" s="88">
        <f>VLOOKUP(B19,'④前置信息-大固定-包含了工资和总经理'!B:E,4,0)</f>
        <v>0</v>
      </c>
      <c r="H19" s="88">
        <f>VLOOKUP(B19,'④前置信息-大固定-包含了工资和总经理'!B:F,5,0)</f>
        <v>0</v>
      </c>
      <c r="I19" s="88" t="str">
        <f>VLOOKUP(B19,'④前置信息-大固定-包含了工资和总经理'!B:D,3,0)</f>
        <v>B类</v>
      </c>
      <c r="J19" s="88">
        <f>VLOOKUP(B19,'④前置信息-大固定-包含了工资和总经理'!B:G,6,0)</f>
        <v>150000</v>
      </c>
      <c r="K19" s="88">
        <f>IFERROR(VLOOKUP(B19,③工资核算浮动条件设置①!$B$4:$C$31,2,0),0)</f>
        <v>150000</v>
      </c>
      <c r="L19" s="88">
        <f>VLOOKUP(B19,②当月数据及门店毛利!B:C,2,0)</f>
        <v>153950.6</v>
      </c>
      <c r="M19" s="88">
        <f>VLOOKUP(B19,②当月数据及门店毛利!B:D,3,0)</f>
        <v>140812.54</v>
      </c>
      <c r="N19" s="89">
        <f>VLOOKUP(B19,②当月数据及门店毛利!B:E,4,0)</f>
        <v>153</v>
      </c>
      <c r="O19" s="89">
        <f>IFERROR(IF(P19=0,0,VLOOKUP(B19,②当月数据及门店毛利!B:N,13,0)),0)</f>
        <v>0</v>
      </c>
      <c r="P19" s="89">
        <f>IFERROR(VLOOKUP(B19,'④前置信息-大固定-包含了工资和总经理'!B:M,12,0),0)</f>
        <v>0</v>
      </c>
      <c r="Q19" s="88">
        <f t="shared" si="2"/>
        <v>0</v>
      </c>
      <c r="R19" s="88">
        <f t="shared" si="11"/>
        <v>0</v>
      </c>
      <c r="S19" s="88">
        <f>IF(P19=0,0,IF(N19&gt;=VLOOKUP(B19,'④前置信息-大固定-包含了工资和总经理'!B:P,15,0),"YES",0))</f>
        <v>0</v>
      </c>
      <c r="T19" s="88">
        <f>IF(G19="新店","yes",IF(P19=0,0,IF(M19&gt;=VLOOKUP(B19,'④前置信息-大固定-包含了工资和总经理'!B:Q,16,0),"YES",0)))</f>
        <v>0</v>
      </c>
      <c r="U19" s="88">
        <f t="shared" si="3"/>
        <v>0</v>
      </c>
      <c r="V19" s="88">
        <f t="shared" si="4"/>
        <v>0</v>
      </c>
      <c r="W19" s="88">
        <f t="shared" si="5"/>
        <v>0</v>
      </c>
      <c r="X19" s="91">
        <f t="shared" si="6"/>
        <v>0</v>
      </c>
      <c r="Y19" s="91">
        <f t="shared" si="7"/>
        <v>0</v>
      </c>
      <c r="Z19" s="91">
        <f t="shared" si="8"/>
        <v>0</v>
      </c>
      <c r="AA19" s="91">
        <f t="shared" si="9"/>
        <v>0</v>
      </c>
      <c r="AB19" s="91">
        <f t="shared" si="10"/>
        <v>0</v>
      </c>
    </row>
    <row r="20" spans="1:28" x14ac:dyDescent="0.15">
      <c r="A20" s="88" t="s">
        <v>134</v>
      </c>
      <c r="B20" s="88" t="s">
        <v>39</v>
      </c>
      <c r="C20" s="88" t="s">
        <v>21</v>
      </c>
      <c r="D20" s="88" t="s">
        <v>188</v>
      </c>
      <c r="E20" s="88" t="s">
        <v>81</v>
      </c>
      <c r="F20" s="88" t="s">
        <v>189</v>
      </c>
      <c r="G20" s="88">
        <f>VLOOKUP(B20,'④前置信息-大固定-包含了工资和总经理'!B:E,4,0)</f>
        <v>0</v>
      </c>
      <c r="H20" s="88">
        <f>VLOOKUP(B20,'④前置信息-大固定-包含了工资和总经理'!B:F,5,0)</f>
        <v>0</v>
      </c>
      <c r="I20" s="88" t="str">
        <f>VLOOKUP(B20,'④前置信息-大固定-包含了工资和总经理'!B:D,3,0)</f>
        <v>B类</v>
      </c>
      <c r="J20" s="88">
        <f>VLOOKUP(B20,'④前置信息-大固定-包含了工资和总经理'!B:G,6,0)</f>
        <v>150000</v>
      </c>
      <c r="K20" s="88">
        <f>IFERROR(VLOOKUP(B20,③工资核算浮动条件设置①!$B$4:$C$31,2,0),0)</f>
        <v>150000</v>
      </c>
      <c r="L20" s="88">
        <f>VLOOKUP(B20,②当月数据及门店毛利!B:C,2,0)</f>
        <v>169632</v>
      </c>
      <c r="M20" s="88">
        <f>VLOOKUP(B20,②当月数据及门店毛利!B:D,3,0)</f>
        <v>139162.62</v>
      </c>
      <c r="N20" s="89">
        <f>VLOOKUP(B20,②当月数据及门店毛利!B:E,4,0)</f>
        <v>180</v>
      </c>
      <c r="O20" s="89">
        <f>IFERROR(IF(P20=0,0,VLOOKUP(B20,②当月数据及门店毛利!B:N,13,0)),0)</f>
        <v>141297.79999999999</v>
      </c>
      <c r="P20" s="89" t="str">
        <f>IFERROR(VLOOKUP(B20,'④前置信息-大固定-包含了工资和总经理'!B:M,12,0),0)</f>
        <v>高红艳</v>
      </c>
      <c r="Q20" s="88">
        <f t="shared" si="2"/>
        <v>3500</v>
      </c>
      <c r="R20" s="88" t="str">
        <f t="shared" si="11"/>
        <v>Yes</v>
      </c>
      <c r="S20" s="88" t="str">
        <f>IF(P20=0,0,IF(N20&gt;=VLOOKUP(B20,'④前置信息-大固定-包含了工资和总经理'!B:P,15,0),"YES",0))</f>
        <v>YES</v>
      </c>
      <c r="T20" s="88">
        <f>IF(G20="新店","yes",IF(P20=0,0,IF(M20&gt;=VLOOKUP(B20,'④前置信息-大固定-包含了工资和总经理'!B:Q,16,0),"YES",0)))</f>
        <v>0</v>
      </c>
      <c r="U20" s="88">
        <f t="shared" si="3"/>
        <v>2</v>
      </c>
      <c r="V20" s="88">
        <f t="shared" si="4"/>
        <v>-500</v>
      </c>
      <c r="W20" s="88">
        <f t="shared" si="5"/>
        <v>3000</v>
      </c>
      <c r="X20" s="91">
        <f t="shared" si="6"/>
        <v>0</v>
      </c>
      <c r="Y20" s="91">
        <f t="shared" si="7"/>
        <v>3532.4449999999997</v>
      </c>
      <c r="Z20" s="91">
        <f t="shared" si="8"/>
        <v>0</v>
      </c>
      <c r="AA20" s="91">
        <f t="shared" si="9"/>
        <v>3532.4449999999997</v>
      </c>
      <c r="AB20" s="91">
        <f t="shared" si="10"/>
        <v>6532.4449999999997</v>
      </c>
    </row>
    <row r="21" spans="1:28" x14ac:dyDescent="0.15">
      <c r="A21" s="88" t="s">
        <v>135</v>
      </c>
      <c r="B21" s="88" t="s">
        <v>53</v>
      </c>
      <c r="C21" s="88" t="s">
        <v>28</v>
      </c>
      <c r="D21" s="88" t="s">
        <v>190</v>
      </c>
      <c r="E21" s="88" t="s">
        <v>81</v>
      </c>
      <c r="F21" s="88" t="s">
        <v>191</v>
      </c>
      <c r="G21" s="88">
        <f>VLOOKUP(B21,'④前置信息-大固定-包含了工资和总经理'!B:E,4,0)</f>
        <v>0</v>
      </c>
      <c r="H21" s="88">
        <f>VLOOKUP(B21,'④前置信息-大固定-包含了工资和总经理'!B:F,5,0)</f>
        <v>0</v>
      </c>
      <c r="I21" s="88" t="str">
        <f>VLOOKUP(B21,'④前置信息-大固定-包含了工资和总经理'!B:D,3,0)</f>
        <v>A类</v>
      </c>
      <c r="J21" s="88">
        <f>VLOOKUP(B21,'④前置信息-大固定-包含了工资和总经理'!B:G,6,0)</f>
        <v>200000</v>
      </c>
      <c r="K21" s="88">
        <f>IFERROR(VLOOKUP(B21,③工资核算浮动条件设置①!$B$4:$C$31,2,0),0)</f>
        <v>200000</v>
      </c>
      <c r="L21" s="88">
        <f>VLOOKUP(B21,②当月数据及门店毛利!B:C,2,0)</f>
        <v>200049.7</v>
      </c>
      <c r="M21" s="88">
        <f>VLOOKUP(B21,②当月数据及门店毛利!B:D,3,0)</f>
        <v>192405.22</v>
      </c>
      <c r="N21" s="89">
        <f>VLOOKUP(B21,②当月数据及门店毛利!B:E,4,0)</f>
        <v>172</v>
      </c>
      <c r="O21" s="89">
        <f>IFERROR(IF(P21=0,0,VLOOKUP(B21,②当月数据及门店毛利!B:N,13,0)),0)</f>
        <v>0</v>
      </c>
      <c r="P21" s="89">
        <f>IFERROR(VLOOKUP(B21,'④前置信息-大固定-包含了工资和总经理'!B:M,12,0),0)</f>
        <v>0</v>
      </c>
      <c r="Q21" s="88">
        <f t="shared" si="2"/>
        <v>0</v>
      </c>
      <c r="R21" s="88">
        <f t="shared" si="11"/>
        <v>0</v>
      </c>
      <c r="S21" s="88">
        <f>IF(P21=0,0,IF(N21&gt;=VLOOKUP(B21,'④前置信息-大固定-包含了工资和总经理'!B:P,15,0),"YES",0))</f>
        <v>0</v>
      </c>
      <c r="T21" s="88">
        <f>IF(G21="新店","yes",IF(P21=0,0,IF(M21&gt;=VLOOKUP(B21,'④前置信息-大固定-包含了工资和总经理'!B:Q,16,0),"YES",0)))</f>
        <v>0</v>
      </c>
      <c r="U21" s="88">
        <f t="shared" si="3"/>
        <v>0</v>
      </c>
      <c r="V21" s="88">
        <f t="shared" si="4"/>
        <v>0</v>
      </c>
      <c r="W21" s="88">
        <f t="shared" si="5"/>
        <v>0</v>
      </c>
      <c r="X21" s="91">
        <f t="shared" si="6"/>
        <v>0</v>
      </c>
      <c r="Y21" s="91">
        <f t="shared" si="7"/>
        <v>0</v>
      </c>
      <c r="Z21" s="91">
        <f t="shared" si="8"/>
        <v>0</v>
      </c>
      <c r="AA21" s="91">
        <f t="shared" si="9"/>
        <v>0</v>
      </c>
      <c r="AB21" s="91">
        <f t="shared" si="10"/>
        <v>0</v>
      </c>
    </row>
    <row r="22" spans="1:28" x14ac:dyDescent="0.15">
      <c r="A22" s="88" t="s">
        <v>136</v>
      </c>
      <c r="B22" s="88" t="s">
        <v>43</v>
      </c>
      <c r="C22" s="88" t="s">
        <v>22</v>
      </c>
      <c r="D22" s="88" t="s">
        <v>188</v>
      </c>
      <c r="E22" s="88" t="s">
        <v>90</v>
      </c>
      <c r="F22" s="88" t="s">
        <v>189</v>
      </c>
      <c r="G22" s="88">
        <f>VLOOKUP(B22,'④前置信息-大固定-包含了工资和总经理'!B:E,4,0)</f>
        <v>0</v>
      </c>
      <c r="H22" s="88">
        <f>VLOOKUP(B22,'④前置信息-大固定-包含了工资和总经理'!B:F,5,0)</f>
        <v>0</v>
      </c>
      <c r="I22" s="88" t="str">
        <f>VLOOKUP(B22,'④前置信息-大固定-包含了工资和总经理'!B:D,3,0)</f>
        <v>B类</v>
      </c>
      <c r="J22" s="88">
        <f>VLOOKUP(B22,'④前置信息-大固定-包含了工资和总经理'!B:G,6,0)</f>
        <v>150000</v>
      </c>
      <c r="K22" s="88">
        <f>IFERROR(VLOOKUP(B22,③工资核算浮动条件设置①!$B$4:$C$31,2,0),0)</f>
        <v>150000</v>
      </c>
      <c r="L22" s="88">
        <f>VLOOKUP(B22,②当月数据及门店毛利!B:C,2,0)</f>
        <v>311108</v>
      </c>
      <c r="M22" s="88">
        <f>VLOOKUP(B22,②当月数据及门店毛利!B:D,3,0)</f>
        <v>291471.05</v>
      </c>
      <c r="N22" s="89">
        <f>VLOOKUP(B22,②当月数据及门店毛利!B:E,4,0)</f>
        <v>163</v>
      </c>
      <c r="O22" s="89">
        <f>IFERROR(IF(P22=0,0,VLOOKUP(B22,②当月数据及门店毛利!B:N,13,0)),0)</f>
        <v>0</v>
      </c>
      <c r="P22" s="89">
        <f>IFERROR(VLOOKUP(B22,'④前置信息-大固定-包含了工资和总经理'!B:M,12,0),0)</f>
        <v>0</v>
      </c>
      <c r="Q22" s="88">
        <f t="shared" si="2"/>
        <v>0</v>
      </c>
      <c r="R22" s="88">
        <f>IF(P22=0,0,IF(L22&gt;=K22,"Yes",0))</f>
        <v>0</v>
      </c>
      <c r="S22" s="88">
        <f>IF(P22=0,0,IF(N22&gt;=VLOOKUP(B22,'④前置信息-大固定-包含了工资和总经理'!B:P,15,0),"YES",0))</f>
        <v>0</v>
      </c>
      <c r="T22" s="88">
        <f>IF(G22="新店","yes",IF(P22=0,0,IF(M22&gt;=VLOOKUP(B22,'④前置信息-大固定-包含了工资和总经理'!B:Q,16,0),"YES",0)))</f>
        <v>0</v>
      </c>
      <c r="U22" s="88">
        <f t="shared" si="3"/>
        <v>0</v>
      </c>
      <c r="V22" s="88">
        <f t="shared" si="4"/>
        <v>0</v>
      </c>
      <c r="W22" s="88">
        <f t="shared" si="5"/>
        <v>0</v>
      </c>
      <c r="X22" s="91">
        <f t="shared" si="6"/>
        <v>0</v>
      </c>
      <c r="Y22" s="91">
        <f t="shared" si="7"/>
        <v>0</v>
      </c>
      <c r="Z22" s="91">
        <f t="shared" si="8"/>
        <v>0</v>
      </c>
      <c r="AA22" s="91">
        <f t="shared" si="9"/>
        <v>0</v>
      </c>
      <c r="AB22" s="91">
        <f t="shared" si="10"/>
        <v>0</v>
      </c>
    </row>
    <row r="23" spans="1:28" x14ac:dyDescent="0.15">
      <c r="A23" s="88" t="s">
        <v>137</v>
      </c>
      <c r="B23" s="88" t="s">
        <v>33</v>
      </c>
      <c r="C23" s="88" t="s">
        <v>21</v>
      </c>
      <c r="D23" s="88" t="s">
        <v>188</v>
      </c>
      <c r="E23" s="88" t="s">
        <v>90</v>
      </c>
      <c r="F23" s="88" t="s">
        <v>189</v>
      </c>
      <c r="G23" s="88">
        <f>VLOOKUP(B23,'④前置信息-大固定-包含了工资和总经理'!B:E,4,0)</f>
        <v>0</v>
      </c>
      <c r="H23" s="88">
        <f>VLOOKUP(B23,'④前置信息-大固定-包含了工资和总经理'!B:F,5,0)</f>
        <v>0</v>
      </c>
      <c r="I23" s="88" t="str">
        <f>VLOOKUP(B23,'④前置信息-大固定-包含了工资和总经理'!B:D,3,0)</f>
        <v>A类</v>
      </c>
      <c r="J23" s="88">
        <f>VLOOKUP(B23,'④前置信息-大固定-包含了工资和总经理'!B:G,6,0)</f>
        <v>200000</v>
      </c>
      <c r="K23" s="88">
        <f>IFERROR(VLOOKUP(B23,③工资核算浮动条件设置①!$B$4:$C$31,2,0),0)</f>
        <v>200000</v>
      </c>
      <c r="L23" s="88">
        <f>VLOOKUP(B23,②当月数据及门店毛利!B:C,2,0)</f>
        <v>158633</v>
      </c>
      <c r="M23" s="88">
        <f>VLOOKUP(B23,②当月数据及门店毛利!B:D,3,0)</f>
        <v>123760.98</v>
      </c>
      <c r="N23" s="89">
        <f>VLOOKUP(B23,②当月数据及门店毛利!B:E,4,0)</f>
        <v>177</v>
      </c>
      <c r="O23" s="89">
        <f>IFERROR(IF(P23=0,0,VLOOKUP(B23,②当月数据及门店毛利!B:N,13,0)),0)</f>
        <v>152070.18</v>
      </c>
      <c r="P23" s="89" t="str">
        <f>IFERROR(VLOOKUP(B23,'④前置信息-大固定-包含了工资和总经理'!B:M,12,0),0)</f>
        <v>康丹</v>
      </c>
      <c r="Q23" s="88">
        <f t="shared" si="2"/>
        <v>3500</v>
      </c>
      <c r="R23" s="88">
        <f t="shared" si="11"/>
        <v>0</v>
      </c>
      <c r="S23" s="88" t="str">
        <f>IF(P23=0,0,IF(N23&gt;=VLOOKUP(B23,'④前置信息-大固定-包含了工资和总经理'!B:P,15,0),"YES",0))</f>
        <v>YES</v>
      </c>
      <c r="T23" s="88">
        <f>IF(G23="新店","yes",IF(P23=0,0,IF(M23&gt;=VLOOKUP(B23,'④前置信息-大固定-包含了工资和总经理'!B:Q,16,0),"YES",0)))</f>
        <v>0</v>
      </c>
      <c r="U23" s="88">
        <f t="shared" si="3"/>
        <v>1</v>
      </c>
      <c r="V23" s="88">
        <f t="shared" si="4"/>
        <v>-1000</v>
      </c>
      <c r="W23" s="88">
        <f t="shared" si="5"/>
        <v>2500</v>
      </c>
      <c r="X23" s="91">
        <f t="shared" si="6"/>
        <v>3041.4036000000001</v>
      </c>
      <c r="Y23" s="91">
        <f t="shared" si="7"/>
        <v>0</v>
      </c>
      <c r="Z23" s="91">
        <f t="shared" si="8"/>
        <v>0</v>
      </c>
      <c r="AA23" s="91">
        <f t="shared" si="9"/>
        <v>3041.4036000000001</v>
      </c>
      <c r="AB23" s="91">
        <f t="shared" si="10"/>
        <v>5541.4035999999996</v>
      </c>
    </row>
    <row r="24" spans="1:28" x14ac:dyDescent="0.15">
      <c r="A24" s="88" t="s">
        <v>138</v>
      </c>
      <c r="B24" s="88" t="s">
        <v>51</v>
      </c>
      <c r="C24" s="88" t="s">
        <v>24</v>
      </c>
      <c r="D24" s="88" t="s">
        <v>190</v>
      </c>
      <c r="E24" s="88" t="s">
        <v>81</v>
      </c>
      <c r="F24" s="88" t="s">
        <v>191</v>
      </c>
      <c r="G24" s="88">
        <f>VLOOKUP(B24,'④前置信息-大固定-包含了工资和总经理'!B:E,4,0)</f>
        <v>0</v>
      </c>
      <c r="H24" s="88">
        <f>VLOOKUP(B24,'④前置信息-大固定-包含了工资和总经理'!B:F,5,0)</f>
        <v>0</v>
      </c>
      <c r="I24" s="88" t="str">
        <f>VLOOKUP(B24,'④前置信息-大固定-包含了工资和总经理'!B:D,3,0)</f>
        <v>C类</v>
      </c>
      <c r="J24" s="88">
        <f>VLOOKUP(B24,'④前置信息-大固定-包含了工资和总经理'!B:G,6,0)</f>
        <v>120000</v>
      </c>
      <c r="K24" s="88">
        <f>IFERROR(VLOOKUP(B24,③工资核算浮动条件设置①!$B$4:$C$31,2,0),0)</f>
        <v>120000</v>
      </c>
      <c r="L24" s="88">
        <f>VLOOKUP(B24,②当月数据及门店毛利!B:C,2,0)</f>
        <v>92371</v>
      </c>
      <c r="M24" s="88">
        <f>VLOOKUP(B24,②当月数据及门店毛利!B:D,3,0)</f>
        <v>58105.8</v>
      </c>
      <c r="N24" s="89">
        <f>VLOOKUP(B24,②当月数据及门店毛利!B:E,4,0)</f>
        <v>169</v>
      </c>
      <c r="O24" s="89">
        <f>IFERROR(IF(P24=0,0,VLOOKUP(B24,②当月数据及门店毛利!B:N,13,0)),0)</f>
        <v>0</v>
      </c>
      <c r="P24" s="89">
        <f>IFERROR(VLOOKUP(B24,'④前置信息-大固定-包含了工资和总经理'!B:M,12,0),0)</f>
        <v>0</v>
      </c>
      <c r="Q24" s="88">
        <f t="shared" si="2"/>
        <v>0</v>
      </c>
      <c r="R24" s="88">
        <f t="shared" si="11"/>
        <v>0</v>
      </c>
      <c r="S24" s="88">
        <f>IF(P24=0,0,IF(N24&gt;=VLOOKUP(B24,'④前置信息-大固定-包含了工资和总经理'!B:P,15,0),"YES",0))</f>
        <v>0</v>
      </c>
      <c r="T24" s="88">
        <f>IF(G24="新店","yes",IF(P24=0,0,IF(M24&gt;=VLOOKUP(B24,'④前置信息-大固定-包含了工资和总经理'!B:Q,16,0),"YES",0)))</f>
        <v>0</v>
      </c>
      <c r="U24" s="88">
        <f t="shared" si="3"/>
        <v>0</v>
      </c>
      <c r="V24" s="88">
        <f t="shared" si="4"/>
        <v>0</v>
      </c>
      <c r="W24" s="88">
        <f t="shared" si="5"/>
        <v>0</v>
      </c>
      <c r="X24" s="91">
        <f t="shared" si="6"/>
        <v>0</v>
      </c>
      <c r="Y24" s="91">
        <f t="shared" si="7"/>
        <v>0</v>
      </c>
      <c r="Z24" s="91">
        <f t="shared" si="8"/>
        <v>0</v>
      </c>
      <c r="AA24" s="91">
        <f t="shared" si="9"/>
        <v>0</v>
      </c>
      <c r="AB24" s="91">
        <f t="shared" si="10"/>
        <v>0</v>
      </c>
    </row>
    <row r="25" spans="1:28" x14ac:dyDescent="0.15">
      <c r="A25" s="88" t="s">
        <v>139</v>
      </c>
      <c r="B25" s="88" t="s">
        <v>26</v>
      </c>
      <c r="C25" s="88" t="s">
        <v>4</v>
      </c>
      <c r="D25" s="88" t="s">
        <v>188</v>
      </c>
      <c r="E25" s="88" t="s">
        <v>81</v>
      </c>
      <c r="F25" s="88" t="s">
        <v>189</v>
      </c>
      <c r="G25" s="88">
        <f>VLOOKUP(B25,'④前置信息-大固定-包含了工资和总经理'!B:E,4,0)</f>
        <v>0</v>
      </c>
      <c r="H25" s="88">
        <f>VLOOKUP(B25,'④前置信息-大固定-包含了工资和总经理'!B:F,5,0)</f>
        <v>0</v>
      </c>
      <c r="I25" s="88" t="str">
        <f>VLOOKUP(B25,'④前置信息-大固定-包含了工资和总经理'!B:D,3,0)</f>
        <v>B类</v>
      </c>
      <c r="J25" s="88">
        <f>VLOOKUP(B25,'④前置信息-大固定-包含了工资和总经理'!B:G,6,0)</f>
        <v>150000</v>
      </c>
      <c r="K25" s="88">
        <f>IFERROR(VLOOKUP(B25,③工资核算浮动条件设置①!$B$4:$C$31,2,0),0)</f>
        <v>150000</v>
      </c>
      <c r="L25" s="88">
        <f>VLOOKUP(B25,②当月数据及门店毛利!B:C,2,0)</f>
        <v>100934</v>
      </c>
      <c r="M25" s="88">
        <f>VLOOKUP(B25,②当月数据及门店毛利!B:D,3,0)</f>
        <v>120573.32</v>
      </c>
      <c r="N25" s="89">
        <f>VLOOKUP(B25,②当月数据及门店毛利!B:E,4,0)</f>
        <v>183</v>
      </c>
      <c r="O25" s="89">
        <f>IFERROR(IF(P25=0,0,VLOOKUP(B25,②当月数据及门店毛利!B:N,13,0)),0)</f>
        <v>0</v>
      </c>
      <c r="P25" s="89">
        <f>IFERROR(VLOOKUP(B25,'④前置信息-大固定-包含了工资和总经理'!B:M,12,0),0)</f>
        <v>0</v>
      </c>
      <c r="Q25" s="88">
        <f t="shared" si="2"/>
        <v>0</v>
      </c>
      <c r="R25" s="88">
        <f t="shared" si="11"/>
        <v>0</v>
      </c>
      <c r="S25" s="88">
        <f>IF(P25=0,0,IF(N25&gt;=VLOOKUP(B25,'④前置信息-大固定-包含了工资和总经理'!B:P,15,0),"YES",0))</f>
        <v>0</v>
      </c>
      <c r="T25" s="88">
        <f>IF(G25="新店","yes",IF(P25=0,0,IF(M25&gt;=VLOOKUP(B25,'④前置信息-大固定-包含了工资和总经理'!B:Q,16,0),"YES",0)))</f>
        <v>0</v>
      </c>
      <c r="U25" s="88">
        <f t="shared" si="3"/>
        <v>0</v>
      </c>
      <c r="V25" s="88">
        <f t="shared" si="4"/>
        <v>0</v>
      </c>
      <c r="W25" s="88">
        <f t="shared" si="5"/>
        <v>0</v>
      </c>
      <c r="X25" s="91">
        <f t="shared" si="6"/>
        <v>0</v>
      </c>
      <c r="Y25" s="91">
        <f t="shared" si="7"/>
        <v>0</v>
      </c>
      <c r="Z25" s="91">
        <f t="shared" si="8"/>
        <v>0</v>
      </c>
      <c r="AA25" s="91">
        <f t="shared" si="9"/>
        <v>0</v>
      </c>
      <c r="AB25" s="91">
        <f t="shared" si="10"/>
        <v>0</v>
      </c>
    </row>
    <row r="26" spans="1:28" x14ac:dyDescent="0.15">
      <c r="A26" s="88" t="s">
        <v>140</v>
      </c>
      <c r="B26" s="88" t="s">
        <v>56</v>
      </c>
      <c r="C26" s="88" t="s">
        <v>28</v>
      </c>
      <c r="D26" s="88" t="s">
        <v>190</v>
      </c>
      <c r="E26" s="88" t="s">
        <v>81</v>
      </c>
      <c r="F26" s="88" t="s">
        <v>191</v>
      </c>
      <c r="G26" s="88">
        <f>VLOOKUP(B26,'④前置信息-大固定-包含了工资和总经理'!B:E,4,0)</f>
        <v>0</v>
      </c>
      <c r="H26" s="88">
        <f>VLOOKUP(B26,'④前置信息-大固定-包含了工资和总经理'!B:F,5,0)</f>
        <v>0</v>
      </c>
      <c r="I26" s="88" t="str">
        <f>VLOOKUP(B26,'④前置信息-大固定-包含了工资和总经理'!B:D,3,0)</f>
        <v>B类</v>
      </c>
      <c r="J26" s="88">
        <f>VLOOKUP(B26,'④前置信息-大固定-包含了工资和总经理'!B:G,6,0)</f>
        <v>150000</v>
      </c>
      <c r="K26" s="88">
        <f>IFERROR(VLOOKUP(B26,③工资核算浮动条件设置①!$B$4:$C$31,2,0),0)</f>
        <v>150000</v>
      </c>
      <c r="L26" s="88">
        <f>VLOOKUP(B26,②当月数据及门店毛利!B:C,2,0)</f>
        <v>151129</v>
      </c>
      <c r="M26" s="88">
        <f>VLOOKUP(B26,②当月数据及门店毛利!B:D,3,0)</f>
        <v>112580.75</v>
      </c>
      <c r="N26" s="89">
        <f>VLOOKUP(B26,②当月数据及门店毛利!B:E,4,0)</f>
        <v>164</v>
      </c>
      <c r="O26" s="89">
        <f>IFERROR(IF(P26=0,0,VLOOKUP(B26,②当月数据及门店毛利!B:N,13,0)),0)</f>
        <v>0</v>
      </c>
      <c r="P26" s="89">
        <f>IFERROR(VLOOKUP(B26,'④前置信息-大固定-包含了工资和总经理'!B:M,12,0),0)</f>
        <v>0</v>
      </c>
      <c r="Q26" s="88">
        <f t="shared" si="2"/>
        <v>0</v>
      </c>
      <c r="R26" s="88">
        <f t="shared" si="11"/>
        <v>0</v>
      </c>
      <c r="S26" s="88">
        <f>IF(P26=0,0,IF(N26&gt;=VLOOKUP(B26,'④前置信息-大固定-包含了工资和总经理'!B:P,15,0),"YES",0))</f>
        <v>0</v>
      </c>
      <c r="T26" s="88">
        <f>IF(G26="新店","yes",IF(P26=0,0,IF(M26&gt;=VLOOKUP(B26,'④前置信息-大固定-包含了工资和总经理'!B:Q,16,0),"YES",0)))</f>
        <v>0</v>
      </c>
      <c r="U26" s="88">
        <f t="shared" si="3"/>
        <v>0</v>
      </c>
      <c r="V26" s="88">
        <f t="shared" si="4"/>
        <v>0</v>
      </c>
      <c r="W26" s="88">
        <f t="shared" si="5"/>
        <v>0</v>
      </c>
      <c r="X26" s="91">
        <f t="shared" si="6"/>
        <v>0</v>
      </c>
      <c r="Y26" s="91">
        <f t="shared" si="7"/>
        <v>0</v>
      </c>
      <c r="Z26" s="91">
        <f t="shared" si="8"/>
        <v>0</v>
      </c>
      <c r="AA26" s="91">
        <f t="shared" si="9"/>
        <v>0</v>
      </c>
      <c r="AB26" s="91">
        <f t="shared" si="10"/>
        <v>0</v>
      </c>
    </row>
    <row r="27" spans="1:28" x14ac:dyDescent="0.15">
      <c r="A27" s="88" t="s">
        <v>141</v>
      </c>
      <c r="B27" s="88" t="s">
        <v>52</v>
      </c>
      <c r="C27" s="88" t="s">
        <v>24</v>
      </c>
      <c r="D27" s="88" t="s">
        <v>188</v>
      </c>
      <c r="E27" s="88" t="s">
        <v>81</v>
      </c>
      <c r="F27" s="88" t="s">
        <v>191</v>
      </c>
      <c r="G27" s="88">
        <f>VLOOKUP(B27,'④前置信息-大固定-包含了工资和总经理'!B:E,4,0)</f>
        <v>0</v>
      </c>
      <c r="H27" s="88">
        <f>VLOOKUP(B27,'④前置信息-大固定-包含了工资和总经理'!B:F,5,0)</f>
        <v>0</v>
      </c>
      <c r="I27" s="88" t="str">
        <f>VLOOKUP(B27,'④前置信息-大固定-包含了工资和总经理'!B:D,3,0)</f>
        <v>C类</v>
      </c>
      <c r="J27" s="88">
        <f>VLOOKUP(B27,'④前置信息-大固定-包含了工资和总经理'!B:G,6,0)</f>
        <v>120000</v>
      </c>
      <c r="K27" s="88">
        <f>IFERROR(VLOOKUP(B27,③工资核算浮动条件设置①!$B$4:$C$31,2,0),0)</f>
        <v>120000</v>
      </c>
      <c r="L27" s="88">
        <f>VLOOKUP(B27,②当月数据及门店毛利!B:C,2,0)</f>
        <v>143757</v>
      </c>
      <c r="M27" s="88">
        <f>VLOOKUP(B27,②当月数据及门店毛利!B:D,3,0)</f>
        <v>100865.33</v>
      </c>
      <c r="N27" s="89">
        <f>VLOOKUP(B27,②当月数据及门店毛利!B:E,4,0)</f>
        <v>156</v>
      </c>
      <c r="O27" s="89">
        <f>IFERROR(IF(P27=0,0,VLOOKUP(B27,②当月数据及门店毛利!B:N,13,0)),0)</f>
        <v>0</v>
      </c>
      <c r="P27" s="89">
        <f>IFERROR(VLOOKUP(B27,'④前置信息-大固定-包含了工资和总经理'!B:M,12,0),0)</f>
        <v>0</v>
      </c>
      <c r="Q27" s="88">
        <f t="shared" si="2"/>
        <v>0</v>
      </c>
      <c r="R27" s="88">
        <f t="shared" si="11"/>
        <v>0</v>
      </c>
      <c r="S27" s="88">
        <f>IF(P27=0,0,IF(N27&gt;=VLOOKUP(B27,'④前置信息-大固定-包含了工资和总经理'!B:P,15,0),"YES",0))</f>
        <v>0</v>
      </c>
      <c r="T27" s="88">
        <f>IF(G27="新店","yes",IF(P27=0,0,IF(M27&gt;=VLOOKUP(B27,'④前置信息-大固定-包含了工资和总经理'!B:Q,16,0),"YES",0)))</f>
        <v>0</v>
      </c>
      <c r="U27" s="88">
        <f t="shared" si="3"/>
        <v>0</v>
      </c>
      <c r="V27" s="88">
        <f t="shared" si="4"/>
        <v>0</v>
      </c>
      <c r="W27" s="88">
        <f t="shared" si="5"/>
        <v>0</v>
      </c>
      <c r="X27" s="91">
        <f t="shared" si="6"/>
        <v>0</v>
      </c>
      <c r="Y27" s="91">
        <f t="shared" si="7"/>
        <v>0</v>
      </c>
      <c r="Z27" s="91">
        <f t="shared" si="8"/>
        <v>0</v>
      </c>
      <c r="AA27" s="91">
        <f t="shared" si="9"/>
        <v>0</v>
      </c>
      <c r="AB27" s="91">
        <f t="shared" si="10"/>
        <v>0</v>
      </c>
    </row>
    <row r="28" spans="1:28" x14ac:dyDescent="0.15">
      <c r="A28" s="88" t="s">
        <v>142</v>
      </c>
      <c r="B28" s="88" t="s">
        <v>38</v>
      </c>
      <c r="C28" s="88" t="s">
        <v>21</v>
      </c>
      <c r="D28" s="88" t="s">
        <v>188</v>
      </c>
      <c r="E28" s="88" t="s">
        <v>90</v>
      </c>
      <c r="F28" s="88" t="s">
        <v>189</v>
      </c>
      <c r="G28" s="88">
        <f>VLOOKUP(B28,'④前置信息-大固定-包含了工资和总经理'!B:E,4,0)</f>
        <v>0</v>
      </c>
      <c r="H28" s="88">
        <f>VLOOKUP(B28,'④前置信息-大固定-包含了工资和总经理'!B:F,5,0)</f>
        <v>0</v>
      </c>
      <c r="I28" s="88" t="str">
        <f>VLOOKUP(B28,'④前置信息-大固定-包含了工资和总经理'!B:D,3,0)</f>
        <v>B类</v>
      </c>
      <c r="J28" s="88">
        <f>VLOOKUP(B28,'④前置信息-大固定-包含了工资和总经理'!B:G,6,0)</f>
        <v>150000</v>
      </c>
      <c r="K28" s="88">
        <f>IFERROR(VLOOKUP(B28,③工资核算浮动条件设置①!$B$4:$C$31,2,0),0)</f>
        <v>150000</v>
      </c>
      <c r="L28" s="88">
        <f>VLOOKUP(B28,②当月数据及门店毛利!B:C,2,0)</f>
        <v>150422</v>
      </c>
      <c r="M28" s="88">
        <f>VLOOKUP(B28,②当月数据及门店毛利!B:D,3,0)</f>
        <v>103361.72</v>
      </c>
      <c r="N28" s="89">
        <f>VLOOKUP(B28,②当月数据及门店毛利!B:E,4,0)</f>
        <v>111</v>
      </c>
      <c r="O28" s="89">
        <f>IFERROR(IF(P28=0,0,VLOOKUP(B28,②当月数据及门店毛利!B:N,13,0)),0)</f>
        <v>0</v>
      </c>
      <c r="P28" s="89">
        <f>IFERROR(VLOOKUP(B28,'④前置信息-大固定-包含了工资和总经理'!B:M,12,0),0)</f>
        <v>0</v>
      </c>
      <c r="Q28" s="88">
        <f t="shared" si="2"/>
        <v>0</v>
      </c>
      <c r="R28" s="88">
        <f t="shared" si="11"/>
        <v>0</v>
      </c>
      <c r="S28" s="88">
        <f>IF(P28=0,0,IF(N28&gt;=VLOOKUP(B28,'④前置信息-大固定-包含了工资和总经理'!B:P,15,0),"YES",0))</f>
        <v>0</v>
      </c>
      <c r="T28" s="88">
        <f>IF(G28="新店","yes",IF(P28=0,0,IF(M28&gt;=VLOOKUP(B28,'④前置信息-大固定-包含了工资和总经理'!B:Q,16,0),"YES",0)))</f>
        <v>0</v>
      </c>
      <c r="U28" s="88">
        <f t="shared" si="3"/>
        <v>0</v>
      </c>
      <c r="V28" s="88">
        <f t="shared" si="4"/>
        <v>0</v>
      </c>
      <c r="W28" s="88">
        <f t="shared" si="5"/>
        <v>0</v>
      </c>
      <c r="X28" s="91">
        <f t="shared" si="6"/>
        <v>0</v>
      </c>
      <c r="Y28" s="91">
        <f t="shared" si="7"/>
        <v>0</v>
      </c>
      <c r="Z28" s="91">
        <f t="shared" si="8"/>
        <v>0</v>
      </c>
      <c r="AA28" s="91">
        <f t="shared" si="9"/>
        <v>0</v>
      </c>
      <c r="AB28" s="91">
        <f t="shared" si="10"/>
        <v>0</v>
      </c>
    </row>
    <row r="29" spans="1:28" x14ac:dyDescent="0.15">
      <c r="A29" s="88" t="s">
        <v>143</v>
      </c>
      <c r="B29" s="88" t="s">
        <v>55</v>
      </c>
      <c r="C29" s="88" t="s">
        <v>28</v>
      </c>
      <c r="D29" s="88" t="s">
        <v>190</v>
      </c>
      <c r="E29" s="88" t="s">
        <v>81</v>
      </c>
      <c r="F29" s="88" t="s">
        <v>191</v>
      </c>
      <c r="G29" s="88">
        <f>VLOOKUP(B29,'④前置信息-大固定-包含了工资和总经理'!B:E,4,0)</f>
        <v>0</v>
      </c>
      <c r="H29" s="88">
        <f>VLOOKUP(B29,'④前置信息-大固定-包含了工资和总经理'!B:F,5,0)</f>
        <v>0</v>
      </c>
      <c r="I29" s="88" t="str">
        <f>VLOOKUP(B29,'④前置信息-大固定-包含了工资和总经理'!B:D,3,0)</f>
        <v>A类</v>
      </c>
      <c r="J29" s="88">
        <f>VLOOKUP(B29,'④前置信息-大固定-包含了工资和总经理'!B:G,6,0)</f>
        <v>180000</v>
      </c>
      <c r="K29" s="88">
        <f>IFERROR(VLOOKUP(B29,③工资核算浮动条件设置①!$B$4:$C$31,2,0),0)</f>
        <v>180000</v>
      </c>
      <c r="L29" s="88">
        <f>VLOOKUP(B29,②当月数据及门店毛利!B:C,2,0)</f>
        <v>180307.8</v>
      </c>
      <c r="M29" s="88">
        <f>VLOOKUP(B29,②当月数据及门店毛利!B:D,3,0)</f>
        <v>89092.800000000003</v>
      </c>
      <c r="N29" s="89">
        <f>VLOOKUP(B29,②当月数据及门店毛利!B:E,4,0)</f>
        <v>154</v>
      </c>
      <c r="O29" s="89">
        <f>IFERROR(IF(P29=0,0,VLOOKUP(B29,②当月数据及门店毛利!B:N,13,0)),0)</f>
        <v>0</v>
      </c>
      <c r="P29" s="89">
        <f>IFERROR(VLOOKUP(B29,'④前置信息-大固定-包含了工资和总经理'!B:M,12,0),0)</f>
        <v>0</v>
      </c>
      <c r="Q29" s="88">
        <f t="shared" si="2"/>
        <v>0</v>
      </c>
      <c r="R29" s="88">
        <f t="shared" si="11"/>
        <v>0</v>
      </c>
      <c r="S29" s="88">
        <f>IF(P29=0,0,IF(N29&gt;=VLOOKUP(B29,'④前置信息-大固定-包含了工资和总经理'!B:P,15,0),"YES",0))</f>
        <v>0</v>
      </c>
      <c r="T29" s="88">
        <f>IF(G29="新店","yes",IF(P29=0,0,IF(M29&gt;=VLOOKUP(B29,'④前置信息-大固定-包含了工资和总经理'!B:Q,16,0),"YES",0)))</f>
        <v>0</v>
      </c>
      <c r="U29" s="88">
        <f t="shared" si="3"/>
        <v>0</v>
      </c>
      <c r="V29" s="88">
        <f t="shared" si="4"/>
        <v>0</v>
      </c>
      <c r="W29" s="88">
        <f t="shared" si="5"/>
        <v>0</v>
      </c>
      <c r="X29" s="91">
        <f t="shared" si="6"/>
        <v>0</v>
      </c>
      <c r="Y29" s="91">
        <f t="shared" si="7"/>
        <v>0</v>
      </c>
      <c r="Z29" s="91">
        <f t="shared" si="8"/>
        <v>0</v>
      </c>
      <c r="AA29" s="91">
        <f t="shared" si="9"/>
        <v>0</v>
      </c>
      <c r="AB29" s="91">
        <f t="shared" si="10"/>
        <v>0</v>
      </c>
    </row>
    <row r="30" spans="1:28" x14ac:dyDescent="0.15">
      <c r="A30" s="88" t="s">
        <v>144</v>
      </c>
      <c r="B30" s="88" t="s">
        <v>45</v>
      </c>
      <c r="C30" s="88" t="s">
        <v>22</v>
      </c>
      <c r="D30" s="88" t="s">
        <v>188</v>
      </c>
      <c r="E30" s="88" t="s">
        <v>90</v>
      </c>
      <c r="F30" s="88" t="s">
        <v>189</v>
      </c>
      <c r="G30" s="88">
        <f>VLOOKUP(B30,'④前置信息-大固定-包含了工资和总经理'!B:E,4,0)</f>
        <v>0</v>
      </c>
      <c r="H30" s="88">
        <f>VLOOKUP(B30,'④前置信息-大固定-包含了工资和总经理'!B:F,5,0)</f>
        <v>0</v>
      </c>
      <c r="I30" s="88" t="str">
        <f>VLOOKUP(B30,'④前置信息-大固定-包含了工资和总经理'!B:D,3,0)</f>
        <v>A类</v>
      </c>
      <c r="J30" s="88">
        <f>VLOOKUP(B30,'④前置信息-大固定-包含了工资和总经理'!B:G,6,0)</f>
        <v>180000</v>
      </c>
      <c r="K30" s="88">
        <f>IFERROR(VLOOKUP(B30,③工资核算浮动条件设置①!$B$4:$C$31,2,0),0)</f>
        <v>180000</v>
      </c>
      <c r="L30" s="88">
        <f>VLOOKUP(B30,②当月数据及门店毛利!B:C,2,0)</f>
        <v>139022</v>
      </c>
      <c r="M30" s="88">
        <f>VLOOKUP(B30,②当月数据及门店毛利!B:D,3,0)</f>
        <v>127157.72</v>
      </c>
      <c r="N30" s="89">
        <f>VLOOKUP(B30,②当月数据及门店毛利!B:E,4,0)</f>
        <v>191</v>
      </c>
      <c r="O30" s="89">
        <f>IFERROR(IF(P30=0,0,VLOOKUP(B30,②当月数据及门店毛利!B:N,13,0)),0)</f>
        <v>0</v>
      </c>
      <c r="P30" s="89">
        <f>IFERROR(VLOOKUP(B30,'④前置信息-大固定-包含了工资和总经理'!B:M,12,0),0)</f>
        <v>0</v>
      </c>
      <c r="Q30" s="88">
        <f t="shared" si="2"/>
        <v>0</v>
      </c>
      <c r="R30" s="88">
        <f t="shared" si="11"/>
        <v>0</v>
      </c>
      <c r="S30" s="88">
        <f>IF(P30=0,0,IF(N30&gt;=VLOOKUP(B30,'④前置信息-大固定-包含了工资和总经理'!B:P,15,0),"YES",0))</f>
        <v>0</v>
      </c>
      <c r="T30" s="88">
        <f>IF(G30="新店","yes",IF(P30=0,0,IF(M30&gt;=VLOOKUP(B30,'④前置信息-大固定-包含了工资和总经理'!B:Q,16,0),"YES",0)))</f>
        <v>0</v>
      </c>
      <c r="U30" s="88">
        <f t="shared" si="3"/>
        <v>0</v>
      </c>
      <c r="V30" s="88">
        <f t="shared" si="4"/>
        <v>0</v>
      </c>
      <c r="W30" s="88">
        <f t="shared" si="5"/>
        <v>0</v>
      </c>
      <c r="X30" s="91">
        <f t="shared" si="6"/>
        <v>0</v>
      </c>
      <c r="Y30" s="91">
        <f t="shared" si="7"/>
        <v>0</v>
      </c>
      <c r="Z30" s="91">
        <f t="shared" si="8"/>
        <v>0</v>
      </c>
      <c r="AA30" s="91">
        <f t="shared" si="9"/>
        <v>0</v>
      </c>
      <c r="AB30" s="91">
        <f t="shared" si="10"/>
        <v>0</v>
      </c>
    </row>
    <row r="31" spans="1:28" x14ac:dyDescent="0.15">
      <c r="A31" s="88" t="s">
        <v>145</v>
      </c>
      <c r="B31" s="88" t="s">
        <v>32</v>
      </c>
      <c r="C31" s="88" t="s">
        <v>17</v>
      </c>
      <c r="D31" s="88" t="s">
        <v>190</v>
      </c>
      <c r="E31" s="88" t="s">
        <v>90</v>
      </c>
      <c r="F31" s="88" t="s">
        <v>191</v>
      </c>
      <c r="G31" s="88">
        <f>VLOOKUP(B31,'④前置信息-大固定-包含了工资和总经理'!B:E,4,0)</f>
        <v>0</v>
      </c>
      <c r="H31" s="88">
        <f>VLOOKUP(B31,'④前置信息-大固定-包含了工资和总经理'!B:F,5,0)</f>
        <v>0</v>
      </c>
      <c r="I31" s="88" t="str">
        <f>VLOOKUP(B31,'④前置信息-大固定-包含了工资和总经理'!B:D,3,0)</f>
        <v>C类</v>
      </c>
      <c r="J31" s="88">
        <f>VLOOKUP(B31,'④前置信息-大固定-包含了工资和总经理'!B:G,6,0)</f>
        <v>120000</v>
      </c>
      <c r="K31" s="88">
        <f>IFERROR(VLOOKUP(B31,③工资核算浮动条件设置①!$B$4:$C$31,2,0),0)</f>
        <v>120000</v>
      </c>
      <c r="L31" s="88">
        <f>VLOOKUP(B31,②当月数据及门店毛利!B:C,2,0)</f>
        <v>120949.6</v>
      </c>
      <c r="M31" s="88">
        <f>VLOOKUP(B31,②当月数据及门店毛利!B:D,3,0)</f>
        <v>82307.44</v>
      </c>
      <c r="N31" s="89">
        <f>VLOOKUP(B31,②当月数据及门店毛利!B:E,4,0)</f>
        <v>149</v>
      </c>
      <c r="O31" s="89">
        <f>IFERROR(IF(P31=0,0,VLOOKUP(B31,②当月数据及门店毛利!B:N,13,0)),0)</f>
        <v>0</v>
      </c>
      <c r="P31" s="89">
        <f>IFERROR(VLOOKUP(B31,'④前置信息-大固定-包含了工资和总经理'!B:M,12,0),0)</f>
        <v>0</v>
      </c>
      <c r="Q31" s="88">
        <f t="shared" si="2"/>
        <v>0</v>
      </c>
      <c r="R31" s="88">
        <f t="shared" si="11"/>
        <v>0</v>
      </c>
      <c r="S31" s="88">
        <f>IF(P31=0,0,IF(N31&gt;=VLOOKUP(B31,'④前置信息-大固定-包含了工资和总经理'!B:P,15,0),"YES",0))</f>
        <v>0</v>
      </c>
      <c r="T31" s="88">
        <f>IF(G31="新店","yes",IF(P31=0,0,IF(M31&gt;=VLOOKUP(B31,'④前置信息-大固定-包含了工资和总经理'!B:Q,16,0),"YES",0)))</f>
        <v>0</v>
      </c>
      <c r="U31" s="88">
        <f t="shared" si="3"/>
        <v>0</v>
      </c>
      <c r="V31" s="88">
        <f t="shared" si="4"/>
        <v>0</v>
      </c>
      <c r="W31" s="88">
        <f t="shared" si="5"/>
        <v>0</v>
      </c>
      <c r="X31" s="91">
        <f t="shared" si="6"/>
        <v>0</v>
      </c>
      <c r="Y31" s="91">
        <f>IF(I31=$Y$5,IF(G31="新店",IF(O31&lt;J31,O31*$P$1,J31*$P$1+(O31-J31)*$Q$1),IF(I31=$Y$5,IF(O31&lt;J31,O31*$P$2,J31*$P$2+(O31-J31)*$Q$2),0)),0)</f>
        <v>0</v>
      </c>
      <c r="Z31" s="91">
        <f t="shared" si="8"/>
        <v>0</v>
      </c>
      <c r="AA31" s="91">
        <f t="shared" si="9"/>
        <v>0</v>
      </c>
      <c r="AB31" s="91">
        <f t="shared" si="10"/>
        <v>0</v>
      </c>
    </row>
    <row r="32" spans="1:28" x14ac:dyDescent="0.15">
      <c r="A32" s="88" t="s">
        <v>146</v>
      </c>
      <c r="B32" s="88" t="s">
        <v>29</v>
      </c>
      <c r="C32" s="88" t="s">
        <v>4</v>
      </c>
      <c r="D32" s="88" t="s">
        <v>188</v>
      </c>
      <c r="E32" s="88" t="s">
        <v>81</v>
      </c>
      <c r="F32" s="88" t="s">
        <v>189</v>
      </c>
      <c r="G32" s="88" t="str">
        <f>VLOOKUP(B32,'④前置信息-大固定-包含了工资和总经理'!B:E,4,0)</f>
        <v>新店</v>
      </c>
      <c r="H32" s="88" t="str">
        <f>VLOOKUP(B32,'④前置信息-大固定-包含了工资和总经理'!B:F,5,0)</f>
        <v>C类</v>
      </c>
      <c r="I32" s="88" t="str">
        <f>VLOOKUP(B32,'④前置信息-大固定-包含了工资和总经理'!B:D,3,0)</f>
        <v>C类</v>
      </c>
      <c r="J32" s="88">
        <v>150000</v>
      </c>
      <c r="K32" s="88">
        <f>IFERROR(VLOOKUP(B32,③工资核算浮动条件设置①!$B$4:$C$31,2,0),0)</f>
        <v>120000</v>
      </c>
      <c r="L32" s="88">
        <f>VLOOKUP(B32,②当月数据及门店毛利!B:C,2,0)</f>
        <v>259744.88</v>
      </c>
      <c r="M32" s="88">
        <f>VLOOKUP(B32,②当月数据及门店毛利!B:D,3,0)</f>
        <v>180406.1</v>
      </c>
      <c r="N32" s="89">
        <f>VLOOKUP(B32,②当月数据及门店毛利!B:E,4,0)</f>
        <v>155</v>
      </c>
      <c r="O32" s="89">
        <f>IFERROR(IF(P32=0,0,VLOOKUP(B32,②当月数据及门店毛利!B:N,13,0)),0)</f>
        <v>0</v>
      </c>
      <c r="P32" s="89">
        <f>IFERROR(VLOOKUP(B32,'④前置信息-大固定-包含了工资和总经理'!B:M,12,0),0)</f>
        <v>0</v>
      </c>
      <c r="Q32" s="88">
        <f t="shared" si="2"/>
        <v>0</v>
      </c>
      <c r="R32" s="88">
        <f t="shared" si="11"/>
        <v>0</v>
      </c>
      <c r="S32" s="88">
        <f>IF(P32=0,0,IF(N32&gt;=VLOOKUP(B32,'④前置信息-大固定-包含了工资和总经理'!B:P,15,0),"YES",0))</f>
        <v>0</v>
      </c>
      <c r="T32" s="88" t="str">
        <f>IF(G32="新店","yes",IF(P32=0,0,IF(M32&gt;=VLOOKUP(B32,'④前置信息-大固定-包含了工资和总经理'!B:Q,16,0),"YES",0)))</f>
        <v>yes</v>
      </c>
      <c r="U32" s="88">
        <f t="shared" si="3"/>
        <v>1</v>
      </c>
      <c r="V32" s="88">
        <f t="shared" si="4"/>
        <v>0</v>
      </c>
      <c r="W32" s="88">
        <f t="shared" si="5"/>
        <v>0</v>
      </c>
      <c r="X32" s="91">
        <f t="shared" si="6"/>
        <v>0</v>
      </c>
      <c r="Y32" s="91">
        <f t="shared" si="7"/>
        <v>0</v>
      </c>
      <c r="Z32" s="91">
        <f t="shared" si="8"/>
        <v>0</v>
      </c>
      <c r="AA32" s="91">
        <f t="shared" si="9"/>
        <v>0</v>
      </c>
      <c r="AB32" s="91">
        <f t="shared" si="10"/>
        <v>0</v>
      </c>
    </row>
    <row r="33" spans="1:28" x14ac:dyDescent="0.15">
      <c r="A33" s="88" t="s">
        <v>148</v>
      </c>
      <c r="B33" s="88" t="s">
        <v>59</v>
      </c>
      <c r="C33" s="88" t="s">
        <v>17</v>
      </c>
      <c r="D33" s="88" t="s">
        <v>190</v>
      </c>
      <c r="E33" s="88" t="s">
        <v>90</v>
      </c>
      <c r="F33" s="88" t="s">
        <v>191</v>
      </c>
      <c r="G33" s="88" t="str">
        <f>VLOOKUP(B33,'④前置信息-大固定-包含了工资和总经理'!B:E,4,0)</f>
        <v>新店</v>
      </c>
      <c r="H33" s="88">
        <f>VLOOKUP(B33,'④前置信息-大固定-包含了工资和总经理'!B:F,5,0)</f>
        <v>0</v>
      </c>
      <c r="I33" s="88" t="str">
        <f>VLOOKUP(B33,'④前置信息-大固定-包含了工资和总经理'!B:D,3,0)</f>
        <v>B类</v>
      </c>
      <c r="J33" s="88">
        <f>VLOOKUP(B33,'④前置信息-大固定-包含了工资和总经理'!B:G,6,0)</f>
        <v>150000</v>
      </c>
      <c r="K33" s="88">
        <f>IFERROR(VLOOKUP(B33,③工资核算浮动条件设置①!$B$4:$C$31,2,0),0)</f>
        <v>150000</v>
      </c>
      <c r="L33" s="88">
        <f>VLOOKUP(B33,②当月数据及门店毛利!B:C,2,0)</f>
        <v>150031.32999999999</v>
      </c>
      <c r="M33" s="88">
        <f>VLOOKUP(B33,②当月数据及门店毛利!B:D,3,0)</f>
        <v>65878.570000000007</v>
      </c>
      <c r="N33" s="89">
        <f>VLOOKUP(B33,②当月数据及门店毛利!B:E,4,0)</f>
        <v>186</v>
      </c>
      <c r="O33" s="89">
        <f>IFERROR(IF(P33=0,0,VLOOKUP(B33,②当月数据及门店毛利!B:N,13,0)),0)</f>
        <v>133527.91999999998</v>
      </c>
      <c r="P33" s="89" t="str">
        <f>IFERROR(VLOOKUP(B33,'④前置信息-大固定-包含了工资和总经理'!B:M,12,0),0)</f>
        <v>罗林芳</v>
      </c>
      <c r="Q33" s="88">
        <f t="shared" si="2"/>
        <v>3500</v>
      </c>
      <c r="R33" s="88" t="str">
        <f>IF(P33=0,0,IF(L33&gt;=K33,"Yes",0))</f>
        <v>Yes</v>
      </c>
      <c r="S33" s="88" t="str">
        <f>IF(P33=0,0,IF(N33&gt;=VLOOKUP(B33,'④前置信息-大固定-包含了工资和总经理'!B:P,15,0),"YES",0))</f>
        <v>YES</v>
      </c>
      <c r="T33" s="88" t="str">
        <f>IF(G33="新店","yes",IF(P33=0,0,IF(M33&gt;=VLOOKUP(B33,'④前置信息-大固定-包含了工资和总经理'!B:Q,16,0),"YES",0)))</f>
        <v>yes</v>
      </c>
      <c r="U33" s="88">
        <f t="shared" si="3"/>
        <v>3</v>
      </c>
      <c r="V33" s="88">
        <f t="shared" si="4"/>
        <v>0</v>
      </c>
      <c r="W33" s="88">
        <f t="shared" si="5"/>
        <v>3500</v>
      </c>
      <c r="X33" s="91">
        <f t="shared" si="6"/>
        <v>0</v>
      </c>
      <c r="Y33" s="91">
        <f>IF(I33=$Y$5,IF(G33="新店",IF(O33&lt;J33,O33*$P$1,J33*$P$1+(O33-J33)*$Q$1),IF(I33=$Y$5,IF(O33&lt;J33,O33*$P$2,J33*$P$2+(O33-J33)*$Q$2),0)),0)</f>
        <v>2670.5583999999999</v>
      </c>
      <c r="Z33" s="91">
        <f t="shared" si="8"/>
        <v>0</v>
      </c>
      <c r="AA33" s="91">
        <f t="shared" si="9"/>
        <v>2670.5583999999999</v>
      </c>
      <c r="AB33" s="91">
        <f t="shared" si="10"/>
        <v>6170.5583999999999</v>
      </c>
    </row>
    <row r="34" spans="1:28" x14ac:dyDescent="0.15">
      <c r="A34" s="88" t="s">
        <v>149</v>
      </c>
      <c r="B34" s="88" t="s">
        <v>150</v>
      </c>
      <c r="C34" s="88" t="s">
        <v>4</v>
      </c>
      <c r="D34" s="88" t="s">
        <v>188</v>
      </c>
      <c r="E34" s="88" t="s">
        <v>81</v>
      </c>
      <c r="F34" s="88" t="s">
        <v>189</v>
      </c>
      <c r="G34" s="88">
        <f>VLOOKUP(B34,'④前置信息-大固定-包含了工资和总经理'!B:E,4,0)</f>
        <v>0</v>
      </c>
      <c r="H34" s="88">
        <f>VLOOKUP(B34,'④前置信息-大固定-包含了工资和总经理'!B:F,5,0)</f>
        <v>0</v>
      </c>
      <c r="I34" s="88" t="str">
        <f>VLOOKUP(B34,'④前置信息-大固定-包含了工资和总经理'!B:D,3,0)</f>
        <v>C类</v>
      </c>
      <c r="J34" s="88">
        <f>VLOOKUP(B34,'④前置信息-大固定-包含了工资和总经理'!B:G,6,0)</f>
        <v>0</v>
      </c>
      <c r="K34" s="88">
        <f>IFERROR(VLOOKUP(B34,③工资核算浮动条件设置①!$B$4:$C$31,2,0),0)</f>
        <v>0</v>
      </c>
      <c r="L34" s="88" t="e">
        <f>VLOOKUP(B34,②当月数据及门店毛利!B:C,2,0)</f>
        <v>#N/A</v>
      </c>
      <c r="M34" s="88" t="e">
        <f>VLOOKUP(B34,②当月数据及门店毛利!B:D,3,0)</f>
        <v>#N/A</v>
      </c>
      <c r="N34" s="89" t="e">
        <f>VLOOKUP(B34,②当月数据及门店毛利!B:E,4,0)</f>
        <v>#N/A</v>
      </c>
      <c r="O34" s="89">
        <f>IFERROR(IF(P34=0,0,VLOOKUP(B34,②当月数据及门店毛利!B:N,13,0)),0)</f>
        <v>0</v>
      </c>
      <c r="P34" s="89">
        <f>IFERROR(VLOOKUP(B34,'④前置信息-大固定-包含了工资和总经理'!B:M,12,0),0)</f>
        <v>0</v>
      </c>
      <c r="Q34" s="88">
        <f t="shared" si="2"/>
        <v>0</v>
      </c>
      <c r="R34" s="88">
        <f t="shared" si="11"/>
        <v>0</v>
      </c>
      <c r="S34" s="88">
        <f>IF(P34=0,0,IF(N34&gt;=VLOOKUP(B34,'④前置信息-大固定-包含了工资和总经理'!B:P,15,0),"YES",0))</f>
        <v>0</v>
      </c>
      <c r="T34" s="88">
        <f>IF(G34="新店","yes",IF(P34=0,0,IF(M34&gt;=VLOOKUP(B34,'④前置信息-大固定-包含了工资和总经理'!B:Q,16,0),"YES",0)))</f>
        <v>0</v>
      </c>
      <c r="U34" s="88">
        <f t="shared" si="3"/>
        <v>0</v>
      </c>
      <c r="V34" s="88">
        <f t="shared" si="4"/>
        <v>0</v>
      </c>
      <c r="W34" s="88">
        <f t="shared" si="5"/>
        <v>0</v>
      </c>
      <c r="X34" s="91">
        <f t="shared" si="6"/>
        <v>0</v>
      </c>
      <c r="Y34" s="91">
        <f t="shared" si="7"/>
        <v>0</v>
      </c>
      <c r="Z34" s="91">
        <f t="shared" si="8"/>
        <v>0</v>
      </c>
      <c r="AA34" s="91">
        <f t="shared" si="9"/>
        <v>0</v>
      </c>
      <c r="AB34" s="91">
        <f t="shared" si="10"/>
        <v>0</v>
      </c>
    </row>
    <row r="35" spans="1:28" x14ac:dyDescent="0.15">
      <c r="A35" s="88" t="s">
        <v>166</v>
      </c>
      <c r="B35" s="88" t="s">
        <v>57</v>
      </c>
      <c r="C35" s="88" t="s">
        <v>745</v>
      </c>
      <c r="D35" s="88" t="s">
        <v>188</v>
      </c>
      <c r="E35" s="88" t="s">
        <v>81</v>
      </c>
      <c r="F35" s="88" t="s">
        <v>189</v>
      </c>
      <c r="G35" s="88" t="str">
        <f>VLOOKUP(B35,'④前置信息-大固定-包含了工资和总经理'!B:E,4,0)</f>
        <v>新店</v>
      </c>
      <c r="H35" s="88">
        <f>VLOOKUP(B35,'④前置信息-大固定-包含了工资和总经理'!B:F,5,0)</f>
        <v>0</v>
      </c>
      <c r="I35" s="88" t="str">
        <f>VLOOKUP(B35,'④前置信息-大固定-包含了工资和总经理'!B:D,3,0)</f>
        <v>C类</v>
      </c>
      <c r="J35" s="88">
        <v>150000</v>
      </c>
      <c r="K35" s="88">
        <f>IFERROR(VLOOKUP(B35,③工资核算浮动条件设置①!$B$4:$C$31,2,0),0)</f>
        <v>120000</v>
      </c>
      <c r="L35" s="88">
        <f>VLOOKUP(B35,②当月数据及门店毛利!B:C,2,0)</f>
        <v>133334.88</v>
      </c>
      <c r="M35" s="88">
        <f>VLOOKUP(B35,②当月数据及门店毛利!B:D,3,0)</f>
        <v>117423.44</v>
      </c>
      <c r="N35" s="89">
        <f>VLOOKUP(B35,②当月数据及门店毛利!B:E,4,0)</f>
        <v>117</v>
      </c>
      <c r="O35" s="89">
        <f>IFERROR(IF(P35=0,0,VLOOKUP(B35,②当月数据及门店毛利!B:N,13,0)),0)</f>
        <v>114405.29000000001</v>
      </c>
      <c r="P35" s="89" t="str">
        <f>IFERROR(VLOOKUP(B35,'④前置信息-大固定-包含了工资和总经理'!B:M,12,0),0)</f>
        <v>竹艳梅</v>
      </c>
      <c r="Q35" s="88">
        <f t="shared" si="2"/>
        <v>3500</v>
      </c>
      <c r="R35" s="88" t="str">
        <f>IF(P35=0,0,IF(L35&gt;=K35,"Yes",0))</f>
        <v>Yes</v>
      </c>
      <c r="S35" s="88">
        <f>IF(P35=0,0,IF(N35&gt;=VLOOKUP(B35,'④前置信息-大固定-包含了工资和总经理'!B:P,15,0),"YES",0))</f>
        <v>0</v>
      </c>
      <c r="T35" s="88" t="str">
        <f>IF(G35="新店","yes",IF(P35=0,0,IF(M35&gt;=VLOOKUP(B35,'④前置信息-大固定-包含了工资和总经理'!B:Q,16,0),"YES",0)))</f>
        <v>yes</v>
      </c>
      <c r="U35" s="88">
        <f t="shared" si="3"/>
        <v>2</v>
      </c>
      <c r="V35" s="88">
        <f t="shared" si="4"/>
        <v>-500</v>
      </c>
      <c r="W35" s="88">
        <f t="shared" si="5"/>
        <v>3000</v>
      </c>
      <c r="X35" s="91">
        <f t="shared" si="6"/>
        <v>0</v>
      </c>
      <c r="Y35" s="91">
        <f t="shared" si="7"/>
        <v>0</v>
      </c>
      <c r="Z35" s="91">
        <f t="shared" si="8"/>
        <v>2288.1058000000003</v>
      </c>
      <c r="AA35" s="91">
        <f t="shared" si="9"/>
        <v>2288.1058000000003</v>
      </c>
      <c r="AB35" s="91">
        <f t="shared" si="10"/>
        <v>5288.1058000000003</v>
      </c>
    </row>
    <row r="36" spans="1:28" x14ac:dyDescent="0.15">
      <c r="A36" s="88" t="s">
        <v>152</v>
      </c>
      <c r="B36" s="88" t="s">
        <v>60</v>
      </c>
      <c r="C36" s="88" t="s">
        <v>21</v>
      </c>
      <c r="D36" s="88" t="s">
        <v>188</v>
      </c>
      <c r="E36" s="88" t="s">
        <v>90</v>
      </c>
      <c r="F36" s="88" t="s">
        <v>191</v>
      </c>
      <c r="G36" s="88" t="str">
        <f>VLOOKUP(B36,'④前置信息-大固定-包含了工资和总经理'!B:E,4,0)</f>
        <v>新店</v>
      </c>
      <c r="H36" s="88">
        <f>VLOOKUP(B36,'④前置信息-大固定-包含了工资和总经理'!B:F,5,0)</f>
        <v>0</v>
      </c>
      <c r="I36" s="88" t="str">
        <f>VLOOKUP(B36,'④前置信息-大固定-包含了工资和总经理'!B:D,3,0)</f>
        <v>B类</v>
      </c>
      <c r="J36" s="88">
        <v>150000</v>
      </c>
      <c r="K36" s="88">
        <f>IFERROR(VLOOKUP(B36,③工资核算浮动条件设置①!$B$4:$C$31,2,0),0)</f>
        <v>0</v>
      </c>
      <c r="L36" s="88">
        <f>VLOOKUP(B36,②当月数据及门店毛利!B:C,2,0)</f>
        <v>173290.6</v>
      </c>
      <c r="M36" s="88">
        <f>VLOOKUP(B36,②当月数据及门店毛利!B:D,3,0)</f>
        <v>115560.6</v>
      </c>
      <c r="N36" s="89">
        <f>VLOOKUP(B36,②当月数据及门店毛利!B:E,4,0)</f>
        <v>169</v>
      </c>
      <c r="O36" s="89">
        <f>IFERROR(IF(P36=0,0,VLOOKUP(B36,②当月数据及门店毛利!B:N,13,0)),0)</f>
        <v>132190.74</v>
      </c>
      <c r="P36" s="89" t="str">
        <f>IFERROR(VLOOKUP(B36,'④前置信息-大固定-包含了工资和总经理'!B:M,12,0),0)</f>
        <v>任艺</v>
      </c>
      <c r="Q36" s="88">
        <f t="shared" si="2"/>
        <v>3500</v>
      </c>
      <c r="R36" s="88" t="str">
        <f t="shared" si="11"/>
        <v>Yes</v>
      </c>
      <c r="S36" s="88">
        <f>IF(P36=0,0,IF(N36&gt;=VLOOKUP(B36,'④前置信息-大固定-包含了工资和总经理'!B:P,15,0),"YES",0))</f>
        <v>0</v>
      </c>
      <c r="T36" s="88" t="str">
        <f>IF(G36="新店","yes",IF(P36=0,0,IF(M36&gt;=VLOOKUP(B36,'④前置信息-大固定-包含了工资和总经理'!B:Q,16,0),"YES",0)))</f>
        <v>yes</v>
      </c>
      <c r="U36" s="88">
        <f t="shared" si="3"/>
        <v>2</v>
      </c>
      <c r="V36" s="88">
        <f t="shared" si="4"/>
        <v>-500</v>
      </c>
      <c r="W36" s="88">
        <f t="shared" si="5"/>
        <v>3000</v>
      </c>
      <c r="X36" s="91">
        <f t="shared" si="6"/>
        <v>0</v>
      </c>
      <c r="Y36" s="91">
        <f t="shared" si="7"/>
        <v>2643.8147999999997</v>
      </c>
      <c r="Z36" s="91">
        <f t="shared" si="8"/>
        <v>0</v>
      </c>
      <c r="AA36" s="91">
        <f t="shared" si="9"/>
        <v>2643.8147999999997</v>
      </c>
      <c r="AB36" s="91">
        <f t="shared" si="10"/>
        <v>5643.8148000000001</v>
      </c>
    </row>
    <row r="37" spans="1:28" x14ac:dyDescent="0.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>
        <f>IFERROR(VLOOKUP(B37,③工资核算浮动条件设置①!$B$4:$C$31,2,0),0)</f>
        <v>0</v>
      </c>
      <c r="L37" s="88" t="e">
        <f>VLOOKUP(B37,②当月数据及门店毛利!B:C,2,0)</f>
        <v>#N/A</v>
      </c>
      <c r="M37" s="88" t="e">
        <f>VLOOKUP(B37,②当月数据及门店毛利!B:D,3,0)</f>
        <v>#N/A</v>
      </c>
      <c r="N37" s="89" t="e">
        <f>VLOOKUP(B37,②当月数据及门店毛利!B:E,4,0)</f>
        <v>#N/A</v>
      </c>
      <c r="O37" s="89">
        <f>IFERROR(IF(P37=0,0,VLOOKUP(B37,②当月数据及门店毛利!B:N,13,0)),0)</f>
        <v>0</v>
      </c>
      <c r="P37" s="89">
        <f>IFERROR(VLOOKUP(B37,'④前置信息-大固定-包含了工资和总经理'!B:M,12,0),0)</f>
        <v>0</v>
      </c>
      <c r="Q37" s="88">
        <f t="shared" si="2"/>
        <v>0</v>
      </c>
      <c r="R37" s="88">
        <f t="shared" si="11"/>
        <v>0</v>
      </c>
      <c r="S37" s="88">
        <f>IF(P37=0,0,IF(N37&gt;=VLOOKUP(B37,'④前置信息-大固定-包含了工资和总经理'!B:P,15,0),"YES",0))</f>
        <v>0</v>
      </c>
      <c r="T37" s="88">
        <f>IF(G37="新店","yes",IF(P37=0,0,IF(M37&gt;=VLOOKUP(B37,'④前置信息-大固定-包含了工资和总经理'!B:Q,16,0),"YES",0)))</f>
        <v>0</v>
      </c>
      <c r="U37" s="88">
        <f t="shared" si="3"/>
        <v>0</v>
      </c>
      <c r="V37" s="88">
        <f t="shared" si="4"/>
        <v>0</v>
      </c>
      <c r="W37" s="88">
        <f t="shared" si="5"/>
        <v>0</v>
      </c>
      <c r="X37" s="91">
        <f t="shared" si="6"/>
        <v>0</v>
      </c>
      <c r="Y37" s="91">
        <f t="shared" si="7"/>
        <v>0</v>
      </c>
      <c r="Z37" s="91">
        <f t="shared" si="8"/>
        <v>0</v>
      </c>
      <c r="AA37" s="91">
        <f t="shared" si="9"/>
        <v>0</v>
      </c>
      <c r="AB37" s="91">
        <f t="shared" si="10"/>
        <v>0</v>
      </c>
    </row>
    <row r="38" spans="1:28" x14ac:dyDescent="0.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>
        <f>IFERROR(VLOOKUP(B38,③工资核算浮动条件设置①!$B$4:$C$31,2,0),0)</f>
        <v>0</v>
      </c>
      <c r="L38" s="88" t="e">
        <f>VLOOKUP(B38,②当月数据及门店毛利!B:C,2,0)</f>
        <v>#N/A</v>
      </c>
      <c r="M38" s="88" t="e">
        <f>VLOOKUP(B38,②当月数据及门店毛利!B:D,3,0)</f>
        <v>#N/A</v>
      </c>
      <c r="N38" s="89" t="e">
        <f>VLOOKUP(B38,②当月数据及门店毛利!B:E,4,0)</f>
        <v>#N/A</v>
      </c>
      <c r="O38" s="89">
        <f>IFERROR(IF(P38=0,0,VLOOKUP(B38,②当月数据及门店毛利!B:N,13,0)),0)</f>
        <v>0</v>
      </c>
      <c r="P38" s="89">
        <f>IFERROR(VLOOKUP(B38,'④前置信息-大固定-包含了工资和总经理'!B:M,12,0),0)</f>
        <v>0</v>
      </c>
      <c r="Q38" s="88">
        <f t="shared" si="2"/>
        <v>0</v>
      </c>
      <c r="R38" s="88">
        <f t="shared" si="11"/>
        <v>0</v>
      </c>
      <c r="S38" s="88">
        <f>IF(P38=0,0,IF(N38&gt;=VLOOKUP(B38,'④前置信息-大固定-包含了工资和总经理'!B:P,15,0),"YES",0))</f>
        <v>0</v>
      </c>
      <c r="T38" s="88">
        <f>IF(G38="新店","yes",IF(P38=0,0,IF(M38&gt;=VLOOKUP(B38,'④前置信息-大固定-包含了工资和总经理'!B:Q,16,0),"YES",0)))</f>
        <v>0</v>
      </c>
      <c r="U38" s="88">
        <f t="shared" si="3"/>
        <v>0</v>
      </c>
      <c r="V38" s="88">
        <f t="shared" si="4"/>
        <v>0</v>
      </c>
      <c r="W38" s="88">
        <f t="shared" si="5"/>
        <v>0</v>
      </c>
      <c r="X38" s="91">
        <f t="shared" si="6"/>
        <v>0</v>
      </c>
      <c r="Y38" s="91">
        <f t="shared" si="7"/>
        <v>0</v>
      </c>
      <c r="Z38" s="91">
        <f t="shared" si="8"/>
        <v>0</v>
      </c>
      <c r="AA38" s="91">
        <f t="shared" si="9"/>
        <v>0</v>
      </c>
      <c r="AB38" s="91">
        <f t="shared" si="10"/>
        <v>0</v>
      </c>
    </row>
  </sheetData>
  <autoFilter ref="A5:AB5" xr:uid="{00000000-0001-0000-0900-000000000000}"/>
  <phoneticPr fontId="4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W32"/>
  <sheetViews>
    <sheetView workbookViewId="0">
      <selection activeCell="A28" sqref="A28:XFD28"/>
    </sheetView>
  </sheetViews>
  <sheetFormatPr defaultColWidth="9" defaultRowHeight="14.25" x14ac:dyDescent="0.15"/>
  <cols>
    <col min="1" max="1" width="9" style="76"/>
    <col min="2" max="2" width="8.625" style="76" customWidth="1"/>
    <col min="3" max="3" width="11.875" style="76" customWidth="1"/>
    <col min="4" max="4" width="13.375" style="76" customWidth="1"/>
    <col min="5" max="5" width="6.5" style="76" bestFit="1" customWidth="1"/>
    <col min="6" max="6" width="11.125" style="76" customWidth="1"/>
    <col min="7" max="7" width="11.875" style="76" customWidth="1"/>
    <col min="8" max="8" width="11.625" style="76" customWidth="1"/>
    <col min="9" max="9" width="13.125" style="76" customWidth="1"/>
    <col min="10" max="10" width="15.25" style="76" customWidth="1"/>
    <col min="11" max="11" width="11.375" style="76" customWidth="1"/>
    <col min="12" max="12" width="11.625" style="76" bestFit="1" customWidth="1"/>
    <col min="13" max="15" width="10.25" style="76" customWidth="1"/>
    <col min="16" max="16" width="12.75" style="122" bestFit="1" customWidth="1"/>
    <col min="17" max="17" width="11.625" style="122" bestFit="1" customWidth="1"/>
    <col min="18" max="16384" width="9" style="76"/>
  </cols>
  <sheetData>
    <row r="1" spans="1:23" x14ac:dyDescent="0.15">
      <c r="A1" s="118" t="s">
        <v>7</v>
      </c>
      <c r="B1" s="118" t="s">
        <v>63</v>
      </c>
      <c r="C1" s="108" t="s">
        <v>154</v>
      </c>
      <c r="D1" s="108" t="s">
        <v>155</v>
      </c>
      <c r="E1" s="108" t="s">
        <v>156</v>
      </c>
      <c r="F1" s="108" t="s">
        <v>192</v>
      </c>
      <c r="G1" s="108" t="s">
        <v>193</v>
      </c>
      <c r="H1" s="108" t="s">
        <v>194</v>
      </c>
      <c r="I1" s="108" t="s">
        <v>195</v>
      </c>
      <c r="J1" s="108" t="s">
        <v>196</v>
      </c>
      <c r="K1" s="108" t="s">
        <v>197</v>
      </c>
      <c r="L1" s="119" t="s">
        <v>165</v>
      </c>
      <c r="M1" s="120" t="s">
        <v>198</v>
      </c>
      <c r="N1" s="120" t="s">
        <v>306</v>
      </c>
      <c r="O1" s="120" t="s">
        <v>387</v>
      </c>
      <c r="P1" s="121" t="s">
        <v>358</v>
      </c>
      <c r="Q1" s="121" t="s">
        <v>209</v>
      </c>
      <c r="V1" s="85">
        <v>2025</v>
      </c>
      <c r="W1" s="85">
        <v>7</v>
      </c>
    </row>
    <row r="2" spans="1:23" x14ac:dyDescent="0.15">
      <c r="A2" s="72" t="str">
        <f>②当月数据及门店毛利!B4</f>
        <v>紫荆</v>
      </c>
      <c r="B2" s="88" t="str">
        <f>_xlfn.XLOOKUP(A2,主任核算!B:B,主任核算!P:P,0)</f>
        <v>李春华</v>
      </c>
      <c r="C2" s="76">
        <f>②当月数据及门店毛利!C4</f>
        <v>522756</v>
      </c>
      <c r="D2" s="76">
        <f>②当月数据及门店毛利!D4</f>
        <v>368762.45</v>
      </c>
      <c r="E2" s="76">
        <f>②当月数据及门店毛利!E4</f>
        <v>210</v>
      </c>
      <c r="F2" s="76">
        <f>②当月数据及门店毛利!G4</f>
        <v>2025</v>
      </c>
      <c r="G2" s="76">
        <f>②当月数据及门店毛利!H4</f>
        <v>1715.29</v>
      </c>
      <c r="H2" s="76">
        <f>②当月数据及门店毛利!I4</f>
        <v>3589.34</v>
      </c>
      <c r="I2" s="76">
        <f>②当月数据及门店毛利!J4</f>
        <v>23805</v>
      </c>
      <c r="J2" s="76">
        <f>②当月数据及门店毛利!K4</f>
        <v>0</v>
      </c>
      <c r="K2" s="76">
        <f>②当月数据及门店毛利!L4</f>
        <v>961.8</v>
      </c>
      <c r="L2" s="76">
        <f>②当月数据及门店毛利!N4</f>
        <v>490659.57</v>
      </c>
      <c r="M2" s="76">
        <f>_xlfn.XLOOKUP(B2,主任核算!P:P,主任核算!W:W,0)</f>
        <v>3000</v>
      </c>
      <c r="N2" s="76">
        <f>_xlfn.XLOOKUP(B2,'①考勤-B-a-26考勤汇总表'!D:D,'①考勤-B-a-26考勤汇总表'!U:U,0)</f>
        <v>0</v>
      </c>
      <c r="O2" s="114">
        <f>M2/DAY(DATE($V$1,$W$1+1,0))*N2</f>
        <v>0</v>
      </c>
      <c r="P2" s="122">
        <f>M2-O2</f>
        <v>3000</v>
      </c>
      <c r="Q2" s="122">
        <f>_xlfn.XLOOKUP(B2,主任核算!P:P,主任核算!AA:AA,0)</f>
        <v>10516.489250000001</v>
      </c>
    </row>
    <row r="3" spans="1:23" x14ac:dyDescent="0.15">
      <c r="A3" s="72" t="str">
        <f>②当月数据及门店毛利!B5</f>
        <v>龙湖</v>
      </c>
      <c r="B3" s="88">
        <f>_xlfn.XLOOKUP(A3,主任核算!B:B,主任核算!P:P,0)</f>
        <v>0</v>
      </c>
      <c r="C3" s="76">
        <f>②当月数据及门店毛利!C5</f>
        <v>220223</v>
      </c>
      <c r="D3" s="76">
        <f>②当月数据及门店毛利!D5</f>
        <v>210203.02</v>
      </c>
      <c r="E3" s="76">
        <f>②当月数据及门店毛利!E5</f>
        <v>205</v>
      </c>
      <c r="F3" s="76">
        <f>②当月数据及门店毛利!G5</f>
        <v>2426.79</v>
      </c>
      <c r="G3" s="76">
        <f>②当月数据及门店毛利!H5</f>
        <v>997.28</v>
      </c>
      <c r="H3" s="76">
        <f>②当月数据及门店毛利!I5</f>
        <v>3222.84</v>
      </c>
      <c r="I3" s="76">
        <f>②当月数据及门店毛利!J5</f>
        <v>8600</v>
      </c>
      <c r="J3" s="76">
        <f>②当月数据及门店毛利!K5</f>
        <v>0</v>
      </c>
      <c r="K3" s="76">
        <f>②当月数据及门店毛利!L5</f>
        <v>775.2</v>
      </c>
      <c r="L3" s="76">
        <f>②当月数据及门店毛利!N5</f>
        <v>204200.89</v>
      </c>
      <c r="M3" s="76">
        <f>_xlfn.XLOOKUP(B3,主任核算!P:P,主任核算!W:W,0)</f>
        <v>0</v>
      </c>
      <c r="N3" s="76">
        <f>_xlfn.XLOOKUP(B3,'①考勤-B-a-26考勤汇总表'!D:D,'①考勤-B-a-26考勤汇总表'!U:U,0)</f>
        <v>0</v>
      </c>
      <c r="O3" s="114">
        <f t="shared" ref="O3:O32" si="0">M3/DAY(DATE($V$1,$W$1+1,0))*N3</f>
        <v>0</v>
      </c>
      <c r="P3" s="122">
        <f t="shared" ref="P3:P32" si="1">M3-O3</f>
        <v>0</v>
      </c>
      <c r="Q3" s="122">
        <f>_xlfn.XLOOKUP(B3,主任核算!P:P,主任核算!AA:AA,0)</f>
        <v>0</v>
      </c>
    </row>
    <row r="4" spans="1:23" x14ac:dyDescent="0.15">
      <c r="A4" s="72" t="str">
        <f>②当月数据及门店毛利!B6</f>
        <v>沙河</v>
      </c>
      <c r="B4" s="88">
        <f>_xlfn.XLOOKUP(A4,主任核算!B:B,主任核算!P:P,0)</f>
        <v>0</v>
      </c>
      <c r="C4" s="76">
        <f>②当月数据及门店毛利!C6</f>
        <v>150694</v>
      </c>
      <c r="D4" s="76">
        <f>②当月数据及门店毛利!D6</f>
        <v>142453.84</v>
      </c>
      <c r="E4" s="76">
        <f>②当月数据及门店毛利!E6</f>
        <v>160</v>
      </c>
      <c r="F4" s="76">
        <f>②当月数据及门店毛利!G6</f>
        <v>2001</v>
      </c>
      <c r="G4" s="76">
        <f>②当月数据及门店毛利!H6</f>
        <v>2190.15</v>
      </c>
      <c r="H4" s="76">
        <f>②当月数据及门店毛利!I6</f>
        <v>11665.32</v>
      </c>
      <c r="I4" s="76">
        <f>②当月数据及门店毛利!J6</f>
        <v>2450</v>
      </c>
      <c r="J4" s="76">
        <f>②当月数据及门店毛利!K6</f>
        <v>0</v>
      </c>
      <c r="K4" s="76">
        <f>②当月数据及门店毛利!L6</f>
        <v>1113.3</v>
      </c>
      <c r="L4" s="76">
        <f>②当月数据及门店毛利!N6</f>
        <v>131274.23000000001</v>
      </c>
      <c r="M4" s="76">
        <f>_xlfn.XLOOKUP(B4,主任核算!P:P,主任核算!W:W,0)</f>
        <v>0</v>
      </c>
      <c r="N4" s="76">
        <f>_xlfn.XLOOKUP(B4,'①考勤-B-a-26考勤汇总表'!D:D,'①考勤-B-a-26考勤汇总表'!U:U,0)</f>
        <v>0</v>
      </c>
      <c r="O4" s="114">
        <f t="shared" si="0"/>
        <v>0</v>
      </c>
      <c r="P4" s="122">
        <f t="shared" si="1"/>
        <v>0</v>
      </c>
      <c r="Q4" s="122">
        <f>_xlfn.XLOOKUP(B4,主任核算!P:P,主任核算!AA:AA,0)</f>
        <v>0</v>
      </c>
    </row>
    <row r="5" spans="1:23" x14ac:dyDescent="0.15">
      <c r="A5" s="72" t="str">
        <f>②当月数据及门店毛利!B7</f>
        <v>华润</v>
      </c>
      <c r="B5" s="88">
        <f>_xlfn.XLOOKUP(A5,主任核算!B:B,主任核算!P:P,0)</f>
        <v>0</v>
      </c>
      <c r="C5" s="76">
        <f>②当月数据及门店毛利!C7</f>
        <v>201952.3</v>
      </c>
      <c r="D5" s="76">
        <f>②当月数据及门店毛利!D7</f>
        <v>179433.01</v>
      </c>
      <c r="E5" s="76">
        <f>②当月数据及门店毛利!E7</f>
        <v>195</v>
      </c>
      <c r="F5" s="76">
        <f>②当月数据及门店毛利!G7</f>
        <v>2114.34</v>
      </c>
      <c r="G5" s="76">
        <f>②当月数据及门店毛利!H7</f>
        <v>701.6</v>
      </c>
      <c r="H5" s="76">
        <f>②当月数据及门店毛利!I7</f>
        <v>2895.52</v>
      </c>
      <c r="I5" s="76">
        <f>②当月数据及门店毛利!J7</f>
        <v>4750</v>
      </c>
      <c r="J5" s="76">
        <f>②当月数据及门店毛利!K7</f>
        <v>0</v>
      </c>
      <c r="K5" s="76">
        <f>②当月数据及门店毛利!L7</f>
        <v>1005.1</v>
      </c>
      <c r="L5" s="76">
        <f>②当月数据及门店毛利!N7</f>
        <v>190485.74</v>
      </c>
      <c r="M5" s="76">
        <f>_xlfn.XLOOKUP(B5,主任核算!P:P,主任核算!W:W,0)</f>
        <v>0</v>
      </c>
      <c r="N5" s="76">
        <f>_xlfn.XLOOKUP(B5,'①考勤-B-a-26考勤汇总表'!D:D,'①考勤-B-a-26考勤汇总表'!U:U,0)</f>
        <v>0</v>
      </c>
      <c r="O5" s="114">
        <f t="shared" si="0"/>
        <v>0</v>
      </c>
      <c r="P5" s="122">
        <f t="shared" si="1"/>
        <v>0</v>
      </c>
      <c r="Q5" s="122">
        <f>_xlfn.XLOOKUP(B5,主任核算!P:P,主任核算!AA:AA,0)</f>
        <v>0</v>
      </c>
    </row>
    <row r="6" spans="1:23" x14ac:dyDescent="0.15">
      <c r="A6" s="72" t="str">
        <f>②当月数据及门店毛利!B8</f>
        <v>静居寺</v>
      </c>
      <c r="B6" s="88">
        <f>_xlfn.XLOOKUP(A6,主任核算!B:B,主任核算!P:P,0)</f>
        <v>0</v>
      </c>
      <c r="C6" s="76">
        <f>②当月数据及门店毛利!C8</f>
        <v>407490.19</v>
      </c>
      <c r="D6" s="76">
        <f>②当月数据及门店毛利!D8</f>
        <v>518617.05</v>
      </c>
      <c r="E6" s="76">
        <f>②当月数据及门店毛利!E8</f>
        <v>206</v>
      </c>
      <c r="F6" s="76">
        <f>②当月数据及门店毛利!G8</f>
        <v>4907.0600000000004</v>
      </c>
      <c r="G6" s="76">
        <f>②当月数据及门店毛利!H8</f>
        <v>689.11</v>
      </c>
      <c r="H6" s="76">
        <f>②当月数据及门店毛利!I8</f>
        <v>3515.1</v>
      </c>
      <c r="I6" s="76">
        <f>②当月数据及门店毛利!J8</f>
        <v>25892.5</v>
      </c>
      <c r="J6" s="76">
        <f>②当月数据及门店毛利!K8</f>
        <v>7360</v>
      </c>
      <c r="K6" s="76">
        <f>②当月数据及门店毛利!L8</f>
        <v>1155.3</v>
      </c>
      <c r="L6" s="76">
        <f>②当月数据及门店毛利!N8</f>
        <v>363971.12</v>
      </c>
      <c r="M6" s="76">
        <f>_xlfn.XLOOKUP(B6,主任核算!P:P,主任核算!W:W,0)</f>
        <v>0</v>
      </c>
      <c r="N6" s="76">
        <f>_xlfn.XLOOKUP(B6,'①考勤-B-a-26考勤汇总表'!D:D,'①考勤-B-a-26考勤汇总表'!U:U,0)</f>
        <v>0</v>
      </c>
      <c r="O6" s="114">
        <f t="shared" si="0"/>
        <v>0</v>
      </c>
      <c r="P6" s="122">
        <f t="shared" si="1"/>
        <v>0</v>
      </c>
      <c r="Q6" s="122">
        <f>_xlfn.XLOOKUP(B6,主任核算!P:P,主任核算!AA:AA,0)</f>
        <v>0</v>
      </c>
    </row>
    <row r="7" spans="1:23" x14ac:dyDescent="0.15">
      <c r="A7" s="72" t="str">
        <f>②当月数据及门店毛利!B9</f>
        <v>优品道</v>
      </c>
      <c r="B7" s="88">
        <f>_xlfn.XLOOKUP(A7,主任核算!B:B,主任核算!P:P,0)</f>
        <v>0</v>
      </c>
      <c r="C7" s="76">
        <f>②当月数据及门店毛利!C9</f>
        <v>160812</v>
      </c>
      <c r="D7" s="76">
        <f>②当月数据及门店毛利!D9</f>
        <v>146778.57999999999</v>
      </c>
      <c r="E7" s="76">
        <f>②当月数据及门店毛利!E9</f>
        <v>192</v>
      </c>
      <c r="F7" s="76">
        <f>②当月数据及门店毛利!G9</f>
        <v>3500</v>
      </c>
      <c r="G7" s="76">
        <f>②当月数据及门店毛利!H9</f>
        <v>1215.3800000000001</v>
      </c>
      <c r="H7" s="76">
        <f>②当月数据及门店毛利!I9</f>
        <v>3582.9</v>
      </c>
      <c r="I7" s="76">
        <f>②当月数据及门店毛利!J9</f>
        <v>5590</v>
      </c>
      <c r="J7" s="76">
        <f>②当月数据及门店毛利!K9</f>
        <v>0</v>
      </c>
      <c r="K7" s="76">
        <f>②当月数据及门店毛利!L9</f>
        <v>920.3</v>
      </c>
      <c r="L7" s="76">
        <f>②当月数据及门店毛利!N9</f>
        <v>146003.42000000001</v>
      </c>
      <c r="M7" s="76">
        <f>_xlfn.XLOOKUP(B7,主任核算!P:P,主任核算!W:W,0)</f>
        <v>0</v>
      </c>
      <c r="N7" s="76">
        <f>_xlfn.XLOOKUP(B7,'①考勤-B-a-26考勤汇总表'!D:D,'①考勤-B-a-26考勤汇总表'!U:U,0)</f>
        <v>0</v>
      </c>
      <c r="O7" s="114">
        <f t="shared" si="0"/>
        <v>0</v>
      </c>
      <c r="P7" s="122">
        <f t="shared" si="1"/>
        <v>0</v>
      </c>
      <c r="Q7" s="122">
        <f>_xlfn.XLOOKUP(B7,主任核算!P:P,主任核算!AA:AA,0)</f>
        <v>0</v>
      </c>
    </row>
    <row r="8" spans="1:23" x14ac:dyDescent="0.15">
      <c r="A8" s="72">
        <f>②当月数据及门店毛利!B10</f>
        <v>468</v>
      </c>
      <c r="B8" s="88" t="str">
        <f>_xlfn.XLOOKUP(A8,主任核算!B:B,主任核算!P:P,0)</f>
        <v>吴敏</v>
      </c>
      <c r="C8" s="76">
        <f>②当月数据及门店毛利!C10</f>
        <v>140295</v>
      </c>
      <c r="D8" s="76">
        <f>②当月数据及门店毛利!D10</f>
        <v>190782.77</v>
      </c>
      <c r="E8" s="76">
        <f>②当月数据及门店毛利!E10</f>
        <v>217</v>
      </c>
      <c r="F8" s="76">
        <f>②当月数据及门店毛利!G10</f>
        <v>3754.95</v>
      </c>
      <c r="G8" s="76">
        <f>②当月数据及门店毛利!H10</f>
        <v>1491.04</v>
      </c>
      <c r="H8" s="76">
        <f>②当月数据及门店毛利!I10</f>
        <v>3218.6</v>
      </c>
      <c r="I8" s="76">
        <f>②当月数据及门店毛利!J10</f>
        <v>3600</v>
      </c>
      <c r="J8" s="76">
        <f>②当月数据及门店毛利!K10</f>
        <v>90</v>
      </c>
      <c r="K8" s="76">
        <f>②当月数据及门店毛利!L10</f>
        <v>947.3</v>
      </c>
      <c r="L8" s="76">
        <f>②当月数据及门店毛利!N10</f>
        <v>127193.11</v>
      </c>
      <c r="M8" s="76">
        <f>_xlfn.XLOOKUP(B8,主任核算!P:P,主任核算!W:W,0)</f>
        <v>3000</v>
      </c>
      <c r="N8" s="76">
        <f>_xlfn.XLOOKUP(B8,'①考勤-B-a-26考勤汇总表'!D:D,'①考勤-B-a-26考勤汇总表'!U:U,0)</f>
        <v>0</v>
      </c>
      <c r="O8" s="114">
        <f t="shared" si="0"/>
        <v>0</v>
      </c>
      <c r="P8" s="122">
        <f t="shared" si="1"/>
        <v>3000</v>
      </c>
      <c r="Q8" s="122">
        <f>_xlfn.XLOOKUP(B8,主任核算!P:P,主任核算!AA:AA,0)</f>
        <v>2543.8622</v>
      </c>
    </row>
    <row r="9" spans="1:23" x14ac:dyDescent="0.15">
      <c r="A9" s="72" t="str">
        <f>②当月数据及门店毛利!B11</f>
        <v>光华</v>
      </c>
      <c r="B9" s="88" t="str">
        <f>_xlfn.XLOOKUP(A9,主任核算!B:B,主任核算!P:P,0)</f>
        <v>刘金凤</v>
      </c>
      <c r="C9" s="76">
        <f>②当月数据及门店毛利!C11</f>
        <v>135590</v>
      </c>
      <c r="D9" s="76">
        <f>②当月数据及门店毛利!D11</f>
        <v>120657.22</v>
      </c>
      <c r="E9" s="76">
        <f>②当月数据及门店毛利!E11</f>
        <v>150</v>
      </c>
      <c r="F9" s="76">
        <f>②当月数据及门店毛利!G11</f>
        <v>1259.28</v>
      </c>
      <c r="G9" s="76">
        <f>②当月数据及门店毛利!H11</f>
        <v>1380.21</v>
      </c>
      <c r="H9" s="76">
        <f>②当月数据及门店毛利!I11</f>
        <v>3929.7</v>
      </c>
      <c r="I9" s="76">
        <f>②当月数据及门店毛利!J11</f>
        <v>3240</v>
      </c>
      <c r="J9" s="76">
        <f>②当月数据及门店毛利!K11</f>
        <v>0</v>
      </c>
      <c r="K9" s="76">
        <f>②当月数据及门店毛利!L11</f>
        <v>428.8</v>
      </c>
      <c r="L9" s="76">
        <f>②当月数据及门店毛利!N11</f>
        <v>125352.01000000001</v>
      </c>
      <c r="M9" s="76">
        <f>_xlfn.XLOOKUP(B9,主任核算!P:P,主任核算!W:W,0)</f>
        <v>2500</v>
      </c>
      <c r="N9" s="76">
        <f>_xlfn.XLOOKUP(B9,'①考勤-B-a-26考勤汇总表'!D:D,'①考勤-B-a-26考勤汇总表'!U:U,0)</f>
        <v>0</v>
      </c>
      <c r="O9" s="114">
        <f t="shared" si="0"/>
        <v>0</v>
      </c>
      <c r="P9" s="122">
        <f t="shared" si="1"/>
        <v>2500</v>
      </c>
      <c r="Q9" s="122">
        <f>_xlfn.XLOOKUP(B9,主任核算!P:P,主任核算!AA:AA,0)</f>
        <v>3133.8002500000002</v>
      </c>
    </row>
    <row r="10" spans="1:23" x14ac:dyDescent="0.15">
      <c r="A10" s="72" t="str">
        <f>②当月数据及门店毛利!B12</f>
        <v>融创</v>
      </c>
      <c r="B10" s="88" t="str">
        <f>_xlfn.XLOOKUP(A10,主任核算!B:B,主任核算!P:P,0)</f>
        <v>李萱君</v>
      </c>
      <c r="C10" s="76">
        <f>②当月数据及门店毛利!C12</f>
        <v>152421</v>
      </c>
      <c r="D10" s="76">
        <f>②当月数据及门店毛利!D12</f>
        <v>117167.22</v>
      </c>
      <c r="E10" s="76">
        <f>②当月数据及门店毛利!E12</f>
        <v>138</v>
      </c>
      <c r="F10" s="76">
        <f>②当月数据及门店毛利!G12</f>
        <v>2889.06</v>
      </c>
      <c r="G10" s="76">
        <f>②当月数据及门店毛利!H12</f>
        <v>981.27</v>
      </c>
      <c r="H10" s="76">
        <f>②当月数据及门店毛利!I12</f>
        <v>2847.42</v>
      </c>
      <c r="I10" s="76">
        <f>②当月数据及门店毛利!J12</f>
        <v>-800</v>
      </c>
      <c r="J10" s="76">
        <f>②当月数据及门店毛利!K12</f>
        <v>0</v>
      </c>
      <c r="K10" s="76">
        <f>②当月数据及门店毛利!L12</f>
        <v>589.20000000000005</v>
      </c>
      <c r="L10" s="76">
        <f>②当月数据及门店毛利!N12</f>
        <v>145914.04999999999</v>
      </c>
      <c r="M10" s="76">
        <f>_xlfn.XLOOKUP(B10,主任核算!P:P,主任核算!W:W,0)</f>
        <v>2500</v>
      </c>
      <c r="N10" s="76">
        <f>_xlfn.XLOOKUP(B10,'①考勤-B-a-26考勤汇总表'!D:D,'①考勤-B-a-26考勤汇总表'!U:U,0)</f>
        <v>0</v>
      </c>
      <c r="O10" s="114">
        <f t="shared" si="0"/>
        <v>0</v>
      </c>
      <c r="P10" s="122">
        <f t="shared" si="1"/>
        <v>2500</v>
      </c>
      <c r="Q10" s="122">
        <f>_xlfn.XLOOKUP(B10,主任核算!P:P,主任核算!AA:AA,0)</f>
        <v>3647.8512499999997</v>
      </c>
    </row>
    <row r="11" spans="1:23" x14ac:dyDescent="0.15">
      <c r="A11" s="72" t="str">
        <f>②当月数据及门店毛利!B13</f>
        <v>川师</v>
      </c>
      <c r="B11" s="88" t="str">
        <f>_xlfn.XLOOKUP(A11,主任核算!B:B,主任核算!P:P,0)</f>
        <v>刘晓林</v>
      </c>
      <c r="C11" s="76">
        <f>②当月数据及门店毛利!C13</f>
        <v>205041</v>
      </c>
      <c r="D11" s="76">
        <f>②当月数据及门店毛利!D13</f>
        <v>194741.48</v>
      </c>
      <c r="E11" s="76">
        <f>②当月数据及门店毛利!E13</f>
        <v>157</v>
      </c>
      <c r="F11" s="76">
        <f>②当月数据及门店毛利!G13</f>
        <v>2000</v>
      </c>
      <c r="G11" s="76">
        <f>②当月数据及门店毛利!H13</f>
        <v>902.66</v>
      </c>
      <c r="H11" s="76">
        <f>②当月数据及门店毛利!I13</f>
        <v>1049.7</v>
      </c>
      <c r="I11" s="76">
        <f>②当月数据及门店毛利!J13</f>
        <v>12845</v>
      </c>
      <c r="J11" s="76">
        <f>②当月数据及门店毛利!K13</f>
        <v>3203</v>
      </c>
      <c r="K11" s="76">
        <f>②当月数据及门店毛利!L13</f>
        <v>701.7</v>
      </c>
      <c r="L11" s="76">
        <f>②当月数据及门店毛利!N13</f>
        <v>184338.94</v>
      </c>
      <c r="M11" s="76">
        <f>_xlfn.XLOOKUP(B11,主任核算!P:P,主任核算!W:W,0)</f>
        <v>2500</v>
      </c>
      <c r="N11" s="76">
        <f>_xlfn.XLOOKUP(B11,'①考勤-B-a-26考勤汇总表'!D:D,'①考勤-B-a-26考勤汇总表'!U:U,0)</f>
        <v>0</v>
      </c>
      <c r="O11" s="114">
        <f t="shared" si="0"/>
        <v>0</v>
      </c>
      <c r="P11" s="122">
        <f t="shared" si="1"/>
        <v>2500</v>
      </c>
      <c r="Q11" s="122">
        <f>_xlfn.XLOOKUP(B11,主任核算!P:P,主任核算!AA:AA,0)</f>
        <v>3686.7788</v>
      </c>
    </row>
    <row r="12" spans="1:23" x14ac:dyDescent="0.15">
      <c r="A12" s="72" t="str">
        <f>②当月数据及门店毛利!B14</f>
        <v>鹭岛</v>
      </c>
      <c r="B12" s="88">
        <f>_xlfn.XLOOKUP(A12,主任核算!B:B,主任核算!P:P,0)</f>
        <v>0</v>
      </c>
      <c r="C12" s="76">
        <f>②当月数据及门店毛利!C14</f>
        <v>111267</v>
      </c>
      <c r="D12" s="76">
        <f>②当月数据及门店毛利!D14</f>
        <v>87745.89</v>
      </c>
      <c r="E12" s="76">
        <f>②当月数据及门店毛利!E14</f>
        <v>142</v>
      </c>
      <c r="F12" s="76">
        <f>②当月数据及门店毛利!G14</f>
        <v>7901.28</v>
      </c>
      <c r="G12" s="76">
        <f>②当月数据及门店毛利!H14</f>
        <v>896.98</v>
      </c>
      <c r="H12" s="76">
        <f>②当月数据及门店毛利!I14</f>
        <v>3666.72</v>
      </c>
      <c r="I12" s="76">
        <f>②当月数据及门店毛利!J14</f>
        <v>2550</v>
      </c>
      <c r="J12" s="76">
        <f>②当月数据及门店毛利!K14</f>
        <v>0</v>
      </c>
      <c r="K12" s="76">
        <f>②当月数据及门店毛利!L14</f>
        <v>717.2</v>
      </c>
      <c r="L12" s="76">
        <f>②当月数据及门店毛利!N14</f>
        <v>95534.82</v>
      </c>
      <c r="M12" s="76">
        <f>_xlfn.XLOOKUP(B12,主任核算!P:P,主任核算!W:W,0)</f>
        <v>0</v>
      </c>
      <c r="N12" s="76">
        <f>_xlfn.XLOOKUP(B12,'①考勤-B-a-26考勤汇总表'!D:D,'①考勤-B-a-26考勤汇总表'!U:U,0)</f>
        <v>0</v>
      </c>
      <c r="O12" s="114">
        <f t="shared" si="0"/>
        <v>0</v>
      </c>
      <c r="P12" s="122">
        <f t="shared" si="1"/>
        <v>0</v>
      </c>
      <c r="Q12" s="122">
        <f>_xlfn.XLOOKUP(B12,主任核算!P:P,主任核算!AA:AA,0)</f>
        <v>0</v>
      </c>
    </row>
    <row r="13" spans="1:23" x14ac:dyDescent="0.15">
      <c r="A13" s="72" t="str">
        <f>②当月数据及门店毛利!B15</f>
        <v>荣华南路</v>
      </c>
      <c r="B13" s="88">
        <f>_xlfn.XLOOKUP(A13,主任核算!B:B,主任核算!P:P,0)</f>
        <v>0</v>
      </c>
      <c r="C13" s="76">
        <f>②当月数据及门店毛利!C15</f>
        <v>180024</v>
      </c>
      <c r="D13" s="76">
        <f>②当月数据及门店毛利!D15</f>
        <v>87671.5</v>
      </c>
      <c r="E13" s="76">
        <f>②当月数据及门店毛利!E15</f>
        <v>140</v>
      </c>
      <c r="F13" s="76">
        <f>②当月数据及门店毛利!G15</f>
        <v>2665.77</v>
      </c>
      <c r="G13" s="76">
        <f>②当月数据及门店毛利!H15</f>
        <v>2365.85</v>
      </c>
      <c r="H13" s="76">
        <f>②当月数据及门店毛利!I15</f>
        <v>2773.14</v>
      </c>
      <c r="I13" s="76">
        <f>②当月数据及门店毛利!J15</f>
        <v>0</v>
      </c>
      <c r="J13" s="76">
        <f>②当月数据及门店毛利!K15</f>
        <v>0</v>
      </c>
      <c r="K13" s="76">
        <f>②当月数据及门店毛利!L15</f>
        <v>858.8</v>
      </c>
      <c r="L13" s="76">
        <f>②当月数据及门店毛利!N15</f>
        <v>171360.44</v>
      </c>
      <c r="M13" s="76">
        <f>_xlfn.XLOOKUP(B13,主任核算!P:P,主任核算!W:W,0)</f>
        <v>0</v>
      </c>
      <c r="N13" s="76">
        <f>_xlfn.XLOOKUP(B13,'①考勤-B-a-26考勤汇总表'!D:D,'①考勤-B-a-26考勤汇总表'!U:U,0)</f>
        <v>0</v>
      </c>
      <c r="O13" s="114">
        <f t="shared" si="0"/>
        <v>0</v>
      </c>
      <c r="P13" s="122">
        <f t="shared" si="1"/>
        <v>0</v>
      </c>
      <c r="Q13" s="122">
        <f>_xlfn.XLOOKUP(B13,主任核算!P:P,主任核算!AA:AA,0)</f>
        <v>0</v>
      </c>
    </row>
    <row r="14" spans="1:23" x14ac:dyDescent="0.15">
      <c r="A14" s="72" t="str">
        <f>②当月数据及门店毛利!B16</f>
        <v>荣华北路</v>
      </c>
      <c r="B14" s="88">
        <f>_xlfn.XLOOKUP(A14,主任核算!B:B,主任核算!P:P,0)</f>
        <v>0</v>
      </c>
      <c r="C14" s="76">
        <f>②当月数据及门店毛利!C16</f>
        <v>153950.6</v>
      </c>
      <c r="D14" s="76">
        <f>②当月数据及门店毛利!D16</f>
        <v>140812.54</v>
      </c>
      <c r="E14" s="76">
        <f>②当月数据及门店毛利!E16</f>
        <v>153</v>
      </c>
      <c r="F14" s="76">
        <f>②当月数据及门店毛利!G16</f>
        <v>3263.25</v>
      </c>
      <c r="G14" s="76">
        <f>②当月数据及门店毛利!H16</f>
        <v>1044.5</v>
      </c>
      <c r="H14" s="76">
        <f>②当月数据及门店毛利!I16</f>
        <v>4129.88</v>
      </c>
      <c r="I14" s="76">
        <f>②当月数据及门店毛利!J16</f>
        <v>2040</v>
      </c>
      <c r="J14" s="76">
        <f>②当月数据及门店毛利!K16</f>
        <v>0</v>
      </c>
      <c r="K14" s="76">
        <f>②当月数据及门店毛利!L16</f>
        <v>888.4</v>
      </c>
      <c r="L14" s="76">
        <f>②当月数据及门店毛利!N16</f>
        <v>142584.57</v>
      </c>
      <c r="M14" s="76">
        <f>_xlfn.XLOOKUP(B14,主任核算!P:P,主任核算!W:W,0)</f>
        <v>0</v>
      </c>
      <c r="N14" s="76">
        <f>_xlfn.XLOOKUP(B14,'①考勤-B-a-26考勤汇总表'!D:D,'①考勤-B-a-26考勤汇总表'!U:U,0)</f>
        <v>0</v>
      </c>
      <c r="O14" s="114">
        <f t="shared" si="0"/>
        <v>0</v>
      </c>
      <c r="P14" s="122">
        <f t="shared" si="1"/>
        <v>0</v>
      </c>
      <c r="Q14" s="122">
        <f>_xlfn.XLOOKUP(B14,主任核算!P:P,主任核算!AA:AA,0)</f>
        <v>0</v>
      </c>
    </row>
    <row r="15" spans="1:23" x14ac:dyDescent="0.15">
      <c r="A15" s="72" t="str">
        <f>②当月数据及门店毛利!B17</f>
        <v>涌泉</v>
      </c>
      <c r="B15" s="88" t="str">
        <f>_xlfn.XLOOKUP(A15,主任核算!B:B,主任核算!P:P,0)</f>
        <v>高红艳</v>
      </c>
      <c r="C15" s="76">
        <f>②当月数据及门店毛利!C17</f>
        <v>169632</v>
      </c>
      <c r="D15" s="76">
        <f>②当月数据及门店毛利!D17</f>
        <v>139162.62</v>
      </c>
      <c r="E15" s="76">
        <f>②当月数据及门店毛利!E17</f>
        <v>180</v>
      </c>
      <c r="F15" s="76">
        <f>②当月数据及门店毛利!G17</f>
        <v>4000</v>
      </c>
      <c r="G15" s="76">
        <f>②当月数据及门店毛利!H17</f>
        <v>869.26</v>
      </c>
      <c r="H15" s="76">
        <f>②当月数据及门店毛利!I17</f>
        <v>4870.34</v>
      </c>
      <c r="I15" s="76">
        <f>②当月数据及门店毛利!J17</f>
        <v>17777.5</v>
      </c>
      <c r="J15" s="76">
        <f>②当月数据及门店毛利!K17</f>
        <v>0</v>
      </c>
      <c r="K15" s="76">
        <f>②当月数据及门店毛利!L17</f>
        <v>817.1</v>
      </c>
      <c r="L15" s="76">
        <f>②当月数据及门店毛利!N17</f>
        <v>141297.79999999999</v>
      </c>
      <c r="M15" s="76">
        <f>_xlfn.XLOOKUP(B15,主任核算!P:P,主任核算!W:W,0)</f>
        <v>3000</v>
      </c>
      <c r="N15" s="76">
        <f>_xlfn.XLOOKUP(B15,'①考勤-B-a-26考勤汇总表'!D:D,'①考勤-B-a-26考勤汇总表'!U:U,0)</f>
        <v>0</v>
      </c>
      <c r="O15" s="114">
        <f t="shared" si="0"/>
        <v>0</v>
      </c>
      <c r="P15" s="122">
        <f t="shared" si="1"/>
        <v>3000</v>
      </c>
      <c r="Q15" s="122">
        <f>_xlfn.XLOOKUP(B15,主任核算!P:P,主任核算!AA:AA,0)</f>
        <v>3532.4449999999997</v>
      </c>
    </row>
    <row r="16" spans="1:23" x14ac:dyDescent="0.15">
      <c r="A16" s="72" t="str">
        <f>②当月数据及门店毛利!B18</f>
        <v>大丰</v>
      </c>
      <c r="B16" s="88">
        <f>_xlfn.XLOOKUP(A16,主任核算!B:B,主任核算!P:P,0)</f>
        <v>0</v>
      </c>
      <c r="C16" s="76">
        <f>②当月数据及门店毛利!C18</f>
        <v>200049.7</v>
      </c>
      <c r="D16" s="76">
        <f>②当月数据及门店毛利!D18</f>
        <v>192405.22</v>
      </c>
      <c r="E16" s="76">
        <f>②当月数据及门店毛利!E18</f>
        <v>172</v>
      </c>
      <c r="F16" s="76">
        <f>②当月数据及门店毛利!G18</f>
        <v>2686.64</v>
      </c>
      <c r="G16" s="76">
        <f>②当月数据及门店毛利!H18</f>
        <v>1269.98</v>
      </c>
      <c r="H16" s="76">
        <f>②当月数据及门店毛利!I18</f>
        <v>2572.54</v>
      </c>
      <c r="I16" s="76">
        <f>②当月数据及门店毛利!J18</f>
        <v>10560</v>
      </c>
      <c r="J16" s="76">
        <f>②当月数据及门店毛利!K18</f>
        <v>281.39999999999998</v>
      </c>
      <c r="K16" s="76">
        <f>②当月数据及门店毛利!L18</f>
        <v>820.9</v>
      </c>
      <c r="L16" s="76">
        <f>②当月数据及门店毛利!N18</f>
        <v>181858.24000000002</v>
      </c>
      <c r="M16" s="76">
        <f>_xlfn.XLOOKUP(B16,主任核算!P:P,主任核算!W:W,0)</f>
        <v>0</v>
      </c>
      <c r="N16" s="76">
        <f>_xlfn.XLOOKUP(B16,'①考勤-B-a-26考勤汇总表'!D:D,'①考勤-B-a-26考勤汇总表'!U:U,0)</f>
        <v>0</v>
      </c>
      <c r="O16" s="114">
        <f t="shared" si="0"/>
        <v>0</v>
      </c>
      <c r="P16" s="122">
        <f t="shared" si="1"/>
        <v>0</v>
      </c>
      <c r="Q16" s="122">
        <f>_xlfn.XLOOKUP(B16,主任核算!P:P,主任核算!AA:AA,0)</f>
        <v>0</v>
      </c>
    </row>
    <row r="17" spans="1:17" x14ac:dyDescent="0.15">
      <c r="A17" s="72" t="str">
        <f>②当月数据及门店毛利!B19</f>
        <v>双流</v>
      </c>
      <c r="B17" s="88">
        <f>_xlfn.XLOOKUP(A17,主任核算!B:B,主任核算!P:P,0)</f>
        <v>0</v>
      </c>
      <c r="C17" s="76">
        <f>②当月数据及门店毛利!C19</f>
        <v>311108</v>
      </c>
      <c r="D17" s="76">
        <f>②当月数据及门店毛利!D19</f>
        <v>291471.05</v>
      </c>
      <c r="E17" s="76">
        <f>②当月数据及门店毛利!E19</f>
        <v>163</v>
      </c>
      <c r="F17" s="76">
        <f>②当月数据及门店毛利!G19</f>
        <v>2500</v>
      </c>
      <c r="G17" s="76">
        <f>②当月数据及门店毛利!H19</f>
        <v>571.79</v>
      </c>
      <c r="H17" s="76">
        <f>②当月数据及门店毛利!I19</f>
        <v>3078.24</v>
      </c>
      <c r="I17" s="76">
        <f>②当月数据及门店毛利!J19</f>
        <v>62020</v>
      </c>
      <c r="J17" s="76">
        <f>②当月数据及门店毛利!K19</f>
        <v>5200</v>
      </c>
      <c r="K17" s="76">
        <f>②当月数据及门店毛利!L19</f>
        <v>722.2</v>
      </c>
      <c r="L17" s="76">
        <f>②当月数据及门店毛利!N19</f>
        <v>237015.77000000002</v>
      </c>
      <c r="M17" s="76">
        <f>_xlfn.XLOOKUP(B17,主任核算!P:P,主任核算!W:W,0)</f>
        <v>0</v>
      </c>
      <c r="N17" s="76">
        <f>_xlfn.XLOOKUP(B17,'①考勤-B-a-26考勤汇总表'!D:D,'①考勤-B-a-26考勤汇总表'!U:U,0)</f>
        <v>0</v>
      </c>
      <c r="O17" s="114">
        <f t="shared" si="0"/>
        <v>0</v>
      </c>
      <c r="P17" s="122">
        <f t="shared" si="1"/>
        <v>0</v>
      </c>
      <c r="Q17" s="122">
        <f>_xlfn.XLOOKUP(B17,主任核算!P:P,主任核算!AA:AA,0)</f>
        <v>0</v>
      </c>
    </row>
    <row r="18" spans="1:17" x14ac:dyDescent="0.15">
      <c r="A18" s="72" t="str">
        <f>②当月数据及门店毛利!B20</f>
        <v>骑士郡</v>
      </c>
      <c r="B18" s="88" t="str">
        <f>_xlfn.XLOOKUP(A18,主任核算!B:B,主任核算!P:P,0)</f>
        <v>康丹</v>
      </c>
      <c r="C18" s="76">
        <f>②当月数据及门店毛利!C20</f>
        <v>158633</v>
      </c>
      <c r="D18" s="76">
        <f>②当月数据及门店毛利!D20</f>
        <v>123760.98</v>
      </c>
      <c r="E18" s="76">
        <f>②当月数据及门店毛利!E20</f>
        <v>177</v>
      </c>
      <c r="F18" s="76">
        <f>②当月数据及门店毛利!G20</f>
        <v>4219.55</v>
      </c>
      <c r="G18" s="76">
        <f>②当月数据及门店毛利!H20</f>
        <v>955.53</v>
      </c>
      <c r="H18" s="76">
        <f>②当月数据及门店毛利!I20</f>
        <v>3464.34</v>
      </c>
      <c r="I18" s="76">
        <f>②当月数据及门店毛利!J20</f>
        <v>-3750</v>
      </c>
      <c r="J18" s="76">
        <f>②当月数据及门店毛利!K20</f>
        <v>300</v>
      </c>
      <c r="K18" s="76">
        <f>②当月数据及门店毛利!L20</f>
        <v>1373.4</v>
      </c>
      <c r="L18" s="76">
        <f>②当月数据及门店毛利!N20</f>
        <v>152070.18</v>
      </c>
      <c r="M18" s="76">
        <f>_xlfn.XLOOKUP(B18,主任核算!P:P,主任核算!W:W,0)</f>
        <v>2500</v>
      </c>
      <c r="N18" s="76">
        <f>_xlfn.XLOOKUP(B18,'①考勤-B-a-26考勤汇总表'!D:D,'①考勤-B-a-26考勤汇总表'!U:U,0)</f>
        <v>0</v>
      </c>
      <c r="O18" s="114">
        <f t="shared" si="0"/>
        <v>0</v>
      </c>
      <c r="P18" s="122">
        <f t="shared" si="1"/>
        <v>2500</v>
      </c>
      <c r="Q18" s="122">
        <f>_xlfn.XLOOKUP(B18,主任核算!P:P,主任核算!AA:AA,0)</f>
        <v>3041.4036000000001</v>
      </c>
    </row>
    <row r="19" spans="1:17" x14ac:dyDescent="0.15">
      <c r="A19" s="72" t="str">
        <f>②当月数据及门店毛利!B21</f>
        <v>明信</v>
      </c>
      <c r="B19" s="88">
        <f>_xlfn.XLOOKUP(A19,主任核算!B:B,主任核算!P:P,0)</f>
        <v>0</v>
      </c>
      <c r="C19" s="76">
        <f>②当月数据及门店毛利!C21</f>
        <v>92371</v>
      </c>
      <c r="D19" s="76">
        <f>②当月数据及门店毛利!D21</f>
        <v>58105.8</v>
      </c>
      <c r="E19" s="76">
        <f>②当月数据及门店毛利!E21</f>
        <v>169</v>
      </c>
      <c r="F19" s="76">
        <f>②当月数据及门店毛利!G21</f>
        <v>156</v>
      </c>
      <c r="G19" s="76">
        <f>②当月数据及门店毛利!H21</f>
        <v>375.92</v>
      </c>
      <c r="H19" s="76">
        <f>②当月数据及门店毛利!I21</f>
        <v>3175.2</v>
      </c>
      <c r="I19" s="76">
        <f>②当月数据及门店毛利!J21</f>
        <v>0</v>
      </c>
      <c r="J19" s="76">
        <f>②当月数据及门店毛利!K21</f>
        <v>0</v>
      </c>
      <c r="K19" s="76">
        <f>②当月数据及门店毛利!L21</f>
        <v>723.3</v>
      </c>
      <c r="L19" s="76">
        <f>②当月数据及门店毛利!N21</f>
        <v>87940.58</v>
      </c>
      <c r="M19" s="76">
        <f>_xlfn.XLOOKUP(B19,主任核算!P:P,主任核算!W:W,0)</f>
        <v>0</v>
      </c>
      <c r="N19" s="76">
        <f>_xlfn.XLOOKUP(B19,'①考勤-B-a-26考勤汇总表'!D:D,'①考勤-B-a-26考勤汇总表'!U:U,0)</f>
        <v>0</v>
      </c>
      <c r="O19" s="114">
        <f t="shared" si="0"/>
        <v>0</v>
      </c>
      <c r="P19" s="122">
        <f t="shared" si="1"/>
        <v>0</v>
      </c>
      <c r="Q19" s="122">
        <f>_xlfn.XLOOKUP(B19,主任核算!P:P,主任核算!AA:AA,0)</f>
        <v>0</v>
      </c>
    </row>
    <row r="20" spans="1:17" x14ac:dyDescent="0.15">
      <c r="A20" s="72" t="str">
        <f>②当月数据及门店毛利!B22</f>
        <v>犀浦</v>
      </c>
      <c r="B20" s="88">
        <f>_xlfn.XLOOKUP(A20,主任核算!B:B,主任核算!P:P,0)</f>
        <v>0</v>
      </c>
      <c r="C20" s="76">
        <f>②当月数据及门店毛利!C22</f>
        <v>100934</v>
      </c>
      <c r="D20" s="76">
        <f>②当月数据及门店毛利!D22</f>
        <v>120573.32</v>
      </c>
      <c r="E20" s="76">
        <f>②当月数据及门店毛利!E22</f>
        <v>183</v>
      </c>
      <c r="F20" s="76">
        <f>②当月数据及门店毛利!G22</f>
        <v>5076.66</v>
      </c>
      <c r="G20" s="76">
        <f>②当月数据及门店毛利!H22</f>
        <v>1209.6500000000001</v>
      </c>
      <c r="H20" s="76">
        <f>②当月数据及门店毛利!I22</f>
        <v>4620.6000000000004</v>
      </c>
      <c r="I20" s="76">
        <f>②当月数据及门店毛利!J22</f>
        <v>0</v>
      </c>
      <c r="J20" s="76">
        <f>②当月数据及门店毛利!K22</f>
        <v>0</v>
      </c>
      <c r="K20" s="76">
        <f>②当月数据及门店毛利!L22</f>
        <v>930.3</v>
      </c>
      <c r="L20" s="76">
        <f>②当月数据及门店毛利!N22</f>
        <v>89096.790000000008</v>
      </c>
      <c r="M20" s="76">
        <f>_xlfn.XLOOKUP(B20,主任核算!P:P,主任核算!W:W,0)</f>
        <v>0</v>
      </c>
      <c r="N20" s="76">
        <f>_xlfn.XLOOKUP(B20,'①考勤-B-a-26考勤汇总表'!D:D,'①考勤-B-a-26考勤汇总表'!U:U,0)</f>
        <v>0</v>
      </c>
      <c r="O20" s="114">
        <f t="shared" si="0"/>
        <v>0</v>
      </c>
      <c r="P20" s="122">
        <f t="shared" si="1"/>
        <v>0</v>
      </c>
      <c r="Q20" s="122">
        <f>_xlfn.XLOOKUP(B20,主任核算!P:P,主任核算!AA:AA,0)</f>
        <v>0</v>
      </c>
    </row>
    <row r="21" spans="1:17" x14ac:dyDescent="0.15">
      <c r="A21" s="72" t="str">
        <f>②当月数据及门店毛利!B23</f>
        <v>千禧</v>
      </c>
      <c r="B21" s="88">
        <f>_xlfn.XLOOKUP(A21,主任核算!B:B,主任核算!P:P,0)</f>
        <v>0</v>
      </c>
      <c r="C21" s="76">
        <f>②当月数据及门店毛利!C23</f>
        <v>151129</v>
      </c>
      <c r="D21" s="76">
        <f>②当月数据及门店毛利!D23</f>
        <v>112580.75</v>
      </c>
      <c r="E21" s="76">
        <f>②当月数据及门店毛利!E23</f>
        <v>164</v>
      </c>
      <c r="F21" s="76">
        <f>②当月数据及门店毛利!G23</f>
        <v>6040.43</v>
      </c>
      <c r="G21" s="76">
        <f>②当月数据及门店毛利!H23</f>
        <v>477.24</v>
      </c>
      <c r="H21" s="76">
        <f>②当月数据及门店毛利!I23</f>
        <v>3086.14</v>
      </c>
      <c r="I21" s="76">
        <f>②当月数据及门店毛利!J23</f>
        <v>-4305</v>
      </c>
      <c r="J21" s="76">
        <f>②当月数据及门店毛利!K23</f>
        <v>0</v>
      </c>
      <c r="K21" s="76">
        <f>②当月数据及门店毛利!L23</f>
        <v>871.5</v>
      </c>
      <c r="L21" s="76">
        <f>②当月数据及门店毛利!N23</f>
        <v>144958.69</v>
      </c>
      <c r="M21" s="76">
        <f>_xlfn.XLOOKUP(B21,主任核算!P:P,主任核算!W:W,0)</f>
        <v>0</v>
      </c>
      <c r="N21" s="76">
        <f>_xlfn.XLOOKUP(B21,'①考勤-B-a-26考勤汇总表'!D:D,'①考勤-B-a-26考勤汇总表'!U:U,0)</f>
        <v>0</v>
      </c>
      <c r="O21" s="114">
        <f t="shared" si="0"/>
        <v>0</v>
      </c>
      <c r="P21" s="122">
        <f t="shared" si="1"/>
        <v>0</v>
      </c>
      <c r="Q21" s="122">
        <f>_xlfn.XLOOKUP(B21,主任核算!P:P,主任核算!AA:AA,0)</f>
        <v>0</v>
      </c>
    </row>
    <row r="22" spans="1:17" x14ac:dyDescent="0.15">
      <c r="A22" s="72" t="str">
        <f>②当月数据及门店毛利!B24</f>
        <v>亚洲湾</v>
      </c>
      <c r="B22" s="88">
        <f>_xlfn.XLOOKUP(A22,主任核算!B:B,主任核算!P:P,0)</f>
        <v>0</v>
      </c>
      <c r="C22" s="76">
        <f>②当月数据及门店毛利!C24</f>
        <v>143757</v>
      </c>
      <c r="D22" s="76">
        <f>②当月数据及门店毛利!D24</f>
        <v>100865.33</v>
      </c>
      <c r="E22" s="76">
        <f>②当月数据及门店毛利!E24</f>
        <v>156</v>
      </c>
      <c r="F22" s="76">
        <f>②当月数据及门店毛利!G24</f>
        <v>3000</v>
      </c>
      <c r="G22" s="76">
        <f>②当月数据及门店毛利!H24</f>
        <v>681.77</v>
      </c>
      <c r="H22" s="76">
        <f>②当月数据及门店毛利!I24</f>
        <v>2764.42</v>
      </c>
      <c r="I22" s="76">
        <f>②当月数据及门店毛利!J24</f>
        <v>10520</v>
      </c>
      <c r="J22" s="76">
        <f>②当月数据及门店毛利!K24</f>
        <v>0</v>
      </c>
      <c r="K22" s="76">
        <f>②当月数据及门店毛利!L24</f>
        <v>618.70000000000005</v>
      </c>
      <c r="L22" s="76">
        <f>②当月数据及门店毛利!N24</f>
        <v>126172.11</v>
      </c>
      <c r="M22" s="76">
        <f>_xlfn.XLOOKUP(B22,主任核算!P:P,主任核算!W:W,0)</f>
        <v>0</v>
      </c>
      <c r="N22" s="76">
        <f>_xlfn.XLOOKUP(B22,'①考勤-B-a-26考勤汇总表'!D:D,'①考勤-B-a-26考勤汇总表'!U:U,0)</f>
        <v>0</v>
      </c>
      <c r="O22" s="114">
        <f t="shared" si="0"/>
        <v>0</v>
      </c>
      <c r="P22" s="122">
        <f t="shared" si="1"/>
        <v>0</v>
      </c>
      <c r="Q22" s="122">
        <f>_xlfn.XLOOKUP(B22,主任核算!P:P,主任核算!AA:AA,0)</f>
        <v>0</v>
      </c>
    </row>
    <row r="23" spans="1:17" x14ac:dyDescent="0.15">
      <c r="A23" s="72" t="str">
        <f>②当月数据及门店毛利!B25</f>
        <v>中和</v>
      </c>
      <c r="B23" s="88">
        <f>_xlfn.XLOOKUP(A23,主任核算!B:B,主任核算!P:P,0)</f>
        <v>0</v>
      </c>
      <c r="C23" s="76">
        <f>②当月数据及门店毛利!C25</f>
        <v>150422</v>
      </c>
      <c r="D23" s="76">
        <f>②当月数据及门店毛利!D25</f>
        <v>103361.72</v>
      </c>
      <c r="E23" s="76">
        <f>②当月数据及门店毛利!E25</f>
        <v>111</v>
      </c>
      <c r="F23" s="76">
        <f>②当月数据及门店毛利!G25</f>
        <v>2371.5</v>
      </c>
      <c r="G23" s="76">
        <f>②当月数据及门店毛利!H25</f>
        <v>1827.5</v>
      </c>
      <c r="H23" s="76">
        <f>②当月数据及门店毛利!I25</f>
        <v>3256.3</v>
      </c>
      <c r="I23" s="76">
        <f>②当月数据及门店毛利!J25</f>
        <v>4590</v>
      </c>
      <c r="J23" s="76">
        <f>②当月数据及门店毛利!K25</f>
        <v>0</v>
      </c>
      <c r="K23" s="76">
        <f>②当月数据及门店毛利!L25</f>
        <v>791.3</v>
      </c>
      <c r="L23" s="76">
        <f>②当月数据及门店毛利!N25</f>
        <v>137585.4</v>
      </c>
      <c r="M23" s="76">
        <f>_xlfn.XLOOKUP(B23,主任核算!P:P,主任核算!W:W,0)</f>
        <v>0</v>
      </c>
      <c r="N23" s="76">
        <f>_xlfn.XLOOKUP(B23,'①考勤-B-a-26考勤汇总表'!D:D,'①考勤-B-a-26考勤汇总表'!U:U,0)</f>
        <v>0</v>
      </c>
      <c r="O23" s="114">
        <f t="shared" si="0"/>
        <v>0</v>
      </c>
      <c r="P23" s="122">
        <f t="shared" si="1"/>
        <v>0</v>
      </c>
      <c r="Q23" s="122">
        <f>_xlfn.XLOOKUP(B23,主任核算!P:P,主任核算!AA:AA,0)</f>
        <v>0</v>
      </c>
    </row>
    <row r="24" spans="1:17" x14ac:dyDescent="0.15">
      <c r="A24" s="72" t="str">
        <f>②当月数据及门店毛利!B26</f>
        <v>凤凰山</v>
      </c>
      <c r="B24" s="88">
        <f>_xlfn.XLOOKUP(A24,主任核算!B:B,主任核算!P:P,0)</f>
        <v>0</v>
      </c>
      <c r="C24" s="76">
        <f>②当月数据及门店毛利!C26</f>
        <v>180307.8</v>
      </c>
      <c r="D24" s="76">
        <f>②当月数据及门店毛利!D26</f>
        <v>89092.800000000003</v>
      </c>
      <c r="E24" s="76">
        <f>②当月数据及门店毛利!E26</f>
        <v>154</v>
      </c>
      <c r="F24" s="76">
        <f>②当月数据及门店毛利!G26</f>
        <v>4438.3599999999997</v>
      </c>
      <c r="G24" s="76">
        <f>②当月数据及门店毛利!H26</f>
        <v>1593.28</v>
      </c>
      <c r="H24" s="76">
        <f>②当月数据及门店毛利!I26</f>
        <v>4101.6000000000004</v>
      </c>
      <c r="I24" s="76">
        <f>②当月数据及门店毛利!J26</f>
        <v>1655</v>
      </c>
      <c r="J24" s="76">
        <f>②当月数据及门店毛利!K26</f>
        <v>0</v>
      </c>
      <c r="K24" s="76">
        <f>②当月数据及门店毛利!L26</f>
        <v>1122.5</v>
      </c>
      <c r="L24" s="76">
        <f>②当月数据及门店毛利!N26</f>
        <v>167397.06</v>
      </c>
      <c r="M24" s="76">
        <f>_xlfn.XLOOKUP(B24,主任核算!P:P,主任核算!W:W,0)</f>
        <v>0</v>
      </c>
      <c r="N24" s="76">
        <f>_xlfn.XLOOKUP(B24,'①考勤-B-a-26考勤汇总表'!D:D,'①考勤-B-a-26考勤汇总表'!U:U,0)</f>
        <v>0</v>
      </c>
      <c r="O24" s="114">
        <f t="shared" si="0"/>
        <v>0</v>
      </c>
      <c r="P24" s="122">
        <f t="shared" si="1"/>
        <v>0</v>
      </c>
      <c r="Q24" s="122">
        <f>_xlfn.XLOOKUP(B24,主任核算!P:P,主任核算!AA:AA,0)</f>
        <v>0</v>
      </c>
    </row>
    <row r="25" spans="1:17" x14ac:dyDescent="0.15">
      <c r="A25" s="72" t="str">
        <f>②当月数据及门店毛利!B27</f>
        <v>南湖</v>
      </c>
      <c r="B25" s="88">
        <f>_xlfn.XLOOKUP(A25,主任核算!B:B,主任核算!P:P,0)</f>
        <v>0</v>
      </c>
      <c r="C25" s="76">
        <f>②当月数据及门店毛利!C27</f>
        <v>139022</v>
      </c>
      <c r="D25" s="76">
        <f>②当月数据及门店毛利!D27</f>
        <v>127157.72</v>
      </c>
      <c r="E25" s="76">
        <f>②当月数据及门店毛利!E27</f>
        <v>191</v>
      </c>
      <c r="F25" s="76">
        <f>②当月数据及门店毛利!G27</f>
        <v>4456.45</v>
      </c>
      <c r="G25" s="76">
        <f>②当月数据及门店毛利!H27</f>
        <v>1510.72</v>
      </c>
      <c r="H25" s="76">
        <f>②当月数据及门店毛利!I27</f>
        <v>3717.66</v>
      </c>
      <c r="I25" s="76">
        <f>②当月数据及门店毛利!J27</f>
        <v>8980</v>
      </c>
      <c r="J25" s="76">
        <f>②当月数据及门店毛利!K27</f>
        <v>0</v>
      </c>
      <c r="K25" s="76">
        <f>②当月数据及门店毛利!L27</f>
        <v>881.5</v>
      </c>
      <c r="L25" s="76">
        <f>②当月数据及门店毛利!N27</f>
        <v>119475.67</v>
      </c>
      <c r="M25" s="76">
        <f>_xlfn.XLOOKUP(B25,主任核算!P:P,主任核算!W:W,0)</f>
        <v>0</v>
      </c>
      <c r="N25" s="76">
        <f>_xlfn.XLOOKUP(B25,'①考勤-B-a-26考勤汇总表'!D:D,'①考勤-B-a-26考勤汇总表'!U:U,0)</f>
        <v>0</v>
      </c>
      <c r="O25" s="114">
        <f t="shared" si="0"/>
        <v>0</v>
      </c>
      <c r="P25" s="122">
        <f t="shared" si="1"/>
        <v>0</v>
      </c>
      <c r="Q25" s="122">
        <f>_xlfn.XLOOKUP(B25,主任核算!P:P,主任核算!AA:AA,0)</f>
        <v>0</v>
      </c>
    </row>
    <row r="26" spans="1:17" x14ac:dyDescent="0.15">
      <c r="A26" s="72" t="str">
        <f>②当月数据及门店毛利!B28</f>
        <v>大源</v>
      </c>
      <c r="B26" s="88">
        <f>_xlfn.XLOOKUP(A26,主任核算!B:B,主任核算!P:P,0)</f>
        <v>0</v>
      </c>
      <c r="C26" s="76">
        <f>②当月数据及门店毛利!C28</f>
        <v>120949.6</v>
      </c>
      <c r="D26" s="76">
        <f>②当月数据及门店毛利!D28</f>
        <v>82307.44</v>
      </c>
      <c r="E26" s="76">
        <f>②当月数据及门店毛利!E28</f>
        <v>149</v>
      </c>
      <c r="F26" s="76">
        <f>②当月数据及门店毛利!G28</f>
        <v>3699.8</v>
      </c>
      <c r="G26" s="76">
        <f>②当月数据及门店毛利!H28</f>
        <v>646.76</v>
      </c>
      <c r="H26" s="76">
        <f>②当月数据及门店毛利!I28</f>
        <v>6831.08</v>
      </c>
      <c r="I26" s="76">
        <f>②当月数据及门店毛利!J28</f>
        <v>7225</v>
      </c>
      <c r="J26" s="76">
        <f>②当月数据及门店毛利!K28</f>
        <v>0</v>
      </c>
      <c r="K26" s="76">
        <f>②当月数据及门店毛利!L28</f>
        <v>525.5</v>
      </c>
      <c r="L26" s="76">
        <f>②当月数据及门店毛利!N28</f>
        <v>102021.46</v>
      </c>
      <c r="M26" s="76">
        <f>_xlfn.XLOOKUP(B26,主任核算!P:P,主任核算!W:W,0)</f>
        <v>0</v>
      </c>
      <c r="N26" s="76">
        <f>_xlfn.XLOOKUP(B26,'①考勤-B-a-26考勤汇总表'!D:D,'①考勤-B-a-26考勤汇总表'!U:U,0)</f>
        <v>0</v>
      </c>
      <c r="O26" s="114">
        <f t="shared" si="0"/>
        <v>0</v>
      </c>
      <c r="P26" s="122">
        <f t="shared" si="1"/>
        <v>0</v>
      </c>
      <c r="Q26" s="122">
        <f>_xlfn.XLOOKUP(B26,主任核算!P:P,主任核算!AA:AA,0)</f>
        <v>0</v>
      </c>
    </row>
    <row r="27" spans="1:17" x14ac:dyDescent="0.15">
      <c r="A27" s="72" t="str">
        <f>②当月数据及门店毛利!B29</f>
        <v>红光</v>
      </c>
      <c r="B27" s="88">
        <f>_xlfn.XLOOKUP(A27,主任核算!B:B,主任核算!P:P,0)</f>
        <v>0</v>
      </c>
      <c r="C27" s="76">
        <f>②当月数据及门店毛利!C29</f>
        <v>259744.88</v>
      </c>
      <c r="D27" s="76">
        <f>②当月数据及门店毛利!D29</f>
        <v>180406.1</v>
      </c>
      <c r="E27" s="76">
        <f>②当月数据及门店毛利!E29</f>
        <v>155</v>
      </c>
      <c r="F27" s="76">
        <f>②当月数据及门店毛利!G29</f>
        <v>2250</v>
      </c>
      <c r="G27" s="76">
        <f>②当月数据及门店毛利!H29</f>
        <v>892.58</v>
      </c>
      <c r="H27" s="76">
        <f>②当月数据及门店毛利!I29</f>
        <v>2190.88</v>
      </c>
      <c r="I27" s="76">
        <f>②当月数据及门店毛利!J29</f>
        <v>39560</v>
      </c>
      <c r="J27" s="76">
        <f>②当月数据及门店毛利!K29</f>
        <v>0</v>
      </c>
      <c r="K27" s="76">
        <f>②当月数据及门店毛利!L29</f>
        <v>582.9</v>
      </c>
      <c r="L27" s="76">
        <f>②当月数据及门店毛利!N29</f>
        <v>214268.52000000002</v>
      </c>
      <c r="M27" s="76">
        <f>_xlfn.XLOOKUP(B27,主任核算!P:P,主任核算!W:W,0)</f>
        <v>0</v>
      </c>
      <c r="N27" s="76">
        <f>_xlfn.XLOOKUP(B27,'①考勤-B-a-26考勤汇总表'!D:D,'①考勤-B-a-26考勤汇总表'!U:U,0)</f>
        <v>0</v>
      </c>
      <c r="O27" s="114">
        <f t="shared" si="0"/>
        <v>0</v>
      </c>
      <c r="P27" s="122">
        <f t="shared" si="1"/>
        <v>0</v>
      </c>
      <c r="Q27" s="122">
        <f>_xlfn.XLOOKUP(B27,主任核算!P:P,主任核算!AA:AA,0)</f>
        <v>0</v>
      </c>
    </row>
    <row r="28" spans="1:17" x14ac:dyDescent="0.15">
      <c r="A28" s="72" t="str">
        <f>②当月数据及门店毛利!B30</f>
        <v>保利</v>
      </c>
      <c r="B28" s="88" t="str">
        <f>_xlfn.XLOOKUP(A28,主任核算!B:B,主任核算!P:P,0)</f>
        <v>罗林芳</v>
      </c>
      <c r="C28" s="76">
        <f>②当月数据及门店毛利!C30</f>
        <v>150031.32999999999</v>
      </c>
      <c r="D28" s="76">
        <f>②当月数据及门店毛利!D30</f>
        <v>65878.570000000007</v>
      </c>
      <c r="E28" s="76">
        <f>②当月数据及门店毛利!E30</f>
        <v>186</v>
      </c>
      <c r="F28" s="76">
        <f>②当月数据及门店毛利!G30</f>
        <v>4509.84</v>
      </c>
      <c r="G28" s="76">
        <f>②当月数据及门店毛利!H30</f>
        <v>1001.07</v>
      </c>
      <c r="H28" s="76">
        <f>②当月数据及门店毛利!I30</f>
        <v>4515.3</v>
      </c>
      <c r="I28" s="76">
        <f>②当月数据及门店毛利!J30</f>
        <v>5940</v>
      </c>
      <c r="J28" s="76">
        <f>②当月数据及门店毛利!K30</f>
        <v>0</v>
      </c>
      <c r="K28" s="76">
        <f>②当月数据及门店毛利!L30</f>
        <v>537.20000000000005</v>
      </c>
      <c r="L28" s="76">
        <f>②当月数据及门店毛利!N30</f>
        <v>133527.91999999998</v>
      </c>
      <c r="M28" s="76">
        <f>_xlfn.XLOOKUP(B28,主任核算!P:P,主任核算!W:W,0)</f>
        <v>3500</v>
      </c>
      <c r="N28" s="76">
        <f>_xlfn.XLOOKUP(B28,'①考勤-B-a-26考勤汇总表'!D:D,'①考勤-B-a-26考勤汇总表'!U:U,0)</f>
        <v>0</v>
      </c>
      <c r="O28" s="114">
        <f t="shared" si="0"/>
        <v>0</v>
      </c>
      <c r="P28" s="122">
        <f t="shared" si="1"/>
        <v>3500</v>
      </c>
      <c r="Q28" s="122">
        <f>_xlfn.XLOOKUP(B28,主任核算!P:P,主任核算!AA:AA,0)</f>
        <v>2670.5583999999999</v>
      </c>
    </row>
    <row r="29" spans="1:17" x14ac:dyDescent="0.15">
      <c r="A29" s="72" t="str">
        <f>②当月数据及门店毛利!B31</f>
        <v>龙城国际</v>
      </c>
      <c r="B29" s="88" t="str">
        <f>_xlfn.XLOOKUP(A29,主任核算!B:B,主任核算!P:P,0)</f>
        <v>竹艳梅</v>
      </c>
      <c r="C29" s="76">
        <f>②当月数据及门店毛利!C31</f>
        <v>133334.88</v>
      </c>
      <c r="D29" s="76">
        <f>②当月数据及门店毛利!D31</f>
        <v>117423.44</v>
      </c>
      <c r="E29" s="76">
        <f>②当月数据及门店毛利!E31</f>
        <v>117</v>
      </c>
      <c r="F29" s="76">
        <f>②当月数据及门店毛利!G31</f>
        <v>1000</v>
      </c>
      <c r="G29" s="76">
        <f>②当月数据及门店毛利!H31</f>
        <v>1563.73</v>
      </c>
      <c r="H29" s="76">
        <f>②当月数据及门店毛利!I31</f>
        <v>7388.46</v>
      </c>
      <c r="I29" s="76">
        <f>②当月数据及门店毛利!J31</f>
        <v>8495</v>
      </c>
      <c r="J29" s="76">
        <f>②当月数据及门店毛利!K31</f>
        <v>0</v>
      </c>
      <c r="K29" s="76">
        <f>②当月数据及门店毛利!L31</f>
        <v>482.4</v>
      </c>
      <c r="L29" s="76">
        <f>②当月数据及门店毛利!N31</f>
        <v>114405.29000000001</v>
      </c>
      <c r="M29" s="76">
        <f>_xlfn.XLOOKUP(B29,主任核算!P:P,主任核算!W:W,0)</f>
        <v>3000</v>
      </c>
      <c r="N29" s="76">
        <f>_xlfn.XLOOKUP(B29,'①考勤-B-a-26考勤汇总表'!D:D,'①考勤-B-a-26考勤汇总表'!U:U,0)</f>
        <v>0</v>
      </c>
      <c r="O29" s="114">
        <f t="shared" si="0"/>
        <v>0</v>
      </c>
      <c r="P29" s="122">
        <f t="shared" si="1"/>
        <v>3000</v>
      </c>
      <c r="Q29" s="122">
        <f>_xlfn.XLOOKUP(B29,主任核算!P:P,主任核算!AA:AA,0)</f>
        <v>2288.1058000000003</v>
      </c>
    </row>
    <row r="30" spans="1:17" x14ac:dyDescent="0.15">
      <c r="A30" s="72" t="str">
        <f>②当月数据及门店毛利!B32</f>
        <v>川音</v>
      </c>
      <c r="B30" s="88" t="str">
        <f>_xlfn.XLOOKUP(A30,主任核算!B:B,主任核算!P:P,0)</f>
        <v>任艺</v>
      </c>
      <c r="C30" s="76">
        <f>②当月数据及门店毛利!C32</f>
        <v>173290.6</v>
      </c>
      <c r="D30" s="76">
        <f>②当月数据及门店毛利!D32</f>
        <v>115560.6</v>
      </c>
      <c r="E30" s="76">
        <f>②当月数据及门店毛利!E32</f>
        <v>169</v>
      </c>
      <c r="F30" s="76">
        <f>②当月数据及门店毛利!G32</f>
        <v>4000</v>
      </c>
      <c r="G30" s="76">
        <f>②当月数据及门店毛利!H32</f>
        <v>2060.02</v>
      </c>
      <c r="H30" s="76">
        <f>②当月数据及门店毛利!I32</f>
        <v>10183.44</v>
      </c>
      <c r="I30" s="76">
        <f>②当月数据及门店毛利!J32</f>
        <v>23992.5</v>
      </c>
      <c r="J30" s="76">
        <f>②当月数据及门店毛利!K32</f>
        <v>0</v>
      </c>
      <c r="K30" s="76">
        <f>②当月数据及门店毛利!L32</f>
        <v>863.9</v>
      </c>
      <c r="L30" s="76">
        <f>②当月数据及门店毛利!N32</f>
        <v>132190.74</v>
      </c>
      <c r="M30" s="76">
        <f>_xlfn.XLOOKUP(B30,主任核算!P:P,主任核算!W:W,0)</f>
        <v>3000</v>
      </c>
      <c r="N30" s="76">
        <f>_xlfn.XLOOKUP(B30,'①考勤-B-a-26考勤汇总表'!D:D,'①考勤-B-a-26考勤汇总表'!U:U,0)</f>
        <v>0</v>
      </c>
      <c r="O30" s="114">
        <f t="shared" si="0"/>
        <v>0</v>
      </c>
      <c r="P30" s="122">
        <f t="shared" si="1"/>
        <v>3000</v>
      </c>
      <c r="Q30" s="122">
        <f>_xlfn.XLOOKUP(B30,主任核算!P:P,主任核算!AA:AA,0)</f>
        <v>2643.8147999999997</v>
      </c>
    </row>
    <row r="31" spans="1:17" x14ac:dyDescent="0.15">
      <c r="A31" s="72">
        <f>②当月数据及门店毛利!B33</f>
        <v>0</v>
      </c>
      <c r="B31" s="88">
        <f>_xlfn.XLOOKUP(A31,主任核算!B:B,主任核算!P:P,0)</f>
        <v>0</v>
      </c>
      <c r="C31" s="76">
        <f>②当月数据及门店毛利!C33</f>
        <v>0</v>
      </c>
      <c r="D31" s="76">
        <f>②当月数据及门店毛利!D33</f>
        <v>0</v>
      </c>
      <c r="E31" s="76">
        <f>②当月数据及门店毛利!E33</f>
        <v>0</v>
      </c>
      <c r="F31" s="76">
        <f>②当月数据及门店毛利!G33</f>
        <v>0</v>
      </c>
      <c r="G31" s="76">
        <f>②当月数据及门店毛利!H33</f>
        <v>0</v>
      </c>
      <c r="H31" s="76">
        <f>②当月数据及门店毛利!I33</f>
        <v>0</v>
      </c>
      <c r="I31" s="76">
        <f>②当月数据及门店毛利!J33</f>
        <v>0</v>
      </c>
      <c r="J31" s="76">
        <f>②当月数据及门店毛利!K33</f>
        <v>0</v>
      </c>
      <c r="K31" s="76">
        <f>②当月数据及门店毛利!L33</f>
        <v>0</v>
      </c>
      <c r="L31" s="76">
        <f>②当月数据及门店毛利!N33</f>
        <v>0</v>
      </c>
      <c r="M31" s="76">
        <f>_xlfn.XLOOKUP(B31,主任核算!P:P,主任核算!W:W,0)</f>
        <v>0</v>
      </c>
      <c r="N31" s="76">
        <f>_xlfn.XLOOKUP(B31,'①考勤-B-a-26考勤汇总表'!D:D,'①考勤-B-a-26考勤汇总表'!U:U,0)</f>
        <v>0</v>
      </c>
      <c r="O31" s="114">
        <f t="shared" si="0"/>
        <v>0</v>
      </c>
      <c r="P31" s="122">
        <f t="shared" si="1"/>
        <v>0</v>
      </c>
      <c r="Q31" s="122">
        <f>_xlfn.XLOOKUP(B31,主任核算!P:P,主任核算!AA:AA,0)</f>
        <v>0</v>
      </c>
    </row>
    <row r="32" spans="1:17" x14ac:dyDescent="0.15">
      <c r="A32" s="72">
        <f>②当月数据及门店毛利!B34</f>
        <v>0</v>
      </c>
      <c r="B32" s="88">
        <f>_xlfn.XLOOKUP(A32,主任核算!B:B,主任核算!P:P,0)</f>
        <v>0</v>
      </c>
      <c r="C32" s="76">
        <f>②当月数据及门店毛利!C34</f>
        <v>0</v>
      </c>
      <c r="D32" s="76">
        <f>②当月数据及门店毛利!D34</f>
        <v>0</v>
      </c>
      <c r="E32" s="76">
        <f>②当月数据及门店毛利!E34</f>
        <v>0</v>
      </c>
      <c r="F32" s="76">
        <f>②当月数据及门店毛利!G34</f>
        <v>0</v>
      </c>
      <c r="G32" s="76">
        <f>②当月数据及门店毛利!H34</f>
        <v>0</v>
      </c>
      <c r="H32" s="76">
        <f>②当月数据及门店毛利!I34</f>
        <v>0</v>
      </c>
      <c r="I32" s="76">
        <f>②当月数据及门店毛利!J34</f>
        <v>0</v>
      </c>
      <c r="J32" s="76">
        <f>②当月数据及门店毛利!K34</f>
        <v>0</v>
      </c>
      <c r="K32" s="76">
        <f>②当月数据及门店毛利!L34</f>
        <v>0</v>
      </c>
      <c r="L32" s="76">
        <f>②当月数据及门店毛利!N34</f>
        <v>0</v>
      </c>
      <c r="M32" s="76">
        <f>_xlfn.XLOOKUP(B32,主任核算!P:P,主任核算!W:W,0)</f>
        <v>0</v>
      </c>
      <c r="N32" s="76">
        <f>_xlfn.XLOOKUP(B32,'①考勤-B-a-26考勤汇总表'!D:D,'①考勤-B-a-26考勤汇总表'!U:U,0)</f>
        <v>0</v>
      </c>
      <c r="O32" s="114">
        <f t="shared" si="0"/>
        <v>0</v>
      </c>
      <c r="P32" s="122">
        <f t="shared" si="1"/>
        <v>0</v>
      </c>
      <c r="Q32" s="122">
        <f>_xlfn.XLOOKUP(B32,主任核算!P:P,主任核算!AA:AA,0)</f>
        <v>0</v>
      </c>
    </row>
  </sheetData>
  <phoneticPr fontId="3" type="noConversion"/>
  <conditionalFormatting sqref="B1">
    <cfRule type="duplicateValues" dxfId="15" priority="8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E337-60DE-458F-97F0-637DB6E60888}">
  <dimension ref="A1:AA38"/>
  <sheetViews>
    <sheetView workbookViewId="0">
      <selection activeCell="L21" sqref="L21"/>
    </sheetView>
  </sheetViews>
  <sheetFormatPr defaultColWidth="9" defaultRowHeight="14.25" x14ac:dyDescent="0.15"/>
  <cols>
    <col min="1" max="1" width="15" style="76" customWidth="1"/>
    <col min="2" max="2" width="12.375" style="76" customWidth="1"/>
    <col min="3" max="3" width="10.875" style="76" customWidth="1"/>
    <col min="4" max="5" width="8.875" style="76" customWidth="1"/>
    <col min="6" max="6" width="10.875" style="76" customWidth="1"/>
    <col min="7" max="7" width="8.875" style="76" customWidth="1"/>
    <col min="8" max="8" width="0.875" style="76" customWidth="1"/>
    <col min="9" max="9" width="8.875" style="76" customWidth="1"/>
    <col min="10" max="10" width="7" style="76" customWidth="1"/>
    <col min="11" max="11" width="12.125" style="76" customWidth="1"/>
    <col min="12" max="12" width="14.125" style="76" customWidth="1"/>
    <col min="13" max="13" width="9" style="76"/>
    <col min="14" max="14" width="15.25" style="72" customWidth="1"/>
    <col min="15" max="15" width="10.5" style="123" customWidth="1"/>
    <col min="16" max="16" width="11.5" style="124" customWidth="1"/>
    <col min="17" max="17" width="8.125" style="78" customWidth="1"/>
    <col min="18" max="18" width="12.5" style="79" customWidth="1"/>
    <col min="19" max="21" width="13.25" style="79" customWidth="1"/>
    <col min="22" max="23" width="15.375" style="125" customWidth="1"/>
    <col min="24" max="24" width="15.375" style="126" customWidth="1"/>
    <col min="25" max="25" width="12.625" style="124" customWidth="1"/>
    <col min="26" max="26" width="11" style="124" customWidth="1"/>
    <col min="27" max="27" width="10.5" style="125" bestFit="1" customWidth="1"/>
    <col min="28" max="16384" width="9" style="76"/>
  </cols>
  <sheetData>
    <row r="1" spans="1:27" x14ac:dyDescent="0.15">
      <c r="A1" s="76" t="s">
        <v>119</v>
      </c>
      <c r="B1" s="76" t="s">
        <v>122</v>
      </c>
      <c r="C1" s="76" t="s">
        <v>131</v>
      </c>
      <c r="E1" s="77">
        <v>0.7</v>
      </c>
      <c r="F1" s="77">
        <v>1</v>
      </c>
      <c r="G1" s="77"/>
      <c r="H1" s="77"/>
      <c r="I1" s="77"/>
    </row>
    <row r="2" spans="1:27" x14ac:dyDescent="0.15">
      <c r="A2" s="76" t="s">
        <v>206</v>
      </c>
      <c r="E2" s="77"/>
      <c r="F2" s="77"/>
      <c r="G2" s="77"/>
      <c r="H2" s="77"/>
      <c r="I2" s="77"/>
    </row>
    <row r="3" spans="1:27" x14ac:dyDescent="0.15">
      <c r="L3" s="76" t="e">
        <f>②当月数据及门店毛利!C2-L4</f>
        <v>#N/A</v>
      </c>
      <c r="V3" s="125">
        <f>S4+R4+T4-V4</f>
        <v>365.76316000000043</v>
      </c>
    </row>
    <row r="4" spans="1:27" x14ac:dyDescent="0.15">
      <c r="A4" s="76" t="s">
        <v>168</v>
      </c>
      <c r="L4" s="76" t="e">
        <f>SUM(L6:L35)</f>
        <v>#N/A</v>
      </c>
      <c r="M4" s="76" t="e">
        <f>SUM(M6:M35)</f>
        <v>#N/A</v>
      </c>
      <c r="N4" s="72" t="s">
        <v>210</v>
      </c>
      <c r="R4" s="79">
        <f t="shared" ref="R4:T4" si="0">SUM(R6:R34)</f>
        <v>0</v>
      </c>
      <c r="S4" s="79">
        <f t="shared" si="0"/>
        <v>0</v>
      </c>
      <c r="T4" s="79">
        <f t="shared" si="0"/>
        <v>2794.4079000000002</v>
      </c>
      <c r="V4" s="125">
        <f>SUM(V6:V35)</f>
        <v>2428.6447399999997</v>
      </c>
      <c r="Y4" s="124">
        <f>SUM(Y6:Y35)</f>
        <v>400</v>
      </c>
      <c r="Z4" s="124">
        <f>SUM(Z6:Z35)</f>
        <v>300</v>
      </c>
      <c r="AA4" s="125">
        <f>SUM(AA6:AA34)</f>
        <v>10143.05264</v>
      </c>
    </row>
    <row r="5" spans="1:27" x14ac:dyDescent="0.15">
      <c r="A5" s="76" t="s">
        <v>7</v>
      </c>
      <c r="C5" s="76" t="s">
        <v>170</v>
      </c>
      <c r="D5" s="76" t="s">
        <v>171</v>
      </c>
      <c r="E5" s="76" t="s">
        <v>172</v>
      </c>
      <c r="F5" s="76" t="s">
        <v>173</v>
      </c>
      <c r="G5" s="85" t="s">
        <v>105</v>
      </c>
      <c r="I5" s="85" t="s">
        <v>106</v>
      </c>
      <c r="J5" s="85" t="s">
        <v>104</v>
      </c>
      <c r="K5" s="85" t="s">
        <v>107</v>
      </c>
      <c r="L5" s="86" t="s">
        <v>175</v>
      </c>
      <c r="M5" s="86" t="s">
        <v>177</v>
      </c>
      <c r="N5" s="74" t="s">
        <v>211</v>
      </c>
      <c r="O5" s="123" t="s">
        <v>320</v>
      </c>
      <c r="P5" s="124" t="s">
        <v>198</v>
      </c>
      <c r="Q5" s="78" t="s">
        <v>199</v>
      </c>
      <c r="R5" s="79" t="s">
        <v>109</v>
      </c>
      <c r="S5" s="79" t="s">
        <v>110</v>
      </c>
      <c r="T5" s="79" t="s">
        <v>212</v>
      </c>
      <c r="U5" s="127" t="s">
        <v>168</v>
      </c>
      <c r="V5" s="125" t="s">
        <v>187</v>
      </c>
      <c r="W5" s="125" t="s">
        <v>322</v>
      </c>
      <c r="X5" s="126" t="s">
        <v>323</v>
      </c>
      <c r="Y5" s="124" t="s">
        <v>213</v>
      </c>
      <c r="Z5" s="124" t="s">
        <v>211</v>
      </c>
      <c r="AA5" s="125" t="s">
        <v>168</v>
      </c>
    </row>
    <row r="6" spans="1:27" x14ac:dyDescent="0.15">
      <c r="A6" s="88" t="s">
        <v>116</v>
      </c>
      <c r="B6" s="88" t="s">
        <v>117</v>
      </c>
      <c r="C6" s="88" t="s">
        <v>96</v>
      </c>
      <c r="D6" s="88" t="s">
        <v>96</v>
      </c>
      <c r="E6" s="88" t="s">
        <v>96</v>
      </c>
      <c r="F6" s="88" t="s">
        <v>96</v>
      </c>
      <c r="G6" s="88">
        <f>VLOOKUP(B6,'④前置信息-大固定-包含了工资和总经理'!B:E,4,0)</f>
        <v>0</v>
      </c>
      <c r="I6" s="88">
        <f>VLOOKUP(B6,'④前置信息-大固定-包含了工资和总经理'!B:F,5,0)</f>
        <v>0</v>
      </c>
      <c r="J6" s="88">
        <f>VLOOKUP(B6,'④前置信息-大固定-包含了工资和总经理'!B:D,3,0)</f>
        <v>0</v>
      </c>
      <c r="K6" s="88">
        <f>VLOOKUP(B6,'④前置信息-大固定-包含了工资和总经理'!B:G,6,0)</f>
        <v>0</v>
      </c>
      <c r="L6" s="88" t="e">
        <f>VLOOKUP(B6,②当月数据及门店毛利!B:C,2,0)</f>
        <v>#N/A</v>
      </c>
      <c r="M6" s="88" t="e">
        <f>VLOOKUP(B6,②当月数据及门店毛利!B:E,4,0)</f>
        <v>#N/A</v>
      </c>
      <c r="N6" s="89"/>
      <c r="O6" s="128">
        <f>IFERROR(VLOOKUP(B6,'④前置信息-大固定-包含了工资和总经理'!B:AD,26,0),0)</f>
        <v>0</v>
      </c>
      <c r="P6" s="129">
        <f>IF(O6=0,0,IF(J6=$A$1,3000,IF(J6=$B$1,3100,IF(J6=$C$1,3200,0))))</f>
        <v>0</v>
      </c>
      <c r="Q6" s="90" t="str">
        <f>IF(O6=0,"",IF(L6&lt;=K6*$E$1,0,IF(AND(L6&gt;=K6*$E$1,L6&lt;=K6*$F$1),0.4%,IF(L6&gt;$F$1,1%,0))))</f>
        <v/>
      </c>
      <c r="R6" s="91">
        <f>IF(Q6=0,0,0)</f>
        <v>0</v>
      </c>
      <c r="S6" s="91">
        <f>IFERROR(IF(Q6=0.004,L6*Q6,0),0)</f>
        <v>0</v>
      </c>
      <c r="T6" s="91">
        <f>IFERROR(IF(Q6=0.01,K6*0.004+(L6-K6)*0.01,0),0)</f>
        <v>0</v>
      </c>
      <c r="U6" s="91">
        <f>R6+S6+T6</f>
        <v>0</v>
      </c>
      <c r="V6" s="130">
        <f>IF(O6=0,0,IF(L6&lt;=K6*$E$1,0,IF(AND(L6&gt;=K6*$E$1,L6&lt;=K6*$F$1),L6*0.4%,IF(L6&gt;$F$1,K6*0.4%+(L6-K6)*0.6%,0))))</f>
        <v>0</v>
      </c>
      <c r="W6" s="130">
        <f>IF(O6=0,0,IF(L6&gt;K6,(L6-K6)*0.01,0))</f>
        <v>0</v>
      </c>
      <c r="X6" s="131">
        <f>W6+V6</f>
        <v>0</v>
      </c>
      <c r="Y6" s="129">
        <f>IF(O6=0,0,IF(J6=0,0,IF(M6&gt;=VLOOKUP(B6,'④前置信息-大固定-包含了工资和总经理'!B:I,8,0),200,0)+IF(M6&gt;=VLOOKUP(B6,'④前置信息-大固定-包含了工资和总经理'!B:J,9,0),200,0)))</f>
        <v>0</v>
      </c>
      <c r="Z6" s="129">
        <f>IF(O6=0,0,IF(N6="Y",150,0))</f>
        <v>0</v>
      </c>
      <c r="AA6" s="130">
        <f>P6+X6+Y6+Z6</f>
        <v>0</v>
      </c>
    </row>
    <row r="7" spans="1:27" x14ac:dyDescent="0.15">
      <c r="A7" s="88" t="s">
        <v>118</v>
      </c>
      <c r="B7" s="88" t="s">
        <v>40</v>
      </c>
      <c r="C7" s="88" t="s">
        <v>22</v>
      </c>
      <c r="D7" s="88" t="s">
        <v>188</v>
      </c>
      <c r="E7" s="88" t="s">
        <v>90</v>
      </c>
      <c r="F7" s="88" t="s">
        <v>189</v>
      </c>
      <c r="G7" s="88">
        <f>VLOOKUP(B7,'④前置信息-大固定-包含了工资和总经理'!B:E,4,0)</f>
        <v>0</v>
      </c>
      <c r="I7" s="88">
        <f>VLOOKUP(B7,'④前置信息-大固定-包含了工资和总经理'!B:F,5,0)</f>
        <v>0</v>
      </c>
      <c r="J7" s="88" t="str">
        <f>VLOOKUP(B7,'④前置信息-大固定-包含了工资和总经理'!B:D,3,0)</f>
        <v>A类</v>
      </c>
      <c r="K7" s="88">
        <f>VLOOKUP(B7,'④前置信息-大固定-包含了工资和总经理'!B:G,6,0)</f>
        <v>350000</v>
      </c>
      <c r="L7" s="88">
        <f>VLOOKUP(B7,②当月数据及门店毛利!B:C,2,0)</f>
        <v>522756</v>
      </c>
      <c r="M7" s="88">
        <f>VLOOKUP(B7,②当月数据及门店毛利!B:E,4,0)</f>
        <v>210</v>
      </c>
      <c r="N7" s="89" t="s">
        <v>214</v>
      </c>
      <c r="O7" s="128">
        <f>IFERROR(VLOOKUP(B7,'④前置信息-大固定-包含了工资和总经理'!B:AD,26,0),0)</f>
        <v>0</v>
      </c>
      <c r="P7" s="129">
        <f t="shared" ref="P7:P38" si="1">IF(O7=0,0,IF(J7=$A$1,3000,IF(J7=$B$1,3100,IF(J7=$C$1,3200,0))))</f>
        <v>0</v>
      </c>
      <c r="Q7" s="90" t="str">
        <f t="shared" ref="Q7:Q38" si="2">IF(O7=0,"",IF(L7&lt;=K7*$E$1,0,IF(AND(L7&gt;=K7*$E$1,L7&lt;=K7*$F$1),0.4%,IF(L7&gt;$F$1,1%,0))))</f>
        <v/>
      </c>
      <c r="R7" s="91">
        <f t="shared" ref="R7:R38" si="3">IF(Q7=0,0,0)</f>
        <v>0</v>
      </c>
      <c r="S7" s="91">
        <f t="shared" ref="S7:S38" si="4">IFERROR(IF(Q7=0.004,L7*Q7,0),0)</f>
        <v>0</v>
      </c>
      <c r="T7" s="91">
        <f t="shared" ref="T7:T38" si="5">IFERROR(IF(Q7=0.01,K7*0.004+(L7-K7)*0.01,0),0)</f>
        <v>0</v>
      </c>
      <c r="U7" s="91">
        <f t="shared" ref="U7:U38" si="6">R7+S7+T7</f>
        <v>0</v>
      </c>
      <c r="V7" s="130">
        <f t="shared" ref="V7:V38" si="7">IF(O7=0,0,IF(L7&lt;=K7*$E$1,0,IF(AND(L7&gt;=K7*$E$1,L7&lt;=K7*$F$1),L7*0.4%,IF(L7&gt;$F$1,K7*0.4%+(L7-K7)*0.6%,0))))</f>
        <v>0</v>
      </c>
      <c r="W7" s="130">
        <f t="shared" ref="W7:W38" si="8">IF(O7=0,0,IF(L7&gt;K7,(L7-K7)*0.01,0))</f>
        <v>0</v>
      </c>
      <c r="X7" s="131">
        <f t="shared" ref="X7:X38" si="9">W7+V7</f>
        <v>0</v>
      </c>
      <c r="Y7" s="129">
        <f>IF(O7=0,0,IF(J7=0,0,IF(M7&gt;=VLOOKUP(B7,'④前置信息-大固定-包含了工资和总经理'!B:I,8,0),200,0)+IF(M7&gt;=VLOOKUP(B7,'④前置信息-大固定-包含了工资和总经理'!B:J,9,0),200,0)))</f>
        <v>0</v>
      </c>
      <c r="Z7" s="129">
        <f t="shared" ref="Z7:Z38" si="10">IF(O7=0,0,IF(N7="Y",150,0))</f>
        <v>0</v>
      </c>
      <c r="AA7" s="130">
        <f t="shared" ref="AA7:AA38" si="11">P7+X7+Y7+Z7</f>
        <v>0</v>
      </c>
    </row>
    <row r="8" spans="1:27" x14ac:dyDescent="0.15">
      <c r="A8" s="88" t="s">
        <v>120</v>
      </c>
      <c r="B8" s="88" t="s">
        <v>42</v>
      </c>
      <c r="C8" s="88" t="s">
        <v>22</v>
      </c>
      <c r="D8" s="88" t="s">
        <v>190</v>
      </c>
      <c r="E8" s="88" t="s">
        <v>81</v>
      </c>
      <c r="F8" s="88" t="s">
        <v>191</v>
      </c>
      <c r="G8" s="88">
        <f>VLOOKUP(B8,'④前置信息-大固定-包含了工资和总经理'!B:E,4,0)</f>
        <v>0</v>
      </c>
      <c r="I8" s="88">
        <f>VLOOKUP(B8,'④前置信息-大固定-包含了工资和总经理'!B:F,5,0)</f>
        <v>0</v>
      </c>
      <c r="J8" s="88" t="str">
        <f>VLOOKUP(B8,'④前置信息-大固定-包含了工资和总经理'!B:D,3,0)</f>
        <v>A类</v>
      </c>
      <c r="K8" s="88">
        <f>VLOOKUP(B8,'④前置信息-大固定-包含了工资和总经理'!B:G,6,0)</f>
        <v>300000</v>
      </c>
      <c r="L8" s="88">
        <f>VLOOKUP(B8,②当月数据及门店毛利!B:C,2,0)</f>
        <v>220223</v>
      </c>
      <c r="M8" s="88">
        <f>VLOOKUP(B8,②当月数据及门店毛利!B:E,4,0)</f>
        <v>205</v>
      </c>
      <c r="N8" s="89" t="s">
        <v>214</v>
      </c>
      <c r="O8" s="128">
        <f>IFERROR(VLOOKUP(B8,'④前置信息-大固定-包含了工资和总经理'!B:AD,26,0),0)</f>
        <v>0</v>
      </c>
      <c r="P8" s="129">
        <f t="shared" si="1"/>
        <v>0</v>
      </c>
      <c r="Q8" s="90" t="str">
        <f t="shared" si="2"/>
        <v/>
      </c>
      <c r="R8" s="91">
        <f t="shared" si="3"/>
        <v>0</v>
      </c>
      <c r="S8" s="91">
        <f t="shared" si="4"/>
        <v>0</v>
      </c>
      <c r="T8" s="91">
        <f t="shared" si="5"/>
        <v>0</v>
      </c>
      <c r="U8" s="91">
        <f t="shared" si="6"/>
        <v>0</v>
      </c>
      <c r="V8" s="130">
        <f t="shared" si="7"/>
        <v>0</v>
      </c>
      <c r="W8" s="130">
        <f t="shared" si="8"/>
        <v>0</v>
      </c>
      <c r="X8" s="131">
        <f t="shared" si="9"/>
        <v>0</v>
      </c>
      <c r="Y8" s="129">
        <f>IF(O8=0,0,IF(J8=0,0,IF(M8&gt;=VLOOKUP(B8,'④前置信息-大固定-包含了工资和总经理'!B:I,8,0),200,0)+IF(M8&gt;=VLOOKUP(B8,'④前置信息-大固定-包含了工资和总经理'!B:J,9,0),200,0)))</f>
        <v>0</v>
      </c>
      <c r="Z8" s="129">
        <f t="shared" si="10"/>
        <v>0</v>
      </c>
      <c r="AA8" s="130">
        <f t="shared" si="11"/>
        <v>0</v>
      </c>
    </row>
    <row r="9" spans="1:27" x14ac:dyDescent="0.15">
      <c r="A9" s="88" t="s">
        <v>121</v>
      </c>
      <c r="B9" s="88" t="s">
        <v>35</v>
      </c>
      <c r="C9" s="88" t="s">
        <v>21</v>
      </c>
      <c r="D9" s="88" t="s">
        <v>190</v>
      </c>
      <c r="E9" s="88" t="s">
        <v>90</v>
      </c>
      <c r="F9" s="88" t="s">
        <v>191</v>
      </c>
      <c r="G9" s="88">
        <f>VLOOKUP(B9,'④前置信息-大固定-包含了工资和总经理'!B:E,4,0)</f>
        <v>0</v>
      </c>
      <c r="I9" s="88">
        <f>VLOOKUP(B9,'④前置信息-大固定-包含了工资和总经理'!B:F,5,0)</f>
        <v>0</v>
      </c>
      <c r="J9" s="88" t="str">
        <f>VLOOKUP(B9,'④前置信息-大固定-包含了工资和总经理'!B:D,3,0)</f>
        <v>B类</v>
      </c>
      <c r="K9" s="88">
        <f>VLOOKUP(B9,'④前置信息-大固定-包含了工资和总经理'!B:G,6,0)</f>
        <v>150000</v>
      </c>
      <c r="L9" s="88">
        <f>VLOOKUP(B9,②当月数据及门店毛利!B:C,2,0)</f>
        <v>150694</v>
      </c>
      <c r="M9" s="88">
        <f>VLOOKUP(B9,②当月数据及门店毛利!B:E,4,0)</f>
        <v>160</v>
      </c>
      <c r="N9" s="89" t="s">
        <v>214</v>
      </c>
      <c r="O9" s="128">
        <f>IFERROR(VLOOKUP(B9,'④前置信息-大固定-包含了工资和总经理'!B:AD,26,0),0)</f>
        <v>0</v>
      </c>
      <c r="P9" s="129">
        <f t="shared" si="1"/>
        <v>0</v>
      </c>
      <c r="Q9" s="90" t="str">
        <f t="shared" si="2"/>
        <v/>
      </c>
      <c r="R9" s="91">
        <f t="shared" si="3"/>
        <v>0</v>
      </c>
      <c r="S9" s="91">
        <f t="shared" si="4"/>
        <v>0</v>
      </c>
      <c r="T9" s="91">
        <f t="shared" si="5"/>
        <v>0</v>
      </c>
      <c r="U9" s="91">
        <f t="shared" si="6"/>
        <v>0</v>
      </c>
      <c r="V9" s="130">
        <f t="shared" si="7"/>
        <v>0</v>
      </c>
      <c r="W9" s="130">
        <f t="shared" si="8"/>
        <v>0</v>
      </c>
      <c r="X9" s="131">
        <f t="shared" si="9"/>
        <v>0</v>
      </c>
      <c r="Y9" s="129">
        <f>IF(O9=0,0,IF(J9=0,0,IF(M9&gt;=VLOOKUP(B9,'④前置信息-大固定-包含了工资和总经理'!B:I,8,0),200,0)+IF(M9&gt;=VLOOKUP(B9,'④前置信息-大固定-包含了工资和总经理'!B:J,9,0),200,0)))</f>
        <v>0</v>
      </c>
      <c r="Z9" s="129">
        <f t="shared" si="10"/>
        <v>0</v>
      </c>
      <c r="AA9" s="130">
        <f t="shared" si="11"/>
        <v>0</v>
      </c>
    </row>
    <row r="10" spans="1:27" x14ac:dyDescent="0.15">
      <c r="A10" s="88" t="s">
        <v>123</v>
      </c>
      <c r="B10" s="88" t="s">
        <v>23</v>
      </c>
      <c r="C10" s="88" t="s">
        <v>4</v>
      </c>
      <c r="D10" s="88" t="s">
        <v>190</v>
      </c>
      <c r="E10" s="88" t="s">
        <v>81</v>
      </c>
      <c r="F10" s="88" t="s">
        <v>189</v>
      </c>
      <c r="G10" s="88">
        <f>VLOOKUP(B10,'④前置信息-大固定-包含了工资和总经理'!B:E,4,0)</f>
        <v>0</v>
      </c>
      <c r="I10" s="88">
        <f>VLOOKUP(B10,'④前置信息-大固定-包含了工资和总经理'!B:F,5,0)</f>
        <v>0</v>
      </c>
      <c r="J10" s="88" t="str">
        <f>VLOOKUP(B10,'④前置信息-大固定-包含了工资和总经理'!B:D,3,0)</f>
        <v>A类</v>
      </c>
      <c r="K10" s="88">
        <f>VLOOKUP(B10,'④前置信息-大固定-包含了工资和总经理'!B:G,6,0)</f>
        <v>250000</v>
      </c>
      <c r="L10" s="88">
        <f>VLOOKUP(B10,②当月数据及门店毛利!B:C,2,0)</f>
        <v>201952.3</v>
      </c>
      <c r="M10" s="88">
        <f>VLOOKUP(B10,②当月数据及门店毛利!B:E,4,0)</f>
        <v>195</v>
      </c>
      <c r="N10" s="89" t="s">
        <v>214</v>
      </c>
      <c r="O10" s="128">
        <f>IFERROR(VLOOKUP(B10,'④前置信息-大固定-包含了工资和总经理'!B:AD,26,0),0)</f>
        <v>0</v>
      </c>
      <c r="P10" s="129">
        <f t="shared" si="1"/>
        <v>0</v>
      </c>
      <c r="Q10" s="90" t="str">
        <f t="shared" si="2"/>
        <v/>
      </c>
      <c r="R10" s="91">
        <f t="shared" si="3"/>
        <v>0</v>
      </c>
      <c r="S10" s="91">
        <f t="shared" si="4"/>
        <v>0</v>
      </c>
      <c r="T10" s="91">
        <f t="shared" si="5"/>
        <v>0</v>
      </c>
      <c r="U10" s="91">
        <f t="shared" si="6"/>
        <v>0</v>
      </c>
      <c r="V10" s="130">
        <f t="shared" si="7"/>
        <v>0</v>
      </c>
      <c r="W10" s="130">
        <f t="shared" si="8"/>
        <v>0</v>
      </c>
      <c r="X10" s="131">
        <f t="shared" si="9"/>
        <v>0</v>
      </c>
      <c r="Y10" s="129">
        <f>IF(O10=0,0,IF(J10=0,0,IF(M10&gt;=VLOOKUP(B10,'④前置信息-大固定-包含了工资和总经理'!B:I,8,0),200,0)+IF(M10&gt;=VLOOKUP(B10,'④前置信息-大固定-包含了工资和总经理'!B:J,9,0),200,0)))</f>
        <v>0</v>
      </c>
      <c r="Z10" s="129">
        <f t="shared" si="10"/>
        <v>0</v>
      </c>
      <c r="AA10" s="130">
        <f t="shared" si="11"/>
        <v>0</v>
      </c>
    </row>
    <row r="11" spans="1:27" x14ac:dyDescent="0.15">
      <c r="A11" s="88" t="s">
        <v>124</v>
      </c>
      <c r="B11" s="88" t="s">
        <v>19</v>
      </c>
      <c r="C11" s="88" t="s">
        <v>4</v>
      </c>
      <c r="D11" s="88" t="s">
        <v>188</v>
      </c>
      <c r="E11" s="88" t="s">
        <v>81</v>
      </c>
      <c r="F11" s="88" t="s">
        <v>191</v>
      </c>
      <c r="G11" s="88">
        <f>VLOOKUP(B11,'④前置信息-大固定-包含了工资和总经理'!B:E,4,0)</f>
        <v>0</v>
      </c>
      <c r="I11" s="88">
        <f>VLOOKUP(B11,'④前置信息-大固定-包含了工资和总经理'!B:F,5,0)</f>
        <v>0</v>
      </c>
      <c r="J11" s="88" t="str">
        <f>VLOOKUP(B11,'④前置信息-大固定-包含了工资和总经理'!B:D,3,0)</f>
        <v>A类</v>
      </c>
      <c r="K11" s="88">
        <f>VLOOKUP(B11,'④前置信息-大固定-包含了工资和总经理'!B:G,6,0)</f>
        <v>320000</v>
      </c>
      <c r="L11" s="88">
        <f>VLOOKUP(B11,②当月数据及门店毛利!B:C,2,0)</f>
        <v>407490.19</v>
      </c>
      <c r="M11" s="88">
        <f>VLOOKUP(B11,②当月数据及门店毛利!B:E,4,0)</f>
        <v>206</v>
      </c>
      <c r="N11" s="89" t="s">
        <v>214</v>
      </c>
      <c r="O11" s="128" t="str">
        <f>IFERROR(VLOOKUP(B11,'④前置信息-大固定-包含了工资和总经理'!B:AD,26,0),0)</f>
        <v>樊琳</v>
      </c>
      <c r="P11" s="129">
        <f>IF(O11=0,0,IF(J11=$A$1,3000,IF(J11=$B$1,3100,IF(J11=$C$1,3200,0))))</f>
        <v>3000</v>
      </c>
      <c r="Q11" s="90">
        <f t="shared" si="2"/>
        <v>0.01</v>
      </c>
      <c r="R11" s="91">
        <f t="shared" si="3"/>
        <v>0</v>
      </c>
      <c r="S11" s="91">
        <f t="shared" si="4"/>
        <v>0</v>
      </c>
      <c r="T11" s="91">
        <f>IFERROR(IF(Q11=0.01,K11*0.004+(L11-K11)*0.01,0),0)</f>
        <v>2154.9018999999998</v>
      </c>
      <c r="U11" s="91">
        <f t="shared" si="6"/>
        <v>2154.9018999999998</v>
      </c>
      <c r="V11" s="130">
        <f t="shared" si="7"/>
        <v>1804.9411399999999</v>
      </c>
      <c r="W11" s="130">
        <f t="shared" si="8"/>
        <v>874.90190000000007</v>
      </c>
      <c r="X11" s="131">
        <f t="shared" si="9"/>
        <v>2679.8430399999997</v>
      </c>
      <c r="Y11" s="129">
        <f>IF(O11=0,0,IF(J11=0,0,IF(M11&gt;=VLOOKUP(B11,'④前置信息-大固定-包含了工资和总经理'!B:I,8,0),200,0)+IF(M11&gt;=VLOOKUP(B11,'④前置信息-大固定-包含了工资和总经理'!B:J,9,0),200,0)))</f>
        <v>200</v>
      </c>
      <c r="Z11" s="129">
        <f t="shared" si="10"/>
        <v>150</v>
      </c>
      <c r="AA11" s="130">
        <f t="shared" si="11"/>
        <v>6029.8430399999997</v>
      </c>
    </row>
    <row r="12" spans="1:27" x14ac:dyDescent="0.15">
      <c r="A12" s="88" t="s">
        <v>125</v>
      </c>
      <c r="B12" s="88" t="s">
        <v>30</v>
      </c>
      <c r="C12" s="88" t="s">
        <v>17</v>
      </c>
      <c r="D12" s="88" t="s">
        <v>190</v>
      </c>
      <c r="E12" s="88" t="s">
        <v>90</v>
      </c>
      <c r="F12" s="88" t="s">
        <v>191</v>
      </c>
      <c r="G12" s="88">
        <f>VLOOKUP(B12,'④前置信息-大固定-包含了工资和总经理'!B:E,4,0)</f>
        <v>0</v>
      </c>
      <c r="I12" s="88">
        <f>VLOOKUP(B12,'④前置信息-大固定-包含了工资和总经理'!B:F,5,0)</f>
        <v>0</v>
      </c>
      <c r="J12" s="88" t="str">
        <f>VLOOKUP(B12,'④前置信息-大固定-包含了工资和总经理'!B:D,3,0)</f>
        <v>B类</v>
      </c>
      <c r="K12" s="88">
        <f>VLOOKUP(B12,'④前置信息-大固定-包含了工资和总经理'!B:G,6,0)</f>
        <v>150000</v>
      </c>
      <c r="L12" s="88">
        <f>VLOOKUP(B12,②当月数据及门店毛利!B:C,2,0)</f>
        <v>160812</v>
      </c>
      <c r="M12" s="88">
        <f>VLOOKUP(B12,②当月数据及门店毛利!B:E,4,0)</f>
        <v>192</v>
      </c>
      <c r="N12" s="89" t="s">
        <v>214</v>
      </c>
      <c r="O12" s="128">
        <f>IFERROR(VLOOKUP(B12,'④前置信息-大固定-包含了工资和总经理'!B:AD,26,0),0)</f>
        <v>0</v>
      </c>
      <c r="P12" s="129">
        <f t="shared" si="1"/>
        <v>0</v>
      </c>
      <c r="Q12" s="90" t="str">
        <f t="shared" si="2"/>
        <v/>
      </c>
      <c r="R12" s="91">
        <f t="shared" si="3"/>
        <v>0</v>
      </c>
      <c r="S12" s="91">
        <f t="shared" si="4"/>
        <v>0</v>
      </c>
      <c r="T12" s="91">
        <f t="shared" si="5"/>
        <v>0</v>
      </c>
      <c r="U12" s="91">
        <f t="shared" si="6"/>
        <v>0</v>
      </c>
      <c r="V12" s="130">
        <f t="shared" si="7"/>
        <v>0</v>
      </c>
      <c r="W12" s="130">
        <f t="shared" si="8"/>
        <v>0</v>
      </c>
      <c r="X12" s="131">
        <f t="shared" si="9"/>
        <v>0</v>
      </c>
      <c r="Y12" s="129">
        <f>IF(O12=0,0,IF(J12=0,0,IF(M12&gt;=VLOOKUP(B12,'④前置信息-大固定-包含了工资和总经理'!B:I,8,0),200,0)+IF(M12&gt;=VLOOKUP(B12,'④前置信息-大固定-包含了工资和总经理'!B:J,9,0),200,0)))</f>
        <v>0</v>
      </c>
      <c r="Z12" s="129">
        <f t="shared" si="10"/>
        <v>0</v>
      </c>
      <c r="AA12" s="130">
        <f t="shared" si="11"/>
        <v>0</v>
      </c>
    </row>
    <row r="13" spans="1:27" x14ac:dyDescent="0.15">
      <c r="A13" s="88" t="s">
        <v>126</v>
      </c>
      <c r="B13" s="88">
        <v>468</v>
      </c>
      <c r="C13" s="88" t="s">
        <v>4</v>
      </c>
      <c r="D13" s="88" t="s">
        <v>190</v>
      </c>
      <c r="E13" s="88" t="s">
        <v>81</v>
      </c>
      <c r="F13" s="88" t="s">
        <v>191</v>
      </c>
      <c r="G13" s="88">
        <f>VLOOKUP(B13,'④前置信息-大固定-包含了工资和总经理'!B:E,4,0)</f>
        <v>0</v>
      </c>
      <c r="I13" s="88">
        <f>VLOOKUP(B13,'④前置信息-大固定-包含了工资和总经理'!B:F,5,0)</f>
        <v>0</v>
      </c>
      <c r="J13" s="88" t="str">
        <f>VLOOKUP(B13,'④前置信息-大固定-包含了工资和总经理'!B:D,3,0)</f>
        <v>A类</v>
      </c>
      <c r="K13" s="88">
        <f>VLOOKUP(B13,'④前置信息-大固定-包含了工资和总经理'!B:G,6,0)</f>
        <v>200000</v>
      </c>
      <c r="L13" s="88">
        <f>VLOOKUP(B13,②当月数据及门店毛利!B:C,2,0)</f>
        <v>140295</v>
      </c>
      <c r="M13" s="88">
        <f>VLOOKUP(B13,②当月数据及门店毛利!B:E,4,0)</f>
        <v>217</v>
      </c>
      <c r="N13" s="89" t="s">
        <v>214</v>
      </c>
      <c r="O13" s="128">
        <f>IFERROR(VLOOKUP(B13,'④前置信息-大固定-包含了工资和总经理'!B:AD,26,0),0)</f>
        <v>0</v>
      </c>
      <c r="P13" s="129">
        <f t="shared" si="1"/>
        <v>0</v>
      </c>
      <c r="Q13" s="90" t="str">
        <f t="shared" si="2"/>
        <v/>
      </c>
      <c r="R13" s="91">
        <f t="shared" si="3"/>
        <v>0</v>
      </c>
      <c r="S13" s="91">
        <f t="shared" si="4"/>
        <v>0</v>
      </c>
      <c r="T13" s="91">
        <f t="shared" si="5"/>
        <v>0</v>
      </c>
      <c r="U13" s="91">
        <f t="shared" si="6"/>
        <v>0</v>
      </c>
      <c r="V13" s="130">
        <f t="shared" si="7"/>
        <v>0</v>
      </c>
      <c r="W13" s="130">
        <f t="shared" si="8"/>
        <v>0</v>
      </c>
      <c r="X13" s="131">
        <f t="shared" si="9"/>
        <v>0</v>
      </c>
      <c r="Y13" s="129">
        <f>IF(O13=0,0,IF(J13=0,0,IF(M13&gt;=VLOOKUP(B13,'④前置信息-大固定-包含了工资和总经理'!B:I,8,0),200,0)+IF(M13&gt;=VLOOKUP(B13,'④前置信息-大固定-包含了工资和总经理'!B:J,9,0),200,0)))</f>
        <v>0</v>
      </c>
      <c r="Z13" s="129">
        <f t="shared" si="10"/>
        <v>0</v>
      </c>
      <c r="AA13" s="130">
        <f t="shared" si="11"/>
        <v>0</v>
      </c>
    </row>
    <row r="14" spans="1:27" x14ac:dyDescent="0.15">
      <c r="A14" s="88" t="s">
        <v>127</v>
      </c>
      <c r="B14" s="88" t="s">
        <v>47</v>
      </c>
      <c r="C14" s="88" t="s">
        <v>22</v>
      </c>
      <c r="D14" s="88" t="s">
        <v>188</v>
      </c>
      <c r="E14" s="88" t="s">
        <v>81</v>
      </c>
      <c r="F14" s="88" t="s">
        <v>191</v>
      </c>
      <c r="G14" s="88">
        <f>VLOOKUP(B14,'④前置信息-大固定-包含了工资和总经理'!B:E,4,0)</f>
        <v>0</v>
      </c>
      <c r="I14" s="88">
        <f>VLOOKUP(B14,'④前置信息-大固定-包含了工资和总经理'!B:F,5,0)</f>
        <v>0</v>
      </c>
      <c r="J14" s="88" t="str">
        <f>VLOOKUP(B14,'④前置信息-大固定-包含了工资和总经理'!B:D,3,0)</f>
        <v>B类</v>
      </c>
      <c r="K14" s="88">
        <f>VLOOKUP(B14,'④前置信息-大固定-包含了工资和总经理'!B:G,6,0)</f>
        <v>150000</v>
      </c>
      <c r="L14" s="88">
        <f>VLOOKUP(B14,②当月数据及门店毛利!B:C,2,0)</f>
        <v>135590</v>
      </c>
      <c r="M14" s="88">
        <f>VLOOKUP(B14,②当月数据及门店毛利!B:E,4,0)</f>
        <v>150</v>
      </c>
      <c r="N14" s="89" t="s">
        <v>214</v>
      </c>
      <c r="O14" s="128">
        <f>IFERROR(VLOOKUP(B14,'④前置信息-大固定-包含了工资和总经理'!B:AD,26,0),0)</f>
        <v>0</v>
      </c>
      <c r="P14" s="129">
        <f t="shared" si="1"/>
        <v>0</v>
      </c>
      <c r="Q14" s="90" t="str">
        <f t="shared" si="2"/>
        <v/>
      </c>
      <c r="R14" s="91">
        <f t="shared" si="3"/>
        <v>0</v>
      </c>
      <c r="S14" s="91">
        <f t="shared" si="4"/>
        <v>0</v>
      </c>
      <c r="T14" s="91">
        <f t="shared" si="5"/>
        <v>0</v>
      </c>
      <c r="U14" s="91">
        <f t="shared" si="6"/>
        <v>0</v>
      </c>
      <c r="V14" s="130">
        <f t="shared" si="7"/>
        <v>0</v>
      </c>
      <c r="W14" s="130">
        <f t="shared" si="8"/>
        <v>0</v>
      </c>
      <c r="X14" s="131">
        <f t="shared" si="9"/>
        <v>0</v>
      </c>
      <c r="Y14" s="129">
        <f>IF(O14=0,0,IF(J14=0,0,IF(M14&gt;=VLOOKUP(B14,'④前置信息-大固定-包含了工资和总经理'!B:I,8,0),200,0)+IF(M14&gt;=VLOOKUP(B14,'④前置信息-大固定-包含了工资和总经理'!B:J,9,0),200,0)))</f>
        <v>0</v>
      </c>
      <c r="Z14" s="129">
        <f t="shared" si="10"/>
        <v>0</v>
      </c>
      <c r="AA14" s="130">
        <f t="shared" si="11"/>
        <v>0</v>
      </c>
    </row>
    <row r="15" spans="1:27" x14ac:dyDescent="0.15">
      <c r="A15" s="88" t="s">
        <v>128</v>
      </c>
      <c r="B15" s="88" t="s">
        <v>37</v>
      </c>
      <c r="C15" s="88" t="s">
        <v>21</v>
      </c>
      <c r="D15" s="88" t="s">
        <v>190</v>
      </c>
      <c r="E15" s="88" t="s">
        <v>81</v>
      </c>
      <c r="F15" s="88" t="s">
        <v>189</v>
      </c>
      <c r="G15" s="88">
        <f>VLOOKUP(B15,'④前置信息-大固定-包含了工资和总经理'!B:E,4,0)</f>
        <v>0</v>
      </c>
      <c r="I15" s="88">
        <f>VLOOKUP(B15,'④前置信息-大固定-包含了工资和总经理'!B:F,5,0)</f>
        <v>0</v>
      </c>
      <c r="J15" s="88" t="str">
        <f>VLOOKUP(B15,'④前置信息-大固定-包含了工资和总经理'!B:D,3,0)</f>
        <v>B类</v>
      </c>
      <c r="K15" s="88">
        <f>VLOOKUP(B15,'④前置信息-大固定-包含了工资和总经理'!B:G,6,0)</f>
        <v>150000</v>
      </c>
      <c r="L15" s="88">
        <f>VLOOKUP(B15,②当月数据及门店毛利!B:C,2,0)</f>
        <v>152421</v>
      </c>
      <c r="M15" s="88">
        <f>VLOOKUP(B15,②当月数据及门店毛利!B:E,4,0)</f>
        <v>138</v>
      </c>
      <c r="N15" s="89" t="s">
        <v>214</v>
      </c>
      <c r="O15" s="128">
        <f>IFERROR(VLOOKUP(B15,'④前置信息-大固定-包含了工资和总经理'!B:AD,26,0),0)</f>
        <v>0</v>
      </c>
      <c r="P15" s="129">
        <f t="shared" si="1"/>
        <v>0</v>
      </c>
      <c r="Q15" s="90" t="str">
        <f t="shared" si="2"/>
        <v/>
      </c>
      <c r="R15" s="91">
        <f t="shared" si="3"/>
        <v>0</v>
      </c>
      <c r="S15" s="91">
        <f t="shared" si="4"/>
        <v>0</v>
      </c>
      <c r="T15" s="91">
        <f t="shared" si="5"/>
        <v>0</v>
      </c>
      <c r="U15" s="91">
        <f t="shared" si="6"/>
        <v>0</v>
      </c>
      <c r="V15" s="130">
        <f t="shared" si="7"/>
        <v>0</v>
      </c>
      <c r="W15" s="130">
        <f t="shared" si="8"/>
        <v>0</v>
      </c>
      <c r="X15" s="131">
        <f t="shared" si="9"/>
        <v>0</v>
      </c>
      <c r="Y15" s="129">
        <f>IF(O15=0,0,IF(J15=0,0,IF(M15&gt;=VLOOKUP(B15,'④前置信息-大固定-包含了工资和总经理'!B:I,8,0),200,0)+IF(M15&gt;=VLOOKUP(B15,'④前置信息-大固定-包含了工资和总经理'!B:J,9,0),200,0)))</f>
        <v>0</v>
      </c>
      <c r="Z15" s="129">
        <f t="shared" si="10"/>
        <v>0</v>
      </c>
      <c r="AA15" s="130">
        <f t="shared" si="11"/>
        <v>0</v>
      </c>
    </row>
    <row r="16" spans="1:27" x14ac:dyDescent="0.15">
      <c r="A16" s="88" t="s">
        <v>129</v>
      </c>
      <c r="B16" s="88" t="s">
        <v>49</v>
      </c>
      <c r="C16" s="88" t="s">
        <v>24</v>
      </c>
      <c r="D16" s="88" t="s">
        <v>190</v>
      </c>
      <c r="E16" s="88" t="s">
        <v>90</v>
      </c>
      <c r="F16" s="88" t="s">
        <v>189</v>
      </c>
      <c r="G16" s="88">
        <f>VLOOKUP(B16,'④前置信息-大固定-包含了工资和总经理'!B:E,4,0)</f>
        <v>0</v>
      </c>
      <c r="I16" s="88">
        <f>VLOOKUP(B16,'④前置信息-大固定-包含了工资和总经理'!B:F,5,0)</f>
        <v>0</v>
      </c>
      <c r="J16" s="88" t="str">
        <f>VLOOKUP(B16,'④前置信息-大固定-包含了工资和总经理'!B:D,3,0)</f>
        <v>A类</v>
      </c>
      <c r="K16" s="88">
        <f>VLOOKUP(B16,'④前置信息-大固定-包含了工资和总经理'!B:G,6,0)</f>
        <v>200000</v>
      </c>
      <c r="L16" s="88">
        <f>VLOOKUP(B16,②当月数据及门店毛利!B:C,2,0)</f>
        <v>205041</v>
      </c>
      <c r="M16" s="88">
        <f>VLOOKUP(B16,②当月数据及门店毛利!B:E,4,0)</f>
        <v>157</v>
      </c>
      <c r="N16" s="89" t="s">
        <v>214</v>
      </c>
      <c r="O16" s="128">
        <f>IFERROR(VLOOKUP(B16,'④前置信息-大固定-包含了工资和总经理'!B:AD,26,0),0)</f>
        <v>0</v>
      </c>
      <c r="P16" s="129">
        <f t="shared" si="1"/>
        <v>0</v>
      </c>
      <c r="Q16" s="90" t="str">
        <f t="shared" si="2"/>
        <v/>
      </c>
      <c r="R16" s="91">
        <f t="shared" si="3"/>
        <v>0</v>
      </c>
      <c r="S16" s="91">
        <f t="shared" si="4"/>
        <v>0</v>
      </c>
      <c r="T16" s="91">
        <f t="shared" si="5"/>
        <v>0</v>
      </c>
      <c r="U16" s="91">
        <f t="shared" si="6"/>
        <v>0</v>
      </c>
      <c r="V16" s="130">
        <f t="shared" si="7"/>
        <v>0</v>
      </c>
      <c r="W16" s="130">
        <f t="shared" si="8"/>
        <v>0</v>
      </c>
      <c r="X16" s="131">
        <f t="shared" si="9"/>
        <v>0</v>
      </c>
      <c r="Y16" s="129">
        <f>IF(O16=0,0,IF(J16=0,0,IF(M16&gt;=VLOOKUP(B16,'④前置信息-大固定-包含了工资和总经理'!B:I,8,0),200,0)+IF(M16&gt;=VLOOKUP(B16,'④前置信息-大固定-包含了工资和总经理'!B:J,9,0),200,0)))</f>
        <v>0</v>
      </c>
      <c r="Z16" s="129">
        <f t="shared" si="10"/>
        <v>0</v>
      </c>
      <c r="AA16" s="130">
        <f t="shared" si="11"/>
        <v>0</v>
      </c>
    </row>
    <row r="17" spans="1:27" x14ac:dyDescent="0.15">
      <c r="A17" s="88" t="s">
        <v>130</v>
      </c>
      <c r="B17" s="88" t="s">
        <v>46</v>
      </c>
      <c r="C17" s="88" t="s">
        <v>22</v>
      </c>
      <c r="D17" s="88" t="s">
        <v>190</v>
      </c>
      <c r="E17" s="88" t="s">
        <v>90</v>
      </c>
      <c r="F17" s="88" t="s">
        <v>189</v>
      </c>
      <c r="G17" s="88">
        <f>VLOOKUP(B17,'④前置信息-大固定-包含了工资和总经理'!B:E,4,0)</f>
        <v>0</v>
      </c>
      <c r="I17" s="88">
        <f>VLOOKUP(B17,'④前置信息-大固定-包含了工资和总经理'!B:F,5,0)</f>
        <v>0</v>
      </c>
      <c r="J17" s="88" t="str">
        <f>VLOOKUP(B17,'④前置信息-大固定-包含了工资和总经理'!B:D,3,0)</f>
        <v>C类</v>
      </c>
      <c r="K17" s="88">
        <f>VLOOKUP(B17,'④前置信息-大固定-包含了工资和总经理'!B:G,6,0)</f>
        <v>120000</v>
      </c>
      <c r="L17" s="88">
        <f>VLOOKUP(B17,②当月数据及门店毛利!B:C,2,0)</f>
        <v>111267</v>
      </c>
      <c r="M17" s="88">
        <f>VLOOKUP(B17,②当月数据及门店毛利!B:E,4,0)</f>
        <v>142</v>
      </c>
      <c r="N17" s="89" t="s">
        <v>214</v>
      </c>
      <c r="O17" s="128">
        <f>IFERROR(VLOOKUP(B17,'④前置信息-大固定-包含了工资和总经理'!B:AD,26,0),0)</f>
        <v>0</v>
      </c>
      <c r="P17" s="129">
        <f t="shared" si="1"/>
        <v>0</v>
      </c>
      <c r="Q17" s="90" t="str">
        <f t="shared" si="2"/>
        <v/>
      </c>
      <c r="R17" s="91">
        <f t="shared" si="3"/>
        <v>0</v>
      </c>
      <c r="S17" s="91">
        <f t="shared" si="4"/>
        <v>0</v>
      </c>
      <c r="T17" s="91">
        <f t="shared" si="5"/>
        <v>0</v>
      </c>
      <c r="U17" s="91">
        <f t="shared" si="6"/>
        <v>0</v>
      </c>
      <c r="V17" s="130">
        <f t="shared" si="7"/>
        <v>0</v>
      </c>
      <c r="W17" s="130">
        <f t="shared" si="8"/>
        <v>0</v>
      </c>
      <c r="X17" s="131">
        <f t="shared" si="9"/>
        <v>0</v>
      </c>
      <c r="Y17" s="129">
        <f>IF(O17=0,0,IF(J17=0,0,IF(M17&gt;=VLOOKUP(B17,'④前置信息-大固定-包含了工资和总经理'!B:I,8,0),200,0)+IF(M17&gt;=VLOOKUP(B17,'④前置信息-大固定-包含了工资和总经理'!B:J,9,0),200,0)))</f>
        <v>0</v>
      </c>
      <c r="Z17" s="129">
        <f t="shared" si="10"/>
        <v>0</v>
      </c>
      <c r="AA17" s="130">
        <f t="shared" si="11"/>
        <v>0</v>
      </c>
    </row>
    <row r="18" spans="1:27" x14ac:dyDescent="0.15">
      <c r="A18" s="88" t="s">
        <v>132</v>
      </c>
      <c r="B18" s="88" t="s">
        <v>36</v>
      </c>
      <c r="C18" s="88" t="s">
        <v>21</v>
      </c>
      <c r="D18" s="88" t="s">
        <v>188</v>
      </c>
      <c r="E18" s="88" t="s">
        <v>90</v>
      </c>
      <c r="F18" s="88" t="s">
        <v>189</v>
      </c>
      <c r="G18" s="88">
        <f>VLOOKUP(B18,'④前置信息-大固定-包含了工资和总经理'!B:E,4,0)</f>
        <v>0</v>
      </c>
      <c r="I18" s="88">
        <f>VLOOKUP(B18,'④前置信息-大固定-包含了工资和总经理'!B:F,5,0)</f>
        <v>0</v>
      </c>
      <c r="J18" s="88" t="str">
        <f>VLOOKUP(B18,'④前置信息-大固定-包含了工资和总经理'!B:D,3,0)</f>
        <v>B类</v>
      </c>
      <c r="K18" s="88">
        <f>VLOOKUP(B18,'④前置信息-大固定-包含了工资和总经理'!B:G,6,0)</f>
        <v>150000</v>
      </c>
      <c r="L18" s="88">
        <f>VLOOKUP(B18,②当月数据及门店毛利!B:C,2,0)</f>
        <v>180024</v>
      </c>
      <c r="M18" s="88">
        <f>VLOOKUP(B18,②当月数据及门店毛利!B:E,4,0)</f>
        <v>140</v>
      </c>
      <c r="N18" s="89" t="s">
        <v>214</v>
      </c>
      <c r="O18" s="128">
        <f>IFERROR(VLOOKUP(B18,'④前置信息-大固定-包含了工资和总经理'!B:AD,26,0),0)</f>
        <v>0</v>
      </c>
      <c r="P18" s="129">
        <f t="shared" si="1"/>
        <v>0</v>
      </c>
      <c r="Q18" s="90" t="str">
        <f t="shared" si="2"/>
        <v/>
      </c>
      <c r="R18" s="91">
        <f t="shared" si="3"/>
        <v>0</v>
      </c>
      <c r="S18" s="91">
        <f t="shared" si="4"/>
        <v>0</v>
      </c>
      <c r="T18" s="91">
        <f t="shared" si="5"/>
        <v>0</v>
      </c>
      <c r="U18" s="91">
        <f t="shared" si="6"/>
        <v>0</v>
      </c>
      <c r="V18" s="130">
        <f t="shared" si="7"/>
        <v>0</v>
      </c>
      <c r="W18" s="130">
        <f t="shared" si="8"/>
        <v>0</v>
      </c>
      <c r="X18" s="131">
        <f t="shared" si="9"/>
        <v>0</v>
      </c>
      <c r="Y18" s="129">
        <f>IF(O18=0,0,IF(J18=0,0,IF(M18&gt;=VLOOKUP(B18,'④前置信息-大固定-包含了工资和总经理'!B:I,8,0),200,0)+IF(M18&gt;=VLOOKUP(B18,'④前置信息-大固定-包含了工资和总经理'!B:J,9,0),200,0)))</f>
        <v>0</v>
      </c>
      <c r="Z18" s="129">
        <f t="shared" si="10"/>
        <v>0</v>
      </c>
      <c r="AA18" s="130">
        <f t="shared" si="11"/>
        <v>0</v>
      </c>
    </row>
    <row r="19" spans="1:27" x14ac:dyDescent="0.15">
      <c r="A19" s="88" t="s">
        <v>133</v>
      </c>
      <c r="B19" s="88" t="s">
        <v>48</v>
      </c>
      <c r="C19" s="88" t="s">
        <v>22</v>
      </c>
      <c r="D19" s="88" t="s">
        <v>190</v>
      </c>
      <c r="E19" s="88" t="s">
        <v>90</v>
      </c>
      <c r="F19" s="88" t="s">
        <v>191</v>
      </c>
      <c r="G19" s="88">
        <f>VLOOKUP(B19,'④前置信息-大固定-包含了工资和总经理'!B:E,4,0)</f>
        <v>0</v>
      </c>
      <c r="I19" s="88">
        <f>VLOOKUP(B19,'④前置信息-大固定-包含了工资和总经理'!B:F,5,0)</f>
        <v>0</v>
      </c>
      <c r="J19" s="88" t="str">
        <f>VLOOKUP(B19,'④前置信息-大固定-包含了工资和总经理'!B:D,3,0)</f>
        <v>B类</v>
      </c>
      <c r="K19" s="88">
        <f>VLOOKUP(B19,'④前置信息-大固定-包含了工资和总经理'!B:G,6,0)</f>
        <v>150000</v>
      </c>
      <c r="L19" s="88">
        <f>VLOOKUP(B19,②当月数据及门店毛利!B:C,2,0)</f>
        <v>153950.6</v>
      </c>
      <c r="M19" s="88">
        <f>VLOOKUP(B19,②当月数据及门店毛利!B:E,4,0)</f>
        <v>153</v>
      </c>
      <c r="N19" s="89" t="s">
        <v>214</v>
      </c>
      <c r="O19" s="128" t="str">
        <f>IFERROR(VLOOKUP(B19,'④前置信息-大固定-包含了工资和总经理'!B:AD,26,0),0)</f>
        <v>牟光燕</v>
      </c>
      <c r="P19" s="129">
        <f t="shared" si="1"/>
        <v>3100</v>
      </c>
      <c r="Q19" s="90">
        <f t="shared" si="2"/>
        <v>0.01</v>
      </c>
      <c r="R19" s="91">
        <f t="shared" si="3"/>
        <v>0</v>
      </c>
      <c r="S19" s="91">
        <f t="shared" si="4"/>
        <v>0</v>
      </c>
      <c r="T19" s="91">
        <f t="shared" si="5"/>
        <v>639.50600000000009</v>
      </c>
      <c r="U19" s="91">
        <f t="shared" si="6"/>
        <v>639.50600000000009</v>
      </c>
      <c r="V19" s="130">
        <f t="shared" si="7"/>
        <v>623.70360000000005</v>
      </c>
      <c r="W19" s="130">
        <f t="shared" si="8"/>
        <v>39.506000000000057</v>
      </c>
      <c r="X19" s="131">
        <f t="shared" si="9"/>
        <v>663.20960000000014</v>
      </c>
      <c r="Y19" s="129">
        <f>IF(O19=0,0,IF(J19=0,0,IF(M19&gt;=VLOOKUP(B19,'④前置信息-大固定-包含了工资和总经理'!B:I,8,0),200,0)+IF(M19&gt;=VLOOKUP(B19,'④前置信息-大固定-包含了工资和总经理'!B:J,9,0),200,0)))</f>
        <v>200</v>
      </c>
      <c r="Z19" s="129">
        <f t="shared" si="10"/>
        <v>150</v>
      </c>
      <c r="AA19" s="130">
        <f t="shared" si="11"/>
        <v>4113.2096000000001</v>
      </c>
    </row>
    <row r="20" spans="1:27" x14ac:dyDescent="0.15">
      <c r="A20" s="88" t="s">
        <v>134</v>
      </c>
      <c r="B20" s="88" t="s">
        <v>39</v>
      </c>
      <c r="C20" s="88" t="s">
        <v>21</v>
      </c>
      <c r="D20" s="88" t="s">
        <v>188</v>
      </c>
      <c r="E20" s="88" t="s">
        <v>81</v>
      </c>
      <c r="F20" s="88" t="s">
        <v>189</v>
      </c>
      <c r="G20" s="88">
        <f>VLOOKUP(B20,'④前置信息-大固定-包含了工资和总经理'!B:E,4,0)</f>
        <v>0</v>
      </c>
      <c r="I20" s="88">
        <f>VLOOKUP(B20,'④前置信息-大固定-包含了工资和总经理'!B:F,5,0)</f>
        <v>0</v>
      </c>
      <c r="J20" s="88" t="str">
        <f>VLOOKUP(B20,'④前置信息-大固定-包含了工资和总经理'!B:D,3,0)</f>
        <v>B类</v>
      </c>
      <c r="K20" s="88">
        <f>VLOOKUP(B20,'④前置信息-大固定-包含了工资和总经理'!B:G,6,0)</f>
        <v>150000</v>
      </c>
      <c r="L20" s="88">
        <f>VLOOKUP(B20,②当月数据及门店毛利!B:C,2,0)</f>
        <v>169632</v>
      </c>
      <c r="M20" s="88">
        <f>VLOOKUP(B20,②当月数据及门店毛利!B:E,4,0)</f>
        <v>180</v>
      </c>
      <c r="N20" s="89" t="s">
        <v>214</v>
      </c>
      <c r="O20" s="128">
        <f>IFERROR(VLOOKUP(B20,'④前置信息-大固定-包含了工资和总经理'!B:AD,26,0),0)</f>
        <v>0</v>
      </c>
      <c r="P20" s="129">
        <f t="shared" si="1"/>
        <v>0</v>
      </c>
      <c r="Q20" s="90" t="str">
        <f t="shared" si="2"/>
        <v/>
      </c>
      <c r="R20" s="91">
        <f t="shared" si="3"/>
        <v>0</v>
      </c>
      <c r="S20" s="91">
        <f t="shared" si="4"/>
        <v>0</v>
      </c>
      <c r="T20" s="91">
        <f t="shared" si="5"/>
        <v>0</v>
      </c>
      <c r="U20" s="91">
        <f t="shared" si="6"/>
        <v>0</v>
      </c>
      <c r="V20" s="130">
        <f t="shared" si="7"/>
        <v>0</v>
      </c>
      <c r="W20" s="130">
        <f t="shared" si="8"/>
        <v>0</v>
      </c>
      <c r="X20" s="131">
        <f t="shared" si="9"/>
        <v>0</v>
      </c>
      <c r="Y20" s="129">
        <f>IF(O20=0,0,IF(J20=0,0,IF(M20&gt;=VLOOKUP(B20,'④前置信息-大固定-包含了工资和总经理'!B:I,8,0),200,0)+IF(M20&gt;=VLOOKUP(B20,'④前置信息-大固定-包含了工资和总经理'!B:J,9,0),200,0)))</f>
        <v>0</v>
      </c>
      <c r="Z20" s="129">
        <f t="shared" si="10"/>
        <v>0</v>
      </c>
      <c r="AA20" s="130">
        <f t="shared" si="11"/>
        <v>0</v>
      </c>
    </row>
    <row r="21" spans="1:27" x14ac:dyDescent="0.15">
      <c r="A21" s="88" t="s">
        <v>135</v>
      </c>
      <c r="B21" s="88" t="s">
        <v>53</v>
      </c>
      <c r="C21" s="88" t="s">
        <v>28</v>
      </c>
      <c r="D21" s="88" t="s">
        <v>190</v>
      </c>
      <c r="E21" s="88" t="s">
        <v>81</v>
      </c>
      <c r="F21" s="88" t="s">
        <v>191</v>
      </c>
      <c r="G21" s="88">
        <f>VLOOKUP(B21,'④前置信息-大固定-包含了工资和总经理'!B:E,4,0)</f>
        <v>0</v>
      </c>
      <c r="I21" s="88">
        <f>VLOOKUP(B21,'④前置信息-大固定-包含了工资和总经理'!B:F,5,0)</f>
        <v>0</v>
      </c>
      <c r="J21" s="88" t="str">
        <f>VLOOKUP(B21,'④前置信息-大固定-包含了工资和总经理'!B:D,3,0)</f>
        <v>A类</v>
      </c>
      <c r="K21" s="88">
        <f>VLOOKUP(B21,'④前置信息-大固定-包含了工资和总经理'!B:G,6,0)</f>
        <v>200000</v>
      </c>
      <c r="L21" s="88">
        <f>VLOOKUP(B21,②当月数据及门店毛利!B:C,2,0)</f>
        <v>200049.7</v>
      </c>
      <c r="M21" s="88">
        <f>VLOOKUP(B21,②当月数据及门店毛利!B:E,4,0)</f>
        <v>172</v>
      </c>
      <c r="N21" s="89" t="s">
        <v>214</v>
      </c>
      <c r="O21" s="128">
        <f>IFERROR(VLOOKUP(B21,'④前置信息-大固定-包含了工资和总经理'!B:AD,26,0),0)</f>
        <v>0</v>
      </c>
      <c r="P21" s="129">
        <f t="shared" si="1"/>
        <v>0</v>
      </c>
      <c r="Q21" s="90" t="str">
        <f t="shared" si="2"/>
        <v/>
      </c>
      <c r="R21" s="91">
        <f t="shared" si="3"/>
        <v>0</v>
      </c>
      <c r="S21" s="91">
        <f t="shared" si="4"/>
        <v>0</v>
      </c>
      <c r="T21" s="91">
        <f t="shared" si="5"/>
        <v>0</v>
      </c>
      <c r="U21" s="91">
        <f t="shared" si="6"/>
        <v>0</v>
      </c>
      <c r="V21" s="130">
        <f t="shared" si="7"/>
        <v>0</v>
      </c>
      <c r="W21" s="130">
        <f t="shared" si="8"/>
        <v>0</v>
      </c>
      <c r="X21" s="131">
        <f t="shared" si="9"/>
        <v>0</v>
      </c>
      <c r="Y21" s="129">
        <f>IF(O21=0,0,IF(J21=0,0,IF(M21&gt;=VLOOKUP(B21,'④前置信息-大固定-包含了工资和总经理'!B:I,8,0),200,0)+IF(M21&gt;=VLOOKUP(B21,'④前置信息-大固定-包含了工资和总经理'!B:J,9,0),200,0)))</f>
        <v>0</v>
      </c>
      <c r="Z21" s="129">
        <f t="shared" si="10"/>
        <v>0</v>
      </c>
      <c r="AA21" s="130">
        <f t="shared" si="11"/>
        <v>0</v>
      </c>
    </row>
    <row r="22" spans="1:27" x14ac:dyDescent="0.15">
      <c r="A22" s="88" t="s">
        <v>136</v>
      </c>
      <c r="B22" s="88" t="s">
        <v>43</v>
      </c>
      <c r="C22" s="88" t="s">
        <v>22</v>
      </c>
      <c r="D22" s="88" t="s">
        <v>188</v>
      </c>
      <c r="E22" s="88" t="s">
        <v>90</v>
      </c>
      <c r="F22" s="88" t="s">
        <v>189</v>
      </c>
      <c r="G22" s="88">
        <f>VLOOKUP(B22,'④前置信息-大固定-包含了工资和总经理'!B:E,4,0)</f>
        <v>0</v>
      </c>
      <c r="I22" s="88">
        <f>VLOOKUP(B22,'④前置信息-大固定-包含了工资和总经理'!B:F,5,0)</f>
        <v>0</v>
      </c>
      <c r="J22" s="88" t="str">
        <f>VLOOKUP(B22,'④前置信息-大固定-包含了工资和总经理'!B:D,3,0)</f>
        <v>B类</v>
      </c>
      <c r="K22" s="88">
        <f>VLOOKUP(B22,'④前置信息-大固定-包含了工资和总经理'!B:G,6,0)</f>
        <v>150000</v>
      </c>
      <c r="L22" s="88">
        <f>VLOOKUP(B22,②当月数据及门店毛利!B:C,2,0)</f>
        <v>311108</v>
      </c>
      <c r="M22" s="88">
        <f>VLOOKUP(B22,②当月数据及门店毛利!B:E,4,0)</f>
        <v>163</v>
      </c>
      <c r="N22" s="89" t="s">
        <v>214</v>
      </c>
      <c r="O22" s="128">
        <f>IFERROR(VLOOKUP(B22,'④前置信息-大固定-包含了工资和总经理'!B:AD,26,0),0)</f>
        <v>0</v>
      </c>
      <c r="P22" s="129">
        <f t="shared" si="1"/>
        <v>0</v>
      </c>
      <c r="Q22" s="90" t="str">
        <f t="shared" si="2"/>
        <v/>
      </c>
      <c r="R22" s="91">
        <f t="shared" si="3"/>
        <v>0</v>
      </c>
      <c r="S22" s="91">
        <f t="shared" si="4"/>
        <v>0</v>
      </c>
      <c r="T22" s="91">
        <f t="shared" si="5"/>
        <v>0</v>
      </c>
      <c r="U22" s="91">
        <f t="shared" si="6"/>
        <v>0</v>
      </c>
      <c r="V22" s="130">
        <f t="shared" si="7"/>
        <v>0</v>
      </c>
      <c r="W22" s="130">
        <f t="shared" si="8"/>
        <v>0</v>
      </c>
      <c r="X22" s="131">
        <f t="shared" si="9"/>
        <v>0</v>
      </c>
      <c r="Y22" s="129">
        <f>IF(O22=0,0,IF(J22=0,0,IF(M22&gt;=VLOOKUP(B22,'④前置信息-大固定-包含了工资和总经理'!B:I,8,0),200,0)+IF(M22&gt;=VLOOKUP(B22,'④前置信息-大固定-包含了工资和总经理'!B:J,9,0),200,0)))</f>
        <v>0</v>
      </c>
      <c r="Z22" s="129">
        <f t="shared" si="10"/>
        <v>0</v>
      </c>
      <c r="AA22" s="130">
        <f t="shared" si="11"/>
        <v>0</v>
      </c>
    </row>
    <row r="23" spans="1:27" x14ac:dyDescent="0.15">
      <c r="A23" s="88" t="s">
        <v>137</v>
      </c>
      <c r="B23" s="88" t="s">
        <v>33</v>
      </c>
      <c r="C23" s="88" t="s">
        <v>21</v>
      </c>
      <c r="D23" s="88" t="s">
        <v>188</v>
      </c>
      <c r="E23" s="88" t="s">
        <v>90</v>
      </c>
      <c r="F23" s="88" t="s">
        <v>189</v>
      </c>
      <c r="G23" s="88">
        <f>VLOOKUP(B23,'④前置信息-大固定-包含了工资和总经理'!B:E,4,0)</f>
        <v>0</v>
      </c>
      <c r="I23" s="88">
        <f>VLOOKUP(B23,'④前置信息-大固定-包含了工资和总经理'!B:F,5,0)</f>
        <v>0</v>
      </c>
      <c r="J23" s="88" t="str">
        <f>VLOOKUP(B23,'④前置信息-大固定-包含了工资和总经理'!B:D,3,0)</f>
        <v>A类</v>
      </c>
      <c r="K23" s="88">
        <f>VLOOKUP(B23,'④前置信息-大固定-包含了工资和总经理'!B:G,6,0)</f>
        <v>200000</v>
      </c>
      <c r="L23" s="88">
        <f>VLOOKUP(B23,②当月数据及门店毛利!B:C,2,0)</f>
        <v>158633</v>
      </c>
      <c r="M23" s="88">
        <f>VLOOKUP(B23,②当月数据及门店毛利!B:E,4,0)</f>
        <v>177</v>
      </c>
      <c r="N23" s="89" t="s">
        <v>214</v>
      </c>
      <c r="O23" s="128">
        <f>IFERROR(VLOOKUP(B23,'④前置信息-大固定-包含了工资和总经理'!B:AD,26,0),0)</f>
        <v>0</v>
      </c>
      <c r="P23" s="129">
        <f t="shared" si="1"/>
        <v>0</v>
      </c>
      <c r="Q23" s="90" t="str">
        <f t="shared" si="2"/>
        <v/>
      </c>
      <c r="R23" s="91">
        <f t="shared" si="3"/>
        <v>0</v>
      </c>
      <c r="S23" s="91">
        <f t="shared" si="4"/>
        <v>0</v>
      </c>
      <c r="T23" s="91">
        <f t="shared" si="5"/>
        <v>0</v>
      </c>
      <c r="U23" s="91">
        <f t="shared" si="6"/>
        <v>0</v>
      </c>
      <c r="V23" s="130">
        <f t="shared" si="7"/>
        <v>0</v>
      </c>
      <c r="W23" s="130">
        <f t="shared" si="8"/>
        <v>0</v>
      </c>
      <c r="X23" s="131">
        <f t="shared" si="9"/>
        <v>0</v>
      </c>
      <c r="Y23" s="129">
        <f>IF(O23=0,0,IF(J23=0,0,IF(M23&gt;=VLOOKUP(B23,'④前置信息-大固定-包含了工资和总经理'!B:I,8,0),200,0)+IF(M23&gt;=VLOOKUP(B23,'④前置信息-大固定-包含了工资和总经理'!B:J,9,0),200,0)))</f>
        <v>0</v>
      </c>
      <c r="Z23" s="129">
        <f t="shared" si="10"/>
        <v>0</v>
      </c>
      <c r="AA23" s="130">
        <f t="shared" si="11"/>
        <v>0</v>
      </c>
    </row>
    <row r="24" spans="1:27" x14ac:dyDescent="0.15">
      <c r="A24" s="88" t="s">
        <v>138</v>
      </c>
      <c r="B24" s="88" t="s">
        <v>51</v>
      </c>
      <c r="C24" s="88" t="s">
        <v>24</v>
      </c>
      <c r="D24" s="88" t="s">
        <v>190</v>
      </c>
      <c r="E24" s="88" t="s">
        <v>81</v>
      </c>
      <c r="F24" s="88" t="s">
        <v>191</v>
      </c>
      <c r="G24" s="88">
        <f>VLOOKUP(B24,'④前置信息-大固定-包含了工资和总经理'!B:E,4,0)</f>
        <v>0</v>
      </c>
      <c r="I24" s="88">
        <f>VLOOKUP(B24,'④前置信息-大固定-包含了工资和总经理'!B:F,5,0)</f>
        <v>0</v>
      </c>
      <c r="J24" s="88" t="str">
        <f>VLOOKUP(B24,'④前置信息-大固定-包含了工资和总经理'!B:D,3,0)</f>
        <v>C类</v>
      </c>
      <c r="K24" s="88">
        <f>VLOOKUP(B24,'④前置信息-大固定-包含了工资和总经理'!B:G,6,0)</f>
        <v>120000</v>
      </c>
      <c r="L24" s="88">
        <f>VLOOKUP(B24,②当月数据及门店毛利!B:C,2,0)</f>
        <v>92371</v>
      </c>
      <c r="M24" s="88">
        <f>VLOOKUP(B24,②当月数据及门店毛利!B:E,4,0)</f>
        <v>169</v>
      </c>
      <c r="N24" s="89" t="s">
        <v>214</v>
      </c>
      <c r="O24" s="128">
        <f>IFERROR(VLOOKUP(B24,'④前置信息-大固定-包含了工资和总经理'!B:AD,26,0),0)</f>
        <v>0</v>
      </c>
      <c r="P24" s="129">
        <f t="shared" si="1"/>
        <v>0</v>
      </c>
      <c r="Q24" s="90" t="str">
        <f t="shared" si="2"/>
        <v/>
      </c>
      <c r="R24" s="91">
        <f t="shared" si="3"/>
        <v>0</v>
      </c>
      <c r="S24" s="91">
        <f t="shared" si="4"/>
        <v>0</v>
      </c>
      <c r="T24" s="91">
        <f t="shared" si="5"/>
        <v>0</v>
      </c>
      <c r="U24" s="91">
        <f t="shared" si="6"/>
        <v>0</v>
      </c>
      <c r="V24" s="130">
        <f t="shared" si="7"/>
        <v>0</v>
      </c>
      <c r="W24" s="130">
        <f t="shared" si="8"/>
        <v>0</v>
      </c>
      <c r="X24" s="131">
        <f t="shared" si="9"/>
        <v>0</v>
      </c>
      <c r="Y24" s="129">
        <f>IF(O24=0,0,IF(J24=0,0,IF(M24&gt;=VLOOKUP(B24,'④前置信息-大固定-包含了工资和总经理'!B:I,8,0),200,0)+IF(M24&gt;=VLOOKUP(B24,'④前置信息-大固定-包含了工资和总经理'!B:J,9,0),200,0)))</f>
        <v>0</v>
      </c>
      <c r="Z24" s="129">
        <f t="shared" si="10"/>
        <v>0</v>
      </c>
      <c r="AA24" s="130">
        <f t="shared" si="11"/>
        <v>0</v>
      </c>
    </row>
    <row r="25" spans="1:27" x14ac:dyDescent="0.15">
      <c r="A25" s="88" t="s">
        <v>139</v>
      </c>
      <c r="B25" s="88" t="s">
        <v>26</v>
      </c>
      <c r="C25" s="88" t="s">
        <v>4</v>
      </c>
      <c r="D25" s="88" t="s">
        <v>188</v>
      </c>
      <c r="E25" s="88" t="s">
        <v>81</v>
      </c>
      <c r="F25" s="88" t="s">
        <v>189</v>
      </c>
      <c r="G25" s="88">
        <f>VLOOKUP(B25,'④前置信息-大固定-包含了工资和总经理'!B:E,4,0)</f>
        <v>0</v>
      </c>
      <c r="I25" s="88">
        <f>VLOOKUP(B25,'④前置信息-大固定-包含了工资和总经理'!B:F,5,0)</f>
        <v>0</v>
      </c>
      <c r="J25" s="88" t="str">
        <f>VLOOKUP(B25,'④前置信息-大固定-包含了工资和总经理'!B:D,3,0)</f>
        <v>B类</v>
      </c>
      <c r="K25" s="88">
        <f>VLOOKUP(B25,'④前置信息-大固定-包含了工资和总经理'!B:G,6,0)</f>
        <v>150000</v>
      </c>
      <c r="L25" s="88">
        <f>VLOOKUP(B25,②当月数据及门店毛利!B:C,2,0)</f>
        <v>100934</v>
      </c>
      <c r="M25" s="88">
        <f>VLOOKUP(B25,②当月数据及门店毛利!B:E,4,0)</f>
        <v>183</v>
      </c>
      <c r="N25" s="89" t="s">
        <v>214</v>
      </c>
      <c r="O25" s="128">
        <f>IFERROR(VLOOKUP(B25,'④前置信息-大固定-包含了工资和总经理'!B:AD,26,0),0)</f>
        <v>0</v>
      </c>
      <c r="P25" s="129">
        <f t="shared" si="1"/>
        <v>0</v>
      </c>
      <c r="Q25" s="90" t="str">
        <f t="shared" si="2"/>
        <v/>
      </c>
      <c r="R25" s="91">
        <f t="shared" si="3"/>
        <v>0</v>
      </c>
      <c r="S25" s="91">
        <f t="shared" si="4"/>
        <v>0</v>
      </c>
      <c r="T25" s="91">
        <f t="shared" si="5"/>
        <v>0</v>
      </c>
      <c r="U25" s="91">
        <f t="shared" si="6"/>
        <v>0</v>
      </c>
      <c r="V25" s="130">
        <f t="shared" si="7"/>
        <v>0</v>
      </c>
      <c r="W25" s="130">
        <f t="shared" si="8"/>
        <v>0</v>
      </c>
      <c r="X25" s="131">
        <f t="shared" si="9"/>
        <v>0</v>
      </c>
      <c r="Y25" s="129">
        <f>IF(O25=0,0,IF(J25=0,0,IF(M25&gt;=VLOOKUP(B25,'④前置信息-大固定-包含了工资和总经理'!B:I,8,0),200,0)+IF(M25&gt;=VLOOKUP(B25,'④前置信息-大固定-包含了工资和总经理'!B:J,9,0),200,0)))</f>
        <v>0</v>
      </c>
      <c r="Z25" s="129">
        <f t="shared" si="10"/>
        <v>0</v>
      </c>
      <c r="AA25" s="130">
        <f t="shared" si="11"/>
        <v>0</v>
      </c>
    </row>
    <row r="26" spans="1:27" x14ac:dyDescent="0.15">
      <c r="A26" s="88" t="s">
        <v>140</v>
      </c>
      <c r="B26" s="88" t="s">
        <v>56</v>
      </c>
      <c r="C26" s="88" t="s">
        <v>28</v>
      </c>
      <c r="D26" s="88" t="s">
        <v>190</v>
      </c>
      <c r="E26" s="88" t="s">
        <v>81</v>
      </c>
      <c r="F26" s="88" t="s">
        <v>191</v>
      </c>
      <c r="G26" s="88">
        <f>VLOOKUP(B26,'④前置信息-大固定-包含了工资和总经理'!B:E,4,0)</f>
        <v>0</v>
      </c>
      <c r="I26" s="88">
        <f>VLOOKUP(B26,'④前置信息-大固定-包含了工资和总经理'!B:F,5,0)</f>
        <v>0</v>
      </c>
      <c r="J26" s="88" t="str">
        <f>VLOOKUP(B26,'④前置信息-大固定-包含了工资和总经理'!B:D,3,0)</f>
        <v>B类</v>
      </c>
      <c r="K26" s="88">
        <f>VLOOKUP(B26,'④前置信息-大固定-包含了工资和总经理'!B:G,6,0)</f>
        <v>150000</v>
      </c>
      <c r="L26" s="88">
        <f>VLOOKUP(B26,②当月数据及门店毛利!B:C,2,0)</f>
        <v>151129</v>
      </c>
      <c r="M26" s="88">
        <f>VLOOKUP(B26,②当月数据及门店毛利!B:E,4,0)</f>
        <v>164</v>
      </c>
      <c r="N26" s="89" t="s">
        <v>214</v>
      </c>
      <c r="O26" s="128">
        <f>IFERROR(VLOOKUP(B26,'④前置信息-大固定-包含了工资和总经理'!B:AD,26,0),0)</f>
        <v>0</v>
      </c>
      <c r="P26" s="129">
        <f t="shared" si="1"/>
        <v>0</v>
      </c>
      <c r="Q26" s="90" t="str">
        <f t="shared" si="2"/>
        <v/>
      </c>
      <c r="R26" s="91">
        <f t="shared" si="3"/>
        <v>0</v>
      </c>
      <c r="S26" s="91">
        <f t="shared" si="4"/>
        <v>0</v>
      </c>
      <c r="T26" s="91">
        <f t="shared" si="5"/>
        <v>0</v>
      </c>
      <c r="U26" s="91">
        <f t="shared" si="6"/>
        <v>0</v>
      </c>
      <c r="V26" s="130">
        <f t="shared" si="7"/>
        <v>0</v>
      </c>
      <c r="W26" s="130">
        <f t="shared" si="8"/>
        <v>0</v>
      </c>
      <c r="X26" s="131">
        <f t="shared" si="9"/>
        <v>0</v>
      </c>
      <c r="Y26" s="129">
        <f>IF(O26=0,0,IF(J26=0,0,IF(M26&gt;=VLOOKUP(B26,'④前置信息-大固定-包含了工资和总经理'!B:I,8,0),200,0)+IF(M26&gt;=VLOOKUP(B26,'④前置信息-大固定-包含了工资和总经理'!B:J,9,0),200,0)))</f>
        <v>0</v>
      </c>
      <c r="Z26" s="129">
        <f t="shared" si="10"/>
        <v>0</v>
      </c>
      <c r="AA26" s="130">
        <f t="shared" si="11"/>
        <v>0</v>
      </c>
    </row>
    <row r="27" spans="1:27" x14ac:dyDescent="0.15">
      <c r="A27" s="88" t="s">
        <v>141</v>
      </c>
      <c r="B27" s="88" t="s">
        <v>52</v>
      </c>
      <c r="C27" s="88" t="s">
        <v>24</v>
      </c>
      <c r="D27" s="88" t="s">
        <v>188</v>
      </c>
      <c r="E27" s="88" t="s">
        <v>81</v>
      </c>
      <c r="F27" s="88" t="s">
        <v>191</v>
      </c>
      <c r="G27" s="88">
        <f>VLOOKUP(B27,'④前置信息-大固定-包含了工资和总经理'!B:E,4,0)</f>
        <v>0</v>
      </c>
      <c r="I27" s="88">
        <f>VLOOKUP(B27,'④前置信息-大固定-包含了工资和总经理'!B:F,5,0)</f>
        <v>0</v>
      </c>
      <c r="J27" s="88" t="str">
        <f>VLOOKUP(B27,'④前置信息-大固定-包含了工资和总经理'!B:D,3,0)</f>
        <v>C类</v>
      </c>
      <c r="K27" s="88">
        <f>VLOOKUP(B27,'④前置信息-大固定-包含了工资和总经理'!B:G,6,0)</f>
        <v>120000</v>
      </c>
      <c r="L27" s="88">
        <f>VLOOKUP(B27,②当月数据及门店毛利!B:C,2,0)</f>
        <v>143757</v>
      </c>
      <c r="M27" s="88">
        <f>VLOOKUP(B27,②当月数据及门店毛利!B:E,4,0)</f>
        <v>156</v>
      </c>
      <c r="N27" s="89" t="s">
        <v>214</v>
      </c>
      <c r="O27" s="128">
        <f>IFERROR(VLOOKUP(B27,'④前置信息-大固定-包含了工资和总经理'!B:AD,26,0),0)</f>
        <v>0</v>
      </c>
      <c r="P27" s="129">
        <f t="shared" si="1"/>
        <v>0</v>
      </c>
      <c r="Q27" s="90" t="str">
        <f t="shared" si="2"/>
        <v/>
      </c>
      <c r="R27" s="91">
        <f t="shared" si="3"/>
        <v>0</v>
      </c>
      <c r="S27" s="91">
        <f t="shared" si="4"/>
        <v>0</v>
      </c>
      <c r="T27" s="91">
        <f t="shared" si="5"/>
        <v>0</v>
      </c>
      <c r="U27" s="91">
        <f t="shared" si="6"/>
        <v>0</v>
      </c>
      <c r="V27" s="130">
        <f t="shared" si="7"/>
        <v>0</v>
      </c>
      <c r="W27" s="130">
        <f t="shared" si="8"/>
        <v>0</v>
      </c>
      <c r="X27" s="131">
        <f t="shared" si="9"/>
        <v>0</v>
      </c>
      <c r="Y27" s="129">
        <f>IF(O27=0,0,IF(J27=0,0,IF(M27&gt;=VLOOKUP(B27,'④前置信息-大固定-包含了工资和总经理'!B:I,8,0),200,0)+IF(M27&gt;=VLOOKUP(B27,'④前置信息-大固定-包含了工资和总经理'!B:J,9,0),200,0)))</f>
        <v>0</v>
      </c>
      <c r="Z27" s="129">
        <f t="shared" si="10"/>
        <v>0</v>
      </c>
      <c r="AA27" s="130">
        <f t="shared" si="11"/>
        <v>0</v>
      </c>
    </row>
    <row r="28" spans="1:27" x14ac:dyDescent="0.15">
      <c r="A28" s="88" t="s">
        <v>142</v>
      </c>
      <c r="B28" s="88" t="s">
        <v>38</v>
      </c>
      <c r="C28" s="88" t="s">
        <v>21</v>
      </c>
      <c r="D28" s="88" t="s">
        <v>188</v>
      </c>
      <c r="E28" s="88" t="s">
        <v>90</v>
      </c>
      <c r="F28" s="88" t="s">
        <v>189</v>
      </c>
      <c r="G28" s="88">
        <f>VLOOKUP(B28,'④前置信息-大固定-包含了工资和总经理'!B:E,4,0)</f>
        <v>0</v>
      </c>
      <c r="I28" s="88">
        <f>VLOOKUP(B28,'④前置信息-大固定-包含了工资和总经理'!B:F,5,0)</f>
        <v>0</v>
      </c>
      <c r="J28" s="88" t="str">
        <f>VLOOKUP(B28,'④前置信息-大固定-包含了工资和总经理'!B:D,3,0)</f>
        <v>B类</v>
      </c>
      <c r="K28" s="88">
        <f>VLOOKUP(B28,'④前置信息-大固定-包含了工资和总经理'!B:G,6,0)</f>
        <v>150000</v>
      </c>
      <c r="L28" s="88">
        <f>VLOOKUP(B28,②当月数据及门店毛利!B:C,2,0)</f>
        <v>150422</v>
      </c>
      <c r="M28" s="88">
        <f>VLOOKUP(B28,②当月数据及门店毛利!B:E,4,0)</f>
        <v>111</v>
      </c>
      <c r="N28" s="89" t="s">
        <v>214</v>
      </c>
      <c r="O28" s="128">
        <f>IFERROR(VLOOKUP(B28,'④前置信息-大固定-包含了工资和总经理'!B:AD,26,0),0)</f>
        <v>0</v>
      </c>
      <c r="P28" s="129">
        <f t="shared" si="1"/>
        <v>0</v>
      </c>
      <c r="Q28" s="90" t="str">
        <f t="shared" si="2"/>
        <v/>
      </c>
      <c r="R28" s="91">
        <f t="shared" si="3"/>
        <v>0</v>
      </c>
      <c r="S28" s="91">
        <f t="shared" si="4"/>
        <v>0</v>
      </c>
      <c r="T28" s="91">
        <f t="shared" si="5"/>
        <v>0</v>
      </c>
      <c r="U28" s="91">
        <f t="shared" si="6"/>
        <v>0</v>
      </c>
      <c r="V28" s="130">
        <f t="shared" si="7"/>
        <v>0</v>
      </c>
      <c r="W28" s="130">
        <f t="shared" si="8"/>
        <v>0</v>
      </c>
      <c r="X28" s="131">
        <f t="shared" si="9"/>
        <v>0</v>
      </c>
      <c r="Y28" s="129">
        <f>IF(O28=0,0,IF(J28=0,0,IF(M28&gt;=VLOOKUP(B28,'④前置信息-大固定-包含了工资和总经理'!B:I,8,0),200,0)+IF(M28&gt;=VLOOKUP(B28,'④前置信息-大固定-包含了工资和总经理'!B:J,9,0),200,0)))</f>
        <v>0</v>
      </c>
      <c r="Z28" s="129">
        <f t="shared" si="10"/>
        <v>0</v>
      </c>
      <c r="AA28" s="130">
        <f t="shared" si="11"/>
        <v>0</v>
      </c>
    </row>
    <row r="29" spans="1:27" x14ac:dyDescent="0.15">
      <c r="A29" s="88" t="s">
        <v>143</v>
      </c>
      <c r="B29" s="88" t="s">
        <v>55</v>
      </c>
      <c r="C29" s="88" t="s">
        <v>28</v>
      </c>
      <c r="D29" s="88" t="s">
        <v>190</v>
      </c>
      <c r="E29" s="88" t="s">
        <v>81</v>
      </c>
      <c r="F29" s="88" t="s">
        <v>191</v>
      </c>
      <c r="G29" s="88">
        <f>VLOOKUP(B29,'④前置信息-大固定-包含了工资和总经理'!B:E,4,0)</f>
        <v>0</v>
      </c>
      <c r="I29" s="88">
        <f>VLOOKUP(B29,'④前置信息-大固定-包含了工资和总经理'!B:F,5,0)</f>
        <v>0</v>
      </c>
      <c r="J29" s="88" t="str">
        <f>VLOOKUP(B29,'④前置信息-大固定-包含了工资和总经理'!B:D,3,0)</f>
        <v>A类</v>
      </c>
      <c r="K29" s="88">
        <f>VLOOKUP(B29,'④前置信息-大固定-包含了工资和总经理'!B:G,6,0)</f>
        <v>180000</v>
      </c>
      <c r="L29" s="88">
        <f>VLOOKUP(B29,②当月数据及门店毛利!B:C,2,0)</f>
        <v>180307.8</v>
      </c>
      <c r="M29" s="88">
        <f>VLOOKUP(B29,②当月数据及门店毛利!B:E,4,0)</f>
        <v>154</v>
      </c>
      <c r="N29" s="89" t="s">
        <v>214</v>
      </c>
      <c r="O29" s="128">
        <f>IFERROR(VLOOKUP(B29,'④前置信息-大固定-包含了工资和总经理'!B:AD,26,0),0)</f>
        <v>0</v>
      </c>
      <c r="P29" s="129">
        <f t="shared" si="1"/>
        <v>0</v>
      </c>
      <c r="Q29" s="90" t="str">
        <f t="shared" si="2"/>
        <v/>
      </c>
      <c r="R29" s="91">
        <f t="shared" si="3"/>
        <v>0</v>
      </c>
      <c r="S29" s="91">
        <f t="shared" si="4"/>
        <v>0</v>
      </c>
      <c r="T29" s="91">
        <f t="shared" si="5"/>
        <v>0</v>
      </c>
      <c r="U29" s="91">
        <f t="shared" si="6"/>
        <v>0</v>
      </c>
      <c r="V29" s="130">
        <f t="shared" si="7"/>
        <v>0</v>
      </c>
      <c r="W29" s="130">
        <f t="shared" si="8"/>
        <v>0</v>
      </c>
      <c r="X29" s="131">
        <f t="shared" si="9"/>
        <v>0</v>
      </c>
      <c r="Y29" s="129">
        <f>IF(O29=0,0,IF(J29=0,0,IF(M29&gt;=VLOOKUP(B29,'④前置信息-大固定-包含了工资和总经理'!B:I,8,0),200,0)+IF(M29&gt;=VLOOKUP(B29,'④前置信息-大固定-包含了工资和总经理'!B:J,9,0),200,0)))</f>
        <v>0</v>
      </c>
      <c r="Z29" s="129">
        <f t="shared" si="10"/>
        <v>0</v>
      </c>
      <c r="AA29" s="130">
        <f t="shared" si="11"/>
        <v>0</v>
      </c>
    </row>
    <row r="30" spans="1:27" x14ac:dyDescent="0.15">
      <c r="A30" s="88" t="s">
        <v>144</v>
      </c>
      <c r="B30" s="88" t="s">
        <v>45</v>
      </c>
      <c r="C30" s="88" t="s">
        <v>22</v>
      </c>
      <c r="D30" s="88" t="s">
        <v>188</v>
      </c>
      <c r="E30" s="88" t="s">
        <v>90</v>
      </c>
      <c r="F30" s="88" t="s">
        <v>189</v>
      </c>
      <c r="G30" s="88">
        <f>VLOOKUP(B30,'④前置信息-大固定-包含了工资和总经理'!B:E,4,0)</f>
        <v>0</v>
      </c>
      <c r="I30" s="88">
        <f>VLOOKUP(B30,'④前置信息-大固定-包含了工资和总经理'!B:F,5,0)</f>
        <v>0</v>
      </c>
      <c r="J30" s="88" t="str">
        <f>VLOOKUP(B30,'④前置信息-大固定-包含了工资和总经理'!B:D,3,0)</f>
        <v>A类</v>
      </c>
      <c r="K30" s="88">
        <f>VLOOKUP(B30,'④前置信息-大固定-包含了工资和总经理'!B:G,6,0)</f>
        <v>180000</v>
      </c>
      <c r="L30" s="88">
        <f>VLOOKUP(B30,②当月数据及门店毛利!B:C,2,0)</f>
        <v>139022</v>
      </c>
      <c r="M30" s="88">
        <f>VLOOKUP(B30,②当月数据及门店毛利!B:E,4,0)</f>
        <v>191</v>
      </c>
      <c r="N30" s="89" t="s">
        <v>214</v>
      </c>
      <c r="O30" s="128">
        <f>IFERROR(VLOOKUP(B30,'④前置信息-大固定-包含了工资和总经理'!B:AD,26,0),0)</f>
        <v>0</v>
      </c>
      <c r="P30" s="129">
        <f t="shared" si="1"/>
        <v>0</v>
      </c>
      <c r="Q30" s="90" t="str">
        <f t="shared" si="2"/>
        <v/>
      </c>
      <c r="R30" s="91">
        <f t="shared" si="3"/>
        <v>0</v>
      </c>
      <c r="S30" s="91">
        <f t="shared" si="4"/>
        <v>0</v>
      </c>
      <c r="T30" s="91">
        <f t="shared" si="5"/>
        <v>0</v>
      </c>
      <c r="U30" s="91">
        <f t="shared" si="6"/>
        <v>0</v>
      </c>
      <c r="V30" s="130">
        <f t="shared" si="7"/>
        <v>0</v>
      </c>
      <c r="W30" s="130">
        <f t="shared" si="8"/>
        <v>0</v>
      </c>
      <c r="X30" s="131">
        <f t="shared" si="9"/>
        <v>0</v>
      </c>
      <c r="Y30" s="129">
        <f>IF(O30=0,0,IF(J30=0,0,IF(M30&gt;=VLOOKUP(B30,'④前置信息-大固定-包含了工资和总经理'!B:I,8,0),200,0)+IF(M30&gt;=VLOOKUP(B30,'④前置信息-大固定-包含了工资和总经理'!B:J,9,0),200,0)))</f>
        <v>0</v>
      </c>
      <c r="Z30" s="129">
        <f t="shared" si="10"/>
        <v>0</v>
      </c>
      <c r="AA30" s="130">
        <f t="shared" si="11"/>
        <v>0</v>
      </c>
    </row>
    <row r="31" spans="1:27" x14ac:dyDescent="0.15">
      <c r="A31" s="88" t="s">
        <v>145</v>
      </c>
      <c r="B31" s="88" t="s">
        <v>32</v>
      </c>
      <c r="C31" s="88" t="s">
        <v>17</v>
      </c>
      <c r="D31" s="88" t="s">
        <v>190</v>
      </c>
      <c r="E31" s="88" t="s">
        <v>90</v>
      </c>
      <c r="F31" s="88" t="s">
        <v>191</v>
      </c>
      <c r="G31" s="88">
        <f>VLOOKUP(B31,'④前置信息-大固定-包含了工资和总经理'!B:E,4,0)</f>
        <v>0</v>
      </c>
      <c r="I31" s="88">
        <f>VLOOKUP(B31,'④前置信息-大固定-包含了工资和总经理'!B:F,5,0)</f>
        <v>0</v>
      </c>
      <c r="J31" s="88" t="str">
        <f>VLOOKUP(B31,'④前置信息-大固定-包含了工资和总经理'!B:D,3,0)</f>
        <v>C类</v>
      </c>
      <c r="K31" s="88">
        <f>VLOOKUP(B31,'④前置信息-大固定-包含了工资和总经理'!B:G,6,0)</f>
        <v>120000</v>
      </c>
      <c r="L31" s="88">
        <f>VLOOKUP(B31,②当月数据及门店毛利!B:C,2,0)</f>
        <v>120949.6</v>
      </c>
      <c r="M31" s="88">
        <f>VLOOKUP(B31,②当月数据及门店毛利!B:E,4,0)</f>
        <v>149</v>
      </c>
      <c r="N31" s="89" t="s">
        <v>214</v>
      </c>
      <c r="O31" s="128">
        <f>IFERROR(VLOOKUP(B31,'④前置信息-大固定-包含了工资和总经理'!B:AD,26,0),0)</f>
        <v>0</v>
      </c>
      <c r="P31" s="129">
        <f t="shared" si="1"/>
        <v>0</v>
      </c>
      <c r="Q31" s="90" t="str">
        <f t="shared" si="2"/>
        <v/>
      </c>
      <c r="R31" s="91">
        <f t="shared" si="3"/>
        <v>0</v>
      </c>
      <c r="S31" s="91">
        <f t="shared" si="4"/>
        <v>0</v>
      </c>
      <c r="T31" s="91">
        <f t="shared" si="5"/>
        <v>0</v>
      </c>
      <c r="U31" s="91">
        <f t="shared" si="6"/>
        <v>0</v>
      </c>
      <c r="V31" s="130">
        <f t="shared" si="7"/>
        <v>0</v>
      </c>
      <c r="W31" s="130">
        <f t="shared" si="8"/>
        <v>0</v>
      </c>
      <c r="X31" s="131">
        <f t="shared" si="9"/>
        <v>0</v>
      </c>
      <c r="Y31" s="129">
        <f>IF(O31=0,0,IF(J31=0,0,IF(M31&gt;=VLOOKUP(B31,'④前置信息-大固定-包含了工资和总经理'!B:I,8,0),200,0)+IF(M31&gt;=VLOOKUP(B31,'④前置信息-大固定-包含了工资和总经理'!B:J,9,0),200,0)))</f>
        <v>0</v>
      </c>
      <c r="Z31" s="129">
        <f t="shared" si="10"/>
        <v>0</v>
      </c>
      <c r="AA31" s="130">
        <f t="shared" si="11"/>
        <v>0</v>
      </c>
    </row>
    <row r="32" spans="1:27" x14ac:dyDescent="0.15">
      <c r="A32" s="88" t="s">
        <v>146</v>
      </c>
      <c r="B32" s="88" t="s">
        <v>29</v>
      </c>
      <c r="C32" s="88" t="s">
        <v>4</v>
      </c>
      <c r="D32" s="88" t="s">
        <v>188</v>
      </c>
      <c r="E32" s="88" t="s">
        <v>81</v>
      </c>
      <c r="F32" s="88" t="s">
        <v>189</v>
      </c>
      <c r="G32" s="88" t="str">
        <f>VLOOKUP(B32,'④前置信息-大固定-包含了工资和总经理'!B:E,4,0)</f>
        <v>新店</v>
      </c>
      <c r="I32" s="88" t="str">
        <f>VLOOKUP(B32,'④前置信息-大固定-包含了工资和总经理'!B:F,5,0)</f>
        <v>C类</v>
      </c>
      <c r="J32" s="88" t="str">
        <f>VLOOKUP(B32,'④前置信息-大固定-包含了工资和总经理'!B:D,3,0)</f>
        <v>C类</v>
      </c>
      <c r="K32" s="88">
        <f>VLOOKUP(B32,'④前置信息-大固定-包含了工资和总经理'!B:G,6,0)</f>
        <v>120000</v>
      </c>
      <c r="L32" s="88">
        <f>VLOOKUP(B32,②当月数据及门店毛利!B:C,2,0)</f>
        <v>259744.88</v>
      </c>
      <c r="M32" s="88">
        <f>VLOOKUP(B32,②当月数据及门店毛利!B:E,4,0)</f>
        <v>155</v>
      </c>
      <c r="N32" s="89" t="s">
        <v>214</v>
      </c>
      <c r="O32" s="128">
        <f>IFERROR(VLOOKUP(B32,'④前置信息-大固定-包含了工资和总经理'!B:AD,26,0),0)</f>
        <v>0</v>
      </c>
      <c r="P32" s="129">
        <f t="shared" si="1"/>
        <v>0</v>
      </c>
      <c r="Q32" s="90" t="str">
        <f t="shared" si="2"/>
        <v/>
      </c>
      <c r="R32" s="91">
        <f t="shared" si="3"/>
        <v>0</v>
      </c>
      <c r="S32" s="91">
        <f t="shared" si="4"/>
        <v>0</v>
      </c>
      <c r="T32" s="91">
        <f t="shared" si="5"/>
        <v>0</v>
      </c>
      <c r="U32" s="91">
        <f t="shared" si="6"/>
        <v>0</v>
      </c>
      <c r="V32" s="130">
        <f t="shared" si="7"/>
        <v>0</v>
      </c>
      <c r="W32" s="130">
        <f t="shared" si="8"/>
        <v>0</v>
      </c>
      <c r="X32" s="131">
        <f t="shared" si="9"/>
        <v>0</v>
      </c>
      <c r="Y32" s="129">
        <f>IF(O32=0,0,IF(J32=0,0,IF(M32&gt;=VLOOKUP(B32,'④前置信息-大固定-包含了工资和总经理'!B:I,8,0),200,0)+IF(M32&gt;=VLOOKUP(B32,'④前置信息-大固定-包含了工资和总经理'!B:J,9,0),200,0)))</f>
        <v>0</v>
      </c>
      <c r="Z32" s="129">
        <f t="shared" si="10"/>
        <v>0</v>
      </c>
      <c r="AA32" s="130">
        <f t="shared" si="11"/>
        <v>0</v>
      </c>
    </row>
    <row r="33" spans="1:27" x14ac:dyDescent="0.15">
      <c r="A33" s="88" t="s">
        <v>148</v>
      </c>
      <c r="B33" s="88" t="s">
        <v>59</v>
      </c>
      <c r="C33" s="88" t="s">
        <v>17</v>
      </c>
      <c r="D33" s="88" t="s">
        <v>190</v>
      </c>
      <c r="E33" s="88" t="s">
        <v>90</v>
      </c>
      <c r="F33" s="88" t="s">
        <v>191</v>
      </c>
      <c r="G33" s="88" t="str">
        <f>VLOOKUP(B33,'④前置信息-大固定-包含了工资和总经理'!B:E,4,0)</f>
        <v>新店</v>
      </c>
      <c r="I33" s="88">
        <f>VLOOKUP(B33,'④前置信息-大固定-包含了工资和总经理'!B:F,5,0)</f>
        <v>0</v>
      </c>
      <c r="J33" s="88" t="str">
        <f>VLOOKUP(B33,'④前置信息-大固定-包含了工资和总经理'!B:D,3,0)</f>
        <v>B类</v>
      </c>
      <c r="K33" s="88">
        <f>VLOOKUP(B33,'④前置信息-大固定-包含了工资和总经理'!B:G,6,0)</f>
        <v>150000</v>
      </c>
      <c r="L33" s="88">
        <f>VLOOKUP(B33,②当月数据及门店毛利!B:C,2,0)</f>
        <v>150031.32999999999</v>
      </c>
      <c r="M33" s="88">
        <f>VLOOKUP(B33,②当月数据及门店毛利!B:E,4,0)</f>
        <v>186</v>
      </c>
      <c r="N33" s="89" t="s">
        <v>214</v>
      </c>
      <c r="O33" s="128">
        <f>IFERROR(VLOOKUP(B33,'④前置信息-大固定-包含了工资和总经理'!B:AD,26,0),0)</f>
        <v>0</v>
      </c>
      <c r="P33" s="129">
        <f t="shared" si="1"/>
        <v>0</v>
      </c>
      <c r="Q33" s="90" t="str">
        <f t="shared" si="2"/>
        <v/>
      </c>
      <c r="R33" s="91">
        <f t="shared" si="3"/>
        <v>0</v>
      </c>
      <c r="S33" s="91">
        <f t="shared" si="4"/>
        <v>0</v>
      </c>
      <c r="T33" s="91">
        <f t="shared" si="5"/>
        <v>0</v>
      </c>
      <c r="U33" s="91">
        <f t="shared" si="6"/>
        <v>0</v>
      </c>
      <c r="V33" s="130">
        <f t="shared" si="7"/>
        <v>0</v>
      </c>
      <c r="W33" s="130">
        <f t="shared" si="8"/>
        <v>0</v>
      </c>
      <c r="X33" s="131">
        <f t="shared" si="9"/>
        <v>0</v>
      </c>
      <c r="Y33" s="129">
        <f>IF(O33=0,0,IF(J33=0,0,IF(M33&gt;=VLOOKUP(B33,'④前置信息-大固定-包含了工资和总经理'!B:I,8,0),200,0)+IF(M33&gt;=VLOOKUP(B33,'④前置信息-大固定-包含了工资和总经理'!B:J,9,0),200,0)))</f>
        <v>0</v>
      </c>
      <c r="Z33" s="129">
        <f t="shared" si="10"/>
        <v>0</v>
      </c>
      <c r="AA33" s="130">
        <f t="shared" si="11"/>
        <v>0</v>
      </c>
    </row>
    <row r="34" spans="1:27" x14ac:dyDescent="0.15">
      <c r="A34" s="88" t="s">
        <v>149</v>
      </c>
      <c r="B34" s="88" t="s">
        <v>150</v>
      </c>
      <c r="C34" s="88" t="s">
        <v>4</v>
      </c>
      <c r="D34" s="88" t="s">
        <v>188</v>
      </c>
      <c r="E34" s="88" t="s">
        <v>81</v>
      </c>
      <c r="F34" s="88" t="s">
        <v>189</v>
      </c>
      <c r="G34" s="88">
        <f>VLOOKUP(B34,'④前置信息-大固定-包含了工资和总经理'!B:E,4,0)</f>
        <v>0</v>
      </c>
      <c r="I34" s="88">
        <f>VLOOKUP(B34,'④前置信息-大固定-包含了工资和总经理'!B:F,5,0)</f>
        <v>0</v>
      </c>
      <c r="J34" s="88" t="str">
        <f>VLOOKUP(B34,'④前置信息-大固定-包含了工资和总经理'!B:D,3,0)</f>
        <v>C类</v>
      </c>
      <c r="K34" s="88">
        <f>VLOOKUP(B34,'④前置信息-大固定-包含了工资和总经理'!B:G,6,0)</f>
        <v>0</v>
      </c>
      <c r="L34" s="88" t="e">
        <f>VLOOKUP(B34,②当月数据及门店毛利!B:C,2,0)</f>
        <v>#N/A</v>
      </c>
      <c r="M34" s="88" t="e">
        <f>VLOOKUP(B34,②当月数据及门店毛利!B:E,4,0)</f>
        <v>#N/A</v>
      </c>
      <c r="N34" s="89" t="s">
        <v>214</v>
      </c>
      <c r="O34" s="128">
        <f>IFERROR(VLOOKUP(B34,'④前置信息-大固定-包含了工资和总经理'!B:AD,26,0),0)</f>
        <v>0</v>
      </c>
      <c r="P34" s="129">
        <f t="shared" si="1"/>
        <v>0</v>
      </c>
      <c r="Q34" s="90" t="str">
        <f t="shared" si="2"/>
        <v/>
      </c>
      <c r="R34" s="91">
        <f t="shared" si="3"/>
        <v>0</v>
      </c>
      <c r="S34" s="91">
        <f t="shared" si="4"/>
        <v>0</v>
      </c>
      <c r="T34" s="91">
        <f t="shared" si="5"/>
        <v>0</v>
      </c>
      <c r="U34" s="91">
        <f t="shared" si="6"/>
        <v>0</v>
      </c>
      <c r="V34" s="130">
        <f t="shared" si="7"/>
        <v>0</v>
      </c>
      <c r="W34" s="130">
        <f t="shared" si="8"/>
        <v>0</v>
      </c>
      <c r="X34" s="131">
        <f t="shared" si="9"/>
        <v>0</v>
      </c>
      <c r="Y34" s="129">
        <f>IF(O34=0,0,IF(J34=0,0,IF(M34&gt;=VLOOKUP(B34,'④前置信息-大固定-包含了工资和总经理'!B:I,8,0),200,0)+IF(M34&gt;=VLOOKUP(B34,'④前置信息-大固定-包含了工资和总经理'!B:J,9,0),200,0)))</f>
        <v>0</v>
      </c>
      <c r="Z34" s="129">
        <f t="shared" si="10"/>
        <v>0</v>
      </c>
      <c r="AA34" s="130">
        <f t="shared" si="11"/>
        <v>0</v>
      </c>
    </row>
    <row r="35" spans="1:27" x14ac:dyDescent="0.15">
      <c r="A35" s="88" t="s">
        <v>166</v>
      </c>
      <c r="B35" s="88" t="s">
        <v>57</v>
      </c>
      <c r="C35" s="88" t="s">
        <v>21</v>
      </c>
      <c r="D35" s="88"/>
      <c r="E35" s="88" t="s">
        <v>81</v>
      </c>
      <c r="F35" s="88"/>
      <c r="G35" s="88" t="str">
        <f>VLOOKUP(B35,'④前置信息-大固定-包含了工资和总经理'!B:E,4,0)</f>
        <v>新店</v>
      </c>
      <c r="I35" s="88">
        <f>VLOOKUP(B35,'④前置信息-大固定-包含了工资和总经理'!B:F,5,0)</f>
        <v>0</v>
      </c>
      <c r="J35" s="88" t="str">
        <f>VLOOKUP(B35,'④前置信息-大固定-包含了工资和总经理'!B:D,3,0)</f>
        <v>C类</v>
      </c>
      <c r="K35" s="88">
        <f>VLOOKUP(B35,'④前置信息-大固定-包含了工资和总经理'!B:G,6,0)</f>
        <v>120000</v>
      </c>
      <c r="L35" s="88"/>
      <c r="M35" s="88"/>
      <c r="N35" s="89"/>
      <c r="O35" s="128">
        <f>IFERROR(VLOOKUP(B35,'④前置信息-大固定-包含了工资和总经理'!B:AD,26,0),0)</f>
        <v>0</v>
      </c>
      <c r="P35" s="129">
        <f t="shared" si="1"/>
        <v>0</v>
      </c>
      <c r="Q35" s="90" t="str">
        <f t="shared" si="2"/>
        <v/>
      </c>
      <c r="R35" s="91">
        <f t="shared" si="3"/>
        <v>0</v>
      </c>
      <c r="S35" s="91">
        <f t="shared" si="4"/>
        <v>0</v>
      </c>
      <c r="T35" s="91">
        <f t="shared" si="5"/>
        <v>0</v>
      </c>
      <c r="U35" s="91">
        <f t="shared" si="6"/>
        <v>0</v>
      </c>
      <c r="V35" s="130">
        <f t="shared" si="7"/>
        <v>0</v>
      </c>
      <c r="W35" s="130">
        <f t="shared" si="8"/>
        <v>0</v>
      </c>
      <c r="X35" s="131">
        <f t="shared" si="9"/>
        <v>0</v>
      </c>
      <c r="Y35" s="129">
        <f>IF(O35=0,0,IF(J35=0,0,IF(M35&gt;=VLOOKUP(B35,'④前置信息-大固定-包含了工资和总经理'!B:I,8,0),200,0)+IF(M35&gt;=VLOOKUP(B35,'④前置信息-大固定-包含了工资和总经理'!B:J,9,0),200,0)))</f>
        <v>0</v>
      </c>
      <c r="Z35" s="129">
        <f t="shared" si="10"/>
        <v>0</v>
      </c>
      <c r="AA35" s="130">
        <f t="shared" si="11"/>
        <v>0</v>
      </c>
    </row>
    <row r="36" spans="1:27" x14ac:dyDescent="0.15">
      <c r="A36" s="88" t="s">
        <v>152</v>
      </c>
      <c r="B36" s="88" t="s">
        <v>60</v>
      </c>
      <c r="C36" s="88" t="s">
        <v>21</v>
      </c>
      <c r="D36" s="88"/>
      <c r="E36" s="88"/>
      <c r="F36" s="88"/>
      <c r="G36" s="88" t="str">
        <f>VLOOKUP(B36,'④前置信息-大固定-包含了工资和总经理'!B:E,4,0)</f>
        <v>新店</v>
      </c>
      <c r="I36" s="88">
        <f>VLOOKUP(B36,'④前置信息-大固定-包含了工资和总经理'!B:F,5,0)</f>
        <v>0</v>
      </c>
      <c r="J36" s="88" t="str">
        <f>VLOOKUP(B36,'④前置信息-大固定-包含了工资和总经理'!B:D,3,0)</f>
        <v>B类</v>
      </c>
      <c r="K36" s="88">
        <f>VLOOKUP(B36,'④前置信息-大固定-包含了工资和总经理'!B:G,6,0)</f>
        <v>150000</v>
      </c>
      <c r="L36" s="88"/>
      <c r="M36" s="88"/>
      <c r="N36" s="89"/>
      <c r="O36" s="128">
        <f>IFERROR(VLOOKUP(B36,'④前置信息-大固定-包含了工资和总经理'!B:AD,26,0),0)</f>
        <v>0</v>
      </c>
      <c r="P36" s="129">
        <f t="shared" si="1"/>
        <v>0</v>
      </c>
      <c r="Q36" s="90" t="str">
        <f t="shared" si="2"/>
        <v/>
      </c>
      <c r="R36" s="91">
        <f t="shared" si="3"/>
        <v>0</v>
      </c>
      <c r="S36" s="91">
        <f t="shared" si="4"/>
        <v>0</v>
      </c>
      <c r="T36" s="91">
        <f t="shared" si="5"/>
        <v>0</v>
      </c>
      <c r="U36" s="91">
        <f t="shared" si="6"/>
        <v>0</v>
      </c>
      <c r="V36" s="130">
        <f t="shared" si="7"/>
        <v>0</v>
      </c>
      <c r="W36" s="130">
        <f t="shared" si="8"/>
        <v>0</v>
      </c>
      <c r="X36" s="131">
        <f t="shared" si="9"/>
        <v>0</v>
      </c>
      <c r="Y36" s="129">
        <f>IF(O36=0,0,IF(J36=0,0,IF(M36&gt;=VLOOKUP(B36,'④前置信息-大固定-包含了工资和总经理'!B:I,8,0),200,0)+IF(M36&gt;=VLOOKUP(B36,'④前置信息-大固定-包含了工资和总经理'!B:J,9,0),200,0)))</f>
        <v>0</v>
      </c>
      <c r="Z36" s="129">
        <f t="shared" si="10"/>
        <v>0</v>
      </c>
      <c r="AA36" s="130">
        <f t="shared" si="11"/>
        <v>0</v>
      </c>
    </row>
    <row r="37" spans="1:27" x14ac:dyDescent="0.15">
      <c r="A37" s="88"/>
      <c r="B37" s="88"/>
      <c r="C37" s="88"/>
      <c r="D37" s="88"/>
      <c r="E37" s="88"/>
      <c r="F37" s="88"/>
      <c r="G37" s="88"/>
      <c r="I37" s="88"/>
      <c r="J37" s="88"/>
      <c r="K37" s="88"/>
      <c r="L37" s="88"/>
      <c r="M37" s="88"/>
      <c r="N37" s="89"/>
      <c r="O37" s="128">
        <f>IFERROR(VLOOKUP(B37,'④前置信息-大固定-包含了工资和总经理'!B:AD,26,0),0)</f>
        <v>0</v>
      </c>
      <c r="P37" s="129">
        <f t="shared" si="1"/>
        <v>0</v>
      </c>
      <c r="Q37" s="90" t="str">
        <f t="shared" si="2"/>
        <v/>
      </c>
      <c r="R37" s="91">
        <f t="shared" si="3"/>
        <v>0</v>
      </c>
      <c r="S37" s="91">
        <f t="shared" si="4"/>
        <v>0</v>
      </c>
      <c r="T37" s="91">
        <f t="shared" si="5"/>
        <v>0</v>
      </c>
      <c r="U37" s="91">
        <f t="shared" si="6"/>
        <v>0</v>
      </c>
      <c r="V37" s="130">
        <f t="shared" si="7"/>
        <v>0</v>
      </c>
      <c r="W37" s="130">
        <f t="shared" si="8"/>
        <v>0</v>
      </c>
      <c r="X37" s="131">
        <f t="shared" si="9"/>
        <v>0</v>
      </c>
      <c r="Y37" s="129">
        <f>IF(O37=0,0,IF(J37=0,0,IF(M37&gt;=VLOOKUP(B37,'④前置信息-大固定-包含了工资和总经理'!B:I,8,0),200,0)+IF(M37&gt;=VLOOKUP(B37,'④前置信息-大固定-包含了工资和总经理'!B:J,9,0),200,0)))</f>
        <v>0</v>
      </c>
      <c r="Z37" s="129">
        <f t="shared" si="10"/>
        <v>0</v>
      </c>
      <c r="AA37" s="130">
        <f t="shared" si="11"/>
        <v>0</v>
      </c>
    </row>
    <row r="38" spans="1:27" x14ac:dyDescent="0.15">
      <c r="A38" s="88"/>
      <c r="B38" s="88"/>
      <c r="C38" s="88"/>
      <c r="D38" s="88"/>
      <c r="E38" s="88"/>
      <c r="F38" s="88"/>
      <c r="G38" s="88"/>
      <c r="I38" s="88"/>
      <c r="J38" s="88"/>
      <c r="K38" s="88"/>
      <c r="L38" s="88"/>
      <c r="M38" s="88"/>
      <c r="N38" s="89"/>
      <c r="O38" s="128">
        <f>IFERROR(VLOOKUP(B38,'④前置信息-大固定-包含了工资和总经理'!B:AD,26,0),0)</f>
        <v>0</v>
      </c>
      <c r="P38" s="129">
        <f t="shared" si="1"/>
        <v>0</v>
      </c>
      <c r="Q38" s="90" t="str">
        <f t="shared" si="2"/>
        <v/>
      </c>
      <c r="R38" s="91">
        <f t="shared" si="3"/>
        <v>0</v>
      </c>
      <c r="S38" s="91">
        <f t="shared" si="4"/>
        <v>0</v>
      </c>
      <c r="T38" s="91">
        <f t="shared" si="5"/>
        <v>0</v>
      </c>
      <c r="U38" s="91">
        <f t="shared" si="6"/>
        <v>0</v>
      </c>
      <c r="V38" s="130">
        <f t="shared" si="7"/>
        <v>0</v>
      </c>
      <c r="W38" s="130">
        <f t="shared" si="8"/>
        <v>0</v>
      </c>
      <c r="X38" s="131">
        <f t="shared" si="9"/>
        <v>0</v>
      </c>
      <c r="Y38" s="129">
        <f>IF(O38=0,0,IF(J38=0,0,IF(M38&gt;=VLOOKUP(B38,'④前置信息-大固定-包含了工资和总经理'!B:I,8,0),200,0)+IF(M38&gt;=VLOOKUP(B38,'④前置信息-大固定-包含了工资和总经理'!B:J,9,0),200,0)))</f>
        <v>0</v>
      </c>
      <c r="Z38" s="129">
        <f t="shared" si="10"/>
        <v>0</v>
      </c>
      <c r="AA38" s="130">
        <f t="shared" si="11"/>
        <v>0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47AA-930E-4560-B2E2-907F6B8F78A3}">
  <sheetPr>
    <tabColor rgb="FF00B050"/>
  </sheetPr>
  <dimension ref="A1:W34"/>
  <sheetViews>
    <sheetView topLeftCell="B1" workbookViewId="0">
      <selection activeCell="E1" sqref="E1:L1048576"/>
    </sheetView>
  </sheetViews>
  <sheetFormatPr defaultColWidth="9" defaultRowHeight="14.25" x14ac:dyDescent="0.15"/>
  <cols>
    <col min="1" max="3" width="9" style="76"/>
    <col min="4" max="5" width="15.5" style="122" customWidth="1"/>
    <col min="6" max="7" width="9" style="76"/>
    <col min="8" max="8" width="12.25" style="76" customWidth="1"/>
    <col min="9" max="9" width="9.25" style="76" customWidth="1"/>
    <col min="10" max="10" width="9" style="76"/>
    <col min="11" max="11" width="13.875" style="76" bestFit="1" customWidth="1"/>
    <col min="12" max="13" width="9" style="76"/>
    <col min="14" max="14" width="9.5" style="76" bestFit="1" customWidth="1"/>
    <col min="15" max="16" width="9.5" style="114" customWidth="1"/>
    <col min="17" max="17" width="9.5" style="140" customWidth="1"/>
    <col min="18" max="18" width="9.5" style="76" bestFit="1" customWidth="1"/>
    <col min="19" max="16384" width="9" style="76"/>
  </cols>
  <sheetData>
    <row r="1" spans="1:23" x14ac:dyDescent="0.15">
      <c r="A1" s="132" t="s">
        <v>62</v>
      </c>
      <c r="B1" s="132" t="s">
        <v>7</v>
      </c>
      <c r="C1" s="132" t="s">
        <v>63</v>
      </c>
      <c r="D1" s="133" t="s">
        <v>175</v>
      </c>
      <c r="E1" s="134" t="s">
        <v>155</v>
      </c>
      <c r="F1" s="134" t="s">
        <v>156</v>
      </c>
      <c r="G1" s="135" t="s">
        <v>192</v>
      </c>
      <c r="H1" s="135" t="s">
        <v>193</v>
      </c>
      <c r="I1" s="135" t="s">
        <v>194</v>
      </c>
      <c r="J1" s="135" t="s">
        <v>195</v>
      </c>
      <c r="K1" s="135" t="s">
        <v>196</v>
      </c>
      <c r="L1" s="135" t="s">
        <v>197</v>
      </c>
      <c r="M1" s="135" t="s">
        <v>165</v>
      </c>
      <c r="N1" s="136" t="s">
        <v>198</v>
      </c>
      <c r="O1" s="137" t="s">
        <v>305</v>
      </c>
      <c r="P1" s="137" t="s">
        <v>307</v>
      </c>
      <c r="Q1" s="138" t="s">
        <v>308</v>
      </c>
      <c r="R1" s="139" t="s">
        <v>187</v>
      </c>
      <c r="S1" s="139" t="s">
        <v>213</v>
      </c>
      <c r="T1" s="136" t="s">
        <v>211</v>
      </c>
      <c r="V1" s="76">
        <v>2025</v>
      </c>
      <c r="W1" s="76">
        <v>7</v>
      </c>
    </row>
    <row r="2" spans="1:23" x14ac:dyDescent="0.15">
      <c r="B2" s="72" t="str">
        <f>②当月数据及门店毛利!B4</f>
        <v>紫荆</v>
      </c>
      <c r="C2" s="76">
        <f>_xlfn.XLOOKUP(B2,店助主任核算!B:B,店助主任核算!O:O,0)</f>
        <v>0</v>
      </c>
      <c r="D2" s="122">
        <f>②当月数据及门店毛利!C4</f>
        <v>522756</v>
      </c>
      <c r="F2" s="122"/>
      <c r="G2" s="122"/>
      <c r="H2" s="122"/>
      <c r="I2" s="122"/>
      <c r="J2" s="122"/>
      <c r="K2" s="122"/>
      <c r="L2" s="122"/>
      <c r="M2" s="122"/>
      <c r="N2" s="122">
        <f>_xlfn.XLOOKUP(C2,店助主任核算!O:O,店助主任核算!P:P,0)</f>
        <v>0</v>
      </c>
      <c r="O2" s="114">
        <f>_xlfn.XLOOKUP(C2,'①考勤-B-a-26考勤汇总表'!D:D,'①考勤-B-a-26考勤汇总表'!U:U,0)</f>
        <v>0</v>
      </c>
      <c r="P2" s="114">
        <f>N2/DAY(DATE($V$1,$W$1+1,0))*O2</f>
        <v>0</v>
      </c>
      <c r="Q2" s="140">
        <f>N2-P2</f>
        <v>0</v>
      </c>
      <c r="R2" s="122">
        <f>IFERROR(_xlfn.XLOOKUP(C2,店助主任核算!O:O,店助主任核算!X:X,0),0)</f>
        <v>0</v>
      </c>
      <c r="S2" s="122">
        <f>_xlfn.XLOOKUP(C2,店助主任核算!O:O,店助主任核算!Y:Y,0)</f>
        <v>0</v>
      </c>
      <c r="T2" s="122">
        <f>_xlfn.XLOOKUP(C2,店助主任核算!O:O,店助主任核算!Z:Z,0)</f>
        <v>0</v>
      </c>
    </row>
    <row r="3" spans="1:23" x14ac:dyDescent="0.15">
      <c r="B3" s="72" t="str">
        <f>②当月数据及门店毛利!B5</f>
        <v>龙湖</v>
      </c>
      <c r="C3" s="76">
        <f>_xlfn.XLOOKUP(B3,店助主任核算!B:B,店助主任核算!O:O,0)</f>
        <v>0</v>
      </c>
      <c r="D3" s="122">
        <f>②当月数据及门店毛利!C5</f>
        <v>220223</v>
      </c>
      <c r="F3" s="122"/>
      <c r="G3" s="122"/>
      <c r="H3" s="122"/>
      <c r="I3" s="122"/>
      <c r="J3" s="122"/>
      <c r="K3" s="122"/>
      <c r="L3" s="122"/>
      <c r="M3" s="122"/>
      <c r="N3" s="122">
        <f>_xlfn.XLOOKUP(C3,店助主任核算!O:O,店助主任核算!P:P,0)</f>
        <v>0</v>
      </c>
      <c r="O3" s="114">
        <f>_xlfn.XLOOKUP(C3,'①考勤-B-a-26考勤汇总表'!D:D,'①考勤-B-a-26考勤汇总表'!U:U,0)</f>
        <v>0</v>
      </c>
      <c r="P3" s="114">
        <f t="shared" ref="P3:P34" si="0">N3/DAY(DATE($V$1,$W$1+1,0))*O3</f>
        <v>0</v>
      </c>
      <c r="Q3" s="140">
        <f t="shared" ref="Q3:Q34" si="1">N3-P3</f>
        <v>0</v>
      </c>
      <c r="R3" s="122">
        <f>IFERROR(_xlfn.XLOOKUP(C3,店助主任核算!O:O,店助主任核算!X:X,0),0)</f>
        <v>0</v>
      </c>
      <c r="S3" s="122">
        <f>_xlfn.XLOOKUP(C3,店助主任核算!O:O,店助主任核算!Y:Y,0)</f>
        <v>0</v>
      </c>
      <c r="T3" s="122">
        <f>_xlfn.XLOOKUP(C3,店助主任核算!O:O,店助主任核算!Z:Z,0)</f>
        <v>0</v>
      </c>
    </row>
    <row r="4" spans="1:23" x14ac:dyDescent="0.15">
      <c r="B4" s="72" t="str">
        <f>②当月数据及门店毛利!B6</f>
        <v>沙河</v>
      </c>
      <c r="C4" s="76">
        <f>_xlfn.XLOOKUP(B4,店助主任核算!B:B,店助主任核算!O:O,0)</f>
        <v>0</v>
      </c>
      <c r="D4" s="122">
        <f>②当月数据及门店毛利!C6</f>
        <v>150694</v>
      </c>
      <c r="F4" s="122"/>
      <c r="G4" s="122"/>
      <c r="H4" s="122"/>
      <c r="I4" s="122"/>
      <c r="J4" s="122"/>
      <c r="K4" s="122"/>
      <c r="L4" s="122"/>
      <c r="M4" s="122"/>
      <c r="N4" s="122">
        <f>_xlfn.XLOOKUP(C4,店助主任核算!O:O,店助主任核算!P:P,0)</f>
        <v>0</v>
      </c>
      <c r="O4" s="114">
        <f>_xlfn.XLOOKUP(C4,'①考勤-B-a-26考勤汇总表'!D:D,'①考勤-B-a-26考勤汇总表'!U:U,0)</f>
        <v>0</v>
      </c>
      <c r="P4" s="114">
        <f t="shared" si="0"/>
        <v>0</v>
      </c>
      <c r="Q4" s="140">
        <f t="shared" si="1"/>
        <v>0</v>
      </c>
      <c r="R4" s="122">
        <f>IFERROR(_xlfn.XLOOKUP(C4,店助主任核算!O:O,店助主任核算!X:X,0),0)</f>
        <v>0</v>
      </c>
      <c r="S4" s="122">
        <f>_xlfn.XLOOKUP(C4,店助主任核算!O:O,店助主任核算!Y:Y,0)</f>
        <v>0</v>
      </c>
      <c r="T4" s="122">
        <f>_xlfn.XLOOKUP(C4,店助主任核算!O:O,店助主任核算!Z:Z,0)</f>
        <v>0</v>
      </c>
    </row>
    <row r="5" spans="1:23" x14ac:dyDescent="0.15">
      <c r="B5" s="72" t="str">
        <f>②当月数据及门店毛利!B7</f>
        <v>华润</v>
      </c>
      <c r="C5" s="76">
        <f>_xlfn.XLOOKUP(B5,店助主任核算!B:B,店助主任核算!O:O,0)</f>
        <v>0</v>
      </c>
      <c r="D5" s="122">
        <f>②当月数据及门店毛利!C7</f>
        <v>201952.3</v>
      </c>
      <c r="F5" s="122"/>
      <c r="G5" s="122"/>
      <c r="H5" s="122"/>
      <c r="I5" s="122"/>
      <c r="J5" s="122"/>
      <c r="K5" s="122"/>
      <c r="L5" s="122"/>
      <c r="M5" s="122"/>
      <c r="N5" s="122">
        <f>_xlfn.XLOOKUP(C5,店助主任核算!O:O,店助主任核算!P:P,0)</f>
        <v>0</v>
      </c>
      <c r="O5" s="114">
        <f>_xlfn.XLOOKUP(C5,'①考勤-B-a-26考勤汇总表'!D:D,'①考勤-B-a-26考勤汇总表'!U:U,0)</f>
        <v>0</v>
      </c>
      <c r="P5" s="114">
        <f t="shared" si="0"/>
        <v>0</v>
      </c>
      <c r="Q5" s="140">
        <f t="shared" si="1"/>
        <v>0</v>
      </c>
      <c r="R5" s="122">
        <f>IFERROR(_xlfn.XLOOKUP(C5,店助主任核算!O:O,店助主任核算!X:X,0),0)</f>
        <v>0</v>
      </c>
      <c r="S5" s="122">
        <f>_xlfn.XLOOKUP(C5,店助主任核算!O:O,店助主任核算!Y:Y,0)</f>
        <v>0</v>
      </c>
      <c r="T5" s="122">
        <f>_xlfn.XLOOKUP(C5,店助主任核算!O:O,店助主任核算!Z:Z,0)</f>
        <v>0</v>
      </c>
    </row>
    <row r="6" spans="1:23" x14ac:dyDescent="0.15">
      <c r="B6" s="72" t="str">
        <f>②当月数据及门店毛利!B8</f>
        <v>静居寺</v>
      </c>
      <c r="C6" s="76" t="str">
        <f>_xlfn.XLOOKUP(B6,店助主任核算!B:B,店助主任核算!O:O,0)</f>
        <v>樊琳</v>
      </c>
      <c r="D6" s="122">
        <f>②当月数据及门店毛利!C8</f>
        <v>407490.19</v>
      </c>
      <c r="F6" s="122"/>
      <c r="G6" s="122"/>
      <c r="H6" s="122"/>
      <c r="I6" s="122"/>
      <c r="J6" s="122"/>
      <c r="K6" s="122"/>
      <c r="L6" s="122"/>
      <c r="M6" s="122"/>
      <c r="N6" s="122">
        <f>_xlfn.XLOOKUP(C6,店助主任核算!O:O,店助主任核算!P:P,0)</f>
        <v>3000</v>
      </c>
      <c r="O6" s="114">
        <f>_xlfn.XLOOKUP(C6,'①考勤-B-a-26考勤汇总表'!D:D,'①考勤-B-a-26考勤汇总表'!U:U,0)</f>
        <v>0</v>
      </c>
      <c r="P6" s="114">
        <f t="shared" si="0"/>
        <v>0</v>
      </c>
      <c r="Q6" s="140">
        <f t="shared" si="1"/>
        <v>3000</v>
      </c>
      <c r="R6" s="122">
        <f>IFERROR(_xlfn.XLOOKUP(C6,店助主任核算!O:O,店助主任核算!X:X,0),0)</f>
        <v>2679.8430399999997</v>
      </c>
      <c r="S6" s="122">
        <f>_xlfn.XLOOKUP(C6,店助主任核算!O:O,店助主任核算!Y:Y,0)</f>
        <v>200</v>
      </c>
      <c r="T6" s="122">
        <f>_xlfn.XLOOKUP(C6,店助主任核算!O:O,店助主任核算!Z:Z,0)</f>
        <v>150</v>
      </c>
    </row>
    <row r="7" spans="1:23" x14ac:dyDescent="0.15">
      <c r="B7" s="72" t="str">
        <f>②当月数据及门店毛利!B9</f>
        <v>优品道</v>
      </c>
      <c r="C7" s="76">
        <f>_xlfn.XLOOKUP(B7,店助主任核算!B:B,店助主任核算!O:O,0)</f>
        <v>0</v>
      </c>
      <c r="D7" s="122">
        <f>②当月数据及门店毛利!C9</f>
        <v>160812</v>
      </c>
      <c r="F7" s="122"/>
      <c r="G7" s="122"/>
      <c r="H7" s="122"/>
      <c r="I7" s="122"/>
      <c r="J7" s="122"/>
      <c r="K7" s="122"/>
      <c r="L7" s="122"/>
      <c r="M7" s="122"/>
      <c r="N7" s="122">
        <f>_xlfn.XLOOKUP(C7,店助主任核算!O:O,店助主任核算!P:P,0)</f>
        <v>0</v>
      </c>
      <c r="O7" s="114">
        <f>_xlfn.XLOOKUP(C7,'①考勤-B-a-26考勤汇总表'!D:D,'①考勤-B-a-26考勤汇总表'!U:U,0)</f>
        <v>0</v>
      </c>
      <c r="P7" s="114">
        <f t="shared" si="0"/>
        <v>0</v>
      </c>
      <c r="Q7" s="140">
        <f t="shared" si="1"/>
        <v>0</v>
      </c>
      <c r="R7" s="122">
        <f>IFERROR(_xlfn.XLOOKUP(C7,店助主任核算!O:O,店助主任核算!X:X,0),0)</f>
        <v>0</v>
      </c>
      <c r="S7" s="122">
        <f>_xlfn.XLOOKUP(C7,店助主任核算!O:O,店助主任核算!Y:Y,0)</f>
        <v>0</v>
      </c>
      <c r="T7" s="122">
        <f>_xlfn.XLOOKUP(C7,店助主任核算!O:O,店助主任核算!Z:Z,0)</f>
        <v>0</v>
      </c>
    </row>
    <row r="8" spans="1:23" x14ac:dyDescent="0.15">
      <c r="B8" s="72">
        <f>②当月数据及门店毛利!B10</f>
        <v>468</v>
      </c>
      <c r="C8" s="76">
        <f>_xlfn.XLOOKUP(B8,店助主任核算!B:B,店助主任核算!O:O,0)</f>
        <v>0</v>
      </c>
      <c r="D8" s="122">
        <f>②当月数据及门店毛利!C10</f>
        <v>140295</v>
      </c>
      <c r="F8" s="122"/>
      <c r="G8" s="122"/>
      <c r="H8" s="122"/>
      <c r="I8" s="122"/>
      <c r="J8" s="122"/>
      <c r="K8" s="122"/>
      <c r="L8" s="122"/>
      <c r="M8" s="122"/>
      <c r="N8" s="122">
        <f>_xlfn.XLOOKUP(C8,店助主任核算!O:O,店助主任核算!P:P,0)</f>
        <v>0</v>
      </c>
      <c r="O8" s="114">
        <f>_xlfn.XLOOKUP(C8,'①考勤-B-a-26考勤汇总表'!D:D,'①考勤-B-a-26考勤汇总表'!U:U,0)</f>
        <v>0</v>
      </c>
      <c r="P8" s="114">
        <f t="shared" si="0"/>
        <v>0</v>
      </c>
      <c r="Q8" s="140">
        <f t="shared" si="1"/>
        <v>0</v>
      </c>
      <c r="R8" s="122">
        <f>IFERROR(_xlfn.XLOOKUP(C8,店助主任核算!O:O,店助主任核算!X:X,0),0)</f>
        <v>0</v>
      </c>
      <c r="S8" s="122">
        <f>_xlfn.XLOOKUP(C8,店助主任核算!O:O,店助主任核算!Y:Y,0)</f>
        <v>0</v>
      </c>
      <c r="T8" s="122">
        <f>_xlfn.XLOOKUP(C8,店助主任核算!O:O,店助主任核算!Z:Z,0)</f>
        <v>0</v>
      </c>
    </row>
    <row r="9" spans="1:23" x14ac:dyDescent="0.15">
      <c r="B9" s="72" t="str">
        <f>②当月数据及门店毛利!B11</f>
        <v>光华</v>
      </c>
      <c r="C9" s="76">
        <f>_xlfn.XLOOKUP(B9,店助主任核算!B:B,店助主任核算!O:O,0)</f>
        <v>0</v>
      </c>
      <c r="D9" s="122">
        <f>②当月数据及门店毛利!C11</f>
        <v>135590</v>
      </c>
      <c r="F9" s="122"/>
      <c r="G9" s="122"/>
      <c r="H9" s="122"/>
      <c r="I9" s="122"/>
      <c r="J9" s="122"/>
      <c r="K9" s="122"/>
      <c r="L9" s="122"/>
      <c r="M9" s="122"/>
      <c r="N9" s="122">
        <f>_xlfn.XLOOKUP(C9,店助主任核算!O:O,店助主任核算!P:P,0)</f>
        <v>0</v>
      </c>
      <c r="O9" s="114">
        <f>_xlfn.XLOOKUP(C9,'①考勤-B-a-26考勤汇总表'!D:D,'①考勤-B-a-26考勤汇总表'!U:U,0)</f>
        <v>0</v>
      </c>
      <c r="P9" s="114">
        <f t="shared" si="0"/>
        <v>0</v>
      </c>
      <c r="Q9" s="140">
        <f t="shared" si="1"/>
        <v>0</v>
      </c>
      <c r="R9" s="122">
        <f>IFERROR(_xlfn.XLOOKUP(C9,店助主任核算!O:O,店助主任核算!X:X,0),0)</f>
        <v>0</v>
      </c>
      <c r="S9" s="122">
        <f>_xlfn.XLOOKUP(C9,店助主任核算!O:O,店助主任核算!Y:Y,0)</f>
        <v>0</v>
      </c>
      <c r="T9" s="122">
        <f>_xlfn.XLOOKUP(C9,店助主任核算!O:O,店助主任核算!Z:Z,0)</f>
        <v>0</v>
      </c>
    </row>
    <row r="10" spans="1:23" x14ac:dyDescent="0.15">
      <c r="B10" s="72" t="str">
        <f>②当月数据及门店毛利!B12</f>
        <v>融创</v>
      </c>
      <c r="C10" s="76">
        <f>_xlfn.XLOOKUP(B10,店助主任核算!B:B,店助主任核算!O:O,0)</f>
        <v>0</v>
      </c>
      <c r="D10" s="122">
        <f>②当月数据及门店毛利!C12</f>
        <v>152421</v>
      </c>
      <c r="F10" s="122"/>
      <c r="G10" s="122"/>
      <c r="H10" s="122"/>
      <c r="I10" s="122"/>
      <c r="J10" s="122"/>
      <c r="K10" s="122"/>
      <c r="L10" s="122"/>
      <c r="M10" s="122"/>
      <c r="N10" s="122">
        <f>_xlfn.XLOOKUP(C10,店助主任核算!O:O,店助主任核算!P:P,0)</f>
        <v>0</v>
      </c>
      <c r="O10" s="114">
        <f>_xlfn.XLOOKUP(C10,'①考勤-B-a-26考勤汇总表'!D:D,'①考勤-B-a-26考勤汇总表'!U:U,0)</f>
        <v>0</v>
      </c>
      <c r="P10" s="114">
        <f t="shared" si="0"/>
        <v>0</v>
      </c>
      <c r="Q10" s="140">
        <f t="shared" si="1"/>
        <v>0</v>
      </c>
      <c r="R10" s="122">
        <f>IFERROR(_xlfn.XLOOKUP(C10,店助主任核算!O:O,店助主任核算!X:X,0),0)</f>
        <v>0</v>
      </c>
      <c r="S10" s="122">
        <f>_xlfn.XLOOKUP(C10,店助主任核算!O:O,店助主任核算!Y:Y,0)</f>
        <v>0</v>
      </c>
      <c r="T10" s="122">
        <f>_xlfn.XLOOKUP(C10,店助主任核算!O:O,店助主任核算!Z:Z,0)</f>
        <v>0</v>
      </c>
    </row>
    <row r="11" spans="1:23" x14ac:dyDescent="0.15">
      <c r="B11" s="72" t="str">
        <f>②当月数据及门店毛利!B13</f>
        <v>川师</v>
      </c>
      <c r="C11" s="76">
        <f>_xlfn.XLOOKUP(B11,店助主任核算!B:B,店助主任核算!O:O,0)</f>
        <v>0</v>
      </c>
      <c r="D11" s="122">
        <f>②当月数据及门店毛利!C13</f>
        <v>205041</v>
      </c>
      <c r="F11" s="122"/>
      <c r="G11" s="122"/>
      <c r="H11" s="122"/>
      <c r="I11" s="122"/>
      <c r="J11" s="122"/>
      <c r="K11" s="122"/>
      <c r="L11" s="122"/>
      <c r="M11" s="122"/>
      <c r="N11" s="122">
        <f>_xlfn.XLOOKUP(C11,店助主任核算!O:O,店助主任核算!P:P,0)</f>
        <v>0</v>
      </c>
      <c r="O11" s="114">
        <f>_xlfn.XLOOKUP(C11,'①考勤-B-a-26考勤汇总表'!D:D,'①考勤-B-a-26考勤汇总表'!U:U,0)</f>
        <v>0</v>
      </c>
      <c r="P11" s="114">
        <f t="shared" si="0"/>
        <v>0</v>
      </c>
      <c r="Q11" s="140">
        <f t="shared" si="1"/>
        <v>0</v>
      </c>
      <c r="R11" s="122">
        <f>IFERROR(_xlfn.XLOOKUP(C11,店助主任核算!O:O,店助主任核算!X:X,0),0)</f>
        <v>0</v>
      </c>
      <c r="S11" s="122">
        <f>_xlfn.XLOOKUP(C11,店助主任核算!O:O,店助主任核算!Y:Y,0)</f>
        <v>0</v>
      </c>
      <c r="T11" s="122">
        <f>_xlfn.XLOOKUP(C11,店助主任核算!O:O,店助主任核算!Z:Z,0)</f>
        <v>0</v>
      </c>
    </row>
    <row r="12" spans="1:23" x14ac:dyDescent="0.15">
      <c r="B12" s="72" t="str">
        <f>②当月数据及门店毛利!B14</f>
        <v>鹭岛</v>
      </c>
      <c r="C12" s="76">
        <f>_xlfn.XLOOKUP(B12,店助主任核算!B:B,店助主任核算!O:O,0)</f>
        <v>0</v>
      </c>
      <c r="D12" s="122">
        <f>②当月数据及门店毛利!C14</f>
        <v>111267</v>
      </c>
      <c r="F12" s="122"/>
      <c r="G12" s="122"/>
      <c r="H12" s="122"/>
      <c r="I12" s="122"/>
      <c r="J12" s="122"/>
      <c r="K12" s="122"/>
      <c r="L12" s="122"/>
      <c r="M12" s="122"/>
      <c r="N12" s="122">
        <f>_xlfn.XLOOKUP(C12,店助主任核算!O:O,店助主任核算!P:P,0)</f>
        <v>0</v>
      </c>
      <c r="O12" s="114">
        <f>_xlfn.XLOOKUP(C12,'①考勤-B-a-26考勤汇总表'!D:D,'①考勤-B-a-26考勤汇总表'!U:U,0)</f>
        <v>0</v>
      </c>
      <c r="P12" s="114">
        <f t="shared" si="0"/>
        <v>0</v>
      </c>
      <c r="Q12" s="140">
        <f t="shared" si="1"/>
        <v>0</v>
      </c>
      <c r="R12" s="122">
        <f>IFERROR(_xlfn.XLOOKUP(C12,店助主任核算!O:O,店助主任核算!X:X,0),0)</f>
        <v>0</v>
      </c>
      <c r="S12" s="122">
        <f>_xlfn.XLOOKUP(C12,店助主任核算!O:O,店助主任核算!Y:Y,0)</f>
        <v>0</v>
      </c>
      <c r="T12" s="122">
        <f>_xlfn.XLOOKUP(C12,店助主任核算!O:O,店助主任核算!Z:Z,0)</f>
        <v>0</v>
      </c>
    </row>
    <row r="13" spans="1:23" x14ac:dyDescent="0.15">
      <c r="B13" s="72" t="str">
        <f>②当月数据及门店毛利!B15</f>
        <v>荣华南路</v>
      </c>
      <c r="C13" s="76">
        <f>_xlfn.XLOOKUP(B13,店助主任核算!B:B,店助主任核算!O:O,0)</f>
        <v>0</v>
      </c>
      <c r="D13" s="122">
        <f>②当月数据及门店毛利!C15</f>
        <v>180024</v>
      </c>
      <c r="F13" s="122"/>
      <c r="G13" s="122"/>
      <c r="H13" s="122"/>
      <c r="I13" s="122"/>
      <c r="J13" s="122"/>
      <c r="K13" s="122"/>
      <c r="L13" s="122"/>
      <c r="M13" s="122"/>
      <c r="N13" s="122">
        <f>_xlfn.XLOOKUP(C13,店助主任核算!O:O,店助主任核算!P:P,0)</f>
        <v>0</v>
      </c>
      <c r="O13" s="114">
        <f>_xlfn.XLOOKUP(C13,'①考勤-B-a-26考勤汇总表'!D:D,'①考勤-B-a-26考勤汇总表'!U:U,0)</f>
        <v>0</v>
      </c>
      <c r="P13" s="114">
        <f t="shared" si="0"/>
        <v>0</v>
      </c>
      <c r="Q13" s="140">
        <f t="shared" si="1"/>
        <v>0</v>
      </c>
      <c r="R13" s="122">
        <f>IFERROR(_xlfn.XLOOKUP(C13,店助主任核算!O:O,店助主任核算!X:X,0),0)</f>
        <v>0</v>
      </c>
      <c r="S13" s="122">
        <f>_xlfn.XLOOKUP(C13,店助主任核算!O:O,店助主任核算!Y:Y,0)</f>
        <v>0</v>
      </c>
      <c r="T13" s="122">
        <f>_xlfn.XLOOKUP(C13,店助主任核算!O:O,店助主任核算!Z:Z,0)</f>
        <v>0</v>
      </c>
    </row>
    <row r="14" spans="1:23" x14ac:dyDescent="0.15">
      <c r="B14" s="72" t="str">
        <f>②当月数据及门店毛利!B16</f>
        <v>荣华北路</v>
      </c>
      <c r="C14" s="76" t="str">
        <f>_xlfn.XLOOKUP(B14,店助主任核算!B:B,店助主任核算!O:O,0)</f>
        <v>牟光燕</v>
      </c>
      <c r="D14" s="122">
        <f>②当月数据及门店毛利!C16</f>
        <v>153950.6</v>
      </c>
      <c r="F14" s="122"/>
      <c r="G14" s="122"/>
      <c r="H14" s="122"/>
      <c r="I14" s="122"/>
      <c r="J14" s="122"/>
      <c r="K14" s="122"/>
      <c r="L14" s="122"/>
      <c r="M14" s="122"/>
      <c r="N14" s="122">
        <f>_xlfn.XLOOKUP(C14,店助主任核算!O:O,店助主任核算!P:P,0)</f>
        <v>3100</v>
      </c>
      <c r="O14" s="114">
        <f>_xlfn.XLOOKUP(C14,'①考勤-B-a-26考勤汇总表'!D:D,'①考勤-B-a-26考勤汇总表'!U:U,0)</f>
        <v>0</v>
      </c>
      <c r="P14" s="114">
        <f t="shared" si="0"/>
        <v>0</v>
      </c>
      <c r="Q14" s="140">
        <f t="shared" si="1"/>
        <v>3100</v>
      </c>
      <c r="R14" s="122">
        <f>IFERROR(_xlfn.XLOOKUP(C14,店助主任核算!O:O,店助主任核算!X:X,0),0)</f>
        <v>663.20960000000014</v>
      </c>
      <c r="S14" s="122">
        <f>_xlfn.XLOOKUP(C14,店助主任核算!O:O,店助主任核算!Y:Y,0)</f>
        <v>200</v>
      </c>
      <c r="T14" s="122">
        <f>_xlfn.XLOOKUP(C14,店助主任核算!O:O,店助主任核算!Z:Z,0)</f>
        <v>150</v>
      </c>
    </row>
    <row r="15" spans="1:23" x14ac:dyDescent="0.15">
      <c r="B15" s="72" t="str">
        <f>②当月数据及门店毛利!B17</f>
        <v>涌泉</v>
      </c>
      <c r="C15" s="76">
        <f>_xlfn.XLOOKUP(B15,店助主任核算!B:B,店助主任核算!O:O,0)</f>
        <v>0</v>
      </c>
      <c r="D15" s="122">
        <f>②当月数据及门店毛利!C17</f>
        <v>169632</v>
      </c>
      <c r="F15" s="122"/>
      <c r="G15" s="122"/>
      <c r="H15" s="122"/>
      <c r="I15" s="122"/>
      <c r="J15" s="122"/>
      <c r="K15" s="122"/>
      <c r="L15" s="122"/>
      <c r="M15" s="122"/>
      <c r="N15" s="122">
        <f>_xlfn.XLOOKUP(C15,店助主任核算!O:O,店助主任核算!P:P,0)</f>
        <v>0</v>
      </c>
      <c r="O15" s="114">
        <f>_xlfn.XLOOKUP(C15,'①考勤-B-a-26考勤汇总表'!D:D,'①考勤-B-a-26考勤汇总表'!U:U,0)</f>
        <v>0</v>
      </c>
      <c r="P15" s="114">
        <f t="shared" si="0"/>
        <v>0</v>
      </c>
      <c r="Q15" s="140">
        <f t="shared" si="1"/>
        <v>0</v>
      </c>
      <c r="R15" s="122">
        <f>IFERROR(_xlfn.XLOOKUP(C15,店助主任核算!O:O,店助主任核算!X:X,0),0)</f>
        <v>0</v>
      </c>
      <c r="S15" s="122">
        <f>_xlfn.XLOOKUP(C15,店助主任核算!O:O,店助主任核算!Y:Y,0)</f>
        <v>0</v>
      </c>
      <c r="T15" s="122">
        <f>_xlfn.XLOOKUP(C15,店助主任核算!O:O,店助主任核算!Z:Z,0)</f>
        <v>0</v>
      </c>
    </row>
    <row r="16" spans="1:23" x14ac:dyDescent="0.15">
      <c r="B16" s="72" t="str">
        <f>②当月数据及门店毛利!B18</f>
        <v>大丰</v>
      </c>
      <c r="C16" s="76">
        <f>_xlfn.XLOOKUP(B16,店助主任核算!B:B,店助主任核算!O:O,0)</f>
        <v>0</v>
      </c>
      <c r="D16" s="122">
        <f>②当月数据及门店毛利!C18</f>
        <v>200049.7</v>
      </c>
      <c r="F16" s="122"/>
      <c r="G16" s="122"/>
      <c r="H16" s="122"/>
      <c r="I16" s="122"/>
      <c r="J16" s="122"/>
      <c r="K16" s="122"/>
      <c r="L16" s="122"/>
      <c r="M16" s="122"/>
      <c r="N16" s="122">
        <f>_xlfn.XLOOKUP(C16,店助主任核算!O:O,店助主任核算!P:P,0)</f>
        <v>0</v>
      </c>
      <c r="O16" s="114">
        <f>_xlfn.XLOOKUP(C16,'①考勤-B-a-26考勤汇总表'!D:D,'①考勤-B-a-26考勤汇总表'!U:U,0)</f>
        <v>0</v>
      </c>
      <c r="P16" s="114">
        <f t="shared" si="0"/>
        <v>0</v>
      </c>
      <c r="Q16" s="140">
        <f t="shared" si="1"/>
        <v>0</v>
      </c>
      <c r="R16" s="122">
        <f>IFERROR(_xlfn.XLOOKUP(C16,店助主任核算!O:O,店助主任核算!X:X,0),0)</f>
        <v>0</v>
      </c>
      <c r="S16" s="122">
        <f>_xlfn.XLOOKUP(C16,店助主任核算!O:O,店助主任核算!Y:Y,0)</f>
        <v>0</v>
      </c>
      <c r="T16" s="122">
        <f>_xlfn.XLOOKUP(C16,店助主任核算!O:O,店助主任核算!Z:Z,0)</f>
        <v>0</v>
      </c>
    </row>
    <row r="17" spans="2:20" x14ac:dyDescent="0.15">
      <c r="B17" s="72" t="str">
        <f>②当月数据及门店毛利!B19</f>
        <v>双流</v>
      </c>
      <c r="C17" s="76">
        <f>_xlfn.XLOOKUP(B17,店助主任核算!B:B,店助主任核算!O:O,0)</f>
        <v>0</v>
      </c>
      <c r="D17" s="122">
        <f>②当月数据及门店毛利!C19</f>
        <v>311108</v>
      </c>
      <c r="F17" s="122"/>
      <c r="G17" s="122"/>
      <c r="H17" s="122"/>
      <c r="I17" s="122"/>
      <c r="J17" s="122"/>
      <c r="K17" s="122"/>
      <c r="L17" s="122"/>
      <c r="M17" s="122"/>
      <c r="N17" s="122">
        <f>_xlfn.XLOOKUP(C17,店助主任核算!O:O,店助主任核算!P:P,0)</f>
        <v>0</v>
      </c>
      <c r="O17" s="114">
        <f>_xlfn.XLOOKUP(C17,'①考勤-B-a-26考勤汇总表'!D:D,'①考勤-B-a-26考勤汇总表'!U:U,0)</f>
        <v>0</v>
      </c>
      <c r="P17" s="114">
        <f t="shared" si="0"/>
        <v>0</v>
      </c>
      <c r="Q17" s="140">
        <f t="shared" si="1"/>
        <v>0</v>
      </c>
      <c r="R17" s="122">
        <f>IFERROR(_xlfn.XLOOKUP(C17,店助主任核算!O:O,店助主任核算!X:X,0),0)</f>
        <v>0</v>
      </c>
      <c r="S17" s="122">
        <f>_xlfn.XLOOKUP(C17,店助主任核算!O:O,店助主任核算!Y:Y,0)</f>
        <v>0</v>
      </c>
      <c r="T17" s="122">
        <f>_xlfn.XLOOKUP(C17,店助主任核算!O:O,店助主任核算!Z:Z,0)</f>
        <v>0</v>
      </c>
    </row>
    <row r="18" spans="2:20" x14ac:dyDescent="0.15">
      <c r="B18" s="72" t="str">
        <f>②当月数据及门店毛利!B20</f>
        <v>骑士郡</v>
      </c>
      <c r="C18" s="76">
        <f>_xlfn.XLOOKUP(B18,店助主任核算!B:B,店助主任核算!O:O,0)</f>
        <v>0</v>
      </c>
      <c r="D18" s="122">
        <f>②当月数据及门店毛利!C20</f>
        <v>158633</v>
      </c>
      <c r="F18" s="122"/>
      <c r="G18" s="122"/>
      <c r="H18" s="122"/>
      <c r="I18" s="122"/>
      <c r="J18" s="122"/>
      <c r="K18" s="122"/>
      <c r="L18" s="122"/>
      <c r="M18" s="122"/>
      <c r="N18" s="122">
        <f>_xlfn.XLOOKUP(C18,店助主任核算!O:O,店助主任核算!P:P,0)</f>
        <v>0</v>
      </c>
      <c r="O18" s="114">
        <f>_xlfn.XLOOKUP(C18,'①考勤-B-a-26考勤汇总表'!D:D,'①考勤-B-a-26考勤汇总表'!U:U,0)</f>
        <v>0</v>
      </c>
      <c r="P18" s="114">
        <f t="shared" si="0"/>
        <v>0</v>
      </c>
      <c r="Q18" s="140">
        <f t="shared" si="1"/>
        <v>0</v>
      </c>
      <c r="R18" s="122">
        <f>IFERROR(_xlfn.XLOOKUP(C18,店助主任核算!O:O,店助主任核算!X:X,0),0)</f>
        <v>0</v>
      </c>
      <c r="S18" s="122">
        <f>_xlfn.XLOOKUP(C18,店助主任核算!O:O,店助主任核算!Y:Y,0)</f>
        <v>0</v>
      </c>
      <c r="T18" s="122">
        <f>_xlfn.XLOOKUP(C18,店助主任核算!O:O,店助主任核算!Z:Z,0)</f>
        <v>0</v>
      </c>
    </row>
    <row r="19" spans="2:20" x14ac:dyDescent="0.15">
      <c r="B19" s="72" t="str">
        <f>②当月数据及门店毛利!B21</f>
        <v>明信</v>
      </c>
      <c r="C19" s="76">
        <f>_xlfn.XLOOKUP(B19,店助主任核算!B:B,店助主任核算!O:O,0)</f>
        <v>0</v>
      </c>
      <c r="D19" s="122">
        <f>②当月数据及门店毛利!C21</f>
        <v>92371</v>
      </c>
      <c r="F19" s="122"/>
      <c r="G19" s="122"/>
      <c r="H19" s="122"/>
      <c r="I19" s="122"/>
      <c r="J19" s="122"/>
      <c r="K19" s="122"/>
      <c r="L19" s="122"/>
      <c r="M19" s="122"/>
      <c r="N19" s="122">
        <f>_xlfn.XLOOKUP(C19,店助主任核算!O:O,店助主任核算!P:P,0)</f>
        <v>0</v>
      </c>
      <c r="O19" s="114">
        <f>_xlfn.XLOOKUP(C19,'①考勤-B-a-26考勤汇总表'!D:D,'①考勤-B-a-26考勤汇总表'!U:U,0)</f>
        <v>0</v>
      </c>
      <c r="P19" s="114">
        <f t="shared" si="0"/>
        <v>0</v>
      </c>
      <c r="Q19" s="140">
        <f t="shared" si="1"/>
        <v>0</v>
      </c>
      <c r="R19" s="122">
        <f>IFERROR(_xlfn.XLOOKUP(C19,店助主任核算!O:O,店助主任核算!X:X,0),0)</f>
        <v>0</v>
      </c>
      <c r="S19" s="122">
        <f>_xlfn.XLOOKUP(C19,店助主任核算!O:O,店助主任核算!Y:Y,0)</f>
        <v>0</v>
      </c>
      <c r="T19" s="122">
        <f>_xlfn.XLOOKUP(C19,店助主任核算!O:O,店助主任核算!Z:Z,0)</f>
        <v>0</v>
      </c>
    </row>
    <row r="20" spans="2:20" x14ac:dyDescent="0.15">
      <c r="B20" s="72" t="str">
        <f>②当月数据及门店毛利!B22</f>
        <v>犀浦</v>
      </c>
      <c r="C20" s="76">
        <f>_xlfn.XLOOKUP(B20,店助主任核算!B:B,店助主任核算!O:O,0)</f>
        <v>0</v>
      </c>
      <c r="D20" s="122">
        <f>②当月数据及门店毛利!C22</f>
        <v>100934</v>
      </c>
      <c r="F20" s="122"/>
      <c r="G20" s="122"/>
      <c r="H20" s="122"/>
      <c r="I20" s="122"/>
      <c r="J20" s="122"/>
      <c r="K20" s="122"/>
      <c r="L20" s="122"/>
      <c r="M20" s="122"/>
      <c r="N20" s="122">
        <f>_xlfn.XLOOKUP(C20,店助主任核算!O:O,店助主任核算!P:P,0)</f>
        <v>0</v>
      </c>
      <c r="O20" s="114">
        <f>_xlfn.XLOOKUP(C20,'①考勤-B-a-26考勤汇总表'!D:D,'①考勤-B-a-26考勤汇总表'!U:U,0)</f>
        <v>0</v>
      </c>
      <c r="P20" s="114">
        <f t="shared" si="0"/>
        <v>0</v>
      </c>
      <c r="Q20" s="140">
        <f t="shared" si="1"/>
        <v>0</v>
      </c>
      <c r="R20" s="122">
        <f>IFERROR(_xlfn.XLOOKUP(C20,店助主任核算!O:O,店助主任核算!X:X,0),0)</f>
        <v>0</v>
      </c>
      <c r="S20" s="122">
        <f>_xlfn.XLOOKUP(C20,店助主任核算!O:O,店助主任核算!Y:Y,0)</f>
        <v>0</v>
      </c>
      <c r="T20" s="122">
        <f>_xlfn.XLOOKUP(C20,店助主任核算!O:O,店助主任核算!Z:Z,0)</f>
        <v>0</v>
      </c>
    </row>
    <row r="21" spans="2:20" x14ac:dyDescent="0.15">
      <c r="B21" s="72" t="str">
        <f>②当月数据及门店毛利!B23</f>
        <v>千禧</v>
      </c>
      <c r="C21" s="76">
        <f>_xlfn.XLOOKUP(B21,店助主任核算!B:B,店助主任核算!O:O,0)</f>
        <v>0</v>
      </c>
      <c r="D21" s="122">
        <f>②当月数据及门店毛利!C23</f>
        <v>151129</v>
      </c>
      <c r="F21" s="122"/>
      <c r="G21" s="122"/>
      <c r="H21" s="122"/>
      <c r="I21" s="122"/>
      <c r="J21" s="122"/>
      <c r="K21" s="122"/>
      <c r="L21" s="122"/>
      <c r="M21" s="122"/>
      <c r="N21" s="122">
        <f>_xlfn.XLOOKUP(C21,店助主任核算!O:O,店助主任核算!P:P,0)</f>
        <v>0</v>
      </c>
      <c r="O21" s="114">
        <f>_xlfn.XLOOKUP(C21,'①考勤-B-a-26考勤汇总表'!D:D,'①考勤-B-a-26考勤汇总表'!U:U,0)</f>
        <v>0</v>
      </c>
      <c r="P21" s="114">
        <f t="shared" si="0"/>
        <v>0</v>
      </c>
      <c r="Q21" s="140">
        <f t="shared" si="1"/>
        <v>0</v>
      </c>
      <c r="R21" s="122">
        <f>IFERROR(_xlfn.XLOOKUP(C21,店助主任核算!O:O,店助主任核算!X:X,0),0)</f>
        <v>0</v>
      </c>
      <c r="S21" s="122">
        <f>_xlfn.XLOOKUP(C21,店助主任核算!O:O,店助主任核算!Y:Y,0)</f>
        <v>0</v>
      </c>
      <c r="T21" s="122">
        <f>_xlfn.XLOOKUP(C21,店助主任核算!O:O,店助主任核算!Z:Z,0)</f>
        <v>0</v>
      </c>
    </row>
    <row r="22" spans="2:20" x14ac:dyDescent="0.15">
      <c r="B22" s="72" t="str">
        <f>②当月数据及门店毛利!B24</f>
        <v>亚洲湾</v>
      </c>
      <c r="C22" s="76">
        <f>_xlfn.XLOOKUP(B22,店助主任核算!B:B,店助主任核算!O:O,0)</f>
        <v>0</v>
      </c>
      <c r="D22" s="122">
        <f>②当月数据及门店毛利!C24</f>
        <v>143757</v>
      </c>
      <c r="F22" s="122"/>
      <c r="G22" s="122"/>
      <c r="H22" s="122"/>
      <c r="I22" s="122"/>
      <c r="J22" s="122"/>
      <c r="K22" s="122"/>
      <c r="L22" s="122"/>
      <c r="M22" s="122"/>
      <c r="N22" s="122">
        <f>_xlfn.XLOOKUP(C22,店助主任核算!O:O,店助主任核算!P:P,0)</f>
        <v>0</v>
      </c>
      <c r="O22" s="114">
        <f>_xlfn.XLOOKUP(C22,'①考勤-B-a-26考勤汇总表'!D:D,'①考勤-B-a-26考勤汇总表'!U:U,0)</f>
        <v>0</v>
      </c>
      <c r="P22" s="114">
        <f t="shared" si="0"/>
        <v>0</v>
      </c>
      <c r="Q22" s="140">
        <f t="shared" si="1"/>
        <v>0</v>
      </c>
      <c r="R22" s="122">
        <f>IFERROR(_xlfn.XLOOKUP(C22,店助主任核算!O:O,店助主任核算!X:X,0),0)</f>
        <v>0</v>
      </c>
      <c r="S22" s="122">
        <f>_xlfn.XLOOKUP(C22,店助主任核算!O:O,店助主任核算!Y:Y,0)</f>
        <v>0</v>
      </c>
      <c r="T22" s="122">
        <f>_xlfn.XLOOKUP(C22,店助主任核算!O:O,店助主任核算!Z:Z,0)</f>
        <v>0</v>
      </c>
    </row>
    <row r="23" spans="2:20" x14ac:dyDescent="0.15">
      <c r="B23" s="72" t="str">
        <f>②当月数据及门店毛利!B25</f>
        <v>中和</v>
      </c>
      <c r="C23" s="76">
        <f>_xlfn.XLOOKUP(B23,店助主任核算!B:B,店助主任核算!O:O,0)</f>
        <v>0</v>
      </c>
      <c r="D23" s="122">
        <f>②当月数据及门店毛利!C25</f>
        <v>150422</v>
      </c>
      <c r="F23" s="122"/>
      <c r="G23" s="122"/>
      <c r="H23" s="122"/>
      <c r="I23" s="122"/>
      <c r="J23" s="122"/>
      <c r="K23" s="122"/>
      <c r="L23" s="122"/>
      <c r="M23" s="122"/>
      <c r="N23" s="122">
        <f>_xlfn.XLOOKUP(C23,店助主任核算!O:O,店助主任核算!P:P,0)</f>
        <v>0</v>
      </c>
      <c r="O23" s="114">
        <f>_xlfn.XLOOKUP(C23,'①考勤-B-a-26考勤汇总表'!D:D,'①考勤-B-a-26考勤汇总表'!U:U,0)</f>
        <v>0</v>
      </c>
      <c r="P23" s="114">
        <f t="shared" si="0"/>
        <v>0</v>
      </c>
      <c r="Q23" s="140">
        <f t="shared" si="1"/>
        <v>0</v>
      </c>
      <c r="R23" s="122">
        <f>IFERROR(_xlfn.XLOOKUP(C23,店助主任核算!O:O,店助主任核算!X:X,0),0)</f>
        <v>0</v>
      </c>
      <c r="S23" s="122">
        <f>_xlfn.XLOOKUP(C23,店助主任核算!O:O,店助主任核算!Y:Y,0)</f>
        <v>0</v>
      </c>
      <c r="T23" s="122">
        <f>_xlfn.XLOOKUP(C23,店助主任核算!O:O,店助主任核算!Z:Z,0)</f>
        <v>0</v>
      </c>
    </row>
    <row r="24" spans="2:20" x14ac:dyDescent="0.15">
      <c r="B24" s="72" t="str">
        <f>②当月数据及门店毛利!B26</f>
        <v>凤凰山</v>
      </c>
      <c r="C24" s="76">
        <f>_xlfn.XLOOKUP(B24,店助主任核算!B:B,店助主任核算!O:O,0)</f>
        <v>0</v>
      </c>
      <c r="D24" s="122">
        <f>②当月数据及门店毛利!C26</f>
        <v>180307.8</v>
      </c>
      <c r="F24" s="122"/>
      <c r="G24" s="122"/>
      <c r="H24" s="122"/>
      <c r="I24" s="122"/>
      <c r="J24" s="122"/>
      <c r="K24" s="122"/>
      <c r="L24" s="122"/>
      <c r="M24" s="122"/>
      <c r="N24" s="122">
        <f>_xlfn.XLOOKUP(C24,店助主任核算!O:O,店助主任核算!P:P,0)</f>
        <v>0</v>
      </c>
      <c r="O24" s="114">
        <f>_xlfn.XLOOKUP(C24,'①考勤-B-a-26考勤汇总表'!D:D,'①考勤-B-a-26考勤汇总表'!U:U,0)</f>
        <v>0</v>
      </c>
      <c r="P24" s="114">
        <f t="shared" si="0"/>
        <v>0</v>
      </c>
      <c r="Q24" s="140">
        <f t="shared" si="1"/>
        <v>0</v>
      </c>
      <c r="R24" s="122">
        <f>IFERROR(_xlfn.XLOOKUP(C24,店助主任核算!O:O,店助主任核算!X:X,0),0)</f>
        <v>0</v>
      </c>
      <c r="S24" s="122">
        <f>_xlfn.XLOOKUP(C24,店助主任核算!O:O,店助主任核算!Y:Y,0)</f>
        <v>0</v>
      </c>
      <c r="T24" s="122">
        <f>_xlfn.XLOOKUP(C24,店助主任核算!O:O,店助主任核算!Z:Z,0)</f>
        <v>0</v>
      </c>
    </row>
    <row r="25" spans="2:20" x14ac:dyDescent="0.15">
      <c r="B25" s="72" t="str">
        <f>②当月数据及门店毛利!B27</f>
        <v>南湖</v>
      </c>
      <c r="C25" s="76">
        <f>_xlfn.XLOOKUP(B25,店助主任核算!B:B,店助主任核算!O:O,0)</f>
        <v>0</v>
      </c>
      <c r="D25" s="122">
        <f>②当月数据及门店毛利!C27</f>
        <v>139022</v>
      </c>
      <c r="F25" s="122"/>
      <c r="G25" s="122"/>
      <c r="H25" s="122"/>
      <c r="I25" s="122"/>
      <c r="J25" s="122"/>
      <c r="K25" s="122"/>
      <c r="L25" s="122"/>
      <c r="M25" s="122"/>
      <c r="N25" s="122">
        <f>_xlfn.XLOOKUP(C25,店助主任核算!O:O,店助主任核算!P:P,0)</f>
        <v>0</v>
      </c>
      <c r="O25" s="114">
        <f>_xlfn.XLOOKUP(C25,'①考勤-B-a-26考勤汇总表'!D:D,'①考勤-B-a-26考勤汇总表'!U:U,0)</f>
        <v>0</v>
      </c>
      <c r="P25" s="114">
        <f t="shared" si="0"/>
        <v>0</v>
      </c>
      <c r="Q25" s="140">
        <f t="shared" si="1"/>
        <v>0</v>
      </c>
      <c r="R25" s="122">
        <f>IFERROR(_xlfn.XLOOKUP(C25,店助主任核算!O:O,店助主任核算!X:X,0),0)</f>
        <v>0</v>
      </c>
      <c r="S25" s="122">
        <f>_xlfn.XLOOKUP(C25,店助主任核算!O:O,店助主任核算!Y:Y,0)</f>
        <v>0</v>
      </c>
      <c r="T25" s="122">
        <f>_xlfn.XLOOKUP(C25,店助主任核算!O:O,店助主任核算!Z:Z,0)</f>
        <v>0</v>
      </c>
    </row>
    <row r="26" spans="2:20" x14ac:dyDescent="0.15">
      <c r="B26" s="72" t="str">
        <f>②当月数据及门店毛利!B28</f>
        <v>大源</v>
      </c>
      <c r="C26" s="76">
        <f>_xlfn.XLOOKUP(B26,店助主任核算!B:B,店助主任核算!O:O,0)</f>
        <v>0</v>
      </c>
      <c r="D26" s="122">
        <f>②当月数据及门店毛利!C28</f>
        <v>120949.6</v>
      </c>
      <c r="F26" s="122"/>
      <c r="G26" s="122"/>
      <c r="H26" s="122"/>
      <c r="I26" s="122"/>
      <c r="J26" s="122"/>
      <c r="K26" s="122"/>
      <c r="L26" s="122"/>
      <c r="M26" s="122"/>
      <c r="N26" s="122">
        <f>_xlfn.XLOOKUP(C26,店助主任核算!O:O,店助主任核算!P:P,0)</f>
        <v>0</v>
      </c>
      <c r="O26" s="114">
        <f>_xlfn.XLOOKUP(C26,'①考勤-B-a-26考勤汇总表'!D:D,'①考勤-B-a-26考勤汇总表'!U:U,0)</f>
        <v>0</v>
      </c>
      <c r="P26" s="114">
        <f t="shared" si="0"/>
        <v>0</v>
      </c>
      <c r="Q26" s="140">
        <f t="shared" si="1"/>
        <v>0</v>
      </c>
      <c r="R26" s="122">
        <f>IFERROR(_xlfn.XLOOKUP(C26,店助主任核算!O:O,店助主任核算!X:X,0),0)</f>
        <v>0</v>
      </c>
      <c r="S26" s="122">
        <f>_xlfn.XLOOKUP(C26,店助主任核算!O:O,店助主任核算!Y:Y,0)</f>
        <v>0</v>
      </c>
      <c r="T26" s="122">
        <f>_xlfn.XLOOKUP(C26,店助主任核算!O:O,店助主任核算!Z:Z,0)</f>
        <v>0</v>
      </c>
    </row>
    <row r="27" spans="2:20" x14ac:dyDescent="0.15">
      <c r="B27" s="72" t="str">
        <f>②当月数据及门店毛利!B29</f>
        <v>红光</v>
      </c>
      <c r="C27" s="76">
        <f>_xlfn.XLOOKUP(B27,店助主任核算!B:B,店助主任核算!O:O,0)</f>
        <v>0</v>
      </c>
      <c r="D27" s="122">
        <f>②当月数据及门店毛利!C29</f>
        <v>259744.88</v>
      </c>
      <c r="F27" s="122"/>
      <c r="G27" s="122"/>
      <c r="H27" s="122"/>
      <c r="I27" s="122"/>
      <c r="J27" s="122"/>
      <c r="K27" s="122"/>
      <c r="L27" s="122"/>
      <c r="M27" s="122"/>
      <c r="N27" s="122">
        <f>_xlfn.XLOOKUP(C27,店助主任核算!O:O,店助主任核算!P:P,0)</f>
        <v>0</v>
      </c>
      <c r="O27" s="114">
        <f>_xlfn.XLOOKUP(C27,'①考勤-B-a-26考勤汇总表'!D:D,'①考勤-B-a-26考勤汇总表'!U:U,0)</f>
        <v>0</v>
      </c>
      <c r="P27" s="114">
        <f t="shared" si="0"/>
        <v>0</v>
      </c>
      <c r="Q27" s="140">
        <f t="shared" si="1"/>
        <v>0</v>
      </c>
      <c r="R27" s="122">
        <f>IFERROR(_xlfn.XLOOKUP(C27,店助主任核算!O:O,店助主任核算!X:X,0),0)</f>
        <v>0</v>
      </c>
      <c r="S27" s="122">
        <f>_xlfn.XLOOKUP(C27,店助主任核算!O:O,店助主任核算!Y:Y,0)</f>
        <v>0</v>
      </c>
      <c r="T27" s="122">
        <f>_xlfn.XLOOKUP(C27,店助主任核算!O:O,店助主任核算!Z:Z,0)</f>
        <v>0</v>
      </c>
    </row>
    <row r="28" spans="2:20" x14ac:dyDescent="0.15">
      <c r="B28" s="72" t="str">
        <f>②当月数据及门店毛利!B30</f>
        <v>保利</v>
      </c>
      <c r="C28" s="76">
        <f>_xlfn.XLOOKUP(B28,店助主任核算!B:B,店助主任核算!O:O,0)</f>
        <v>0</v>
      </c>
      <c r="D28" s="122">
        <f>②当月数据及门店毛利!C30</f>
        <v>150031.32999999999</v>
      </c>
      <c r="F28" s="122"/>
      <c r="G28" s="122"/>
      <c r="H28" s="122"/>
      <c r="I28" s="122"/>
      <c r="J28" s="122"/>
      <c r="K28" s="122"/>
      <c r="L28" s="122"/>
      <c r="M28" s="122"/>
      <c r="N28" s="122">
        <f>_xlfn.XLOOKUP(C28,店助主任核算!O:O,店助主任核算!P:P,0)</f>
        <v>0</v>
      </c>
      <c r="O28" s="114">
        <f>_xlfn.XLOOKUP(C28,'①考勤-B-a-26考勤汇总表'!D:D,'①考勤-B-a-26考勤汇总表'!U:U,0)</f>
        <v>0</v>
      </c>
      <c r="P28" s="114">
        <f t="shared" si="0"/>
        <v>0</v>
      </c>
      <c r="Q28" s="140">
        <f t="shared" si="1"/>
        <v>0</v>
      </c>
      <c r="R28" s="122">
        <f>IFERROR(_xlfn.XLOOKUP(C28,店助主任核算!O:O,店助主任核算!X:X,0),0)</f>
        <v>0</v>
      </c>
      <c r="S28" s="122">
        <f>_xlfn.XLOOKUP(C28,店助主任核算!O:O,店助主任核算!Y:Y,0)</f>
        <v>0</v>
      </c>
      <c r="T28" s="122">
        <f>_xlfn.XLOOKUP(C28,店助主任核算!O:O,店助主任核算!Z:Z,0)</f>
        <v>0</v>
      </c>
    </row>
    <row r="29" spans="2:20" x14ac:dyDescent="0.15">
      <c r="B29" s="72" t="str">
        <f>②当月数据及门店毛利!B31</f>
        <v>龙城国际</v>
      </c>
      <c r="C29" s="76">
        <f>_xlfn.XLOOKUP(B29,店助主任核算!B:B,店助主任核算!O:O,0)</f>
        <v>0</v>
      </c>
      <c r="D29" s="122">
        <f>②当月数据及门店毛利!C31</f>
        <v>133334.88</v>
      </c>
      <c r="F29" s="122"/>
      <c r="G29" s="122"/>
      <c r="H29" s="122"/>
      <c r="I29" s="122"/>
      <c r="J29" s="122"/>
      <c r="K29" s="122"/>
      <c r="L29" s="122"/>
      <c r="M29" s="122"/>
      <c r="N29" s="122">
        <f>_xlfn.XLOOKUP(C29,店助主任核算!O:O,店助主任核算!P:P,0)</f>
        <v>0</v>
      </c>
      <c r="O29" s="114">
        <f>_xlfn.XLOOKUP(C29,'①考勤-B-a-26考勤汇总表'!D:D,'①考勤-B-a-26考勤汇总表'!U:U,0)</f>
        <v>0</v>
      </c>
      <c r="P29" s="114">
        <f t="shared" si="0"/>
        <v>0</v>
      </c>
      <c r="Q29" s="140">
        <f t="shared" si="1"/>
        <v>0</v>
      </c>
      <c r="R29" s="122">
        <f>IFERROR(_xlfn.XLOOKUP(C29,店助主任核算!O:O,店助主任核算!X:X,0),0)</f>
        <v>0</v>
      </c>
      <c r="S29" s="122">
        <f>_xlfn.XLOOKUP(C29,店助主任核算!O:O,店助主任核算!Y:Y,0)</f>
        <v>0</v>
      </c>
      <c r="T29" s="122">
        <f>_xlfn.XLOOKUP(C29,店助主任核算!O:O,店助主任核算!Z:Z,0)</f>
        <v>0</v>
      </c>
    </row>
    <row r="30" spans="2:20" x14ac:dyDescent="0.15">
      <c r="B30" s="72" t="str">
        <f>②当月数据及门店毛利!B32</f>
        <v>川音</v>
      </c>
      <c r="C30" s="76">
        <f>_xlfn.XLOOKUP(B30,店助主任核算!B:B,店助主任核算!O:O,0)</f>
        <v>0</v>
      </c>
      <c r="D30" s="122">
        <f>②当月数据及门店毛利!C32</f>
        <v>173290.6</v>
      </c>
      <c r="F30" s="122"/>
      <c r="G30" s="122"/>
      <c r="H30" s="122"/>
      <c r="I30" s="122"/>
      <c r="J30" s="122"/>
      <c r="K30" s="122"/>
      <c r="L30" s="122"/>
      <c r="M30" s="122"/>
      <c r="N30" s="122">
        <f>_xlfn.XLOOKUP(C30,店助主任核算!O:O,店助主任核算!P:P,0)</f>
        <v>0</v>
      </c>
      <c r="O30" s="114">
        <f>_xlfn.XLOOKUP(C30,'①考勤-B-a-26考勤汇总表'!D:D,'①考勤-B-a-26考勤汇总表'!U:U,0)</f>
        <v>0</v>
      </c>
      <c r="P30" s="114">
        <f t="shared" si="0"/>
        <v>0</v>
      </c>
      <c r="Q30" s="140">
        <f t="shared" si="1"/>
        <v>0</v>
      </c>
      <c r="R30" s="122">
        <f>IFERROR(_xlfn.XLOOKUP(C30,店助主任核算!O:O,店助主任核算!X:X,0),0)</f>
        <v>0</v>
      </c>
      <c r="S30" s="122">
        <f>_xlfn.XLOOKUP(C30,店助主任核算!O:O,店助主任核算!Y:Y,0)</f>
        <v>0</v>
      </c>
      <c r="T30" s="122">
        <f>_xlfn.XLOOKUP(C30,店助主任核算!O:O,店助主任核算!Z:Z,0)</f>
        <v>0</v>
      </c>
    </row>
    <row r="31" spans="2:20" x14ac:dyDescent="0.15">
      <c r="B31" s="72">
        <f>②当月数据及门店毛利!B33</f>
        <v>0</v>
      </c>
      <c r="C31" s="76">
        <f>_xlfn.XLOOKUP(B31,店助主任核算!B:B,店助主任核算!O:O,0)</f>
        <v>0</v>
      </c>
      <c r="D31" s="122">
        <f>②当月数据及门店毛利!C33</f>
        <v>0</v>
      </c>
      <c r="F31" s="122"/>
      <c r="G31" s="122"/>
      <c r="H31" s="122"/>
      <c r="I31" s="122"/>
      <c r="J31" s="122"/>
      <c r="K31" s="122"/>
      <c r="L31" s="122"/>
      <c r="M31" s="122"/>
      <c r="N31" s="122">
        <f>_xlfn.XLOOKUP(C31,店助主任核算!O:O,店助主任核算!P:P,0)</f>
        <v>0</v>
      </c>
      <c r="O31" s="114">
        <f>_xlfn.XLOOKUP(C31,'①考勤-B-a-26考勤汇总表'!D:D,'①考勤-B-a-26考勤汇总表'!U:U,0)</f>
        <v>0</v>
      </c>
      <c r="P31" s="114">
        <f t="shared" si="0"/>
        <v>0</v>
      </c>
      <c r="Q31" s="140">
        <f t="shared" si="1"/>
        <v>0</v>
      </c>
      <c r="R31" s="122">
        <f>IFERROR(_xlfn.XLOOKUP(C31,店助主任核算!O:O,店助主任核算!X:X,0),0)</f>
        <v>0</v>
      </c>
      <c r="S31" s="122">
        <f>_xlfn.XLOOKUP(C31,店助主任核算!O:O,店助主任核算!Y:Y,0)</f>
        <v>0</v>
      </c>
      <c r="T31" s="122">
        <f>_xlfn.XLOOKUP(C31,店助主任核算!O:O,店助主任核算!Z:Z,0)</f>
        <v>0</v>
      </c>
    </row>
    <row r="32" spans="2:20" x14ac:dyDescent="0.15">
      <c r="B32" s="72">
        <f>②当月数据及门店毛利!B34</f>
        <v>0</v>
      </c>
      <c r="C32" s="76">
        <f>_xlfn.XLOOKUP(B32,店助主任核算!B:B,店助主任核算!O:O,0)</f>
        <v>0</v>
      </c>
      <c r="D32" s="122">
        <f>②当月数据及门店毛利!C34</f>
        <v>0</v>
      </c>
      <c r="F32" s="122"/>
      <c r="G32" s="122"/>
      <c r="H32" s="122"/>
      <c r="I32" s="122"/>
      <c r="J32" s="122"/>
      <c r="K32" s="122"/>
      <c r="L32" s="122"/>
      <c r="M32" s="122"/>
      <c r="N32" s="122">
        <f>_xlfn.XLOOKUP(C32,店助主任核算!O:O,店助主任核算!P:P,0)</f>
        <v>0</v>
      </c>
      <c r="O32" s="114">
        <f>_xlfn.XLOOKUP(C32,'①考勤-B-a-26考勤汇总表'!D:D,'①考勤-B-a-26考勤汇总表'!U:U,0)</f>
        <v>0</v>
      </c>
      <c r="P32" s="114">
        <f t="shared" si="0"/>
        <v>0</v>
      </c>
      <c r="Q32" s="140">
        <f t="shared" si="1"/>
        <v>0</v>
      </c>
      <c r="R32" s="122">
        <f>IFERROR(_xlfn.XLOOKUP(C32,店助主任核算!O:O,店助主任核算!X:X,0),0)</f>
        <v>0</v>
      </c>
      <c r="S32" s="122">
        <f>_xlfn.XLOOKUP(C32,店助主任核算!O:O,店助主任核算!Y:Y,0)</f>
        <v>0</v>
      </c>
      <c r="T32" s="122">
        <f>_xlfn.XLOOKUP(C32,店助主任核算!O:O,店助主任核算!Z:Z,0)</f>
        <v>0</v>
      </c>
    </row>
    <row r="33" spans="3:20" x14ac:dyDescent="0.15">
      <c r="C33" s="76">
        <f>_xlfn.XLOOKUP(B33,店助主任核算!B:B,店助主任核算!O:O,0)</f>
        <v>0</v>
      </c>
      <c r="D33" s="122">
        <f>②当月数据及门店毛利!C35</f>
        <v>0</v>
      </c>
      <c r="F33" s="122"/>
      <c r="G33" s="122"/>
      <c r="H33" s="122"/>
      <c r="I33" s="122"/>
      <c r="J33" s="122"/>
      <c r="K33" s="122"/>
      <c r="L33" s="122"/>
      <c r="M33" s="122"/>
      <c r="N33" s="122">
        <f>_xlfn.XLOOKUP(C33,店助主任核算!O:O,店助主任核算!P:P,0)</f>
        <v>0</v>
      </c>
      <c r="O33" s="114">
        <f>_xlfn.XLOOKUP(C33,'①考勤-B-a-26考勤汇总表'!D:D,'①考勤-B-a-26考勤汇总表'!U:U,0)</f>
        <v>0</v>
      </c>
      <c r="P33" s="114">
        <f t="shared" si="0"/>
        <v>0</v>
      </c>
      <c r="Q33" s="140">
        <f t="shared" si="1"/>
        <v>0</v>
      </c>
      <c r="R33" s="122">
        <f>IFERROR(_xlfn.XLOOKUP(C33,店助主任核算!O:O,店助主任核算!X:X,0),0)</f>
        <v>0</v>
      </c>
      <c r="S33" s="122">
        <f>_xlfn.XLOOKUP(C33,店助主任核算!O:O,店助主任核算!Y:Y,0)</f>
        <v>0</v>
      </c>
      <c r="T33" s="122">
        <f>_xlfn.XLOOKUP(C33,店助主任核算!O:O,店助主任核算!Z:Z,0)</f>
        <v>0</v>
      </c>
    </row>
    <row r="34" spans="3:20" x14ac:dyDescent="0.15">
      <c r="C34" s="76">
        <f>_xlfn.XLOOKUP(B34,店助主任核算!B:B,店助主任核算!O:O,0)</f>
        <v>0</v>
      </c>
      <c r="D34" s="122">
        <f>②当月数据及门店毛利!C36</f>
        <v>0</v>
      </c>
      <c r="F34" s="122"/>
      <c r="G34" s="122"/>
      <c r="H34" s="122"/>
      <c r="I34" s="122"/>
      <c r="J34" s="122"/>
      <c r="K34" s="122"/>
      <c r="L34" s="122"/>
      <c r="M34" s="122"/>
      <c r="N34" s="122">
        <f>_xlfn.XLOOKUP(C34,店助主任核算!O:O,店助主任核算!P:P,0)</f>
        <v>0</v>
      </c>
      <c r="O34" s="114">
        <f>_xlfn.XLOOKUP(C34,'①考勤-B-a-26考勤汇总表'!D:D,'①考勤-B-a-26考勤汇总表'!U:U,0)</f>
        <v>0</v>
      </c>
      <c r="P34" s="114">
        <f t="shared" si="0"/>
        <v>0</v>
      </c>
      <c r="Q34" s="140">
        <f t="shared" si="1"/>
        <v>0</v>
      </c>
      <c r="R34" s="122">
        <f>IFERROR(_xlfn.XLOOKUP(C34,店助主任核算!O:O,店助主任核算!X:X,0),0)</f>
        <v>0</v>
      </c>
      <c r="S34" s="122">
        <f>_xlfn.XLOOKUP(C34,店助主任核算!O:O,店助主任核算!Y:Y,0)</f>
        <v>0</v>
      </c>
      <c r="T34" s="122">
        <f>_xlfn.XLOOKUP(C34,店助主任核算!O:O,店助主任核算!Z:Z,0)</f>
        <v>0</v>
      </c>
    </row>
  </sheetData>
  <phoneticPr fontId="3" type="noConversion"/>
  <conditionalFormatting sqref="A1">
    <cfRule type="duplicateValues" dxfId="14" priority="1"/>
  </conditionalFormatting>
  <conditionalFormatting sqref="B1">
    <cfRule type="duplicateValues" dxfId="13" priority="2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38"/>
  <sheetViews>
    <sheetView tabSelected="1" workbookViewId="0">
      <selection activeCell="P19" sqref="P19"/>
    </sheetView>
  </sheetViews>
  <sheetFormatPr defaultColWidth="9" defaultRowHeight="14.25" x14ac:dyDescent="0.15"/>
  <cols>
    <col min="1" max="1" width="15" style="76" customWidth="1"/>
    <col min="2" max="2" width="12.375" style="76" customWidth="1"/>
    <col min="3" max="3" width="10.875" style="76" customWidth="1"/>
    <col min="4" max="5" width="8.875" style="76" customWidth="1"/>
    <col min="6" max="6" width="10.875" style="76" customWidth="1"/>
    <col min="7" max="7" width="8.875" style="76" customWidth="1"/>
    <col min="8" max="8" width="0.875" style="76" customWidth="1"/>
    <col min="9" max="9" width="8.875" style="76" customWidth="1"/>
    <col min="10" max="10" width="7" style="76" customWidth="1"/>
    <col min="11" max="11" width="12.125" style="76" customWidth="1"/>
    <col min="12" max="12" width="14.125" style="76" customWidth="1"/>
    <col min="13" max="13" width="9" style="76" customWidth="1"/>
    <col min="14" max="14" width="15.25" style="72" customWidth="1"/>
    <col min="15" max="15" width="9" style="76" customWidth="1"/>
    <col min="16" max="16" width="11.5" style="76" customWidth="1"/>
    <col min="17" max="17" width="8.125" style="78" customWidth="1"/>
    <col min="18" max="18" width="12.5" style="79" customWidth="1"/>
    <col min="19" max="21" width="13.25" style="79" customWidth="1"/>
    <col min="22" max="22" width="15.375" style="79" customWidth="1"/>
    <col min="23" max="23" width="12.625" style="76" customWidth="1"/>
    <col min="24" max="24" width="11" style="76" customWidth="1"/>
    <col min="25" max="25" width="12.625" style="79"/>
    <col min="26" max="16384" width="9" style="76"/>
  </cols>
  <sheetData>
    <row r="1" spans="1:25" x14ac:dyDescent="0.15">
      <c r="A1" s="76" t="s">
        <v>119</v>
      </c>
      <c r="B1" s="76" t="s">
        <v>122</v>
      </c>
      <c r="C1" s="76" t="s">
        <v>131</v>
      </c>
      <c r="E1" s="77">
        <v>0.7</v>
      </c>
      <c r="F1" s="77">
        <v>1</v>
      </c>
      <c r="G1" s="77"/>
      <c r="H1" s="77"/>
      <c r="I1" s="77" t="s">
        <v>362</v>
      </c>
    </row>
    <row r="2" spans="1:25" x14ac:dyDescent="0.15">
      <c r="A2" s="76" t="s">
        <v>206</v>
      </c>
      <c r="E2" s="77"/>
      <c r="F2" s="77"/>
      <c r="G2" s="77"/>
      <c r="H2" s="77"/>
      <c r="I2" s="77"/>
    </row>
    <row r="3" spans="1:25" x14ac:dyDescent="0.15">
      <c r="L3" s="76" t="e">
        <f>②当月数据及门店毛利!C2-L4</f>
        <v>#N/A</v>
      </c>
      <c r="V3" s="79" t="e">
        <f>S4+R4+T4-V4</f>
        <v>#N/A</v>
      </c>
    </row>
    <row r="4" spans="1:25" x14ac:dyDescent="0.15">
      <c r="A4" s="76" t="s">
        <v>168</v>
      </c>
      <c r="L4" s="76" t="e">
        <f>SUM(L6:L35)</f>
        <v>#N/A</v>
      </c>
      <c r="M4" s="76" t="e">
        <f>SUM(M6:M35)</f>
        <v>#N/A</v>
      </c>
      <c r="N4" s="72" t="s">
        <v>210</v>
      </c>
      <c r="R4" s="79" t="e">
        <f t="shared" ref="R4:T4" si="0">SUM(R6:R34)</f>
        <v>#N/A</v>
      </c>
      <c r="S4" s="79">
        <f t="shared" si="0"/>
        <v>4797.4132</v>
      </c>
      <c r="T4" s="79">
        <f t="shared" si="0"/>
        <v>16401.920599999998</v>
      </c>
      <c r="V4" s="79" t="e">
        <f>SUM(V6:V35)</f>
        <v>#N/A</v>
      </c>
      <c r="W4" s="76" t="e">
        <f>SUM(W6:W35)</f>
        <v>#N/A</v>
      </c>
      <c r="X4" s="76">
        <f>SUM(X6:X35)</f>
        <v>4350</v>
      </c>
      <c r="Y4" s="79">
        <f>SUM(Y6:Y34)</f>
        <v>105420.68906000002</v>
      </c>
    </row>
    <row r="5" spans="1:25" x14ac:dyDescent="0.15">
      <c r="A5" s="76" t="s">
        <v>7</v>
      </c>
      <c r="C5" s="76" t="s">
        <v>170</v>
      </c>
      <c r="D5" s="76" t="s">
        <v>171</v>
      </c>
      <c r="E5" s="76" t="s">
        <v>172</v>
      </c>
      <c r="F5" s="76" t="s">
        <v>173</v>
      </c>
      <c r="G5" s="85" t="s">
        <v>105</v>
      </c>
      <c r="I5" s="85" t="s">
        <v>106</v>
      </c>
      <c r="J5" s="85" t="s">
        <v>104</v>
      </c>
      <c r="K5" s="85" t="s">
        <v>107</v>
      </c>
      <c r="L5" s="86" t="s">
        <v>175</v>
      </c>
      <c r="M5" s="86" t="s">
        <v>177</v>
      </c>
      <c r="N5" s="74" t="s">
        <v>211</v>
      </c>
      <c r="O5" s="87" t="s">
        <v>108</v>
      </c>
      <c r="P5" s="185" t="s">
        <v>198</v>
      </c>
      <c r="Q5" s="78" t="s">
        <v>199</v>
      </c>
      <c r="R5" s="79" t="s">
        <v>109</v>
      </c>
      <c r="S5" s="79" t="s">
        <v>110</v>
      </c>
      <c r="T5" s="79" t="s">
        <v>212</v>
      </c>
      <c r="U5" s="127" t="s">
        <v>168</v>
      </c>
      <c r="V5" s="79" t="s">
        <v>187</v>
      </c>
      <c r="W5" s="185" t="s">
        <v>213</v>
      </c>
      <c r="X5" s="185" t="s">
        <v>211</v>
      </c>
      <c r="Y5" s="79" t="s">
        <v>168</v>
      </c>
    </row>
    <row r="6" spans="1:25" x14ac:dyDescent="0.15">
      <c r="A6" s="88" t="s">
        <v>116</v>
      </c>
      <c r="B6" s="88" t="s">
        <v>117</v>
      </c>
      <c r="C6" s="88" t="s">
        <v>96</v>
      </c>
      <c r="D6" s="88" t="s">
        <v>96</v>
      </c>
      <c r="E6" s="88" t="s">
        <v>96</v>
      </c>
      <c r="F6" s="88" t="s">
        <v>96</v>
      </c>
      <c r="G6" s="88">
        <f>VLOOKUP(B6,'④前置信息-大固定-包含了工资和总经理'!B:E,4,0)</f>
        <v>0</v>
      </c>
      <c r="I6" s="88">
        <f>VLOOKUP(B6,'④前置信息-大固定-包含了工资和总经理'!B:F,5,0)</f>
        <v>0</v>
      </c>
      <c r="J6" s="88">
        <f>VLOOKUP(B6,'④前置信息-大固定-包含了工资和总经理'!B:D,3,0)</f>
        <v>0</v>
      </c>
      <c r="K6" s="88">
        <f>VLOOKUP(B6,'④前置信息-大固定-包含了工资和总经理'!B:G,6,0)</f>
        <v>0</v>
      </c>
      <c r="L6" s="88" t="e">
        <f>VLOOKUP(B6,②当月数据及门店毛利!B:C,2,0)</f>
        <v>#N/A</v>
      </c>
      <c r="M6" s="88" t="e">
        <f>VLOOKUP(B6,②当月数据及门店毛利!B:E,4,0)</f>
        <v>#N/A</v>
      </c>
      <c r="N6" s="89"/>
      <c r="O6" s="88">
        <f>IFERROR(VLOOKUP(B6,'④前置信息-大固定-包含了工资和总经理'!B:H,7,0),0)</f>
        <v>0</v>
      </c>
      <c r="P6" s="88">
        <f>IF(J6=$A$1,3000,IF(J6=$B$1,3100,IF(J6=$C$1,3200,0)))</f>
        <v>0</v>
      </c>
      <c r="Q6" s="90" t="e">
        <f>IF(IFERROR(VLOOKUP(O6,#REF!,2,0),0)="店助主任",IF(L6&lt;=K6*$E$1,0,IF(AND(L6&gt;=K6*$E$1,L6&lt;=K6*$F$1),0.4%,IF(L6&gt;$F$1,1%,0))),IF(L6&lt;=K6*$E$1,0,IF(AND(L6&gt;=K6*$E$1,L6&lt;=K6*$F$1),0.4%,IF(L6&gt;$F$1,0.6%,0))))</f>
        <v>#N/A</v>
      </c>
      <c r="R6" s="91" t="e">
        <f>IF(Q6=0,0,0)</f>
        <v>#N/A</v>
      </c>
      <c r="S6" s="91">
        <f>IFERROR(IF(Q6=0.004,L6*Q6,0),0)</f>
        <v>0</v>
      </c>
      <c r="T6" s="91">
        <f>IF(IFERROR(VLOOKUP(O6,#REF!,2,0),0)="店助主任",IFERROR(IF(Q6=0.01,K6*0.004+(L6-K6)*0.01,0),0),IFERROR(IF(Q6=0.006,K6*0.004+(L6-K6)*0.006,0),0))</f>
        <v>0</v>
      </c>
      <c r="U6" s="91" t="e">
        <f>R6+S6+T6</f>
        <v>#N/A</v>
      </c>
      <c r="V6" s="91" t="e">
        <f>IF(L6&lt;=K6*$E$1,0,IF(AND(L6&gt;=K6*$E$1,L6&lt;=K6*$F$1),L6*0.4%,IF(L6&gt;$F$1,K6*0.4%+(L6-K6)*0.6%,0)))</f>
        <v>#N/A</v>
      </c>
      <c r="W6" s="88">
        <f>IF(J6=0,0,IF(M6&gt;=VLOOKUP(B6,'④前置信息-大固定-包含了工资和总经理'!B:I,8,0),200,0)+IF(M6&gt;=VLOOKUP(B6,'④前置信息-大固定-包含了工资和总经理'!B:J,9,0),200,0))</f>
        <v>0</v>
      </c>
      <c r="X6" s="88">
        <f>IF(N6="Y",150,0)</f>
        <v>0</v>
      </c>
      <c r="Y6" s="91">
        <f>IF(O6=0,0,P6+U6+W6+X6)</f>
        <v>0</v>
      </c>
    </row>
    <row r="7" spans="1:25" x14ac:dyDescent="0.15">
      <c r="A7" s="88" t="s">
        <v>118</v>
      </c>
      <c r="B7" s="88" t="s">
        <v>40</v>
      </c>
      <c r="C7" s="88" t="s">
        <v>22</v>
      </c>
      <c r="D7" s="88" t="s">
        <v>188</v>
      </c>
      <c r="E7" s="88" t="s">
        <v>90</v>
      </c>
      <c r="F7" s="88" t="s">
        <v>189</v>
      </c>
      <c r="G7" s="88">
        <f>VLOOKUP(B7,'④前置信息-大固定-包含了工资和总经理'!B:E,4,0)</f>
        <v>0</v>
      </c>
      <c r="I7" s="88">
        <f>VLOOKUP(B7,'④前置信息-大固定-包含了工资和总经理'!B:F,5,0)</f>
        <v>0</v>
      </c>
      <c r="J7" s="88" t="str">
        <f>VLOOKUP(B7,'④前置信息-大固定-包含了工资和总经理'!B:D,3,0)</f>
        <v>A类</v>
      </c>
      <c r="K7" s="88">
        <f>VLOOKUP(B7,'④前置信息-大固定-包含了工资和总经理'!B:G,6,0)</f>
        <v>350000</v>
      </c>
      <c r="L7" s="88">
        <f>VLOOKUP(B7,②当月数据及门店毛利!B:C,2,0)</f>
        <v>522756</v>
      </c>
      <c r="M7" s="88">
        <f>VLOOKUP(B7,②当月数据及门店毛利!B:E,4,0)</f>
        <v>210</v>
      </c>
      <c r="N7" s="89" t="s">
        <v>214</v>
      </c>
      <c r="O7" s="88" t="str">
        <f>IFERROR(VLOOKUP(B7,'④前置信息-大固定-包含了工资和总经理'!B:H,7,0),0)</f>
        <v>吴琴</v>
      </c>
      <c r="P7" s="88">
        <f>IF(J7=$A$1,3000,IF(J7=$B$1,3100,IF(J7=$C$1,3200,0)))</f>
        <v>3000</v>
      </c>
      <c r="Q7" s="90">
        <f>IF(IFERROR(VLOOKUP(O7,#REF!,2,0),0)="店助主任",IF(L7&lt;=K7*$E$1,0,IF(AND(L7&gt;=K7*$E$1,L7&lt;=K7*$F$1),0.4%,IF(L7&gt;$F$1,1%,0))),IF(L7&lt;=K7*$E$1,0,IF(AND(L7&gt;=K7*$E$1,L7&lt;=K7*$F$1),0.4%,IF(L7&gt;$F$1,0.6%,0))))</f>
        <v>6.0000000000000001E-3</v>
      </c>
      <c r="R7" s="91">
        <f t="shared" ref="R7:R34" si="1">IF(Q7=0,0,0)</f>
        <v>0</v>
      </c>
      <c r="S7" s="91">
        <f t="shared" ref="S7:S34" si="2">IFERROR(IF(Q7=0.004,L7*Q7,0),0)</f>
        <v>0</v>
      </c>
      <c r="T7" s="91">
        <f>IF(IFERROR(VLOOKUP(O7,#REF!,2,0),0)="店助主任",IFERROR(IF(Q7=0.01,K7*0.004+(L7-K7)*0.01,0),0),IFERROR(IF(Q7=0.006,K7*0.004+(L7-K7)*0.006,0),0))</f>
        <v>2436.5360000000001</v>
      </c>
      <c r="U7" s="91">
        <f t="shared" ref="U7:U34" si="3">R7+S7+T7</f>
        <v>2436.5360000000001</v>
      </c>
      <c r="V7" s="91">
        <f t="shared" ref="V7:V34" si="4">IF(L7&lt;=K7*$E$1,0,IF(AND(L7&gt;=K7*$E$1,L7&lt;=K7*$F$1),L7*0.4%,IF(L7&gt;$F$1,K7*0.4%+(L7-K7)*0.6%,0)))</f>
        <v>2436.5360000000001</v>
      </c>
      <c r="W7" s="88">
        <f>IF(J7=0,0,IF(M7&gt;=VLOOKUP(B7,'④前置信息-大固定-包含了工资和总经理'!B:I,8,0),200,0)+IF(M7&gt;=VLOOKUP(B7,'④前置信息-大固定-包含了工资和总经理'!B:J,9,0),200,0))</f>
        <v>200</v>
      </c>
      <c r="X7" s="88">
        <f t="shared" ref="X7:X34" si="5">IF(N7="Y",150,0)</f>
        <v>150</v>
      </c>
      <c r="Y7" s="91">
        <f t="shared" ref="Y7:Y34" si="6">IF(O7=0,0,P7+U7+W7+X7)</f>
        <v>5786.5360000000001</v>
      </c>
    </row>
    <row r="8" spans="1:25" x14ac:dyDescent="0.15">
      <c r="A8" s="88" t="s">
        <v>120</v>
      </c>
      <c r="B8" s="88" t="s">
        <v>42</v>
      </c>
      <c r="C8" s="88" t="s">
        <v>22</v>
      </c>
      <c r="D8" s="88" t="s">
        <v>190</v>
      </c>
      <c r="E8" s="88" t="s">
        <v>81</v>
      </c>
      <c r="F8" s="88" t="s">
        <v>191</v>
      </c>
      <c r="G8" s="88">
        <f>VLOOKUP(B8,'④前置信息-大固定-包含了工资和总经理'!B:E,4,0)</f>
        <v>0</v>
      </c>
      <c r="I8" s="88">
        <f>VLOOKUP(B8,'④前置信息-大固定-包含了工资和总经理'!B:F,5,0)</f>
        <v>0</v>
      </c>
      <c r="J8" s="88" t="str">
        <f>VLOOKUP(B8,'④前置信息-大固定-包含了工资和总经理'!B:D,3,0)</f>
        <v>A类</v>
      </c>
      <c r="K8" s="88">
        <f>VLOOKUP(B8,'④前置信息-大固定-包含了工资和总经理'!B:G,6,0)</f>
        <v>300000</v>
      </c>
      <c r="L8" s="88">
        <f>VLOOKUP(B8,②当月数据及门店毛利!B:C,2,0)</f>
        <v>220223</v>
      </c>
      <c r="M8" s="88">
        <f>VLOOKUP(B8,②当月数据及门店毛利!B:E,4,0)</f>
        <v>205</v>
      </c>
      <c r="N8" s="89" t="s">
        <v>214</v>
      </c>
      <c r="O8" s="88" t="str">
        <f>IFERROR(VLOOKUP(B8,'④前置信息-大固定-包含了工资和总经理'!B:H,7,0),0)</f>
        <v>赵小红</v>
      </c>
      <c r="P8" s="88">
        <f t="shared" ref="P8:P34" si="7">IF(J8=$A$1,3000,IF(J8=$B$1,3100,IF(J8=$C$1,3200,0)))</f>
        <v>3000</v>
      </c>
      <c r="Q8" s="90">
        <f>IF(IFERROR(VLOOKUP(O8,#REF!,2,0),0)="店助主任",IF(L8&lt;=K8*$E$1,0,IF(AND(L8&gt;=K8*$E$1,L8&lt;=K8*$F$1),0.4%,IF(L8&gt;$F$1,1%,0))),IF(L8&lt;=K8*$E$1,0,IF(AND(L8&gt;=K8*$E$1,L8&lt;=K8*$F$1),0.4%,IF(L8&gt;$F$1,0.6%,0))))</f>
        <v>4.0000000000000001E-3</v>
      </c>
      <c r="R8" s="91">
        <f t="shared" si="1"/>
        <v>0</v>
      </c>
      <c r="S8" s="91">
        <f t="shared" si="2"/>
        <v>880.89200000000005</v>
      </c>
      <c r="T8" s="91">
        <f>IF(IFERROR(VLOOKUP(O8,#REF!,2,0),0)="店助主任",IFERROR(IF(Q8=0.01,K8*0.004+(L8-K8)*0.01,0),0),IFERROR(IF(Q8=0.006,K8*0.004+(L8-K8)*0.006,0),0))</f>
        <v>0</v>
      </c>
      <c r="U8" s="91">
        <f t="shared" si="3"/>
        <v>880.89200000000005</v>
      </c>
      <c r="V8" s="91">
        <f t="shared" si="4"/>
        <v>880.89200000000005</v>
      </c>
      <c r="W8" s="88">
        <f>IF(J8=0,0,IF(M8&gt;=VLOOKUP(B8,'④前置信息-大固定-包含了工资和总经理'!B:I,8,0),200,0)+IF(M8&gt;=VLOOKUP(B8,'④前置信息-大固定-包含了工资和总经理'!B:J,9,0),200,0))</f>
        <v>400</v>
      </c>
      <c r="X8" s="88">
        <f t="shared" si="5"/>
        <v>150</v>
      </c>
      <c r="Y8" s="91">
        <f t="shared" si="6"/>
        <v>4430.8919999999998</v>
      </c>
    </row>
    <row r="9" spans="1:25" x14ac:dyDescent="0.15">
      <c r="A9" s="88" t="s">
        <v>121</v>
      </c>
      <c r="B9" s="88" t="s">
        <v>35</v>
      </c>
      <c r="C9" s="88" t="s">
        <v>21</v>
      </c>
      <c r="D9" s="88" t="s">
        <v>190</v>
      </c>
      <c r="E9" s="88" t="s">
        <v>90</v>
      </c>
      <c r="F9" s="88" t="s">
        <v>191</v>
      </c>
      <c r="G9" s="88">
        <f>VLOOKUP(B9,'④前置信息-大固定-包含了工资和总经理'!B:E,4,0)</f>
        <v>0</v>
      </c>
      <c r="I9" s="88">
        <f>VLOOKUP(B9,'④前置信息-大固定-包含了工资和总经理'!B:F,5,0)</f>
        <v>0</v>
      </c>
      <c r="J9" s="88" t="str">
        <f>VLOOKUP(B9,'④前置信息-大固定-包含了工资和总经理'!B:D,3,0)</f>
        <v>B类</v>
      </c>
      <c r="K9" s="88">
        <f>VLOOKUP(B9,'④前置信息-大固定-包含了工资和总经理'!B:G,6,0)</f>
        <v>150000</v>
      </c>
      <c r="L9" s="88">
        <f>VLOOKUP(B9,②当月数据及门店毛利!B:C,2,0)</f>
        <v>150694</v>
      </c>
      <c r="M9" s="88">
        <f>VLOOKUP(B9,②当月数据及门店毛利!B:E,4,0)</f>
        <v>160</v>
      </c>
      <c r="N9" s="89" t="s">
        <v>214</v>
      </c>
      <c r="O9" s="88" t="str">
        <f>IFERROR(VLOOKUP(B9,'④前置信息-大固定-包含了工资和总经理'!B:H,7,0),0)</f>
        <v>谭莹</v>
      </c>
      <c r="P9" s="88">
        <f>IF(J9=$A$1,3000,IF(J9=$B$1,3100,IF(J9=$C$1,3200,0)))</f>
        <v>3100</v>
      </c>
      <c r="Q9" s="90">
        <f>IF(IFERROR(VLOOKUP(O9,#REF!,2,0),0)="店助主任",IF(L9&lt;=K9*$E$1,0,IF(AND(L9&gt;=K9*$E$1,L9&lt;=K9*$F$1),0.4%,IF(L9&gt;$F$1,1%,0))),IF(L9&lt;=K9*$E$1,0,IF(AND(L9&gt;=K9*$E$1,L9&lt;=K9*$F$1),0.4%,IF(L9&gt;$F$1,0.6%,0))))</f>
        <v>6.0000000000000001E-3</v>
      </c>
      <c r="R9" s="91">
        <f t="shared" si="1"/>
        <v>0</v>
      </c>
      <c r="S9" s="91">
        <f t="shared" si="2"/>
        <v>0</v>
      </c>
      <c r="T9" s="91">
        <f>IF(IFERROR(VLOOKUP(O9,#REF!,2,0),0)="店助主任",IFERROR(IF(Q9=0.01,K9*0.004+(L9-K9)*0.01,0),0),IFERROR(IF(Q9=0.006,K9*0.004+(L9-K9)*0.006,0),0))</f>
        <v>604.16399999999999</v>
      </c>
      <c r="U9" s="91">
        <f t="shared" si="3"/>
        <v>604.16399999999999</v>
      </c>
      <c r="V9" s="91">
        <f t="shared" si="4"/>
        <v>604.16399999999999</v>
      </c>
      <c r="W9" s="88">
        <f>IF(J9=0,0,IF(M9&gt;=VLOOKUP(B9,'④前置信息-大固定-包含了工资和总经理'!B:I,8,0),200,0)+IF(M9&gt;=VLOOKUP(B9,'④前置信息-大固定-包含了工资和总经理'!B:J,9,0),200,0))</f>
        <v>200</v>
      </c>
      <c r="X9" s="88">
        <f t="shared" si="5"/>
        <v>150</v>
      </c>
      <c r="Y9" s="91">
        <f t="shared" si="6"/>
        <v>4054.1639999999998</v>
      </c>
    </row>
    <row r="10" spans="1:25" x14ac:dyDescent="0.15">
      <c r="A10" s="88" t="s">
        <v>123</v>
      </c>
      <c r="B10" s="88" t="s">
        <v>23</v>
      </c>
      <c r="C10" s="88" t="s">
        <v>4</v>
      </c>
      <c r="D10" s="88" t="s">
        <v>190</v>
      </c>
      <c r="E10" s="88" t="s">
        <v>81</v>
      </c>
      <c r="F10" s="88" t="s">
        <v>189</v>
      </c>
      <c r="G10" s="88">
        <f>VLOOKUP(B10,'④前置信息-大固定-包含了工资和总经理'!B:E,4,0)</f>
        <v>0</v>
      </c>
      <c r="I10" s="88">
        <f>VLOOKUP(B10,'④前置信息-大固定-包含了工资和总经理'!B:F,5,0)</f>
        <v>0</v>
      </c>
      <c r="J10" s="88" t="str">
        <f>VLOOKUP(B10,'④前置信息-大固定-包含了工资和总经理'!B:D,3,0)</f>
        <v>A类</v>
      </c>
      <c r="K10" s="88">
        <f>VLOOKUP(B10,'④前置信息-大固定-包含了工资和总经理'!B:G,6,0)</f>
        <v>250000</v>
      </c>
      <c r="L10" s="88">
        <f>VLOOKUP(B10,②当月数据及门店毛利!B:C,2,0)</f>
        <v>201952.3</v>
      </c>
      <c r="M10" s="88">
        <f>VLOOKUP(B10,②当月数据及门店毛利!B:E,4,0)</f>
        <v>195</v>
      </c>
      <c r="N10" s="89" t="s">
        <v>214</v>
      </c>
      <c r="O10" s="88" t="str">
        <f>IFERROR(VLOOKUP(B10,'④前置信息-大固定-包含了工资和总经理'!B:H,7,0),0)</f>
        <v>江玲</v>
      </c>
      <c r="P10" s="88">
        <f t="shared" si="7"/>
        <v>3000</v>
      </c>
      <c r="Q10" s="90">
        <f>IF(IFERROR(VLOOKUP(O10,#REF!,2,0),0)="店助主任",IF(L10&lt;=K10*$E$1,0,IF(AND(L10&gt;=K10*$E$1,L10&lt;=K10*$F$1),0.4%,IF(L10&gt;$F$1,1%,0))),IF(L10&lt;=K10*$E$1,0,IF(AND(L10&gt;=K10*$E$1,L10&lt;=K10*$F$1),0.4%,IF(L10&gt;$F$1,0.6%,0))))</f>
        <v>4.0000000000000001E-3</v>
      </c>
      <c r="R10" s="91">
        <f t="shared" si="1"/>
        <v>0</v>
      </c>
      <c r="S10" s="91">
        <f t="shared" si="2"/>
        <v>807.80919999999992</v>
      </c>
      <c r="T10" s="91">
        <f>IF(IFERROR(VLOOKUP(O10,#REF!,2,0),0)="店助主任",IFERROR(IF(Q10=0.01,K10*0.004+(L10-K10)*0.01,0),0),IFERROR(IF(Q10=0.006,K10*0.004+(L10-K10)*0.006,0),0))</f>
        <v>0</v>
      </c>
      <c r="U10" s="91">
        <f t="shared" si="3"/>
        <v>807.80919999999992</v>
      </c>
      <c r="V10" s="91">
        <f t="shared" si="4"/>
        <v>807.80919999999992</v>
      </c>
      <c r="W10" s="88">
        <f>IF(J10=0,0,IF(M10&gt;=VLOOKUP(B10,'④前置信息-大固定-包含了工资和总经理'!B:I,8,0),200,0)+IF(M10&gt;=VLOOKUP(B10,'④前置信息-大固定-包含了工资和总经理'!B:J,9,0),200,0))</f>
        <v>400</v>
      </c>
      <c r="X10" s="88">
        <f t="shared" si="5"/>
        <v>150</v>
      </c>
      <c r="Y10" s="91">
        <f t="shared" si="6"/>
        <v>4357.8091999999997</v>
      </c>
    </row>
    <row r="11" spans="1:25" x14ac:dyDescent="0.15">
      <c r="A11" s="88" t="s">
        <v>124</v>
      </c>
      <c r="B11" s="88" t="s">
        <v>19</v>
      </c>
      <c r="C11" s="88" t="s">
        <v>4</v>
      </c>
      <c r="D11" s="88" t="s">
        <v>188</v>
      </c>
      <c r="E11" s="88" t="s">
        <v>81</v>
      </c>
      <c r="F11" s="88" t="s">
        <v>191</v>
      </c>
      <c r="G11" s="88">
        <f>VLOOKUP(B11,'④前置信息-大固定-包含了工资和总经理'!B:E,4,0)</f>
        <v>0</v>
      </c>
      <c r="I11" s="88">
        <f>VLOOKUP(B11,'④前置信息-大固定-包含了工资和总经理'!B:F,5,0)</f>
        <v>0</v>
      </c>
      <c r="J11" s="88" t="str">
        <f>VLOOKUP(B11,'④前置信息-大固定-包含了工资和总经理'!B:D,3,0)</f>
        <v>A类</v>
      </c>
      <c r="K11" s="88">
        <f>VLOOKUP(B11,'④前置信息-大固定-包含了工资和总经理'!B:G,6,0)</f>
        <v>320000</v>
      </c>
      <c r="L11" s="88">
        <f>VLOOKUP(B11,②当月数据及门店毛利!B:C,2,0)</f>
        <v>407490.19</v>
      </c>
      <c r="M11" s="88">
        <f>VLOOKUP(B11,②当月数据及门店毛利!B:E,4,0)</f>
        <v>206</v>
      </c>
      <c r="N11" s="89" t="s">
        <v>214</v>
      </c>
      <c r="O11" s="88">
        <f>IFERROR(VLOOKUP(B11,'④前置信息-大固定-包含了工资和总经理'!B:H,7,0),0)</f>
        <v>0</v>
      </c>
      <c r="P11" s="88">
        <f t="shared" si="7"/>
        <v>3000</v>
      </c>
      <c r="Q11" s="90">
        <f>IF(IFERROR(VLOOKUP(O11,#REF!,2,0),0)="店助主任",IF(L11&lt;=K11*$E$1,0,IF(AND(L11&gt;=K11*$E$1,L11&lt;=K11*$F$1),0.4%,IF(L11&gt;$F$1,1%,0))),IF(L11&lt;=K11*$E$1,0,IF(AND(L11&gt;=K11*$E$1,L11&lt;=K11*$F$1),0.4%,IF(L11&gt;$F$1,0.6%,0))))</f>
        <v>6.0000000000000001E-3</v>
      </c>
      <c r="R11" s="91">
        <f t="shared" si="1"/>
        <v>0</v>
      </c>
      <c r="S11" s="91">
        <f t="shared" si="2"/>
        <v>0</v>
      </c>
      <c r="T11" s="91">
        <f>IF(IFERROR(VLOOKUP(O11,#REF!,2,0),0)="店助主任",IFERROR(IF(Q11=0.01,K11*0.004+(L11-K11)*0.01,0),0),IFERROR(IF(Q11=0.006,K11*0.004+(L11-K11)*0.006,0),0))</f>
        <v>1804.9411399999999</v>
      </c>
      <c r="U11" s="91">
        <f t="shared" si="3"/>
        <v>1804.9411399999999</v>
      </c>
      <c r="V11" s="91">
        <f t="shared" si="4"/>
        <v>1804.9411399999999</v>
      </c>
      <c r="W11" s="88">
        <f>IF(J11=0,0,IF(M11&gt;=VLOOKUP(B11,'④前置信息-大固定-包含了工资和总经理'!B:I,8,0),200,0)+IF(M11&gt;=VLOOKUP(B11,'④前置信息-大固定-包含了工资和总经理'!B:J,9,0),200,0))</f>
        <v>200</v>
      </c>
      <c r="X11" s="88">
        <f t="shared" si="5"/>
        <v>150</v>
      </c>
      <c r="Y11" s="91">
        <f t="shared" si="6"/>
        <v>0</v>
      </c>
    </row>
    <row r="12" spans="1:25" x14ac:dyDescent="0.15">
      <c r="A12" s="88" t="s">
        <v>125</v>
      </c>
      <c r="B12" s="88" t="s">
        <v>30</v>
      </c>
      <c r="C12" s="88" t="s">
        <v>17</v>
      </c>
      <c r="D12" s="88" t="s">
        <v>190</v>
      </c>
      <c r="E12" s="88" t="s">
        <v>90</v>
      </c>
      <c r="F12" s="88" t="s">
        <v>191</v>
      </c>
      <c r="G12" s="88">
        <f>VLOOKUP(B12,'④前置信息-大固定-包含了工资和总经理'!B:E,4,0)</f>
        <v>0</v>
      </c>
      <c r="I12" s="88">
        <f>VLOOKUP(B12,'④前置信息-大固定-包含了工资和总经理'!B:F,5,0)</f>
        <v>0</v>
      </c>
      <c r="J12" s="88" t="str">
        <f>VLOOKUP(B12,'④前置信息-大固定-包含了工资和总经理'!B:D,3,0)</f>
        <v>B类</v>
      </c>
      <c r="K12" s="88">
        <f>VLOOKUP(B12,'④前置信息-大固定-包含了工资和总经理'!B:G,6,0)</f>
        <v>150000</v>
      </c>
      <c r="L12" s="88">
        <f>VLOOKUP(B12,②当月数据及门店毛利!B:C,2,0)</f>
        <v>160812</v>
      </c>
      <c r="M12" s="88">
        <f>VLOOKUP(B12,②当月数据及门店毛利!B:E,4,0)</f>
        <v>192</v>
      </c>
      <c r="N12" s="89" t="s">
        <v>214</v>
      </c>
      <c r="O12" s="88" t="str">
        <f>IFERROR(VLOOKUP(B12,'④前置信息-大固定-包含了工资和总经理'!B:H,7,0),0)</f>
        <v>刘香</v>
      </c>
      <c r="P12" s="88">
        <f t="shared" si="7"/>
        <v>3100</v>
      </c>
      <c r="Q12" s="90">
        <f>IF(IFERROR(VLOOKUP(O12,#REF!,2,0),0)="店助主任",IF(L12&lt;=K12*$E$1,0,IF(AND(L12&gt;=K12*$E$1,L12&lt;=K12*$F$1),0.4%,IF(L12&gt;$F$1,1%,0))),IF(L12&lt;=K12*$E$1,0,IF(AND(L12&gt;=K12*$E$1,L12&lt;=K12*$F$1),0.4%,IF(L12&gt;$F$1,0.6%,0))))</f>
        <v>6.0000000000000001E-3</v>
      </c>
      <c r="R12" s="91">
        <f t="shared" si="1"/>
        <v>0</v>
      </c>
      <c r="S12" s="91">
        <f t="shared" si="2"/>
        <v>0</v>
      </c>
      <c r="T12" s="91">
        <f>IF(IFERROR(VLOOKUP(O12,#REF!,2,0),0)="店助主任",IFERROR(IF(Q12=0.01,K12*0.004+(L12-K12)*0.01,0),0),IFERROR(IF(Q12=0.006,K12*0.004+(L12-K12)*0.006,0),0))</f>
        <v>664.87199999999996</v>
      </c>
      <c r="U12" s="91">
        <f t="shared" si="3"/>
        <v>664.87199999999996</v>
      </c>
      <c r="V12" s="91">
        <f t="shared" si="4"/>
        <v>664.87199999999996</v>
      </c>
      <c r="W12" s="88">
        <f>IF(J12=0,0,IF(M12&gt;=VLOOKUP(B12,'④前置信息-大固定-包含了工资和总经理'!B:I,8,0),200,0)+IF(M12&gt;=VLOOKUP(B12,'④前置信息-大固定-包含了工资和总经理'!B:J,9,0),200,0))</f>
        <v>400</v>
      </c>
      <c r="X12" s="88">
        <f t="shared" si="5"/>
        <v>150</v>
      </c>
      <c r="Y12" s="91">
        <f t="shared" si="6"/>
        <v>4314.8719999999994</v>
      </c>
    </row>
    <row r="13" spans="1:25" x14ac:dyDescent="0.15">
      <c r="A13" s="88" t="s">
        <v>126</v>
      </c>
      <c r="B13" s="88">
        <v>468</v>
      </c>
      <c r="C13" s="88" t="s">
        <v>4</v>
      </c>
      <c r="D13" s="88" t="s">
        <v>190</v>
      </c>
      <c r="E13" s="88" t="s">
        <v>81</v>
      </c>
      <c r="F13" s="88" t="s">
        <v>191</v>
      </c>
      <c r="G13" s="88">
        <f>VLOOKUP(B13,'④前置信息-大固定-包含了工资和总经理'!B:E,4,0)</f>
        <v>0</v>
      </c>
      <c r="I13" s="88">
        <f>VLOOKUP(B13,'④前置信息-大固定-包含了工资和总经理'!B:F,5,0)</f>
        <v>0</v>
      </c>
      <c r="J13" s="88" t="str">
        <f>VLOOKUP(B13,'④前置信息-大固定-包含了工资和总经理'!B:D,3,0)</f>
        <v>A类</v>
      </c>
      <c r="K13" s="88">
        <f>VLOOKUP(B13,'④前置信息-大固定-包含了工资和总经理'!B:G,6,0)</f>
        <v>200000</v>
      </c>
      <c r="L13" s="88">
        <f>VLOOKUP(B13,②当月数据及门店毛利!B:C,2,0)</f>
        <v>140295</v>
      </c>
      <c r="M13" s="88">
        <f>VLOOKUP(B13,②当月数据及门店毛利!B:E,4,0)</f>
        <v>217</v>
      </c>
      <c r="N13" s="89" t="s">
        <v>214</v>
      </c>
      <c r="O13" s="88" t="str">
        <f>IFERROR(VLOOKUP(B13,'④前置信息-大固定-包含了工资和总经理'!B:H,7,0),0)</f>
        <v>王任燕</v>
      </c>
      <c r="P13" s="88">
        <f t="shared" si="7"/>
        <v>3000</v>
      </c>
      <c r="Q13" s="90">
        <f>IF(IFERROR(VLOOKUP(O13,#REF!,2,0),0)="店助主任",IF(L13&lt;=K13*$E$1,0,IF(AND(L13&gt;=K13*$E$1,L13&lt;=K13*$F$1),0.4%,IF(L13&gt;$F$1,1%,0))),IF(L13&lt;=K13*$E$1,0,IF(AND(L13&gt;=K13*$E$1,L13&lt;=K13*$F$1),0.4%,IF(L13&gt;$F$1,0.6%,0))))</f>
        <v>4.0000000000000001E-3</v>
      </c>
      <c r="R13" s="91">
        <f t="shared" si="1"/>
        <v>0</v>
      </c>
      <c r="S13" s="91">
        <f t="shared" si="2"/>
        <v>561.18000000000006</v>
      </c>
      <c r="T13" s="91">
        <f>IF(IFERROR(VLOOKUP(O13,#REF!,2,0),0)="店助主任",IFERROR(IF(Q13=0.01,K13*0.004+(L13-K13)*0.01,0),0),IFERROR(IF(Q13=0.006,K13*0.004+(L13-K13)*0.006,0),0))</f>
        <v>0</v>
      </c>
      <c r="U13" s="91">
        <f t="shared" si="3"/>
        <v>561.18000000000006</v>
      </c>
      <c r="V13" s="91">
        <f t="shared" si="4"/>
        <v>561.18000000000006</v>
      </c>
      <c r="W13" s="88">
        <f>IF(J13=0,0,IF(M13&gt;=VLOOKUP(B13,'④前置信息-大固定-包含了工资和总经理'!B:I,8,0),200,0)+IF(M13&gt;=VLOOKUP(B13,'④前置信息-大固定-包含了工资和总经理'!B:J,9,0),200,0))</f>
        <v>400</v>
      </c>
      <c r="X13" s="88">
        <f t="shared" si="5"/>
        <v>150</v>
      </c>
      <c r="Y13" s="91">
        <f t="shared" si="6"/>
        <v>4111.18</v>
      </c>
    </row>
    <row r="14" spans="1:25" x14ac:dyDescent="0.15">
      <c r="A14" s="88" t="s">
        <v>127</v>
      </c>
      <c r="B14" s="88" t="s">
        <v>47</v>
      </c>
      <c r="C14" s="88" t="s">
        <v>22</v>
      </c>
      <c r="D14" s="88" t="s">
        <v>188</v>
      </c>
      <c r="E14" s="88" t="s">
        <v>81</v>
      </c>
      <c r="F14" s="88" t="s">
        <v>191</v>
      </c>
      <c r="G14" s="88">
        <f>VLOOKUP(B14,'④前置信息-大固定-包含了工资和总经理'!B:E,4,0)</f>
        <v>0</v>
      </c>
      <c r="I14" s="88">
        <f>VLOOKUP(B14,'④前置信息-大固定-包含了工资和总经理'!B:F,5,0)</f>
        <v>0</v>
      </c>
      <c r="J14" s="88" t="str">
        <f>VLOOKUP(B14,'④前置信息-大固定-包含了工资和总经理'!B:D,3,0)</f>
        <v>B类</v>
      </c>
      <c r="K14" s="88">
        <f>VLOOKUP(B14,'④前置信息-大固定-包含了工资和总经理'!B:G,6,0)</f>
        <v>150000</v>
      </c>
      <c r="L14" s="88">
        <f>VLOOKUP(B14,②当月数据及门店毛利!B:C,2,0)</f>
        <v>135590</v>
      </c>
      <c r="M14" s="88">
        <f>VLOOKUP(B14,②当月数据及门店毛利!B:E,4,0)</f>
        <v>150</v>
      </c>
      <c r="N14" s="89" t="s">
        <v>214</v>
      </c>
      <c r="O14" s="88" t="str">
        <f>IFERROR(VLOOKUP(B14,'④前置信息-大固定-包含了工资和总经理'!B:H,7,0),0)</f>
        <v>陈佳丽</v>
      </c>
      <c r="P14" s="88">
        <f t="shared" si="7"/>
        <v>3100</v>
      </c>
      <c r="Q14" s="90">
        <f>IF(IFERROR(VLOOKUP(O14,#REF!,2,0),0)="店助主任",IF(L14&lt;=K14*$E$1,0,IF(AND(L14&gt;=K14*$E$1,L14&lt;=K14*$F$1),0.4%,IF(L14&gt;$F$1,1%,0))),IF(L14&lt;=K14*$E$1,0,IF(AND(L14&gt;=K14*$E$1,L14&lt;=K14*$F$1),0.4%,IF(L14&gt;$F$1,0.6%,0))))</f>
        <v>4.0000000000000001E-3</v>
      </c>
      <c r="R14" s="91">
        <f t="shared" si="1"/>
        <v>0</v>
      </c>
      <c r="S14" s="91">
        <f t="shared" si="2"/>
        <v>542.36</v>
      </c>
      <c r="T14" s="91">
        <f>IF(IFERROR(VLOOKUP(O14,#REF!,2,0),0)="店助主任",IFERROR(IF(Q14=0.01,K14*0.004+(L14-K14)*0.01,0),0),IFERROR(IF(Q14=0.006,K14*0.004+(L14-K14)*0.006,0),0))</f>
        <v>0</v>
      </c>
      <c r="U14" s="91">
        <f t="shared" si="3"/>
        <v>542.36</v>
      </c>
      <c r="V14" s="91">
        <f t="shared" si="4"/>
        <v>542.36</v>
      </c>
      <c r="W14" s="88">
        <f>IF(J14=0,0,IF(M14&gt;=VLOOKUP(B14,'④前置信息-大固定-包含了工资和总经理'!B:I,8,0),200,0)+IF(M14&gt;=VLOOKUP(B14,'④前置信息-大固定-包含了工资和总经理'!B:J,9,0),200,0))</f>
        <v>200</v>
      </c>
      <c r="X14" s="88">
        <f t="shared" si="5"/>
        <v>150</v>
      </c>
      <c r="Y14" s="91">
        <f t="shared" si="6"/>
        <v>3992.36</v>
      </c>
    </row>
    <row r="15" spans="1:25" x14ac:dyDescent="0.15">
      <c r="A15" s="88" t="s">
        <v>128</v>
      </c>
      <c r="B15" s="88" t="s">
        <v>37</v>
      </c>
      <c r="C15" s="88" t="s">
        <v>21</v>
      </c>
      <c r="D15" s="88" t="s">
        <v>190</v>
      </c>
      <c r="E15" s="88" t="s">
        <v>81</v>
      </c>
      <c r="F15" s="88" t="s">
        <v>189</v>
      </c>
      <c r="G15" s="88">
        <f>VLOOKUP(B15,'④前置信息-大固定-包含了工资和总经理'!B:E,4,0)</f>
        <v>0</v>
      </c>
      <c r="I15" s="88">
        <f>VLOOKUP(B15,'④前置信息-大固定-包含了工资和总经理'!B:F,5,0)</f>
        <v>0</v>
      </c>
      <c r="J15" s="88" t="str">
        <f>VLOOKUP(B15,'④前置信息-大固定-包含了工资和总经理'!B:D,3,0)</f>
        <v>B类</v>
      </c>
      <c r="K15" s="88">
        <f>VLOOKUP(B15,'④前置信息-大固定-包含了工资和总经理'!B:G,6,0)</f>
        <v>150000</v>
      </c>
      <c r="L15" s="88">
        <f>VLOOKUP(B15,②当月数据及门店毛利!B:C,2,0)</f>
        <v>152421</v>
      </c>
      <c r="M15" s="88">
        <f>VLOOKUP(B15,②当月数据及门店毛利!B:E,4,0)</f>
        <v>138</v>
      </c>
      <c r="N15" s="89" t="s">
        <v>214</v>
      </c>
      <c r="O15" s="88" t="str">
        <f>IFERROR(VLOOKUP(B15,'④前置信息-大固定-包含了工资和总经理'!B:H,7,0),0)</f>
        <v>但红玉</v>
      </c>
      <c r="P15" s="88">
        <f t="shared" si="7"/>
        <v>3100</v>
      </c>
      <c r="Q15" s="90">
        <f>IF(IFERROR(VLOOKUP(O15,#REF!,2,0),0)="店助主任",IF(L15&lt;=K15*$E$1,0,IF(AND(L15&gt;=K15*$E$1,L15&lt;=K15*$F$1),0.4%,IF(L15&gt;$F$1,1%,0))),IF(L15&lt;=K15*$E$1,0,IF(AND(L15&gt;=K15*$E$1,L15&lt;=K15*$F$1),0.4%,IF(L15&gt;$F$1,0.6%,0))))</f>
        <v>6.0000000000000001E-3</v>
      </c>
      <c r="R15" s="91">
        <f t="shared" si="1"/>
        <v>0</v>
      </c>
      <c r="S15" s="91">
        <f t="shared" si="2"/>
        <v>0</v>
      </c>
      <c r="T15" s="91">
        <f>IF(IFERROR(VLOOKUP(O15,#REF!,2,0),0)="店助主任",IFERROR(IF(Q15=0.01,K15*0.004+(L15-K15)*0.01,0),0),IFERROR(IF(Q15=0.006,K15*0.004+(L15-K15)*0.006,0),0))</f>
        <v>614.52599999999995</v>
      </c>
      <c r="U15" s="91">
        <f t="shared" si="3"/>
        <v>614.52599999999995</v>
      </c>
      <c r="V15" s="91">
        <f t="shared" si="4"/>
        <v>614.52599999999995</v>
      </c>
      <c r="W15" s="88">
        <f>IF(J15=0,0,IF(M15&gt;=VLOOKUP(B15,'④前置信息-大固定-包含了工资和总经理'!B:I,8,0),200,0)+IF(M15&gt;=VLOOKUP(B15,'④前置信息-大固定-包含了工资和总经理'!B:J,9,0),200,0))</f>
        <v>200</v>
      </c>
      <c r="X15" s="88">
        <f t="shared" si="5"/>
        <v>150</v>
      </c>
      <c r="Y15" s="91">
        <f t="shared" si="6"/>
        <v>4064.5259999999998</v>
      </c>
    </row>
    <row r="16" spans="1:25" x14ac:dyDescent="0.15">
      <c r="A16" s="88" t="s">
        <v>129</v>
      </c>
      <c r="B16" s="88" t="s">
        <v>49</v>
      </c>
      <c r="C16" s="88" t="s">
        <v>24</v>
      </c>
      <c r="D16" s="88" t="s">
        <v>190</v>
      </c>
      <c r="E16" s="88" t="s">
        <v>90</v>
      </c>
      <c r="F16" s="88" t="s">
        <v>189</v>
      </c>
      <c r="G16" s="88">
        <f>VLOOKUP(B16,'④前置信息-大固定-包含了工资和总经理'!B:E,4,0)</f>
        <v>0</v>
      </c>
      <c r="I16" s="88">
        <f>VLOOKUP(B16,'④前置信息-大固定-包含了工资和总经理'!B:F,5,0)</f>
        <v>0</v>
      </c>
      <c r="J16" s="88" t="str">
        <f>VLOOKUP(B16,'④前置信息-大固定-包含了工资和总经理'!B:D,3,0)</f>
        <v>A类</v>
      </c>
      <c r="K16" s="88">
        <f>VLOOKUP(B16,'④前置信息-大固定-包含了工资和总经理'!B:G,6,0)</f>
        <v>200000</v>
      </c>
      <c r="L16" s="88">
        <f>VLOOKUP(B16,②当月数据及门店毛利!B:C,2,0)</f>
        <v>205041</v>
      </c>
      <c r="M16" s="88">
        <f>VLOOKUP(B16,②当月数据及门店毛利!B:E,4,0)</f>
        <v>157</v>
      </c>
      <c r="N16" s="89" t="s">
        <v>214</v>
      </c>
      <c r="O16" s="88" t="str">
        <f>IFERROR(VLOOKUP(B16,'④前置信息-大固定-包含了工资和总经理'!B:H,7,0),0)</f>
        <v>林萍</v>
      </c>
      <c r="P16" s="88">
        <f t="shared" si="7"/>
        <v>3000</v>
      </c>
      <c r="Q16" s="90">
        <f>IF(IFERROR(VLOOKUP(O16,#REF!,2,0),0)="店助主任",IF(L16&lt;=K16*$E$1,0,IF(AND(L16&gt;=K16*$E$1,L16&lt;=K16*$F$1),0.4%,IF(L16&gt;$F$1,1%,0))),IF(L16&lt;=K16*$E$1,0,IF(AND(L16&gt;=K16*$E$1,L16&lt;=K16*$F$1),0.4%,IF(L16&gt;$F$1,0.6%,0))))</f>
        <v>6.0000000000000001E-3</v>
      </c>
      <c r="R16" s="91">
        <f t="shared" si="1"/>
        <v>0</v>
      </c>
      <c r="S16" s="91">
        <f t="shared" si="2"/>
        <v>0</v>
      </c>
      <c r="T16" s="91">
        <f>IF(IFERROR(VLOOKUP(O16,#REF!,2,0),0)="店助主任",IFERROR(IF(Q16=0.01,K16*0.004+(L16-K16)*0.01,0),0),IFERROR(IF(Q16=0.006,K16*0.004+(L16-K16)*0.006,0),0))</f>
        <v>830.24599999999998</v>
      </c>
      <c r="U16" s="91">
        <f t="shared" si="3"/>
        <v>830.24599999999998</v>
      </c>
      <c r="V16" s="91">
        <f t="shared" si="4"/>
        <v>830.24599999999998</v>
      </c>
      <c r="W16" s="88">
        <f>IF(J16=0,0,IF(M16&gt;=VLOOKUP(B16,'④前置信息-大固定-包含了工资和总经理'!B:I,8,0),200,0)+IF(M16&gt;=VLOOKUP(B16,'④前置信息-大固定-包含了工资和总经理'!B:J,9,0),200,0))</f>
        <v>400</v>
      </c>
      <c r="X16" s="88">
        <f t="shared" si="5"/>
        <v>150</v>
      </c>
      <c r="Y16" s="91">
        <f t="shared" si="6"/>
        <v>4380.2460000000001</v>
      </c>
    </row>
    <row r="17" spans="1:25" x14ac:dyDescent="0.15">
      <c r="A17" s="88" t="s">
        <v>130</v>
      </c>
      <c r="B17" s="88" t="s">
        <v>46</v>
      </c>
      <c r="C17" s="88" t="s">
        <v>22</v>
      </c>
      <c r="D17" s="88" t="s">
        <v>190</v>
      </c>
      <c r="E17" s="88" t="s">
        <v>90</v>
      </c>
      <c r="F17" s="88" t="s">
        <v>189</v>
      </c>
      <c r="G17" s="88">
        <f>VLOOKUP(B17,'④前置信息-大固定-包含了工资和总经理'!B:E,4,0)</f>
        <v>0</v>
      </c>
      <c r="I17" s="88">
        <f>VLOOKUP(B17,'④前置信息-大固定-包含了工资和总经理'!B:F,5,0)</f>
        <v>0</v>
      </c>
      <c r="J17" s="88" t="str">
        <f>VLOOKUP(B17,'④前置信息-大固定-包含了工资和总经理'!B:D,3,0)</f>
        <v>C类</v>
      </c>
      <c r="K17" s="88">
        <f>VLOOKUP(B17,'④前置信息-大固定-包含了工资和总经理'!B:G,6,0)</f>
        <v>120000</v>
      </c>
      <c r="L17" s="88">
        <f>VLOOKUP(B17,②当月数据及门店毛利!B:C,2,0)</f>
        <v>111267</v>
      </c>
      <c r="M17" s="88">
        <f>VLOOKUP(B17,②当月数据及门店毛利!B:E,4,0)</f>
        <v>142</v>
      </c>
      <c r="N17" s="89" t="s">
        <v>214</v>
      </c>
      <c r="O17" s="88" t="str">
        <f>IFERROR(VLOOKUP(B17,'④前置信息-大固定-包含了工资和总经理'!B:H,7,0),0)</f>
        <v>蒋圆圆</v>
      </c>
      <c r="P17" s="88">
        <f t="shared" si="7"/>
        <v>3200</v>
      </c>
      <c r="Q17" s="90">
        <f>IF(IFERROR(VLOOKUP(O17,#REF!,2,0),0)="店助主任",IF(L17&lt;=K17*$E$1,0,IF(AND(L17&gt;=K17*$E$1,L17&lt;=K17*$F$1),0.4%,IF(L17&gt;$F$1,1%,0))),IF(L17&lt;=K17*$E$1,0,IF(AND(L17&gt;=K17*$E$1,L17&lt;=K17*$F$1),0.4%,IF(L17&gt;$F$1,0.6%,0))))</f>
        <v>4.0000000000000001E-3</v>
      </c>
      <c r="R17" s="91">
        <f t="shared" si="1"/>
        <v>0</v>
      </c>
      <c r="S17" s="91">
        <f t="shared" si="2"/>
        <v>445.06799999999998</v>
      </c>
      <c r="T17" s="91">
        <f>IF(IFERROR(VLOOKUP(O17,#REF!,2,0),0)="店助主任",IFERROR(IF(Q17=0.01,K17*0.004+(L17-K17)*0.01,0),0),IFERROR(IF(Q17=0.006,K17*0.004+(L17-K17)*0.006,0),0))</f>
        <v>0</v>
      </c>
      <c r="U17" s="91">
        <f t="shared" si="3"/>
        <v>445.06799999999998</v>
      </c>
      <c r="V17" s="91">
        <f t="shared" si="4"/>
        <v>445.06799999999998</v>
      </c>
      <c r="W17" s="88">
        <f>IF(J17=0,0,IF(M17&gt;=VLOOKUP(B17,'④前置信息-大固定-包含了工资和总经理'!B:I,8,0),200,0)+IF(M17&gt;=VLOOKUP(B17,'④前置信息-大固定-包含了工资和总经理'!B:J,9,0),200,0))</f>
        <v>200</v>
      </c>
      <c r="X17" s="88">
        <f t="shared" si="5"/>
        <v>150</v>
      </c>
      <c r="Y17" s="91">
        <f t="shared" si="6"/>
        <v>3995.0680000000002</v>
      </c>
    </row>
    <row r="18" spans="1:25" x14ac:dyDescent="0.15">
      <c r="A18" s="88" t="s">
        <v>132</v>
      </c>
      <c r="B18" s="88" t="s">
        <v>36</v>
      </c>
      <c r="C18" s="88" t="s">
        <v>21</v>
      </c>
      <c r="D18" s="88" t="s">
        <v>188</v>
      </c>
      <c r="E18" s="88" t="s">
        <v>90</v>
      </c>
      <c r="F18" s="88" t="s">
        <v>189</v>
      </c>
      <c r="G18" s="88">
        <f>VLOOKUP(B18,'④前置信息-大固定-包含了工资和总经理'!B:E,4,0)</f>
        <v>0</v>
      </c>
      <c r="I18" s="88">
        <f>VLOOKUP(B18,'④前置信息-大固定-包含了工资和总经理'!B:F,5,0)</f>
        <v>0</v>
      </c>
      <c r="J18" s="88" t="str">
        <f>VLOOKUP(B18,'④前置信息-大固定-包含了工资和总经理'!B:D,3,0)</f>
        <v>B类</v>
      </c>
      <c r="K18" s="88">
        <f>VLOOKUP(B18,'④前置信息-大固定-包含了工资和总经理'!B:G,6,0)</f>
        <v>150000</v>
      </c>
      <c r="L18" s="88">
        <f>VLOOKUP(B18,②当月数据及门店毛利!B:C,2,0)</f>
        <v>180024</v>
      </c>
      <c r="M18" s="88">
        <f>VLOOKUP(B18,②当月数据及门店毛利!B:E,4,0)</f>
        <v>140</v>
      </c>
      <c r="N18" s="89" t="s">
        <v>214</v>
      </c>
      <c r="O18" s="88" t="str">
        <f>IFERROR(VLOOKUP(B18,'④前置信息-大固定-包含了工资和总经理'!B:H,7,0),0)</f>
        <v>张明艳</v>
      </c>
      <c r="P18" s="88">
        <f t="shared" si="7"/>
        <v>3100</v>
      </c>
      <c r="Q18" s="90">
        <f>IF(IFERROR(VLOOKUP(O18,#REF!,2,0),0)="店助主任",IF(L18&lt;=K18*$E$1,0,IF(AND(L18&gt;=K18*$E$1,L18&lt;=K18*$F$1),0.4%,IF(L18&gt;$F$1,1%,0))),IF(L18&lt;=K18*$E$1,0,IF(AND(L18&gt;=K18*$E$1,L18&lt;=K18*$F$1),0.4%,IF(L18&gt;$F$1,0.6%,0))))</f>
        <v>6.0000000000000001E-3</v>
      </c>
      <c r="R18" s="91">
        <f t="shared" si="1"/>
        <v>0</v>
      </c>
      <c r="S18" s="91">
        <f t="shared" si="2"/>
        <v>0</v>
      </c>
      <c r="T18" s="91">
        <f>IF(IFERROR(VLOOKUP(O18,#REF!,2,0),0)="店助主任",IFERROR(IF(Q18=0.01,K18*0.004+(L18-K18)*0.01,0),0),IFERROR(IF(Q18=0.006,K18*0.004+(L18-K18)*0.006,0),0))</f>
        <v>780.14400000000001</v>
      </c>
      <c r="U18" s="91">
        <f t="shared" si="3"/>
        <v>780.14400000000001</v>
      </c>
      <c r="V18" s="91">
        <f t="shared" si="4"/>
        <v>780.14400000000001</v>
      </c>
      <c r="W18" s="88">
        <f>IF(J18=0,0,IF(M18&gt;=VLOOKUP(B18,'④前置信息-大固定-包含了工资和总经理'!B:I,8,0),200,0)+IF(M18&gt;=VLOOKUP(B18,'④前置信息-大固定-包含了工资和总经理'!B:J,9,0),200,0))</f>
        <v>200</v>
      </c>
      <c r="X18" s="88">
        <f t="shared" si="5"/>
        <v>150</v>
      </c>
      <c r="Y18" s="91">
        <f t="shared" si="6"/>
        <v>4230.1440000000002</v>
      </c>
    </row>
    <row r="19" spans="1:25" x14ac:dyDescent="0.15">
      <c r="A19" s="88" t="s">
        <v>133</v>
      </c>
      <c r="B19" s="88" t="s">
        <v>48</v>
      </c>
      <c r="C19" s="88" t="s">
        <v>22</v>
      </c>
      <c r="D19" s="88" t="s">
        <v>190</v>
      </c>
      <c r="E19" s="88" t="s">
        <v>90</v>
      </c>
      <c r="F19" s="88" t="s">
        <v>191</v>
      </c>
      <c r="G19" s="88">
        <f>VLOOKUP(B19,'④前置信息-大固定-包含了工资和总经理'!B:E,4,0)</f>
        <v>0</v>
      </c>
      <c r="I19" s="88">
        <f>VLOOKUP(B19,'④前置信息-大固定-包含了工资和总经理'!B:F,5,0)</f>
        <v>0</v>
      </c>
      <c r="J19" s="88" t="str">
        <f>VLOOKUP(B19,'④前置信息-大固定-包含了工资和总经理'!B:D,3,0)</f>
        <v>B类</v>
      </c>
      <c r="K19" s="88">
        <f>VLOOKUP(B19,'④前置信息-大固定-包含了工资和总经理'!B:G,6,0)</f>
        <v>150000</v>
      </c>
      <c r="L19" s="88">
        <f>VLOOKUP(B19,②当月数据及门店毛利!B:C,2,0)</f>
        <v>153950.6</v>
      </c>
      <c r="M19" s="88">
        <f>VLOOKUP(B19,②当月数据及门店毛利!B:E,4,0)</f>
        <v>153</v>
      </c>
      <c r="N19" s="89" t="s">
        <v>214</v>
      </c>
      <c r="O19" s="88">
        <f>IFERROR(VLOOKUP(B19,'④前置信息-大固定-包含了工资和总经理'!B:H,7,0),0)</f>
        <v>0</v>
      </c>
      <c r="P19" s="88">
        <f t="shared" si="7"/>
        <v>3100</v>
      </c>
      <c r="Q19" s="90">
        <f>IF(IFERROR(VLOOKUP(O19,#REF!,2,0),0)="店助主任",IF(L19&lt;=K19*$E$1,0,IF(AND(L19&gt;=K19*$E$1,L19&lt;=K19*$F$1),0.4%,IF(L19&gt;$F$1,1%,0))),IF(L19&lt;=K19*$E$1,0,IF(AND(L19&gt;=K19*$E$1,L19&lt;=K19*$F$1),0.4%,IF(L19&gt;$F$1,0.6%,0))))</f>
        <v>6.0000000000000001E-3</v>
      </c>
      <c r="R19" s="91">
        <f t="shared" si="1"/>
        <v>0</v>
      </c>
      <c r="S19" s="91">
        <f t="shared" si="2"/>
        <v>0</v>
      </c>
      <c r="T19" s="91">
        <f>IF(IFERROR(VLOOKUP(O19,#REF!,2,0),0)="店助主任",IFERROR(IF(Q19=0.01,K19*0.004+(L19-K19)*0.01,0),0),IFERROR(IF(Q19=0.006,K19*0.004+(L19-K19)*0.006,0),0))</f>
        <v>623.70360000000005</v>
      </c>
      <c r="U19" s="91">
        <f t="shared" si="3"/>
        <v>623.70360000000005</v>
      </c>
      <c r="V19" s="91">
        <f>IF(L19&lt;=K19*$E$1,0,IF(AND(L19&gt;=K19*$E$1,L19&lt;=K19*$F$1),L19*0.4%,IF(L19&gt;$F$1,K19*0.4%+(L19-K19)*1%,0)))</f>
        <v>639.50600000000009</v>
      </c>
      <c r="W19" s="88">
        <f>IF(J19=0,0,IF(M19&gt;=VLOOKUP(B19,'④前置信息-大固定-包含了工资和总经理'!B:I,8,0),200,0)+IF(M19&gt;=VLOOKUP(B19,'④前置信息-大固定-包含了工资和总经理'!B:J,9,0),200,0))</f>
        <v>200</v>
      </c>
      <c r="X19" s="88">
        <f t="shared" si="5"/>
        <v>150</v>
      </c>
      <c r="Y19" s="91">
        <f t="shared" si="6"/>
        <v>0</v>
      </c>
    </row>
    <row r="20" spans="1:25" x14ac:dyDescent="0.15">
      <c r="A20" s="88" t="s">
        <v>134</v>
      </c>
      <c r="B20" s="88" t="s">
        <v>39</v>
      </c>
      <c r="C20" s="88" t="s">
        <v>21</v>
      </c>
      <c r="D20" s="88" t="s">
        <v>188</v>
      </c>
      <c r="E20" s="88" t="s">
        <v>81</v>
      </c>
      <c r="F20" s="88" t="s">
        <v>189</v>
      </c>
      <c r="G20" s="88">
        <f>VLOOKUP(B20,'④前置信息-大固定-包含了工资和总经理'!B:E,4,0)</f>
        <v>0</v>
      </c>
      <c r="I20" s="88">
        <f>VLOOKUP(B20,'④前置信息-大固定-包含了工资和总经理'!B:F,5,0)</f>
        <v>0</v>
      </c>
      <c r="J20" s="88" t="str">
        <f>VLOOKUP(B20,'④前置信息-大固定-包含了工资和总经理'!B:D,3,0)</f>
        <v>B类</v>
      </c>
      <c r="K20" s="88">
        <f>VLOOKUP(B20,'④前置信息-大固定-包含了工资和总经理'!B:G,6,0)</f>
        <v>150000</v>
      </c>
      <c r="L20" s="88">
        <f>VLOOKUP(B20,②当月数据及门店毛利!B:C,2,0)</f>
        <v>169632</v>
      </c>
      <c r="M20" s="88">
        <f>VLOOKUP(B20,②当月数据及门店毛利!B:E,4,0)</f>
        <v>180</v>
      </c>
      <c r="N20" s="89" t="s">
        <v>214</v>
      </c>
      <c r="O20" s="88" t="str">
        <f>IFERROR(VLOOKUP(B20,'④前置信息-大固定-包含了工资和总经理'!B:H,7,0),0)</f>
        <v>林锶莹</v>
      </c>
      <c r="P20" s="88">
        <f t="shared" si="7"/>
        <v>3100</v>
      </c>
      <c r="Q20" s="90">
        <f>IF(IFERROR(VLOOKUP(O20,#REF!,2,0),0)="店助主任",IF(L20&lt;=K20*$E$1,0,IF(AND(L20&gt;=K20*$E$1,L20&lt;=K20*$F$1),0.4%,IF(L20&gt;$F$1,1%,0))),IF(L20&lt;=K20*$E$1,0,IF(AND(L20&gt;=K20*$E$1,L20&lt;=K20*$F$1),0.4%,IF(L20&gt;$F$1,0.6%,0))))</f>
        <v>6.0000000000000001E-3</v>
      </c>
      <c r="R20" s="91">
        <f t="shared" si="1"/>
        <v>0</v>
      </c>
      <c r="S20" s="91">
        <f t="shared" si="2"/>
        <v>0</v>
      </c>
      <c r="T20" s="91">
        <f>IF(IFERROR(VLOOKUP(O20,#REF!,2,0),0)="店助主任",IFERROR(IF(Q20=0.01,K20*0.004+(L20-K20)*0.01,0),0),IFERROR(IF(Q20=0.006,K20*0.004+(L20-K20)*0.006,0),0))</f>
        <v>717.79200000000003</v>
      </c>
      <c r="U20" s="91">
        <f t="shared" si="3"/>
        <v>717.79200000000003</v>
      </c>
      <c r="V20" s="91">
        <f t="shared" si="4"/>
        <v>717.79200000000003</v>
      </c>
      <c r="W20" s="88">
        <f>IF(J20=0,0,IF(M20&gt;=VLOOKUP(B20,'④前置信息-大固定-包含了工资和总经理'!B:I,8,0),200,0)+IF(M20&gt;=VLOOKUP(B20,'④前置信息-大固定-包含了工资和总经理'!B:J,9,0),200,0))</f>
        <v>200</v>
      </c>
      <c r="X20" s="88">
        <f t="shared" si="5"/>
        <v>150</v>
      </c>
      <c r="Y20" s="91">
        <f t="shared" si="6"/>
        <v>4167.7919999999995</v>
      </c>
    </row>
    <row r="21" spans="1:25" x14ac:dyDescent="0.15">
      <c r="A21" s="88" t="s">
        <v>135</v>
      </c>
      <c r="B21" s="88" t="s">
        <v>53</v>
      </c>
      <c r="C21" s="88" t="s">
        <v>28</v>
      </c>
      <c r="D21" s="88" t="s">
        <v>190</v>
      </c>
      <c r="E21" s="88" t="s">
        <v>81</v>
      </c>
      <c r="F21" s="88" t="s">
        <v>191</v>
      </c>
      <c r="G21" s="88">
        <f>VLOOKUP(B21,'④前置信息-大固定-包含了工资和总经理'!B:E,4,0)</f>
        <v>0</v>
      </c>
      <c r="I21" s="88">
        <f>VLOOKUP(B21,'④前置信息-大固定-包含了工资和总经理'!B:F,5,0)</f>
        <v>0</v>
      </c>
      <c r="J21" s="88" t="str">
        <f>VLOOKUP(B21,'④前置信息-大固定-包含了工资和总经理'!B:D,3,0)</f>
        <v>A类</v>
      </c>
      <c r="K21" s="88">
        <f>VLOOKUP(B21,'④前置信息-大固定-包含了工资和总经理'!B:G,6,0)</f>
        <v>200000</v>
      </c>
      <c r="L21" s="88">
        <f>VLOOKUP(B21,②当月数据及门店毛利!B:C,2,0)</f>
        <v>200049.7</v>
      </c>
      <c r="M21" s="88">
        <f>VLOOKUP(B21,②当月数据及门店毛利!B:E,4,0)</f>
        <v>172</v>
      </c>
      <c r="N21" s="89" t="s">
        <v>214</v>
      </c>
      <c r="O21" s="88" t="str">
        <f>IFERROR(VLOOKUP(B21,'④前置信息-大固定-包含了工资和总经理'!B:H,7,0),0)</f>
        <v>郑华跃</v>
      </c>
      <c r="P21" s="88">
        <f t="shared" si="7"/>
        <v>3000</v>
      </c>
      <c r="Q21" s="90">
        <f>IF(IFERROR(VLOOKUP(O21,#REF!,2,0),0)="店助主任",IF(L21&lt;=K21*$E$1,0,IF(AND(L21&gt;=K21*$E$1,L21&lt;=K21*$F$1),0.4%,IF(L21&gt;$F$1,1%,0))),IF(L21&lt;=K21*$E$1,0,IF(AND(L21&gt;=K21*$E$1,L21&lt;=K21*$F$1),0.4%,IF(L21&gt;$F$1,0.6%,0))))</f>
        <v>6.0000000000000001E-3</v>
      </c>
      <c r="R21" s="91">
        <f t="shared" si="1"/>
        <v>0</v>
      </c>
      <c r="S21" s="91">
        <f t="shared" si="2"/>
        <v>0</v>
      </c>
      <c r="T21" s="91">
        <f>IF(IFERROR(VLOOKUP(O21,#REF!,2,0),0)="店助主任",IFERROR(IF(Q21=0.01,K21*0.004+(L21-K21)*0.01,0),0),IFERROR(IF(Q21=0.006,K21*0.004+(L21-K21)*0.006,0),0))</f>
        <v>800.29820000000007</v>
      </c>
      <c r="U21" s="91">
        <f t="shared" si="3"/>
        <v>800.29820000000007</v>
      </c>
      <c r="V21" s="91">
        <f t="shared" si="4"/>
        <v>800.29820000000007</v>
      </c>
      <c r="W21" s="88">
        <f>IF(J21=0,0,IF(M21&gt;=VLOOKUP(B21,'④前置信息-大固定-包含了工资和总经理'!B:I,8,0),200,0)+IF(M21&gt;=VLOOKUP(B21,'④前置信息-大固定-包含了工资和总经理'!B:J,9,0),200,0))</f>
        <v>200</v>
      </c>
      <c r="X21" s="88">
        <f t="shared" si="5"/>
        <v>150</v>
      </c>
      <c r="Y21" s="91">
        <f t="shared" si="6"/>
        <v>4150.2982000000002</v>
      </c>
    </row>
    <row r="22" spans="1:25" x14ac:dyDescent="0.15">
      <c r="A22" s="88" t="s">
        <v>136</v>
      </c>
      <c r="B22" s="88" t="s">
        <v>43</v>
      </c>
      <c r="C22" s="88" t="s">
        <v>22</v>
      </c>
      <c r="D22" s="88" t="s">
        <v>188</v>
      </c>
      <c r="E22" s="88" t="s">
        <v>90</v>
      </c>
      <c r="F22" s="88" t="s">
        <v>189</v>
      </c>
      <c r="G22" s="88">
        <f>VLOOKUP(B22,'④前置信息-大固定-包含了工资和总经理'!B:E,4,0)</f>
        <v>0</v>
      </c>
      <c r="I22" s="88">
        <f>VLOOKUP(B22,'④前置信息-大固定-包含了工资和总经理'!B:F,5,0)</f>
        <v>0</v>
      </c>
      <c r="J22" s="88" t="str">
        <f>VLOOKUP(B22,'④前置信息-大固定-包含了工资和总经理'!B:D,3,0)</f>
        <v>B类</v>
      </c>
      <c r="K22" s="88">
        <f>VLOOKUP(B22,'④前置信息-大固定-包含了工资和总经理'!B:G,6,0)</f>
        <v>150000</v>
      </c>
      <c r="L22" s="88">
        <f>VLOOKUP(B22,②当月数据及门店毛利!B:C,2,0)</f>
        <v>311108</v>
      </c>
      <c r="M22" s="88">
        <f>VLOOKUP(B22,②当月数据及门店毛利!B:E,4,0)</f>
        <v>163</v>
      </c>
      <c r="N22" s="89" t="s">
        <v>214</v>
      </c>
      <c r="O22" s="88" t="str">
        <f>IFERROR(VLOOKUP(B22,'④前置信息-大固定-包含了工资和总经理'!B:H,7,0),0)</f>
        <v>陈琳</v>
      </c>
      <c r="P22" s="88">
        <f t="shared" si="7"/>
        <v>3100</v>
      </c>
      <c r="Q22" s="90">
        <f>IF(IFERROR(VLOOKUP(O22,#REF!,2,0),0)="店助主任",IF(L22&lt;=K22*$E$1,0,IF(AND(L22&gt;=K22*$E$1,L22&lt;=K22*$F$1),0.4%,IF(L22&gt;$F$1,1%,0))),IF(L22&lt;=K22*$E$1,0,IF(AND(L22&gt;=K22*$E$1,L22&lt;=K22*$F$1),0.4%,IF(L22&gt;$F$1,0.6%,0))))</f>
        <v>6.0000000000000001E-3</v>
      </c>
      <c r="R22" s="91">
        <f t="shared" si="1"/>
        <v>0</v>
      </c>
      <c r="S22" s="91">
        <f t="shared" si="2"/>
        <v>0</v>
      </c>
      <c r="T22" s="91">
        <f>IF(IFERROR(VLOOKUP(O22,#REF!,2,0),0)="店助主任",IFERROR(IF(Q22=0.01,K22*0.004+(L22-K22)*0.01,0),0),IFERROR(IF(Q22=0.006,K22*0.004+(L22-K22)*0.006,0),0))</f>
        <v>1566.6480000000001</v>
      </c>
      <c r="U22" s="91">
        <f t="shared" si="3"/>
        <v>1566.6480000000001</v>
      </c>
      <c r="V22" s="91">
        <f t="shared" si="4"/>
        <v>1566.6480000000001</v>
      </c>
      <c r="W22" s="88">
        <f>IF(J22=0,0,IF(M22&gt;=VLOOKUP(B22,'④前置信息-大固定-包含了工资和总经理'!B:I,8,0),200,0)+IF(M22&gt;=VLOOKUP(B22,'④前置信息-大固定-包含了工资和总经理'!B:J,9,0),200,0))</f>
        <v>200</v>
      </c>
      <c r="X22" s="88">
        <f t="shared" si="5"/>
        <v>150</v>
      </c>
      <c r="Y22" s="91">
        <f t="shared" si="6"/>
        <v>5016.6480000000001</v>
      </c>
    </row>
    <row r="23" spans="1:25" x14ac:dyDescent="0.15">
      <c r="A23" s="88" t="s">
        <v>137</v>
      </c>
      <c r="B23" s="88" t="s">
        <v>33</v>
      </c>
      <c r="C23" s="88" t="s">
        <v>21</v>
      </c>
      <c r="D23" s="88" t="s">
        <v>188</v>
      </c>
      <c r="E23" s="88" t="s">
        <v>90</v>
      </c>
      <c r="F23" s="88" t="s">
        <v>189</v>
      </c>
      <c r="G23" s="88">
        <f>VLOOKUP(B23,'④前置信息-大固定-包含了工资和总经理'!B:E,4,0)</f>
        <v>0</v>
      </c>
      <c r="I23" s="88">
        <f>VLOOKUP(B23,'④前置信息-大固定-包含了工资和总经理'!B:F,5,0)</f>
        <v>0</v>
      </c>
      <c r="J23" s="88" t="str">
        <f>VLOOKUP(B23,'④前置信息-大固定-包含了工资和总经理'!B:D,3,0)</f>
        <v>A类</v>
      </c>
      <c r="K23" s="88">
        <f>VLOOKUP(B23,'④前置信息-大固定-包含了工资和总经理'!B:G,6,0)</f>
        <v>200000</v>
      </c>
      <c r="L23" s="88">
        <f>VLOOKUP(B23,②当月数据及门店毛利!B:C,2,0)</f>
        <v>158633</v>
      </c>
      <c r="M23" s="88">
        <f>VLOOKUP(B23,②当月数据及门店毛利!B:E,4,0)</f>
        <v>177</v>
      </c>
      <c r="N23" s="89" t="s">
        <v>214</v>
      </c>
      <c r="O23" s="88" t="str">
        <f>IFERROR(VLOOKUP(B23,'④前置信息-大固定-包含了工资和总经理'!B:H,7,0),0)</f>
        <v>雷怡</v>
      </c>
      <c r="P23" s="88">
        <f t="shared" si="7"/>
        <v>3000</v>
      </c>
      <c r="Q23" s="90">
        <f>IF(IFERROR(VLOOKUP(O23,#REF!,2,0),0)="店助主任",IF(L23&lt;=K23*$E$1,0,IF(AND(L23&gt;=K23*$E$1,L23&lt;=K23*$F$1),0.4%,IF(L23&gt;$F$1,1%,0))),IF(L23&lt;=K23*$E$1,0,IF(AND(L23&gt;=K23*$E$1,L23&lt;=K23*$F$1),0.4%,IF(L23&gt;$F$1,0.6%,0))))</f>
        <v>4.0000000000000001E-3</v>
      </c>
      <c r="R23" s="91">
        <f t="shared" si="1"/>
        <v>0</v>
      </c>
      <c r="S23" s="91">
        <f t="shared" si="2"/>
        <v>634.53200000000004</v>
      </c>
      <c r="T23" s="91">
        <f>IF(IFERROR(VLOOKUP(O23,#REF!,2,0),0)="店助主任",IFERROR(IF(Q23=0.01,K23*0.004+(L23-K23)*0.01,0),0),IFERROR(IF(Q23=0.006,K23*0.004+(L23-K23)*0.006,0),0))</f>
        <v>0</v>
      </c>
      <c r="U23" s="91">
        <f t="shared" si="3"/>
        <v>634.53200000000004</v>
      </c>
      <c r="V23" s="91">
        <f t="shared" si="4"/>
        <v>634.53200000000004</v>
      </c>
      <c r="W23" s="88">
        <f>IF(J23=0,0,IF(M23&gt;=VLOOKUP(B23,'④前置信息-大固定-包含了工资和总经理'!B:I,8,0),200,0)+IF(M23&gt;=VLOOKUP(B23,'④前置信息-大固定-包含了工资和总经理'!B:J,9,0),200,0))</f>
        <v>200</v>
      </c>
      <c r="X23" s="88">
        <f t="shared" si="5"/>
        <v>150</v>
      </c>
      <c r="Y23" s="91">
        <f t="shared" si="6"/>
        <v>3984.5320000000002</v>
      </c>
    </row>
    <row r="24" spans="1:25" x14ac:dyDescent="0.15">
      <c r="A24" s="88" t="s">
        <v>138</v>
      </c>
      <c r="B24" s="88" t="s">
        <v>51</v>
      </c>
      <c r="C24" s="88" t="s">
        <v>24</v>
      </c>
      <c r="D24" s="88" t="s">
        <v>190</v>
      </c>
      <c r="E24" s="88" t="s">
        <v>81</v>
      </c>
      <c r="F24" s="88" t="s">
        <v>191</v>
      </c>
      <c r="G24" s="88">
        <f>VLOOKUP(B24,'④前置信息-大固定-包含了工资和总经理'!B:E,4,0)</f>
        <v>0</v>
      </c>
      <c r="I24" s="88">
        <f>VLOOKUP(B24,'④前置信息-大固定-包含了工资和总经理'!B:F,5,0)</f>
        <v>0</v>
      </c>
      <c r="J24" s="88" t="str">
        <f>VLOOKUP(B24,'④前置信息-大固定-包含了工资和总经理'!B:D,3,0)</f>
        <v>C类</v>
      </c>
      <c r="K24" s="88">
        <f>VLOOKUP(B24,'④前置信息-大固定-包含了工资和总经理'!B:G,6,0)</f>
        <v>120000</v>
      </c>
      <c r="L24" s="88">
        <f>VLOOKUP(B24,②当月数据及门店毛利!B:C,2,0)</f>
        <v>92371</v>
      </c>
      <c r="M24" s="88">
        <f>VLOOKUP(B24,②当月数据及门店毛利!B:E,4,0)</f>
        <v>169</v>
      </c>
      <c r="N24" s="89" t="s">
        <v>214</v>
      </c>
      <c r="O24" s="88" t="str">
        <f>IFERROR(VLOOKUP(B24,'④前置信息-大固定-包含了工资和总经理'!B:H,7,0),0)</f>
        <v>陈嘉仪</v>
      </c>
      <c r="P24" s="88">
        <f t="shared" si="7"/>
        <v>3200</v>
      </c>
      <c r="Q24" s="90">
        <f>IF(IFERROR(VLOOKUP(O24,#REF!,2,0),0)="店助主任",IF(L24&lt;=K24*$E$1,0,IF(AND(L24&gt;=K24*$E$1,L24&lt;=K24*$F$1),0.4%,IF(L24&gt;$F$1,1%,0))),IF(L24&lt;=K24*$E$1,0,IF(AND(L24&gt;=K24*$E$1,L24&lt;=K24*$F$1),0.4%,IF(L24&gt;$F$1,0.6%,0))))</f>
        <v>4.0000000000000001E-3</v>
      </c>
      <c r="R24" s="91">
        <f t="shared" si="1"/>
        <v>0</v>
      </c>
      <c r="S24" s="91">
        <f t="shared" si="2"/>
        <v>369.48399999999998</v>
      </c>
      <c r="T24" s="91">
        <f>IF(IFERROR(VLOOKUP(O24,#REF!,2,0),0)="店助主任",IFERROR(IF(Q24=0.01,K24*0.004+(L24-K24)*0.01,0),0),IFERROR(IF(Q24=0.006,K24*0.004+(L24-K24)*0.006,0),0))</f>
        <v>0</v>
      </c>
      <c r="U24" s="91">
        <f t="shared" si="3"/>
        <v>369.48399999999998</v>
      </c>
      <c r="V24" s="91">
        <f t="shared" si="4"/>
        <v>369.48399999999998</v>
      </c>
      <c r="W24" s="88">
        <f>IF(J24=0,0,IF(M24&gt;=VLOOKUP(B24,'④前置信息-大固定-包含了工资和总经理'!B:I,8,0),200,0)+IF(M24&gt;=VLOOKUP(B24,'④前置信息-大固定-包含了工资和总经理'!B:J,9,0),200,0))</f>
        <v>400</v>
      </c>
      <c r="X24" s="88">
        <f t="shared" si="5"/>
        <v>150</v>
      </c>
      <c r="Y24" s="91">
        <f t="shared" si="6"/>
        <v>4119.4840000000004</v>
      </c>
    </row>
    <row r="25" spans="1:25" x14ac:dyDescent="0.15">
      <c r="A25" s="88" t="s">
        <v>139</v>
      </c>
      <c r="B25" s="88" t="s">
        <v>26</v>
      </c>
      <c r="C25" s="88" t="s">
        <v>4</v>
      </c>
      <c r="D25" s="88" t="s">
        <v>188</v>
      </c>
      <c r="E25" s="88" t="s">
        <v>81</v>
      </c>
      <c r="F25" s="88" t="s">
        <v>189</v>
      </c>
      <c r="G25" s="88">
        <f>VLOOKUP(B25,'④前置信息-大固定-包含了工资和总经理'!B:E,4,0)</f>
        <v>0</v>
      </c>
      <c r="I25" s="88">
        <f>VLOOKUP(B25,'④前置信息-大固定-包含了工资和总经理'!B:F,5,0)</f>
        <v>0</v>
      </c>
      <c r="J25" s="88" t="str">
        <f>VLOOKUP(B25,'④前置信息-大固定-包含了工资和总经理'!B:D,3,0)</f>
        <v>B类</v>
      </c>
      <c r="K25" s="88">
        <f>VLOOKUP(B25,'④前置信息-大固定-包含了工资和总经理'!B:G,6,0)</f>
        <v>150000</v>
      </c>
      <c r="L25" s="88">
        <f>VLOOKUP(B25,②当月数据及门店毛利!B:C,2,0)</f>
        <v>100934</v>
      </c>
      <c r="M25" s="88">
        <f>VLOOKUP(B25,②当月数据及门店毛利!B:E,4,0)</f>
        <v>183</v>
      </c>
      <c r="N25" s="89" t="s">
        <v>214</v>
      </c>
      <c r="O25" s="88" t="str">
        <f>IFERROR(VLOOKUP(B25,'④前置信息-大固定-包含了工资和总经理'!B:H,7,0),0)</f>
        <v>彭兰钦</v>
      </c>
      <c r="P25" s="88">
        <f t="shared" si="7"/>
        <v>3100</v>
      </c>
      <c r="Q25" s="90">
        <f>IF(IFERROR(VLOOKUP(O25,#REF!,2,0),0)="店助主任",IF(L25&lt;=K25*$E$1,0,IF(AND(L25&gt;=K25*$E$1,L25&lt;=K25*$F$1),0.4%,IF(L25&gt;$F$1,1%,0))),IF(L25&lt;=K25*$E$1,0,IF(AND(L25&gt;=K25*$E$1,L25&lt;=K25*$F$1),0.4%,IF(L25&gt;$F$1,0.6%,0))))</f>
        <v>0</v>
      </c>
      <c r="R25" s="91">
        <f t="shared" si="1"/>
        <v>0</v>
      </c>
      <c r="S25" s="91">
        <f t="shared" si="2"/>
        <v>0</v>
      </c>
      <c r="T25" s="91">
        <f>IF(IFERROR(VLOOKUP(O25,#REF!,2,0),0)="店助主任",IFERROR(IF(Q25=0.01,K25*0.004+(L25-K25)*0.01,0),0),IFERROR(IF(Q25=0.006,K25*0.004+(L25-K25)*0.006,0),0))</f>
        <v>0</v>
      </c>
      <c r="U25" s="91">
        <f t="shared" si="3"/>
        <v>0</v>
      </c>
      <c r="V25" s="91">
        <f t="shared" si="4"/>
        <v>0</v>
      </c>
      <c r="W25" s="88">
        <f>IF(J25=0,0,IF(M25&gt;=VLOOKUP(B25,'④前置信息-大固定-包含了工资和总经理'!B:I,8,0),200,0)+IF(M25&gt;=VLOOKUP(B25,'④前置信息-大固定-包含了工资和总经理'!B:J,9,0),200,0))</f>
        <v>200</v>
      </c>
      <c r="X25" s="88">
        <f t="shared" si="5"/>
        <v>150</v>
      </c>
      <c r="Y25" s="91">
        <f t="shared" si="6"/>
        <v>3450</v>
      </c>
    </row>
    <row r="26" spans="1:25" x14ac:dyDescent="0.15">
      <c r="A26" s="88" t="s">
        <v>140</v>
      </c>
      <c r="B26" s="88" t="s">
        <v>56</v>
      </c>
      <c r="C26" s="88" t="s">
        <v>28</v>
      </c>
      <c r="D26" s="88" t="s">
        <v>190</v>
      </c>
      <c r="E26" s="88" t="s">
        <v>81</v>
      </c>
      <c r="F26" s="88" t="s">
        <v>191</v>
      </c>
      <c r="G26" s="88">
        <f>VLOOKUP(B26,'④前置信息-大固定-包含了工资和总经理'!B:E,4,0)</f>
        <v>0</v>
      </c>
      <c r="I26" s="88">
        <f>VLOOKUP(B26,'④前置信息-大固定-包含了工资和总经理'!B:F,5,0)</f>
        <v>0</v>
      </c>
      <c r="J26" s="88" t="str">
        <f>VLOOKUP(B26,'④前置信息-大固定-包含了工资和总经理'!B:D,3,0)</f>
        <v>B类</v>
      </c>
      <c r="K26" s="88">
        <f>VLOOKUP(B26,'④前置信息-大固定-包含了工资和总经理'!B:G,6,0)</f>
        <v>150000</v>
      </c>
      <c r="L26" s="88">
        <f>VLOOKUP(B26,②当月数据及门店毛利!B:C,2,0)</f>
        <v>151129</v>
      </c>
      <c r="M26" s="88">
        <f>VLOOKUP(B26,②当月数据及门店毛利!B:E,4,0)</f>
        <v>164</v>
      </c>
      <c r="N26" s="89" t="s">
        <v>214</v>
      </c>
      <c r="O26" s="88" t="str">
        <f>IFERROR(VLOOKUP(B26,'④前置信息-大固定-包含了工资和总经理'!B:H,7,0),0)</f>
        <v>郑巧玲</v>
      </c>
      <c r="P26" s="88">
        <f t="shared" si="7"/>
        <v>3100</v>
      </c>
      <c r="Q26" s="90">
        <f>IF(IFERROR(VLOOKUP(O26,#REF!,2,0),0)="店助主任",IF(L26&lt;=K26*$E$1,0,IF(AND(L26&gt;=K26*$E$1,L26&lt;=K26*$F$1),0.4%,IF(L26&gt;$F$1,1%,0))),IF(L26&lt;=K26*$E$1,0,IF(AND(L26&gt;=K26*$E$1,L26&lt;=K26*$F$1),0.4%,IF(L26&gt;$F$1,0.6%,0))))</f>
        <v>6.0000000000000001E-3</v>
      </c>
      <c r="R26" s="91">
        <f t="shared" si="1"/>
        <v>0</v>
      </c>
      <c r="S26" s="91">
        <f t="shared" si="2"/>
        <v>0</v>
      </c>
      <c r="T26" s="91">
        <f>IF(IFERROR(VLOOKUP(O26,#REF!,2,0),0)="店助主任",IFERROR(IF(Q26=0.01,K26*0.004+(L26-K26)*0.01,0),0),IFERROR(IF(Q26=0.006,K26*0.004+(L26-K26)*0.006,0),0))</f>
        <v>606.774</v>
      </c>
      <c r="U26" s="91">
        <f t="shared" si="3"/>
        <v>606.774</v>
      </c>
      <c r="V26" s="91">
        <f t="shared" si="4"/>
        <v>606.774</v>
      </c>
      <c r="W26" s="88">
        <f>IF(J26=0,0,IF(M26&gt;=VLOOKUP(B26,'④前置信息-大固定-包含了工资和总经理'!B:I,8,0),200,0)+IF(M26&gt;=VLOOKUP(B26,'④前置信息-大固定-包含了工资和总经理'!B:J,9,0),200,0))</f>
        <v>200</v>
      </c>
      <c r="X26" s="88">
        <f t="shared" si="5"/>
        <v>150</v>
      </c>
      <c r="Y26" s="91">
        <f t="shared" si="6"/>
        <v>4056.7739999999999</v>
      </c>
    </row>
    <row r="27" spans="1:25" x14ac:dyDescent="0.15">
      <c r="A27" s="88" t="s">
        <v>141</v>
      </c>
      <c r="B27" s="88" t="s">
        <v>52</v>
      </c>
      <c r="C27" s="88" t="s">
        <v>24</v>
      </c>
      <c r="D27" s="88" t="s">
        <v>188</v>
      </c>
      <c r="E27" s="88" t="s">
        <v>81</v>
      </c>
      <c r="F27" s="88" t="s">
        <v>191</v>
      </c>
      <c r="G27" s="88">
        <f>VLOOKUP(B27,'④前置信息-大固定-包含了工资和总经理'!B:E,4,0)</f>
        <v>0</v>
      </c>
      <c r="I27" s="88">
        <f>VLOOKUP(B27,'④前置信息-大固定-包含了工资和总经理'!B:F,5,0)</f>
        <v>0</v>
      </c>
      <c r="J27" s="88" t="str">
        <f>VLOOKUP(B27,'④前置信息-大固定-包含了工资和总经理'!B:D,3,0)</f>
        <v>C类</v>
      </c>
      <c r="K27" s="88">
        <f>VLOOKUP(B27,'④前置信息-大固定-包含了工资和总经理'!B:G,6,0)</f>
        <v>120000</v>
      </c>
      <c r="L27" s="88">
        <f>VLOOKUP(B27,②当月数据及门店毛利!B:C,2,0)</f>
        <v>143757</v>
      </c>
      <c r="M27" s="88">
        <f>VLOOKUP(B27,②当月数据及门店毛利!B:E,4,0)</f>
        <v>156</v>
      </c>
      <c r="N27" s="89" t="s">
        <v>214</v>
      </c>
      <c r="O27" s="88" t="str">
        <f>IFERROR(VLOOKUP(B27,'④前置信息-大固定-包含了工资和总经理'!B:H,7,0),0)</f>
        <v>谢珂欣</v>
      </c>
      <c r="P27" s="88">
        <f t="shared" si="7"/>
        <v>3200</v>
      </c>
      <c r="Q27" s="90">
        <f>IF(IFERROR(VLOOKUP(O27,#REF!,2,0),0)="店助主任",IF(L27&lt;=K27*$E$1,0,IF(AND(L27&gt;=K27*$E$1,L27&lt;=K27*$F$1),0.4%,IF(L27&gt;$F$1,1%,0))),IF(L27&lt;=K27*$E$1,0,IF(AND(L27&gt;=K27*$E$1,L27&lt;=K27*$F$1),0.4%,IF(L27&gt;$F$1,0.6%,0))))</f>
        <v>6.0000000000000001E-3</v>
      </c>
      <c r="R27" s="91">
        <f t="shared" si="1"/>
        <v>0</v>
      </c>
      <c r="S27" s="91">
        <f t="shared" si="2"/>
        <v>0</v>
      </c>
      <c r="T27" s="91">
        <f>IF(IFERROR(VLOOKUP(O27,#REF!,2,0),0)="店助主任",IFERROR(IF(Q27=0.01,K27*0.004+(L27-K27)*0.01,0),0),IFERROR(IF(Q27=0.006,K27*0.004+(L27-K27)*0.006,0),0))</f>
        <v>622.54200000000003</v>
      </c>
      <c r="U27" s="91">
        <f t="shared" si="3"/>
        <v>622.54200000000003</v>
      </c>
      <c r="V27" s="91">
        <f t="shared" si="4"/>
        <v>622.54200000000003</v>
      </c>
      <c r="W27" s="88">
        <f>IF(J27=0,0,IF(M27&gt;=VLOOKUP(B27,'④前置信息-大固定-包含了工资和总经理'!B:I,8,0),200,0)+IF(M27&gt;=VLOOKUP(B27,'④前置信息-大固定-包含了工资和总经理'!B:J,9,0),200,0))</f>
        <v>200</v>
      </c>
      <c r="X27" s="88">
        <f t="shared" si="5"/>
        <v>150</v>
      </c>
      <c r="Y27" s="91">
        <f t="shared" si="6"/>
        <v>4172.5419999999995</v>
      </c>
    </row>
    <row r="28" spans="1:25" x14ac:dyDescent="0.15">
      <c r="A28" s="88" t="s">
        <v>142</v>
      </c>
      <c r="B28" s="88" t="s">
        <v>38</v>
      </c>
      <c r="C28" s="88" t="s">
        <v>21</v>
      </c>
      <c r="D28" s="88" t="s">
        <v>188</v>
      </c>
      <c r="E28" s="88" t="s">
        <v>90</v>
      </c>
      <c r="F28" s="88" t="s">
        <v>189</v>
      </c>
      <c r="G28" s="88">
        <f>VLOOKUP(B28,'④前置信息-大固定-包含了工资和总经理'!B:E,4,0)</f>
        <v>0</v>
      </c>
      <c r="I28" s="88">
        <f>VLOOKUP(B28,'④前置信息-大固定-包含了工资和总经理'!B:F,5,0)</f>
        <v>0</v>
      </c>
      <c r="J28" s="88" t="str">
        <f>VLOOKUP(B28,'④前置信息-大固定-包含了工资和总经理'!B:D,3,0)</f>
        <v>B类</v>
      </c>
      <c r="K28" s="88">
        <f>VLOOKUP(B28,'④前置信息-大固定-包含了工资和总经理'!B:G,6,0)</f>
        <v>150000</v>
      </c>
      <c r="L28" s="88">
        <f>VLOOKUP(B28,②当月数据及门店毛利!B:C,2,0)</f>
        <v>150422</v>
      </c>
      <c r="M28" s="88">
        <f>VLOOKUP(B28,②当月数据及门店毛利!B:E,4,0)</f>
        <v>111</v>
      </c>
      <c r="N28" s="89" t="s">
        <v>214</v>
      </c>
      <c r="O28" s="88" t="str">
        <f>IFERROR(VLOOKUP(B28,'④前置信息-大固定-包含了工资和总经理'!B:H,7,0),0)</f>
        <v>贺慧</v>
      </c>
      <c r="P28" s="88">
        <f t="shared" si="7"/>
        <v>3100</v>
      </c>
      <c r="Q28" s="90">
        <f>IF(IFERROR(VLOOKUP(O28,#REF!,2,0),0)="店助主任",IF(L28&lt;=K28*$E$1,0,IF(AND(L28&gt;=K28*$E$1,L28&lt;=K28*$F$1),0.4%,IF(L28&gt;$F$1,1%,0))),IF(L28&lt;=K28*$E$1,0,IF(AND(L28&gt;=K28*$E$1,L28&lt;=K28*$F$1),0.4%,IF(L28&gt;$F$1,0.6%,0))))</f>
        <v>6.0000000000000001E-3</v>
      </c>
      <c r="R28" s="91">
        <f t="shared" si="1"/>
        <v>0</v>
      </c>
      <c r="S28" s="91">
        <f t="shared" si="2"/>
        <v>0</v>
      </c>
      <c r="T28" s="91">
        <f>IF(IFERROR(VLOOKUP(O28,#REF!,2,0),0)="店助主任",IFERROR(IF(Q28=0.01,K28*0.004+(L28-K28)*0.01,0),0),IFERROR(IF(Q28=0.006,K28*0.004+(L28-K28)*0.006,0),0))</f>
        <v>602.53200000000004</v>
      </c>
      <c r="U28" s="91">
        <f t="shared" si="3"/>
        <v>602.53200000000004</v>
      </c>
      <c r="V28" s="91">
        <f t="shared" si="4"/>
        <v>602.53200000000004</v>
      </c>
      <c r="W28" s="88">
        <f>IF(J28=0,0,IF(M28&gt;=VLOOKUP(B28,'④前置信息-大固定-包含了工资和总经理'!B:I,8,0),200,0)+IF(M28&gt;=VLOOKUP(B28,'④前置信息-大固定-包含了工资和总经理'!B:J,9,0),200,0))</f>
        <v>0</v>
      </c>
      <c r="X28" s="88">
        <f t="shared" si="5"/>
        <v>150</v>
      </c>
      <c r="Y28" s="91">
        <f t="shared" si="6"/>
        <v>3852.5320000000002</v>
      </c>
    </row>
    <row r="29" spans="1:25" x14ac:dyDescent="0.15">
      <c r="A29" s="88" t="s">
        <v>143</v>
      </c>
      <c r="B29" s="88" t="s">
        <v>55</v>
      </c>
      <c r="C29" s="88" t="s">
        <v>28</v>
      </c>
      <c r="D29" s="88" t="s">
        <v>190</v>
      </c>
      <c r="E29" s="88" t="s">
        <v>81</v>
      </c>
      <c r="F29" s="88" t="s">
        <v>191</v>
      </c>
      <c r="G29" s="88">
        <f>VLOOKUP(B29,'④前置信息-大固定-包含了工资和总经理'!B:E,4,0)</f>
        <v>0</v>
      </c>
      <c r="I29" s="88">
        <f>VLOOKUP(B29,'④前置信息-大固定-包含了工资和总经理'!B:F,5,0)</f>
        <v>0</v>
      </c>
      <c r="J29" s="88" t="str">
        <f>VLOOKUP(B29,'④前置信息-大固定-包含了工资和总经理'!B:D,3,0)</f>
        <v>A类</v>
      </c>
      <c r="K29" s="88">
        <f>VLOOKUP(B29,'④前置信息-大固定-包含了工资和总经理'!B:G,6,0)</f>
        <v>180000</v>
      </c>
      <c r="L29" s="88">
        <f>VLOOKUP(B29,②当月数据及门店毛利!B:C,2,0)</f>
        <v>180307.8</v>
      </c>
      <c r="M29" s="88">
        <f>VLOOKUP(B29,②当月数据及门店毛利!B:E,4,0)</f>
        <v>154</v>
      </c>
      <c r="N29" s="89" t="s">
        <v>214</v>
      </c>
      <c r="O29" s="88" t="str">
        <f>IFERROR(VLOOKUP(B29,'④前置信息-大固定-包含了工资和总经理'!B:H,7,0),0)</f>
        <v>叶璐璐</v>
      </c>
      <c r="P29" s="88">
        <f t="shared" si="7"/>
        <v>3000</v>
      </c>
      <c r="Q29" s="90">
        <f>IF(IFERROR(VLOOKUP(O29,#REF!,2,0),0)="店助主任",IF(L29&lt;=K29*$E$1,0,IF(AND(L29&gt;=K29*$E$1,L29&lt;=K29*$F$1),0.4%,IF(L29&gt;$F$1,1%,0))),IF(L29&lt;=K29*$E$1,0,IF(AND(L29&gt;=K29*$E$1,L29&lt;=K29*$F$1),0.4%,IF(L29&gt;$F$1,0.6%,0))))</f>
        <v>6.0000000000000001E-3</v>
      </c>
      <c r="R29" s="91">
        <f t="shared" si="1"/>
        <v>0</v>
      </c>
      <c r="S29" s="91">
        <f t="shared" si="2"/>
        <v>0</v>
      </c>
      <c r="T29" s="91">
        <f>IF(IFERROR(VLOOKUP(O29,#REF!,2,0),0)="店助主任",IFERROR(IF(Q29=0.01,K29*0.004+(L29-K29)*0.01,0),0),IFERROR(IF(Q29=0.006,K29*0.004+(L29-K29)*0.006,0),0))</f>
        <v>721.84679999999992</v>
      </c>
      <c r="U29" s="91">
        <f t="shared" si="3"/>
        <v>721.84679999999992</v>
      </c>
      <c r="V29" s="91">
        <f t="shared" si="4"/>
        <v>721.84679999999992</v>
      </c>
      <c r="W29" s="88">
        <f>IF(J29=0,0,IF(M29&gt;=VLOOKUP(B29,'④前置信息-大固定-包含了工资和总经理'!B:I,8,0),200,0)+IF(M29&gt;=VLOOKUP(B29,'④前置信息-大固定-包含了工资和总经理'!B:J,9,0),200,0))</f>
        <v>0</v>
      </c>
      <c r="X29" s="88">
        <f t="shared" si="5"/>
        <v>150</v>
      </c>
      <c r="Y29" s="91">
        <f t="shared" si="6"/>
        <v>3871.8467999999998</v>
      </c>
    </row>
    <row r="30" spans="1:25" x14ac:dyDescent="0.15">
      <c r="A30" s="88" t="s">
        <v>144</v>
      </c>
      <c r="B30" s="88" t="s">
        <v>45</v>
      </c>
      <c r="C30" s="88" t="s">
        <v>22</v>
      </c>
      <c r="D30" s="88" t="s">
        <v>188</v>
      </c>
      <c r="E30" s="88" t="s">
        <v>90</v>
      </c>
      <c r="F30" s="88" t="s">
        <v>189</v>
      </c>
      <c r="G30" s="88">
        <f>VLOOKUP(B30,'④前置信息-大固定-包含了工资和总经理'!B:E,4,0)</f>
        <v>0</v>
      </c>
      <c r="I30" s="88">
        <f>VLOOKUP(B30,'④前置信息-大固定-包含了工资和总经理'!B:F,5,0)</f>
        <v>0</v>
      </c>
      <c r="J30" s="88" t="str">
        <f>VLOOKUP(B30,'④前置信息-大固定-包含了工资和总经理'!B:D,3,0)</f>
        <v>A类</v>
      </c>
      <c r="K30" s="88">
        <f>VLOOKUP(B30,'④前置信息-大固定-包含了工资和总经理'!B:G,6,0)</f>
        <v>180000</v>
      </c>
      <c r="L30" s="88">
        <f>VLOOKUP(B30,②当月数据及门店毛利!B:C,2,0)</f>
        <v>139022</v>
      </c>
      <c r="M30" s="88">
        <f>VLOOKUP(B30,②当月数据及门店毛利!B:E,4,0)</f>
        <v>191</v>
      </c>
      <c r="N30" s="89" t="s">
        <v>214</v>
      </c>
      <c r="O30" s="88" t="str">
        <f>IFERROR(VLOOKUP(B30,'④前置信息-大固定-包含了工资和总经理'!B:H,7,0),0)</f>
        <v>施凤皎</v>
      </c>
      <c r="P30" s="88">
        <f t="shared" si="7"/>
        <v>3000</v>
      </c>
      <c r="Q30" s="90">
        <f>IF(IFERROR(VLOOKUP(O30,#REF!,2,0),0)="店助主任",IF(L30&lt;=K30*$E$1,0,IF(AND(L30&gt;=K30*$E$1,L30&lt;=K30*$F$1),0.4%,IF(L30&gt;$F$1,1%,0))),IF(L30&lt;=K30*$E$1,0,IF(AND(L30&gt;=K30*$E$1,L30&lt;=K30*$F$1),0.4%,IF(L30&gt;$F$1,0.6%,0))))</f>
        <v>4.0000000000000001E-3</v>
      </c>
      <c r="R30" s="91">
        <f t="shared" si="1"/>
        <v>0</v>
      </c>
      <c r="S30" s="91">
        <f t="shared" si="2"/>
        <v>556.08799999999997</v>
      </c>
      <c r="T30" s="91">
        <f>IF(IFERROR(VLOOKUP(O30,#REF!,2,0),0)="店助主任",IFERROR(IF(Q30=0.01,K30*0.004+(L30-K30)*0.01,0),0),IFERROR(IF(Q30=0.006,K30*0.004+(L30-K30)*0.006,0),0))</f>
        <v>0</v>
      </c>
      <c r="U30" s="91">
        <f t="shared" si="3"/>
        <v>556.08799999999997</v>
      </c>
      <c r="V30" s="91">
        <f t="shared" si="4"/>
        <v>556.08799999999997</v>
      </c>
      <c r="W30" s="88">
        <f>IF(J30=0,0,IF(M30&gt;=VLOOKUP(B30,'④前置信息-大固定-包含了工资和总经理'!B:I,8,0),200,0)+IF(M30&gt;=VLOOKUP(B30,'④前置信息-大固定-包含了工资和总经理'!B:J,9,0),200,0))</f>
        <v>200</v>
      </c>
      <c r="X30" s="88">
        <f t="shared" si="5"/>
        <v>150</v>
      </c>
      <c r="Y30" s="91">
        <f t="shared" si="6"/>
        <v>3906.0879999999997</v>
      </c>
    </row>
    <row r="31" spans="1:25" x14ac:dyDescent="0.15">
      <c r="A31" s="88" t="s">
        <v>145</v>
      </c>
      <c r="B31" s="88" t="s">
        <v>32</v>
      </c>
      <c r="C31" s="88" t="s">
        <v>17</v>
      </c>
      <c r="D31" s="88" t="s">
        <v>190</v>
      </c>
      <c r="E31" s="88" t="s">
        <v>90</v>
      </c>
      <c r="F31" s="88" t="s">
        <v>191</v>
      </c>
      <c r="G31" s="88">
        <f>VLOOKUP(B31,'④前置信息-大固定-包含了工资和总经理'!B:E,4,0)</f>
        <v>0</v>
      </c>
      <c r="I31" s="88">
        <f>VLOOKUP(B31,'④前置信息-大固定-包含了工资和总经理'!B:F,5,0)</f>
        <v>0</v>
      </c>
      <c r="J31" s="88" t="str">
        <f>VLOOKUP(B31,'④前置信息-大固定-包含了工资和总经理'!B:D,3,0)</f>
        <v>C类</v>
      </c>
      <c r="K31" s="88">
        <f>VLOOKUP(B31,'④前置信息-大固定-包含了工资和总经理'!B:G,6,0)</f>
        <v>120000</v>
      </c>
      <c r="L31" s="88">
        <f>VLOOKUP(B31,②当月数据及门店毛利!B:C,2,0)</f>
        <v>120949.6</v>
      </c>
      <c r="M31" s="88">
        <f>VLOOKUP(B31,②当月数据及门店毛利!B:E,4,0)</f>
        <v>149</v>
      </c>
      <c r="N31" s="89" t="s">
        <v>214</v>
      </c>
      <c r="O31" s="88" t="str">
        <f>IFERROR(VLOOKUP(B31,'④前置信息-大固定-包含了工资和总经理'!B:H,7,0),0)</f>
        <v>陈燕辉</v>
      </c>
      <c r="P31" s="88">
        <f t="shared" si="7"/>
        <v>3200</v>
      </c>
      <c r="Q31" s="90">
        <f>IF(IFERROR(VLOOKUP(O31,#REF!,2,0),0)="店助主任",IF(L31&lt;=K31*$E$1,0,IF(AND(L31&gt;=K31*$E$1,L31&lt;=K31*$F$1),0.4%,IF(L31&gt;$F$1,1%,0))),IF(L31&lt;=K31*$E$1,0,IF(AND(L31&gt;=K31*$E$1,L31&lt;=K31*$F$1),0.4%,IF(L31&gt;$F$1,0.6%,0))))</f>
        <v>6.0000000000000001E-3</v>
      </c>
      <c r="R31" s="91">
        <f t="shared" si="1"/>
        <v>0</v>
      </c>
      <c r="S31" s="91">
        <f t="shared" si="2"/>
        <v>0</v>
      </c>
      <c r="T31" s="91">
        <f>IF(IFERROR(VLOOKUP(O31,#REF!,2,0),0)="店助主任",IFERROR(IF(Q31=0.01,K31*0.004+(L31-K31)*0.01,0),0),IFERROR(IF(Q31=0.006,K31*0.004+(L31-K31)*0.006,0),0))</f>
        <v>485.69760000000002</v>
      </c>
      <c r="U31" s="91">
        <f t="shared" si="3"/>
        <v>485.69760000000002</v>
      </c>
      <c r="V31" s="91">
        <f t="shared" si="4"/>
        <v>485.69760000000002</v>
      </c>
      <c r="W31" s="88">
        <f>IF(J31=0,0,IF(M31&gt;=VLOOKUP(B31,'④前置信息-大固定-包含了工资和总经理'!B:I,8,0),200,0)+IF(M31&gt;=VLOOKUP(B31,'④前置信息-大固定-包含了工资和总经理'!B:J,9,0),200,0))</f>
        <v>200</v>
      </c>
      <c r="X31" s="88">
        <f t="shared" si="5"/>
        <v>150</v>
      </c>
      <c r="Y31" s="91">
        <f t="shared" si="6"/>
        <v>4035.6976</v>
      </c>
    </row>
    <row r="32" spans="1:25" x14ac:dyDescent="0.15">
      <c r="A32" s="88" t="s">
        <v>146</v>
      </c>
      <c r="B32" s="88" t="s">
        <v>29</v>
      </c>
      <c r="C32" s="88" t="s">
        <v>4</v>
      </c>
      <c r="D32" s="88" t="s">
        <v>188</v>
      </c>
      <c r="E32" s="88" t="s">
        <v>81</v>
      </c>
      <c r="F32" s="88" t="s">
        <v>189</v>
      </c>
      <c r="G32" s="88" t="str">
        <f>VLOOKUP(B32,'④前置信息-大固定-包含了工资和总经理'!B:E,4,0)</f>
        <v>新店</v>
      </c>
      <c r="I32" s="88" t="str">
        <f>VLOOKUP(B32,'④前置信息-大固定-包含了工资和总经理'!B:F,5,0)</f>
        <v>C类</v>
      </c>
      <c r="J32" s="88" t="str">
        <f>VLOOKUP(B32,'④前置信息-大固定-包含了工资和总经理'!B:D,3,0)</f>
        <v>C类</v>
      </c>
      <c r="K32" s="88">
        <f>VLOOKUP(B32,'④前置信息-大固定-包含了工资和总经理'!B:G,6,0)</f>
        <v>120000</v>
      </c>
      <c r="L32" s="88">
        <f>VLOOKUP(B32,②当月数据及门店毛利!B:C,2,0)</f>
        <v>259744.88</v>
      </c>
      <c r="M32" s="88">
        <f>VLOOKUP(B32,②当月数据及门店毛利!B:E,4,0)</f>
        <v>155</v>
      </c>
      <c r="N32" s="89" t="s">
        <v>214</v>
      </c>
      <c r="O32" s="88" t="str">
        <f>IFERROR(VLOOKUP(B32,'④前置信息-大固定-包含了工资和总经理'!B:H,7,0),0)</f>
        <v>谢双叶</v>
      </c>
      <c r="P32" s="88">
        <f t="shared" si="7"/>
        <v>3200</v>
      </c>
      <c r="Q32" s="90">
        <f>IF(IFERROR(VLOOKUP(O32,#REF!,2,0),0)="店助主任",IF(L32&lt;=K32*$E$1,0,IF(AND(L32&gt;=K32*$E$1,L32&lt;=K32*$F$1),0.4%,IF(L32&gt;$F$1,1%,0))),IF(L32&lt;=K32*$E$1,0,IF(AND(L32&gt;=K32*$E$1,L32&lt;=K32*$F$1),0.4%,IF(L32&gt;$F$1,0.6%,0))))</f>
        <v>6.0000000000000001E-3</v>
      </c>
      <c r="R32" s="91">
        <f t="shared" si="1"/>
        <v>0</v>
      </c>
      <c r="S32" s="91">
        <f t="shared" si="2"/>
        <v>0</v>
      </c>
      <c r="T32" s="91">
        <f>IF(IFERROR(VLOOKUP(O32,#REF!,2,0),0)="店助主任",IFERROR(IF(Q32=0.01,K32*0.004+(L32-K32)*0.01,0),0),IFERROR(IF(Q32=0.006,K32*0.004+(L32-K32)*0.006,0),0))</f>
        <v>1318.46928</v>
      </c>
      <c r="U32" s="91">
        <f t="shared" si="3"/>
        <v>1318.46928</v>
      </c>
      <c r="V32" s="91">
        <f t="shared" si="4"/>
        <v>1318.46928</v>
      </c>
      <c r="W32" s="88">
        <f>IF(J32=0,0,IF(M32&gt;=VLOOKUP(B32,'④前置信息-大固定-包含了工资和总经理'!B:I,8,0),200,0)+IF(M32&gt;=VLOOKUP(B32,'④前置信息-大固定-包含了工资和总经理'!B:J,9,0),200,0))</f>
        <v>200</v>
      </c>
      <c r="X32" s="88">
        <f t="shared" si="5"/>
        <v>150</v>
      </c>
      <c r="Y32" s="91">
        <f t="shared" si="6"/>
        <v>4868.4692800000003</v>
      </c>
    </row>
    <row r="33" spans="1:25" x14ac:dyDescent="0.15">
      <c r="A33" s="88" t="s">
        <v>148</v>
      </c>
      <c r="B33" s="88" t="s">
        <v>59</v>
      </c>
      <c r="C33" s="88" t="s">
        <v>17</v>
      </c>
      <c r="D33" s="88" t="s">
        <v>190</v>
      </c>
      <c r="E33" s="88" t="s">
        <v>90</v>
      </c>
      <c r="F33" s="88" t="s">
        <v>191</v>
      </c>
      <c r="G33" s="88" t="str">
        <f>VLOOKUP(B33,'④前置信息-大固定-包含了工资和总经理'!B:E,4,0)</f>
        <v>新店</v>
      </c>
      <c r="I33" s="88">
        <f>VLOOKUP(B33,'④前置信息-大固定-包含了工资和总经理'!B:F,5,0)</f>
        <v>0</v>
      </c>
      <c r="J33" s="88" t="str">
        <f>VLOOKUP(B33,'④前置信息-大固定-包含了工资和总经理'!B:D,3,0)</f>
        <v>B类</v>
      </c>
      <c r="K33" s="88">
        <f>VLOOKUP(B33,'④前置信息-大固定-包含了工资和总经理'!B:G,6,0)</f>
        <v>150000</v>
      </c>
      <c r="L33" s="88">
        <f>VLOOKUP(B33,②当月数据及门店毛利!B:C,2,0)</f>
        <v>150031.32999999999</v>
      </c>
      <c r="M33" s="88">
        <f>VLOOKUP(B33,②当月数据及门店毛利!B:E,4,0)</f>
        <v>186</v>
      </c>
      <c r="N33" s="89" t="s">
        <v>214</v>
      </c>
      <c r="O33" s="88" t="str">
        <f>IFERROR(VLOOKUP(B33,'④前置信息-大固定-包含了工资和总经理'!B:H,7,0),0)</f>
        <v>汪丽娟</v>
      </c>
      <c r="P33" s="88">
        <f t="shared" si="7"/>
        <v>3100</v>
      </c>
      <c r="Q33" s="90">
        <f>IF(IFERROR(VLOOKUP(O33,#REF!,2,0),0)="店助主任",IF(L33&lt;=K33*$E$1,0,IF(AND(L33&gt;=K33*$E$1,L33&lt;=K33*$F$1),0.4%,IF(L33&gt;$F$1,1%,0))),IF(L33&lt;=K33*$E$1,0,IF(AND(L33&gt;=K33*$E$1,L33&lt;=K33*$F$1),0.4%,IF(L33&gt;$F$1,0.6%,0))))</f>
        <v>6.0000000000000001E-3</v>
      </c>
      <c r="R33" s="91">
        <f t="shared" si="1"/>
        <v>0</v>
      </c>
      <c r="S33" s="91">
        <f t="shared" si="2"/>
        <v>0</v>
      </c>
      <c r="T33" s="91">
        <f>IF(IFERROR(VLOOKUP(O33,#REF!,2,0),0)="店助主任",IFERROR(IF(Q33=0.01,K33*0.004+(L33-K33)*0.01,0),0),IFERROR(IF(Q33=0.006,K33*0.004+(L33-K33)*0.006,0),0))</f>
        <v>600.18797999999992</v>
      </c>
      <c r="U33" s="91">
        <f t="shared" si="3"/>
        <v>600.18797999999992</v>
      </c>
      <c r="V33" s="91">
        <f t="shared" si="4"/>
        <v>600.18797999999992</v>
      </c>
      <c r="W33" s="88">
        <f>IF(J33=0,0,IF(M33&gt;=VLOOKUP(B33,'④前置信息-大固定-包含了工资和总经理'!B:I,8,0),200,0)+IF(M33&gt;=VLOOKUP(B33,'④前置信息-大固定-包含了工资和总经理'!B:J,9,0),200,0))</f>
        <v>200</v>
      </c>
      <c r="X33" s="88">
        <f t="shared" si="5"/>
        <v>150</v>
      </c>
      <c r="Y33" s="91">
        <f t="shared" si="6"/>
        <v>4050.1879799999997</v>
      </c>
    </row>
    <row r="34" spans="1:25" x14ac:dyDescent="0.15">
      <c r="A34" s="88" t="s">
        <v>149</v>
      </c>
      <c r="B34" s="88" t="s">
        <v>150</v>
      </c>
      <c r="C34" s="88" t="s">
        <v>4</v>
      </c>
      <c r="D34" s="88" t="s">
        <v>188</v>
      </c>
      <c r="E34" s="88" t="s">
        <v>81</v>
      </c>
      <c r="F34" s="88" t="s">
        <v>189</v>
      </c>
      <c r="G34" s="88">
        <f>VLOOKUP(B34,'④前置信息-大固定-包含了工资和总经理'!B:E,4,0)</f>
        <v>0</v>
      </c>
      <c r="I34" s="88">
        <f>VLOOKUP(B34,'④前置信息-大固定-包含了工资和总经理'!B:F,5,0)</f>
        <v>0</v>
      </c>
      <c r="J34" s="88" t="str">
        <f>VLOOKUP(B34,'④前置信息-大固定-包含了工资和总经理'!B:D,3,0)</f>
        <v>C类</v>
      </c>
      <c r="K34" s="88">
        <f>VLOOKUP(B34,'④前置信息-大固定-包含了工资和总经理'!B:G,6,0)</f>
        <v>0</v>
      </c>
      <c r="L34" s="88" t="e">
        <f>VLOOKUP(B34,②当月数据及门店毛利!B:C,2,0)</f>
        <v>#N/A</v>
      </c>
      <c r="M34" s="88" t="e">
        <f>VLOOKUP(B34,②当月数据及门店毛利!B:E,4,0)</f>
        <v>#N/A</v>
      </c>
      <c r="N34" s="89" t="s">
        <v>214</v>
      </c>
      <c r="O34" s="88">
        <f>IFERROR(VLOOKUP(B34,'④前置信息-大固定-包含了工资和总经理'!B:H,7,0),0)</f>
        <v>0</v>
      </c>
      <c r="P34" s="88">
        <f t="shared" si="7"/>
        <v>3200</v>
      </c>
      <c r="Q34" s="90" t="e">
        <f>IF(IFERROR(VLOOKUP(O34,#REF!,2,0),0)="店助主任",IF(L34&lt;=K34*$E$1,0,IF(AND(L34&gt;=K34*$E$1,L34&lt;=K34*$F$1),0.4%,IF(L34&gt;$F$1,1%,0))),IF(L34&lt;=K34*$E$1,0,IF(AND(L34&gt;=K34*$E$1,L34&lt;=K34*$F$1),0.4%,IF(L34&gt;$F$1,0.6%,0))))</f>
        <v>#N/A</v>
      </c>
      <c r="R34" s="91" t="e">
        <f t="shared" si="1"/>
        <v>#N/A</v>
      </c>
      <c r="S34" s="91">
        <f t="shared" si="2"/>
        <v>0</v>
      </c>
      <c r="T34" s="91">
        <f>IF(IFERROR(VLOOKUP(O34,#REF!,2,0),0)="店助主任",IFERROR(IF(Q34=0.01,K34*0.004+(L34-K34)*0.01,0),0),IFERROR(IF(Q34=0.006,K34*0.004+(L34-K34)*0.006,0),0))</f>
        <v>0</v>
      </c>
      <c r="U34" s="91" t="e">
        <f t="shared" si="3"/>
        <v>#N/A</v>
      </c>
      <c r="V34" s="91" t="e">
        <f t="shared" si="4"/>
        <v>#N/A</v>
      </c>
      <c r="W34" s="88" t="e">
        <f>IF(J34=0,0,IF(M34&gt;=VLOOKUP(B34,'④前置信息-大固定-包含了工资和总经理'!B:I,8,0),200,0)+IF(M34&gt;=VLOOKUP(B34,'④前置信息-大固定-包含了工资和总经理'!B:J,9,0),200,0))</f>
        <v>#N/A</v>
      </c>
      <c r="X34" s="88">
        <f t="shared" si="5"/>
        <v>150</v>
      </c>
      <c r="Y34" s="91">
        <f t="shared" si="6"/>
        <v>0</v>
      </c>
    </row>
    <row r="35" spans="1:25" x14ac:dyDescent="0.15">
      <c r="A35" s="88" t="s">
        <v>166</v>
      </c>
      <c r="B35" s="88" t="s">
        <v>57</v>
      </c>
      <c r="C35" s="88" t="s">
        <v>21</v>
      </c>
      <c r="D35" s="88"/>
      <c r="E35" s="88" t="s">
        <v>81</v>
      </c>
      <c r="F35" s="88"/>
      <c r="G35" s="88" t="str">
        <f>VLOOKUP(B35,'④前置信息-大固定-包含了工资和总经理'!B:E,4,0)</f>
        <v>新店</v>
      </c>
      <c r="I35" s="88">
        <f>VLOOKUP(B35,'④前置信息-大固定-包含了工资和总经理'!B:F,5,0)</f>
        <v>0</v>
      </c>
      <c r="J35" s="88" t="str">
        <f>VLOOKUP(B35,'④前置信息-大固定-包含了工资和总经理'!B:D,3,0)</f>
        <v>C类</v>
      </c>
      <c r="K35" s="88">
        <f>VLOOKUP(B35,'④前置信息-大固定-包含了工资和总经理'!B:G,6,0)</f>
        <v>120000</v>
      </c>
      <c r="L35" s="88">
        <f>VLOOKUP(B35,②当月数据及门店毛利!B:C,2,0)</f>
        <v>133334.88</v>
      </c>
      <c r="M35" s="88">
        <f>VLOOKUP(B35,②当月数据及门店毛利!B:E,4,0)</f>
        <v>117</v>
      </c>
      <c r="N35" s="89" t="s">
        <v>214</v>
      </c>
      <c r="O35" s="88" t="str">
        <f>IFERROR(VLOOKUP(B35,'④前置信息-大固定-包含了工资和总经理'!B:H,7,0),0)</f>
        <v>胡祝曲</v>
      </c>
      <c r="P35" s="88">
        <f t="shared" ref="P35:P38" si="8">IF(J35=$A$1,3000,IF(J35=$B$1,3100,IF(J35=$C$1,3200,0)))</f>
        <v>3200</v>
      </c>
      <c r="Q35" s="90">
        <f>IF(IFERROR(VLOOKUP(O35,#REF!,2,0),0)="店助主任",IF(L35&lt;=K35*$E$1,0,IF(AND(L35&gt;=K35*$E$1,L35&lt;=K35*$F$1),0.4%,IF(L35&gt;$F$1,1%,0))),IF(L35&lt;=K35*$E$1,0,IF(AND(L35&gt;=K35*$E$1,L35&lt;=K35*$F$1),0.4%,IF(L35&gt;$F$1,0.6%,0))))</f>
        <v>6.0000000000000001E-3</v>
      </c>
      <c r="R35" s="91">
        <f t="shared" ref="R35:R38" si="9">IF(Q35=0,0,0)</f>
        <v>0</v>
      </c>
      <c r="S35" s="91">
        <f t="shared" ref="S35:S38" si="10">IFERROR(IF(Q35=0.004,L35*Q35,0),0)</f>
        <v>0</v>
      </c>
      <c r="T35" s="91">
        <f>IF(IFERROR(VLOOKUP(O35,#REF!,2,0),0)="店助主任",IFERROR(IF(Q35=0.01,K35*0.004+(L35-K35)*0.01,0),0),IFERROR(IF(Q35=0.006,K35*0.004+(L35-K35)*0.006,0),0))</f>
        <v>560.00927999999999</v>
      </c>
      <c r="U35" s="91">
        <f t="shared" ref="U35:U38" si="11">R35+S35+T35</f>
        <v>560.00927999999999</v>
      </c>
      <c r="V35" s="91">
        <f t="shared" ref="V35:V38" si="12">IF(L35&lt;=K35*$E$1,0,IF(AND(L35&gt;=K35*$E$1,L35&lt;=K35*$F$1),L35*0.4%,IF(L35&gt;$F$1,K35*0.4%+(L35-K35)*0.6%,0)))</f>
        <v>560.00927999999999</v>
      </c>
      <c r="W35" s="88">
        <f>IF(J35=0,0,IF(M35&gt;=VLOOKUP(B35,'④前置信息-大固定-包含了工资和总经理'!B:I,8,0),200,0)+IF(M35&gt;=VLOOKUP(B35,'④前置信息-大固定-包含了工资和总经理'!B:J,9,0),200,0))</f>
        <v>0</v>
      </c>
      <c r="X35" s="88">
        <f t="shared" ref="X35:X38" si="13">IF(N35="Y",150,0)</f>
        <v>150</v>
      </c>
      <c r="Y35" s="91">
        <f t="shared" ref="Y35:Y38" si="14">IF(O35=0,0,P35+U35+W35+X35)</f>
        <v>3910.0092800000002</v>
      </c>
    </row>
    <row r="36" spans="1:25" x14ac:dyDescent="0.15">
      <c r="A36" s="88" t="s">
        <v>152</v>
      </c>
      <c r="B36" s="88" t="s">
        <v>60</v>
      </c>
      <c r="C36" s="88" t="s">
        <v>21</v>
      </c>
      <c r="D36" s="88"/>
      <c r="E36" s="88"/>
      <c r="F36" s="88"/>
      <c r="G36" s="88" t="str">
        <f>VLOOKUP(B36,'④前置信息-大固定-包含了工资和总经理'!B:E,4,0)</f>
        <v>新店</v>
      </c>
      <c r="I36" s="88">
        <f>VLOOKUP(B36,'④前置信息-大固定-包含了工资和总经理'!B:F,5,0)</f>
        <v>0</v>
      </c>
      <c r="J36" s="88" t="str">
        <f>VLOOKUP(B36,'④前置信息-大固定-包含了工资和总经理'!B:D,3,0)</f>
        <v>B类</v>
      </c>
      <c r="K36" s="88">
        <f>VLOOKUP(B36,'④前置信息-大固定-包含了工资和总经理'!B:G,6,0)</f>
        <v>150000</v>
      </c>
      <c r="L36" s="88">
        <f>VLOOKUP(B36,②当月数据及门店毛利!B:C,2,0)</f>
        <v>173290.6</v>
      </c>
      <c r="M36" s="88">
        <f>VLOOKUP(B36,②当月数据及门店毛利!B:E,4,0)</f>
        <v>169</v>
      </c>
      <c r="N36" s="89" t="s">
        <v>214</v>
      </c>
      <c r="O36" s="88" t="str">
        <f>IFERROR(VLOOKUP(B36,'④前置信息-大固定-包含了工资和总经理'!B:H,7,0),0)</f>
        <v>涂莹丹</v>
      </c>
      <c r="P36" s="88">
        <f t="shared" si="8"/>
        <v>3100</v>
      </c>
      <c r="Q36" s="90">
        <f>IF(IFERROR(VLOOKUP(O36,#REF!,2,0),0)="店助主任",IF(L36&lt;=K36*$E$1,0,IF(AND(L36&gt;=K36*$E$1,L36&lt;=K36*$F$1),0.4%,IF(L36&gt;$F$1,1%,0))),IF(L36&lt;=K36*$E$1,0,IF(AND(L36&gt;=K36*$E$1,L36&lt;=K36*$F$1),0.4%,IF(L36&gt;$F$1,0.6%,0))))</f>
        <v>6.0000000000000001E-3</v>
      </c>
      <c r="R36" s="91">
        <f t="shared" si="9"/>
        <v>0</v>
      </c>
      <c r="S36" s="91">
        <f t="shared" si="10"/>
        <v>0</v>
      </c>
      <c r="T36" s="91">
        <f>IF(IFERROR(VLOOKUP(O36,#REF!,2,0),0)="店助主任",IFERROR(IF(Q36=0.01,K36*0.004+(L36-K36)*0.01,0),0),IFERROR(IF(Q36=0.006,K36*0.004+(L36-K36)*0.006,0),0))</f>
        <v>739.74360000000001</v>
      </c>
      <c r="U36" s="91">
        <f t="shared" si="11"/>
        <v>739.74360000000001</v>
      </c>
      <c r="V36" s="91">
        <f t="shared" si="12"/>
        <v>739.74360000000001</v>
      </c>
      <c r="W36" s="88">
        <f>IF(J36=0,0,IF(M36&gt;=VLOOKUP(B36,'④前置信息-大固定-包含了工资和总经理'!B:I,8,0),200,0)+IF(M36&gt;=VLOOKUP(B36,'④前置信息-大固定-包含了工资和总经理'!B:J,9,0),200,0))</f>
        <v>400</v>
      </c>
      <c r="X36" s="88">
        <f t="shared" si="13"/>
        <v>150</v>
      </c>
      <c r="Y36" s="91">
        <f t="shared" si="14"/>
        <v>4389.7435999999998</v>
      </c>
    </row>
    <row r="37" spans="1:25" x14ac:dyDescent="0.15">
      <c r="A37" s="88"/>
      <c r="B37" s="88"/>
      <c r="C37" s="88"/>
      <c r="D37" s="88"/>
      <c r="E37" s="88"/>
      <c r="F37" s="88"/>
      <c r="G37" s="88"/>
      <c r="I37" s="88"/>
      <c r="J37" s="88"/>
      <c r="K37" s="88"/>
      <c r="L37" s="88" t="e">
        <f>VLOOKUP(B37,②当月数据及门店毛利!B:C,2,0)</f>
        <v>#N/A</v>
      </c>
      <c r="M37" s="88" t="e">
        <f>VLOOKUP(B37,②当月数据及门店毛利!B:E,4,0)</f>
        <v>#N/A</v>
      </c>
      <c r="N37" s="89" t="s">
        <v>214</v>
      </c>
      <c r="O37" s="88">
        <f>IFERROR(VLOOKUP(B37,'④前置信息-大固定-包含了工资和总经理'!B:H,7,0),0)</f>
        <v>0</v>
      </c>
      <c r="P37" s="88">
        <f t="shared" si="8"/>
        <v>0</v>
      </c>
      <c r="Q37" s="90" t="e">
        <f>IF(IFERROR(VLOOKUP(O37,#REF!,2,0),0)="店助主任",IF(L37&lt;=K37*$E$1,0,IF(AND(L37&gt;=K37*$E$1,L37&lt;=K37*$F$1),0.4%,IF(L37&gt;$F$1,1%,0))),IF(L37&lt;=K37*$E$1,0,IF(AND(L37&gt;=K37*$E$1,L37&lt;=K37*$F$1),0.4%,IF(L37&gt;$F$1,0.6%,0))))</f>
        <v>#N/A</v>
      </c>
      <c r="R37" s="91" t="e">
        <f t="shared" si="9"/>
        <v>#N/A</v>
      </c>
      <c r="S37" s="91">
        <f t="shared" si="10"/>
        <v>0</v>
      </c>
      <c r="T37" s="91">
        <f>IF(IFERROR(VLOOKUP(O37,#REF!,2,0),0)="店助主任",IFERROR(IF(Q37=0.01,K37*0.004+(L37-K37)*0.01,0),0),IFERROR(IF(Q37=0.006,K37*0.004+(L37-K37)*0.006,0),0))</f>
        <v>0</v>
      </c>
      <c r="U37" s="91" t="e">
        <f t="shared" si="11"/>
        <v>#N/A</v>
      </c>
      <c r="V37" s="91" t="e">
        <f t="shared" si="12"/>
        <v>#N/A</v>
      </c>
      <c r="W37" s="88">
        <f>IF(J37=0,0,IF(M37&gt;=VLOOKUP(B37,'④前置信息-大固定-包含了工资和总经理'!B:I,8,0),200,0)+IF(M37&gt;=VLOOKUP(B37,'④前置信息-大固定-包含了工资和总经理'!B:J,9,0),200,0))</f>
        <v>0</v>
      </c>
      <c r="X37" s="88">
        <f t="shared" si="13"/>
        <v>150</v>
      </c>
      <c r="Y37" s="91">
        <f t="shared" si="14"/>
        <v>0</v>
      </c>
    </row>
    <row r="38" spans="1:25" x14ac:dyDescent="0.15">
      <c r="A38" s="88"/>
      <c r="B38" s="88"/>
      <c r="C38" s="88"/>
      <c r="D38" s="88"/>
      <c r="E38" s="88"/>
      <c r="F38" s="88"/>
      <c r="G38" s="88"/>
      <c r="I38" s="88"/>
      <c r="J38" s="88"/>
      <c r="K38" s="88"/>
      <c r="L38" s="88" t="e">
        <f>VLOOKUP(B38,②当月数据及门店毛利!B:C,2,0)</f>
        <v>#N/A</v>
      </c>
      <c r="M38" s="88" t="e">
        <f>VLOOKUP(B38,②当月数据及门店毛利!B:E,4,0)</f>
        <v>#N/A</v>
      </c>
      <c r="N38" s="89" t="s">
        <v>214</v>
      </c>
      <c r="O38" s="88">
        <f>IFERROR(VLOOKUP(B38,'④前置信息-大固定-包含了工资和总经理'!B:H,7,0),0)</f>
        <v>0</v>
      </c>
      <c r="P38" s="88">
        <f t="shared" si="8"/>
        <v>0</v>
      </c>
      <c r="Q38" s="90" t="e">
        <f>IF(IFERROR(VLOOKUP(O38,#REF!,2,0),0)="店助主任",IF(L38&lt;=K38*$E$1,0,IF(AND(L38&gt;=K38*$E$1,L38&lt;=K38*$F$1),0.4%,IF(L38&gt;$F$1,1%,0))),IF(L38&lt;=K38*$E$1,0,IF(AND(L38&gt;=K38*$E$1,L38&lt;=K38*$F$1),0.4%,IF(L38&gt;$F$1,0.6%,0))))</f>
        <v>#N/A</v>
      </c>
      <c r="R38" s="91" t="e">
        <f t="shared" si="9"/>
        <v>#N/A</v>
      </c>
      <c r="S38" s="91">
        <f t="shared" si="10"/>
        <v>0</v>
      </c>
      <c r="T38" s="91">
        <f>IF(IFERROR(VLOOKUP(O38,#REF!,2,0),0)="店助主任",IFERROR(IF(Q38=0.01,K38*0.004+(L38-K38)*0.01,0),0),IFERROR(IF(Q38=0.006,K38*0.004+(L38-K38)*0.006,0),0))</f>
        <v>0</v>
      </c>
      <c r="U38" s="91" t="e">
        <f t="shared" si="11"/>
        <v>#N/A</v>
      </c>
      <c r="V38" s="91" t="e">
        <f t="shared" si="12"/>
        <v>#N/A</v>
      </c>
      <c r="W38" s="88">
        <f>IF(J38=0,0,IF(M38&gt;=VLOOKUP(B38,'④前置信息-大固定-包含了工资和总经理'!B:I,8,0),200,0)+IF(M38&gt;=VLOOKUP(B38,'④前置信息-大固定-包含了工资和总经理'!B:J,9,0),200,0))</f>
        <v>0</v>
      </c>
      <c r="X38" s="88">
        <f t="shared" si="13"/>
        <v>150</v>
      </c>
      <c r="Y38" s="91">
        <f t="shared" si="14"/>
        <v>0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X34"/>
  <sheetViews>
    <sheetView topLeftCell="C1" workbookViewId="0">
      <selection activeCell="P36" sqref="P36"/>
    </sheetView>
  </sheetViews>
  <sheetFormatPr defaultColWidth="9" defaultRowHeight="14.25" x14ac:dyDescent="0.15"/>
  <cols>
    <col min="1" max="3" width="9" style="76"/>
    <col min="4" max="5" width="15.5" style="122" customWidth="1"/>
    <col min="6" max="6" width="9" style="76"/>
    <col min="7" max="7" width="9" style="76" customWidth="1"/>
    <col min="8" max="8" width="12.25" style="76" customWidth="1"/>
    <col min="9" max="9" width="9.25" style="76" customWidth="1"/>
    <col min="10" max="10" width="9" style="76"/>
    <col min="11" max="11" width="13.875" style="76" bestFit="1" customWidth="1"/>
    <col min="12" max="12" width="9" style="76"/>
    <col min="13" max="13" width="9" style="114"/>
    <col min="14" max="14" width="9.5" style="76" bestFit="1" customWidth="1"/>
    <col min="15" max="15" width="9.5" style="76" customWidth="1"/>
    <col min="16" max="17" width="9.5" style="114" customWidth="1"/>
    <col min="18" max="18" width="9.5" style="140" customWidth="1"/>
    <col min="19" max="19" width="9.5" style="143" bestFit="1" customWidth="1"/>
    <col min="20" max="21" width="9" style="143"/>
    <col min="22" max="16384" width="9" style="76"/>
  </cols>
  <sheetData>
    <row r="1" spans="1:24" x14ac:dyDescent="0.15">
      <c r="A1" s="132" t="s">
        <v>62</v>
      </c>
      <c r="B1" s="132" t="s">
        <v>7</v>
      </c>
      <c r="C1" s="132" t="s">
        <v>63</v>
      </c>
      <c r="D1" s="133" t="s">
        <v>175</v>
      </c>
      <c r="E1" s="134" t="s">
        <v>155</v>
      </c>
      <c r="F1" s="134" t="s">
        <v>156</v>
      </c>
      <c r="G1" s="135" t="s">
        <v>192</v>
      </c>
      <c r="H1" s="135" t="s">
        <v>193</v>
      </c>
      <c r="I1" s="135" t="s">
        <v>194</v>
      </c>
      <c r="J1" s="135" t="s">
        <v>195</v>
      </c>
      <c r="K1" s="135" t="s">
        <v>196</v>
      </c>
      <c r="L1" s="135" t="s">
        <v>197</v>
      </c>
      <c r="M1" s="137" t="s">
        <v>807</v>
      </c>
      <c r="N1" s="136" t="s">
        <v>198</v>
      </c>
      <c r="O1" s="136" t="s">
        <v>808</v>
      </c>
      <c r="P1" s="137" t="s">
        <v>305</v>
      </c>
      <c r="Q1" s="137" t="s">
        <v>307</v>
      </c>
      <c r="R1" s="138" t="s">
        <v>308</v>
      </c>
      <c r="S1" s="141" t="s">
        <v>187</v>
      </c>
      <c r="T1" s="141" t="s">
        <v>213</v>
      </c>
      <c r="U1" s="141" t="s">
        <v>211</v>
      </c>
      <c r="W1" s="86">
        <v>2025</v>
      </c>
      <c r="X1" s="86">
        <v>7</v>
      </c>
    </row>
    <row r="2" spans="1:24" x14ac:dyDescent="0.15">
      <c r="B2" s="72" t="str">
        <f>②当月数据及门店毛利!B4</f>
        <v>紫荆</v>
      </c>
      <c r="C2" s="76" t="str">
        <f>_xlfn.XLOOKUP(B2,店助核算!B:B,店助核算!O:O,0)</f>
        <v>吴琴</v>
      </c>
      <c r="D2" s="122">
        <f>②当月数据及门店毛利!C4</f>
        <v>522756</v>
      </c>
      <c r="F2" s="122"/>
      <c r="G2" s="122"/>
      <c r="H2" s="122"/>
      <c r="I2" s="122"/>
      <c r="J2" s="122"/>
      <c r="K2" s="122"/>
      <c r="L2" s="122"/>
      <c r="M2" s="114">
        <f>_xlfn.XLOOKUP(C2,'[3]②7月-汇总'!$D:$D,'[3]②7月-汇总'!$AP:$AP,0)</f>
        <v>31</v>
      </c>
      <c r="N2" s="122">
        <f>_xlfn.XLOOKUP(C2,店助核算!O:O,店助核算!P:P,0)</f>
        <v>3000</v>
      </c>
      <c r="O2" s="122">
        <f>N2/$X$2*M2</f>
        <v>3000</v>
      </c>
      <c r="P2" s="114">
        <f>_xlfn.XLOOKUP(C2,'①考勤-B-a-26考勤汇总表'!D:D,'①考勤-B-a-26考勤汇总表'!U:U,0)</f>
        <v>0</v>
      </c>
      <c r="Q2" s="114">
        <f>N2/DAY(DATE($W$1,$X$1+1,0))*P2</f>
        <v>0</v>
      </c>
      <c r="R2" s="140">
        <f>O2</f>
        <v>3000</v>
      </c>
      <c r="S2" s="142">
        <f>IFERROR(_xlfn.XLOOKUP(C2,店助核算!O:O,店助核算!V:V,0),0)</f>
        <v>2436.5360000000001</v>
      </c>
      <c r="T2" s="142">
        <f>_xlfn.XLOOKUP(C2,店助核算!O:O,店助核算!W:W,0)</f>
        <v>200</v>
      </c>
      <c r="U2" s="142">
        <f>_xlfn.XLOOKUP(C2,店助核算!O:O,店助核算!X:X,0)</f>
        <v>150</v>
      </c>
      <c r="W2" s="86"/>
      <c r="X2" s="86">
        <v>31</v>
      </c>
    </row>
    <row r="3" spans="1:24" x14ac:dyDescent="0.15">
      <c r="B3" s="72" t="str">
        <f>②当月数据及门店毛利!B5</f>
        <v>龙湖</v>
      </c>
      <c r="C3" s="76" t="str">
        <f>_xlfn.XLOOKUP(B3,店助核算!B:B,店助核算!O:O,0)</f>
        <v>赵小红</v>
      </c>
      <c r="D3" s="122">
        <f>②当月数据及门店毛利!C5</f>
        <v>220223</v>
      </c>
      <c r="F3" s="122"/>
      <c r="G3" s="122"/>
      <c r="H3" s="122"/>
      <c r="I3" s="122"/>
      <c r="J3" s="122"/>
      <c r="K3" s="122"/>
      <c r="L3" s="122"/>
      <c r="M3" s="114">
        <f>_xlfn.XLOOKUP(C3,'[3]②7月-汇总'!$D:$D,'[3]②7月-汇总'!$AP:$AP,0)</f>
        <v>31</v>
      </c>
      <c r="N3" s="122">
        <f>_xlfn.XLOOKUP(C3,店助核算!O:O,店助核算!P:P,0)</f>
        <v>3000</v>
      </c>
      <c r="O3" s="122">
        <f t="shared" ref="O3:O34" si="0">N3/$X$2*M3</f>
        <v>3000</v>
      </c>
      <c r="P3" s="114">
        <f>_xlfn.XLOOKUP(C3,'①考勤-B-a-26考勤汇总表'!D:D,'①考勤-B-a-26考勤汇总表'!U:U,0)</f>
        <v>0</v>
      </c>
      <c r="Q3" s="114">
        <f t="shared" ref="Q3:Q34" si="1">N3/DAY(DATE($W$1,$X$1+1,0))*P3</f>
        <v>0</v>
      </c>
      <c r="R3" s="140">
        <f t="shared" ref="R3:R34" si="2">O3</f>
        <v>3000</v>
      </c>
      <c r="S3" s="142">
        <f>IFERROR(_xlfn.XLOOKUP(C3,店助核算!O:O,店助核算!V:V,0),0)</f>
        <v>880.89200000000005</v>
      </c>
      <c r="T3" s="142">
        <f>_xlfn.XLOOKUP(C3,店助核算!O:O,店助核算!W:W,0)</f>
        <v>400</v>
      </c>
      <c r="U3" s="142">
        <f>_xlfn.XLOOKUP(C3,店助核算!O:O,店助核算!X:X,0)</f>
        <v>150</v>
      </c>
    </row>
    <row r="4" spans="1:24" x14ac:dyDescent="0.15">
      <c r="B4" s="72" t="str">
        <f>②当月数据及门店毛利!B6</f>
        <v>沙河</v>
      </c>
      <c r="C4" s="76" t="str">
        <f>_xlfn.XLOOKUP(B4,店助核算!B:B,店助核算!O:O,0)</f>
        <v>谭莹</v>
      </c>
      <c r="D4" s="122">
        <f>②当月数据及门店毛利!C6</f>
        <v>150694</v>
      </c>
      <c r="F4" s="122"/>
      <c r="G4" s="122"/>
      <c r="H4" s="122"/>
      <c r="I4" s="122"/>
      <c r="J4" s="122"/>
      <c r="K4" s="122"/>
      <c r="L4" s="122"/>
      <c r="M4" s="114">
        <f>_xlfn.XLOOKUP(C4,'[3]②7月-汇总'!$D:$D,'[3]②7月-汇总'!$AP:$AP,0)</f>
        <v>31</v>
      </c>
      <c r="N4" s="122">
        <f>_xlfn.XLOOKUP(C4,店助核算!O:O,店助核算!P:P,0)</f>
        <v>3100</v>
      </c>
      <c r="O4" s="122">
        <f t="shared" si="0"/>
        <v>3100</v>
      </c>
      <c r="P4" s="114">
        <f>_xlfn.XLOOKUP(C4,'①考勤-B-a-26考勤汇总表'!D:D,'①考勤-B-a-26考勤汇总表'!U:U,0)</f>
        <v>0</v>
      </c>
      <c r="Q4" s="114">
        <f t="shared" si="1"/>
        <v>0</v>
      </c>
      <c r="R4" s="140">
        <f t="shared" si="2"/>
        <v>3100</v>
      </c>
      <c r="S4" s="142">
        <f>IFERROR(_xlfn.XLOOKUP(C4,店助核算!O:O,店助核算!V:V,0),0)</f>
        <v>604.16399999999999</v>
      </c>
      <c r="T4" s="142">
        <f>_xlfn.XLOOKUP(C4,店助核算!O:O,店助核算!W:W,0)</f>
        <v>200</v>
      </c>
      <c r="U4" s="142">
        <f>_xlfn.XLOOKUP(C4,店助核算!O:O,店助核算!X:X,0)</f>
        <v>150</v>
      </c>
    </row>
    <row r="5" spans="1:24" x14ac:dyDescent="0.15">
      <c r="B5" s="72" t="str">
        <f>②当月数据及门店毛利!B7</f>
        <v>华润</v>
      </c>
      <c r="C5" s="76" t="str">
        <f>_xlfn.XLOOKUP(B5,店助核算!B:B,店助核算!O:O,0)</f>
        <v>江玲</v>
      </c>
      <c r="D5" s="122">
        <f>②当月数据及门店毛利!C7</f>
        <v>201952.3</v>
      </c>
      <c r="F5" s="122"/>
      <c r="G5" s="122"/>
      <c r="H5" s="122"/>
      <c r="I5" s="122"/>
      <c r="J5" s="122"/>
      <c r="K5" s="122"/>
      <c r="L5" s="122"/>
      <c r="M5" s="114">
        <f>_xlfn.XLOOKUP(C5,'[3]②7月-汇总'!$D:$D,'[3]②7月-汇总'!$AP:$AP,0)</f>
        <v>31</v>
      </c>
      <c r="N5" s="122">
        <f>_xlfn.XLOOKUP(C5,店助核算!O:O,店助核算!P:P,0)</f>
        <v>3000</v>
      </c>
      <c r="O5" s="122">
        <f t="shared" si="0"/>
        <v>3000</v>
      </c>
      <c r="P5" s="114">
        <f>_xlfn.XLOOKUP(C5,'①考勤-B-a-26考勤汇总表'!D:D,'①考勤-B-a-26考勤汇总表'!U:U,0)</f>
        <v>0</v>
      </c>
      <c r="Q5" s="114">
        <f t="shared" si="1"/>
        <v>0</v>
      </c>
      <c r="R5" s="140">
        <f t="shared" si="2"/>
        <v>3000</v>
      </c>
      <c r="S5" s="142">
        <f>IFERROR(_xlfn.XLOOKUP(C5,店助核算!O:O,店助核算!V:V,0),0)</f>
        <v>807.80919999999992</v>
      </c>
      <c r="T5" s="142">
        <f>_xlfn.XLOOKUP(C5,店助核算!O:O,店助核算!W:W,0)</f>
        <v>400</v>
      </c>
      <c r="U5" s="142">
        <f>_xlfn.XLOOKUP(C5,店助核算!O:O,店助核算!X:X,0)</f>
        <v>150</v>
      </c>
      <c r="W5" s="76" t="s">
        <v>819</v>
      </c>
    </row>
    <row r="6" spans="1:24" x14ac:dyDescent="0.15">
      <c r="B6" s="72" t="str">
        <f>②当月数据及门店毛利!B8</f>
        <v>静居寺</v>
      </c>
      <c r="C6" s="76">
        <f>_xlfn.XLOOKUP(B6,店助核算!B:B,店助核算!O:O,0)</f>
        <v>0</v>
      </c>
      <c r="D6" s="122">
        <f>②当月数据及门店毛利!C8</f>
        <v>407490.19</v>
      </c>
      <c r="F6" s="122"/>
      <c r="G6" s="122"/>
      <c r="H6" s="122"/>
      <c r="I6" s="122"/>
      <c r="J6" s="122"/>
      <c r="K6" s="122"/>
      <c r="L6" s="122"/>
      <c r="M6" s="114">
        <f>_xlfn.XLOOKUP(C6,'[3]②7月-汇总'!$D:$D,'[3]②7月-汇总'!$AP:$AP,0)</f>
        <v>0</v>
      </c>
      <c r="N6" s="122">
        <f>_xlfn.XLOOKUP(C6,店助核算!O:O,店助核算!P:P,0)</f>
        <v>0</v>
      </c>
      <c r="O6" s="122">
        <f t="shared" si="0"/>
        <v>0</v>
      </c>
      <c r="P6" s="114">
        <f>_xlfn.XLOOKUP(C6,'①考勤-B-a-26考勤汇总表'!D:D,'①考勤-B-a-26考勤汇总表'!U:U,0)</f>
        <v>0</v>
      </c>
      <c r="Q6" s="114">
        <f t="shared" si="1"/>
        <v>0</v>
      </c>
      <c r="R6" s="140">
        <f t="shared" si="2"/>
        <v>0</v>
      </c>
      <c r="S6" s="142">
        <f>IFERROR(_xlfn.XLOOKUP(C6,店助核算!O:O,店助核算!V:V,0),0)</f>
        <v>0</v>
      </c>
      <c r="T6" s="142">
        <f>_xlfn.XLOOKUP(C6,店助核算!O:O,店助核算!W:W,0)</f>
        <v>0</v>
      </c>
      <c r="U6" s="142">
        <f>_xlfn.XLOOKUP(C6,店助核算!O:O,店助核算!X:X,0)</f>
        <v>0</v>
      </c>
      <c r="W6" s="76" t="s">
        <v>820</v>
      </c>
    </row>
    <row r="7" spans="1:24" x14ac:dyDescent="0.15">
      <c r="B7" s="72" t="str">
        <f>②当月数据及门店毛利!B9</f>
        <v>优品道</v>
      </c>
      <c r="C7" s="76" t="str">
        <f>_xlfn.XLOOKUP(B7,店助核算!B:B,店助核算!O:O,0)</f>
        <v>刘香</v>
      </c>
      <c r="D7" s="122">
        <f>②当月数据及门店毛利!C9</f>
        <v>160812</v>
      </c>
      <c r="F7" s="122"/>
      <c r="G7" s="122"/>
      <c r="H7" s="122"/>
      <c r="I7" s="122"/>
      <c r="J7" s="122"/>
      <c r="K7" s="122"/>
      <c r="L7" s="122"/>
      <c r="M7" s="114">
        <f>_xlfn.XLOOKUP(C7,'[3]②7月-汇总'!$D:$D,'[3]②7月-汇总'!$AP:$AP,0)</f>
        <v>31</v>
      </c>
      <c r="N7" s="122">
        <f>_xlfn.XLOOKUP(C7,店助核算!O:O,店助核算!P:P,0)</f>
        <v>3100</v>
      </c>
      <c r="O7" s="122">
        <f t="shared" si="0"/>
        <v>3100</v>
      </c>
      <c r="P7" s="114">
        <f>_xlfn.XLOOKUP(C7,'①考勤-B-a-26考勤汇总表'!D:D,'①考勤-B-a-26考勤汇总表'!U:U,0)</f>
        <v>0</v>
      </c>
      <c r="Q7" s="114">
        <f t="shared" si="1"/>
        <v>0</v>
      </c>
      <c r="R7" s="140">
        <f t="shared" si="2"/>
        <v>3100</v>
      </c>
      <c r="S7" s="142">
        <f>IFERROR(_xlfn.XLOOKUP(C7,店助核算!O:O,店助核算!V:V,0),0)</f>
        <v>664.87199999999996</v>
      </c>
      <c r="T7" s="142">
        <f>_xlfn.XLOOKUP(C7,店助核算!O:O,店助核算!W:W,0)</f>
        <v>400</v>
      </c>
      <c r="U7" s="142">
        <f>_xlfn.XLOOKUP(C7,店助核算!O:O,店助核算!X:X,0)</f>
        <v>150</v>
      </c>
    </row>
    <row r="8" spans="1:24" x14ac:dyDescent="0.15">
      <c r="B8" s="72">
        <f>②当月数据及门店毛利!B10</f>
        <v>468</v>
      </c>
      <c r="C8" s="76" t="str">
        <f>_xlfn.XLOOKUP(B8,店助核算!B:B,店助核算!O:O,0)</f>
        <v>王任燕</v>
      </c>
      <c r="D8" s="122">
        <f>②当月数据及门店毛利!C10</f>
        <v>140295</v>
      </c>
      <c r="F8" s="122"/>
      <c r="G8" s="122"/>
      <c r="H8" s="122"/>
      <c r="I8" s="122"/>
      <c r="J8" s="122"/>
      <c r="K8" s="122"/>
      <c r="L8" s="122"/>
      <c r="M8" s="114">
        <f>_xlfn.XLOOKUP(C8,'[3]②7月-汇总'!$D:$D,'[3]②7月-汇总'!$AP:$AP,0)</f>
        <v>31</v>
      </c>
      <c r="N8" s="122">
        <f>_xlfn.XLOOKUP(C8,店助核算!O:O,店助核算!P:P,0)</f>
        <v>3000</v>
      </c>
      <c r="O8" s="122">
        <f t="shared" si="0"/>
        <v>3000</v>
      </c>
      <c r="P8" s="114">
        <f>_xlfn.XLOOKUP(C8,'①考勤-B-a-26考勤汇总表'!D:D,'①考勤-B-a-26考勤汇总表'!U:U,0)</f>
        <v>0</v>
      </c>
      <c r="Q8" s="114">
        <f t="shared" si="1"/>
        <v>0</v>
      </c>
      <c r="R8" s="140">
        <f t="shared" si="2"/>
        <v>3000</v>
      </c>
      <c r="S8" s="142">
        <f>IFERROR(_xlfn.XLOOKUP(C8,店助核算!O:O,店助核算!V:V,0),0)</f>
        <v>561.18000000000006</v>
      </c>
      <c r="T8" s="142">
        <f>_xlfn.XLOOKUP(C8,店助核算!O:O,店助核算!W:W,0)</f>
        <v>400</v>
      </c>
      <c r="U8" s="142">
        <f>_xlfn.XLOOKUP(C8,店助核算!O:O,店助核算!X:X,0)</f>
        <v>150</v>
      </c>
    </row>
    <row r="9" spans="1:24" x14ac:dyDescent="0.15">
      <c r="B9" s="72" t="str">
        <f>②当月数据及门店毛利!B11</f>
        <v>光华</v>
      </c>
      <c r="C9" s="76" t="str">
        <f>_xlfn.XLOOKUP(B9,店助核算!B:B,店助核算!O:O,0)</f>
        <v>陈佳丽</v>
      </c>
      <c r="D9" s="122">
        <f>②当月数据及门店毛利!C11</f>
        <v>135590</v>
      </c>
      <c r="F9" s="122"/>
      <c r="G9" s="122"/>
      <c r="H9" s="122"/>
      <c r="I9" s="122"/>
      <c r="J9" s="122"/>
      <c r="K9" s="122"/>
      <c r="L9" s="122"/>
      <c r="M9" s="114">
        <f>_xlfn.XLOOKUP(C9,'[3]②7月-汇总'!$D:$D,'[3]②7月-汇总'!$AP:$AP,0)</f>
        <v>31</v>
      </c>
      <c r="N9" s="122">
        <f>_xlfn.XLOOKUP(C9,店助核算!O:O,店助核算!P:P,0)</f>
        <v>3100</v>
      </c>
      <c r="O9" s="122">
        <f t="shared" si="0"/>
        <v>3100</v>
      </c>
      <c r="P9" s="114">
        <f>_xlfn.XLOOKUP(C9,'①考勤-B-a-26考勤汇总表'!D:D,'①考勤-B-a-26考勤汇总表'!U:U,0)</f>
        <v>0</v>
      </c>
      <c r="Q9" s="114">
        <f t="shared" si="1"/>
        <v>0</v>
      </c>
      <c r="R9" s="140">
        <f t="shared" si="2"/>
        <v>3100</v>
      </c>
      <c r="S9" s="142">
        <f>IFERROR(_xlfn.XLOOKUP(C9,店助核算!O:O,店助核算!V:V,0),0)</f>
        <v>542.36</v>
      </c>
      <c r="T9" s="142">
        <f>_xlfn.XLOOKUP(C9,店助核算!O:O,店助核算!W:W,0)</f>
        <v>200</v>
      </c>
      <c r="U9" s="142">
        <f>_xlfn.XLOOKUP(C9,店助核算!O:O,店助核算!X:X,0)</f>
        <v>150</v>
      </c>
    </row>
    <row r="10" spans="1:24" x14ac:dyDescent="0.15">
      <c r="B10" s="72" t="str">
        <f>②当月数据及门店毛利!B12</f>
        <v>融创</v>
      </c>
      <c r="C10" s="76" t="str">
        <f>_xlfn.XLOOKUP(B10,店助核算!B:B,店助核算!O:O,0)</f>
        <v>但红玉</v>
      </c>
      <c r="D10" s="122">
        <f>②当月数据及门店毛利!C12</f>
        <v>152421</v>
      </c>
      <c r="F10" s="122"/>
      <c r="G10" s="122"/>
      <c r="H10" s="122"/>
      <c r="I10" s="122"/>
      <c r="J10" s="122"/>
      <c r="K10" s="122"/>
      <c r="L10" s="122"/>
      <c r="M10" s="114">
        <f>_xlfn.XLOOKUP(C10,'[3]②7月-汇总'!$D:$D,'[3]②7月-汇总'!$AP:$AP,0)</f>
        <v>31</v>
      </c>
      <c r="N10" s="122">
        <f>_xlfn.XLOOKUP(C10,店助核算!O:O,店助核算!P:P,0)</f>
        <v>3100</v>
      </c>
      <c r="O10" s="122">
        <f t="shared" si="0"/>
        <v>3100</v>
      </c>
      <c r="P10" s="114">
        <f>_xlfn.XLOOKUP(C10,'①考勤-B-a-26考勤汇总表'!D:D,'①考勤-B-a-26考勤汇总表'!U:U,0)</f>
        <v>0</v>
      </c>
      <c r="Q10" s="114">
        <f t="shared" si="1"/>
        <v>0</v>
      </c>
      <c r="R10" s="140">
        <f t="shared" si="2"/>
        <v>3100</v>
      </c>
      <c r="S10" s="142">
        <f>IFERROR(_xlfn.XLOOKUP(C10,店助核算!O:O,店助核算!V:V,0),0)</f>
        <v>614.52599999999995</v>
      </c>
      <c r="T10" s="142">
        <f>_xlfn.XLOOKUP(C10,店助核算!O:O,店助核算!W:W,0)</f>
        <v>200</v>
      </c>
      <c r="U10" s="142">
        <f>_xlfn.XLOOKUP(C10,店助核算!O:O,店助核算!X:X,0)</f>
        <v>150</v>
      </c>
    </row>
    <row r="11" spans="1:24" x14ac:dyDescent="0.15">
      <c r="B11" s="72" t="str">
        <f>②当月数据及门店毛利!B13</f>
        <v>川师</v>
      </c>
      <c r="C11" s="76" t="str">
        <f>_xlfn.XLOOKUP(B11,店助核算!B:B,店助核算!O:O,0)</f>
        <v>林萍</v>
      </c>
      <c r="D11" s="122">
        <f>②当月数据及门店毛利!C13</f>
        <v>205041</v>
      </c>
      <c r="F11" s="122"/>
      <c r="G11" s="122"/>
      <c r="H11" s="122"/>
      <c r="I11" s="122"/>
      <c r="J11" s="122"/>
      <c r="K11" s="122"/>
      <c r="L11" s="122"/>
      <c r="M11" s="114">
        <f>_xlfn.XLOOKUP(C11,'[3]②7月-汇总'!$D:$D,'[3]②7月-汇总'!$AP:$AP,0)</f>
        <v>31</v>
      </c>
      <c r="N11" s="122">
        <f>_xlfn.XLOOKUP(C11,店助核算!O:O,店助核算!P:P,0)</f>
        <v>3000</v>
      </c>
      <c r="O11" s="122">
        <f t="shared" si="0"/>
        <v>3000</v>
      </c>
      <c r="P11" s="114">
        <f>_xlfn.XLOOKUP(C11,'①考勤-B-a-26考勤汇总表'!D:D,'①考勤-B-a-26考勤汇总表'!U:U,0)</f>
        <v>0</v>
      </c>
      <c r="Q11" s="114">
        <f t="shared" si="1"/>
        <v>0</v>
      </c>
      <c r="R11" s="140">
        <f t="shared" si="2"/>
        <v>3000</v>
      </c>
      <c r="S11" s="142">
        <f>IFERROR(_xlfn.XLOOKUP(C11,店助核算!O:O,店助核算!V:V,0),0)</f>
        <v>830.24599999999998</v>
      </c>
      <c r="T11" s="142">
        <f>_xlfn.XLOOKUP(C11,店助核算!O:O,店助核算!W:W,0)</f>
        <v>400</v>
      </c>
      <c r="U11" s="142">
        <f>_xlfn.XLOOKUP(C11,店助核算!O:O,店助核算!X:X,0)</f>
        <v>150</v>
      </c>
    </row>
    <row r="12" spans="1:24" x14ac:dyDescent="0.15">
      <c r="B12" s="72" t="str">
        <f>②当月数据及门店毛利!B14</f>
        <v>鹭岛</v>
      </c>
      <c r="C12" s="76" t="str">
        <f>_xlfn.XLOOKUP(B12,店助核算!B:B,店助核算!O:O,0)</f>
        <v>蒋圆圆</v>
      </c>
      <c r="D12" s="122">
        <f>②当月数据及门店毛利!C14</f>
        <v>111267</v>
      </c>
      <c r="F12" s="122"/>
      <c r="G12" s="122"/>
      <c r="H12" s="122"/>
      <c r="I12" s="122"/>
      <c r="J12" s="122"/>
      <c r="K12" s="122"/>
      <c r="L12" s="122"/>
      <c r="M12" s="114">
        <f>_xlfn.XLOOKUP(C12,'[3]②7月-汇总'!$D:$D,'[3]②7月-汇总'!$AP:$AP,0)</f>
        <v>31</v>
      </c>
      <c r="N12" s="122">
        <f>_xlfn.XLOOKUP(C12,店助核算!O:O,店助核算!P:P,0)</f>
        <v>3200</v>
      </c>
      <c r="O12" s="122">
        <f t="shared" si="0"/>
        <v>3200</v>
      </c>
      <c r="P12" s="114">
        <f>_xlfn.XLOOKUP(C12,'①考勤-B-a-26考勤汇总表'!D:D,'①考勤-B-a-26考勤汇总表'!U:U,0)</f>
        <v>0</v>
      </c>
      <c r="Q12" s="114">
        <f t="shared" si="1"/>
        <v>0</v>
      </c>
      <c r="R12" s="140">
        <f t="shared" si="2"/>
        <v>3200</v>
      </c>
      <c r="S12" s="142">
        <f>IFERROR(_xlfn.XLOOKUP(C12,店助核算!O:O,店助核算!V:V,0),0)</f>
        <v>445.06799999999998</v>
      </c>
      <c r="T12" s="142">
        <f>_xlfn.XLOOKUP(C12,店助核算!O:O,店助核算!W:W,0)</f>
        <v>200</v>
      </c>
      <c r="U12" s="142">
        <f>_xlfn.XLOOKUP(C12,店助核算!O:O,店助核算!X:X,0)</f>
        <v>150</v>
      </c>
    </row>
    <row r="13" spans="1:24" x14ac:dyDescent="0.15">
      <c r="B13" s="72" t="str">
        <f>②当月数据及门店毛利!B15</f>
        <v>荣华南路</v>
      </c>
      <c r="C13" s="76" t="str">
        <f>_xlfn.XLOOKUP(B13,店助核算!B:B,店助核算!O:O,0)</f>
        <v>张明艳</v>
      </c>
      <c r="D13" s="122">
        <f>②当月数据及门店毛利!C15</f>
        <v>180024</v>
      </c>
      <c r="F13" s="122"/>
      <c r="G13" s="122"/>
      <c r="H13" s="122"/>
      <c r="I13" s="122"/>
      <c r="J13" s="122"/>
      <c r="K13" s="122"/>
      <c r="L13" s="122"/>
      <c r="M13" s="114">
        <f>_xlfn.XLOOKUP(C13,'[3]②7月-汇总'!$D:$D,'[3]②7月-汇总'!$AP:$AP,0)</f>
        <v>31</v>
      </c>
      <c r="N13" s="122">
        <f>_xlfn.XLOOKUP(C13,店助核算!O:O,店助核算!P:P,0)</f>
        <v>3100</v>
      </c>
      <c r="O13" s="122">
        <f t="shared" si="0"/>
        <v>3100</v>
      </c>
      <c r="P13" s="114">
        <f>_xlfn.XLOOKUP(C13,'①考勤-B-a-26考勤汇总表'!D:D,'①考勤-B-a-26考勤汇总表'!U:U,0)</f>
        <v>0</v>
      </c>
      <c r="Q13" s="114">
        <f t="shared" si="1"/>
        <v>0</v>
      </c>
      <c r="R13" s="140">
        <f t="shared" si="2"/>
        <v>3100</v>
      </c>
      <c r="S13" s="142">
        <f>IFERROR(_xlfn.XLOOKUP(C13,店助核算!O:O,店助核算!V:V,0),0)</f>
        <v>780.14400000000001</v>
      </c>
      <c r="T13" s="142">
        <f>_xlfn.XLOOKUP(C13,店助核算!O:O,店助核算!W:W,0)</f>
        <v>200</v>
      </c>
      <c r="U13" s="142">
        <f>_xlfn.XLOOKUP(C13,店助核算!O:O,店助核算!X:X,0)</f>
        <v>150</v>
      </c>
    </row>
    <row r="14" spans="1:24" x14ac:dyDescent="0.15">
      <c r="B14" s="72" t="str">
        <f>②当月数据及门店毛利!B16</f>
        <v>荣华北路</v>
      </c>
      <c r="C14" s="76">
        <f>_xlfn.XLOOKUP(B14,店助核算!B:B,店助核算!O:O,0)</f>
        <v>0</v>
      </c>
      <c r="D14" s="122">
        <f>②当月数据及门店毛利!C16</f>
        <v>153950.6</v>
      </c>
      <c r="F14" s="122"/>
      <c r="G14" s="122"/>
      <c r="H14" s="122"/>
      <c r="I14" s="122"/>
      <c r="J14" s="122"/>
      <c r="K14" s="122"/>
      <c r="L14" s="122"/>
      <c r="M14" s="114">
        <f>_xlfn.XLOOKUP(C14,'[3]②7月-汇总'!$D:$D,'[3]②7月-汇总'!$AP:$AP,0)</f>
        <v>0</v>
      </c>
      <c r="N14" s="122">
        <f>_xlfn.XLOOKUP(C14,店助核算!O:O,店助核算!P:P,0)</f>
        <v>0</v>
      </c>
      <c r="O14" s="122">
        <f t="shared" si="0"/>
        <v>0</v>
      </c>
      <c r="P14" s="114">
        <f>_xlfn.XLOOKUP(C14,'①考勤-B-a-26考勤汇总表'!D:D,'①考勤-B-a-26考勤汇总表'!U:U,0)</f>
        <v>0</v>
      </c>
      <c r="Q14" s="114">
        <f t="shared" si="1"/>
        <v>0</v>
      </c>
      <c r="R14" s="140">
        <f t="shared" si="2"/>
        <v>0</v>
      </c>
      <c r="S14" s="142">
        <f>IFERROR(_xlfn.XLOOKUP(C14,店助核算!O:O,店助核算!V:V,0),0)</f>
        <v>0</v>
      </c>
      <c r="T14" s="142">
        <f>_xlfn.XLOOKUP(C14,店助核算!O:O,店助核算!W:W,0)</f>
        <v>0</v>
      </c>
      <c r="U14" s="142">
        <f>_xlfn.XLOOKUP(C14,店助核算!O:O,店助核算!X:X,0)</f>
        <v>0</v>
      </c>
    </row>
    <row r="15" spans="1:24" x14ac:dyDescent="0.15">
      <c r="B15" s="72" t="str">
        <f>②当月数据及门店毛利!B17</f>
        <v>涌泉</v>
      </c>
      <c r="C15" s="76" t="str">
        <f>_xlfn.XLOOKUP(B15,店助核算!B:B,店助核算!O:O,0)</f>
        <v>林锶莹</v>
      </c>
      <c r="D15" s="122">
        <f>②当月数据及门店毛利!C17</f>
        <v>169632</v>
      </c>
      <c r="F15" s="122"/>
      <c r="G15" s="122"/>
      <c r="H15" s="122"/>
      <c r="I15" s="122"/>
      <c r="J15" s="122"/>
      <c r="K15" s="122"/>
      <c r="L15" s="122"/>
      <c r="M15" s="114">
        <f>_xlfn.XLOOKUP(C15,'[3]②7月-汇总'!$D:$D,'[3]②7月-汇总'!$AP:$AP,0)</f>
        <v>31</v>
      </c>
      <c r="N15" s="122">
        <f>_xlfn.XLOOKUP(C15,店助核算!O:O,店助核算!P:P,0)</f>
        <v>3100</v>
      </c>
      <c r="O15" s="122">
        <f t="shared" si="0"/>
        <v>3100</v>
      </c>
      <c r="P15" s="114">
        <f>_xlfn.XLOOKUP(C15,'①考勤-B-a-26考勤汇总表'!D:D,'①考勤-B-a-26考勤汇总表'!U:U,0)</f>
        <v>0</v>
      </c>
      <c r="Q15" s="114">
        <f t="shared" si="1"/>
        <v>0</v>
      </c>
      <c r="R15" s="140">
        <f t="shared" si="2"/>
        <v>3100</v>
      </c>
      <c r="S15" s="142">
        <f>IFERROR(_xlfn.XLOOKUP(C15,店助核算!O:O,店助核算!V:V,0),0)</f>
        <v>717.79200000000003</v>
      </c>
      <c r="T15" s="142">
        <f>_xlfn.XLOOKUP(C15,店助核算!O:O,店助核算!W:W,0)</f>
        <v>200</v>
      </c>
      <c r="U15" s="142">
        <f>_xlfn.XLOOKUP(C15,店助核算!O:O,店助核算!X:X,0)</f>
        <v>150</v>
      </c>
    </row>
    <row r="16" spans="1:24" x14ac:dyDescent="0.15">
      <c r="B16" s="72" t="str">
        <f>②当月数据及门店毛利!B18</f>
        <v>大丰</v>
      </c>
      <c r="C16" s="76" t="str">
        <f>_xlfn.XLOOKUP(B16,店助核算!B:B,店助核算!O:O,0)</f>
        <v>郑华跃</v>
      </c>
      <c r="D16" s="122">
        <f>②当月数据及门店毛利!C18</f>
        <v>200049.7</v>
      </c>
      <c r="F16" s="122"/>
      <c r="G16" s="122"/>
      <c r="H16" s="122"/>
      <c r="I16" s="122"/>
      <c r="J16" s="122"/>
      <c r="K16" s="122"/>
      <c r="L16" s="122"/>
      <c r="M16" s="114">
        <f>_xlfn.XLOOKUP(C16,'[3]②7月-汇总'!$D:$D,'[3]②7月-汇总'!$AP:$AP,0)</f>
        <v>31</v>
      </c>
      <c r="N16" s="122">
        <f>_xlfn.XLOOKUP(C16,店助核算!O:O,店助核算!P:P,0)</f>
        <v>3000</v>
      </c>
      <c r="O16" s="122">
        <f t="shared" si="0"/>
        <v>3000</v>
      </c>
      <c r="P16" s="114">
        <f>_xlfn.XLOOKUP(C16,'①考勤-B-a-26考勤汇总表'!D:D,'①考勤-B-a-26考勤汇总表'!U:U,0)</f>
        <v>0</v>
      </c>
      <c r="Q16" s="114">
        <f t="shared" si="1"/>
        <v>0</v>
      </c>
      <c r="R16" s="140">
        <f t="shared" si="2"/>
        <v>3000</v>
      </c>
      <c r="S16" s="142">
        <f>IFERROR(_xlfn.XLOOKUP(C16,店助核算!O:O,店助核算!V:V,0),0)</f>
        <v>800.29820000000007</v>
      </c>
      <c r="T16" s="142">
        <f>_xlfn.XLOOKUP(C16,店助核算!O:O,店助核算!W:W,0)</f>
        <v>200</v>
      </c>
      <c r="U16" s="142">
        <f>_xlfn.XLOOKUP(C16,店助核算!O:O,店助核算!X:X,0)</f>
        <v>150</v>
      </c>
    </row>
    <row r="17" spans="2:21" x14ac:dyDescent="0.15">
      <c r="B17" s="72" t="str">
        <f>②当月数据及门店毛利!B19</f>
        <v>双流</v>
      </c>
      <c r="C17" s="76" t="str">
        <f>_xlfn.XLOOKUP(B17,店助核算!B:B,店助核算!O:O,0)</f>
        <v>陈琳</v>
      </c>
      <c r="D17" s="122">
        <f>②当月数据及门店毛利!C19</f>
        <v>311108</v>
      </c>
      <c r="F17" s="122"/>
      <c r="G17" s="122"/>
      <c r="H17" s="122"/>
      <c r="I17" s="122"/>
      <c r="J17" s="122"/>
      <c r="K17" s="122"/>
      <c r="L17" s="122"/>
      <c r="M17" s="114">
        <f>_xlfn.XLOOKUP(C17,'[3]②7月-汇总'!$D:$D,'[3]②7月-汇总'!$AP:$AP,0)</f>
        <v>15</v>
      </c>
      <c r="N17" s="122">
        <f>_xlfn.XLOOKUP(C17,店助核算!O:O,店助核算!P:P,0)</f>
        <v>3100</v>
      </c>
      <c r="O17" s="122">
        <f t="shared" si="0"/>
        <v>1500</v>
      </c>
      <c r="P17" s="114">
        <f>_xlfn.XLOOKUP(C17,'①考勤-B-a-26考勤汇总表'!D:D,'①考勤-B-a-26考勤汇总表'!U:U,0)</f>
        <v>0</v>
      </c>
      <c r="Q17" s="114">
        <f t="shared" si="1"/>
        <v>0</v>
      </c>
      <c r="R17" s="140">
        <f t="shared" si="2"/>
        <v>1500</v>
      </c>
      <c r="S17" s="142">
        <f>IFERROR(_xlfn.XLOOKUP(C17,店助核算!O:O,店助核算!V:V,0),0)</f>
        <v>1566.6480000000001</v>
      </c>
      <c r="T17" s="142">
        <f>_xlfn.XLOOKUP(C17,店助核算!O:O,店助核算!W:W,0)</f>
        <v>200</v>
      </c>
      <c r="U17" s="142">
        <f>_xlfn.XLOOKUP(C17,店助核算!O:O,店助核算!X:X,0)</f>
        <v>150</v>
      </c>
    </row>
    <row r="18" spans="2:21" x14ac:dyDescent="0.15">
      <c r="B18" s="72" t="str">
        <f>②当月数据及门店毛利!B20</f>
        <v>骑士郡</v>
      </c>
      <c r="C18" s="76" t="str">
        <f>_xlfn.XLOOKUP(B18,店助核算!B:B,店助核算!O:O,0)</f>
        <v>雷怡</v>
      </c>
      <c r="D18" s="122">
        <f>②当月数据及门店毛利!C20</f>
        <v>158633</v>
      </c>
      <c r="F18" s="122"/>
      <c r="G18" s="122"/>
      <c r="H18" s="122"/>
      <c r="I18" s="122"/>
      <c r="J18" s="122"/>
      <c r="K18" s="122"/>
      <c r="L18" s="122"/>
      <c r="M18" s="114">
        <f>_xlfn.XLOOKUP(C18,'[3]②7月-汇总'!$D:$D,'[3]②7月-汇总'!$AP:$AP,0)</f>
        <v>31</v>
      </c>
      <c r="N18" s="122">
        <f>_xlfn.XLOOKUP(C18,店助核算!O:O,店助核算!P:P,0)</f>
        <v>3000</v>
      </c>
      <c r="O18" s="122">
        <f t="shared" si="0"/>
        <v>3000</v>
      </c>
      <c r="P18" s="114">
        <f>_xlfn.XLOOKUP(C18,'①考勤-B-a-26考勤汇总表'!D:D,'①考勤-B-a-26考勤汇总表'!U:U,0)</f>
        <v>0</v>
      </c>
      <c r="Q18" s="114">
        <f t="shared" si="1"/>
        <v>0</v>
      </c>
      <c r="R18" s="140">
        <f t="shared" si="2"/>
        <v>3000</v>
      </c>
      <c r="S18" s="142">
        <f>IFERROR(_xlfn.XLOOKUP(C18,店助核算!O:O,店助核算!V:V,0),0)</f>
        <v>634.53200000000004</v>
      </c>
      <c r="T18" s="142">
        <f>_xlfn.XLOOKUP(C18,店助核算!O:O,店助核算!W:W,0)</f>
        <v>200</v>
      </c>
      <c r="U18" s="142">
        <f>_xlfn.XLOOKUP(C18,店助核算!O:O,店助核算!X:X,0)</f>
        <v>150</v>
      </c>
    </row>
    <row r="19" spans="2:21" x14ac:dyDescent="0.15">
      <c r="B19" s="72" t="str">
        <f>②当月数据及门店毛利!B21</f>
        <v>明信</v>
      </c>
      <c r="C19" s="76" t="str">
        <f>_xlfn.XLOOKUP(B19,店助核算!B:B,店助核算!O:O,0)</f>
        <v>陈嘉仪</v>
      </c>
      <c r="D19" s="122">
        <f>②当月数据及门店毛利!C21</f>
        <v>92371</v>
      </c>
      <c r="F19" s="122"/>
      <c r="G19" s="122"/>
      <c r="H19" s="122"/>
      <c r="I19" s="122"/>
      <c r="J19" s="122"/>
      <c r="K19" s="122"/>
      <c r="L19" s="122"/>
      <c r="M19" s="114">
        <f>_xlfn.XLOOKUP(C19,'[3]②7月-汇总'!$D:$D,'[3]②7月-汇总'!$AP:$AP,0)</f>
        <v>31</v>
      </c>
      <c r="N19" s="122">
        <f>_xlfn.XLOOKUP(C19,店助核算!O:O,店助核算!P:P,0)</f>
        <v>3200</v>
      </c>
      <c r="O19" s="122">
        <f t="shared" si="0"/>
        <v>3200</v>
      </c>
      <c r="P19" s="114">
        <f>_xlfn.XLOOKUP(C19,'①考勤-B-a-26考勤汇总表'!D:D,'①考勤-B-a-26考勤汇总表'!U:U,0)</f>
        <v>0</v>
      </c>
      <c r="Q19" s="114">
        <f t="shared" si="1"/>
        <v>0</v>
      </c>
      <c r="R19" s="140">
        <f t="shared" si="2"/>
        <v>3200</v>
      </c>
      <c r="S19" s="142">
        <f>IFERROR(_xlfn.XLOOKUP(C19,店助核算!O:O,店助核算!V:V,0),0)</f>
        <v>369.48399999999998</v>
      </c>
      <c r="T19" s="142">
        <f>_xlfn.XLOOKUP(C19,店助核算!O:O,店助核算!W:W,0)</f>
        <v>400</v>
      </c>
      <c r="U19" s="142">
        <f>_xlfn.XLOOKUP(C19,店助核算!O:O,店助核算!X:X,0)</f>
        <v>150</v>
      </c>
    </row>
    <row r="20" spans="2:21" x14ac:dyDescent="0.15">
      <c r="B20" s="72" t="str">
        <f>②当月数据及门店毛利!B22</f>
        <v>犀浦</v>
      </c>
      <c r="C20" s="76" t="str">
        <f>_xlfn.XLOOKUP(B20,店助核算!B:B,店助核算!O:O,0)</f>
        <v>彭兰钦</v>
      </c>
      <c r="D20" s="122">
        <f>②当月数据及门店毛利!C22</f>
        <v>100934</v>
      </c>
      <c r="F20" s="122"/>
      <c r="G20" s="122"/>
      <c r="H20" s="122"/>
      <c r="I20" s="122"/>
      <c r="J20" s="122"/>
      <c r="K20" s="122"/>
      <c r="L20" s="122"/>
      <c r="M20" s="114">
        <f>_xlfn.XLOOKUP(C20,'[3]②7月-汇总'!$D:$D,'[3]②7月-汇总'!$AP:$AP,0)</f>
        <v>31</v>
      </c>
      <c r="N20" s="122">
        <f>_xlfn.XLOOKUP(C20,店助核算!O:O,店助核算!P:P,0)</f>
        <v>3100</v>
      </c>
      <c r="O20" s="122">
        <f t="shared" si="0"/>
        <v>3100</v>
      </c>
      <c r="P20" s="114">
        <f>_xlfn.XLOOKUP(C20,'①考勤-B-a-26考勤汇总表'!D:D,'①考勤-B-a-26考勤汇总表'!U:U,0)</f>
        <v>0</v>
      </c>
      <c r="Q20" s="114">
        <f t="shared" si="1"/>
        <v>0</v>
      </c>
      <c r="R20" s="140">
        <f t="shared" si="2"/>
        <v>3100</v>
      </c>
      <c r="S20" s="142">
        <f>IFERROR(_xlfn.XLOOKUP(C20,店助核算!O:O,店助核算!V:V,0),0)</f>
        <v>0</v>
      </c>
      <c r="T20" s="142">
        <f>_xlfn.XLOOKUP(C20,店助核算!O:O,店助核算!W:W,0)</f>
        <v>200</v>
      </c>
      <c r="U20" s="142">
        <f>_xlfn.XLOOKUP(C20,店助核算!O:O,店助核算!X:X,0)</f>
        <v>150</v>
      </c>
    </row>
    <row r="21" spans="2:21" x14ac:dyDescent="0.15">
      <c r="B21" s="72" t="str">
        <f>②当月数据及门店毛利!B23</f>
        <v>千禧</v>
      </c>
      <c r="C21" s="76" t="str">
        <f>_xlfn.XLOOKUP(B21,店助核算!B:B,店助核算!O:O,0)</f>
        <v>郑巧玲</v>
      </c>
      <c r="D21" s="122">
        <f>②当月数据及门店毛利!C23</f>
        <v>151129</v>
      </c>
      <c r="F21" s="122"/>
      <c r="G21" s="122"/>
      <c r="H21" s="122"/>
      <c r="I21" s="122"/>
      <c r="J21" s="122"/>
      <c r="K21" s="122"/>
      <c r="L21" s="122"/>
      <c r="M21" s="114">
        <f>_xlfn.XLOOKUP(C21,'[3]②7月-汇总'!$D:$D,'[3]②7月-汇总'!$AP:$AP,0)</f>
        <v>31</v>
      </c>
      <c r="N21" s="122">
        <f>_xlfn.XLOOKUP(C21,店助核算!O:O,店助核算!P:P,0)</f>
        <v>3100</v>
      </c>
      <c r="O21" s="122">
        <f t="shared" si="0"/>
        <v>3100</v>
      </c>
      <c r="P21" s="114">
        <f>_xlfn.XLOOKUP(C21,'①考勤-B-a-26考勤汇总表'!D:D,'①考勤-B-a-26考勤汇总表'!U:U,0)</f>
        <v>0</v>
      </c>
      <c r="Q21" s="114">
        <f t="shared" si="1"/>
        <v>0</v>
      </c>
      <c r="R21" s="140">
        <f t="shared" si="2"/>
        <v>3100</v>
      </c>
      <c r="S21" s="142">
        <f>IFERROR(_xlfn.XLOOKUP(C21,店助核算!O:O,店助核算!V:V,0),0)</f>
        <v>606.774</v>
      </c>
      <c r="T21" s="142">
        <f>_xlfn.XLOOKUP(C21,店助核算!O:O,店助核算!W:W,0)</f>
        <v>200</v>
      </c>
      <c r="U21" s="142">
        <f>_xlfn.XLOOKUP(C21,店助核算!O:O,店助核算!X:X,0)</f>
        <v>150</v>
      </c>
    </row>
    <row r="22" spans="2:21" x14ac:dyDescent="0.15">
      <c r="B22" s="72" t="str">
        <f>②当月数据及门店毛利!B24</f>
        <v>亚洲湾</v>
      </c>
      <c r="C22" s="76" t="str">
        <f>_xlfn.XLOOKUP(B22,店助核算!B:B,店助核算!O:O,0)</f>
        <v>谢珂欣</v>
      </c>
      <c r="D22" s="122">
        <f>②当月数据及门店毛利!C24</f>
        <v>143757</v>
      </c>
      <c r="F22" s="122"/>
      <c r="G22" s="122"/>
      <c r="H22" s="122"/>
      <c r="I22" s="122"/>
      <c r="J22" s="122"/>
      <c r="K22" s="122"/>
      <c r="L22" s="122"/>
      <c r="M22" s="114">
        <f>_xlfn.XLOOKUP(C22,'[3]②7月-汇总'!$D:$D,'[3]②7月-汇总'!$AP:$AP,0)</f>
        <v>24</v>
      </c>
      <c r="N22" s="122">
        <f>_xlfn.XLOOKUP(C22,店助核算!O:O,店助核算!P:P,0)</f>
        <v>3200</v>
      </c>
      <c r="O22" s="122">
        <f t="shared" si="0"/>
        <v>2477.4193548387093</v>
      </c>
      <c r="P22" s="114">
        <f>_xlfn.XLOOKUP(C22,'①考勤-B-a-26考勤汇总表'!D:D,'①考勤-B-a-26考勤汇总表'!U:U,0)</f>
        <v>7</v>
      </c>
      <c r="Q22" s="114">
        <f t="shared" si="1"/>
        <v>722.58064516129025</v>
      </c>
      <c r="R22" s="140">
        <f t="shared" si="2"/>
        <v>2477.4193548387093</v>
      </c>
      <c r="S22" s="142">
        <f>IFERROR(_xlfn.XLOOKUP(C22,店助核算!O:O,店助核算!V:V,0),0)</f>
        <v>622.54200000000003</v>
      </c>
      <c r="T22" s="142">
        <f>_xlfn.XLOOKUP(C22,店助核算!O:O,店助核算!W:W,0)</f>
        <v>200</v>
      </c>
      <c r="U22" s="142">
        <f>_xlfn.XLOOKUP(C22,店助核算!O:O,店助核算!X:X,0)</f>
        <v>150</v>
      </c>
    </row>
    <row r="23" spans="2:21" x14ac:dyDescent="0.15">
      <c r="B23" s="72" t="str">
        <f>②当月数据及门店毛利!B25</f>
        <v>中和</v>
      </c>
      <c r="C23" s="76" t="str">
        <f>_xlfn.XLOOKUP(B23,店助核算!B:B,店助核算!O:O,0)</f>
        <v>贺慧</v>
      </c>
      <c r="D23" s="122">
        <f>②当月数据及门店毛利!C25</f>
        <v>150422</v>
      </c>
      <c r="F23" s="122"/>
      <c r="G23" s="122"/>
      <c r="H23" s="122"/>
      <c r="I23" s="122"/>
      <c r="J23" s="122"/>
      <c r="K23" s="122"/>
      <c r="L23" s="122"/>
      <c r="M23" s="114">
        <f>_xlfn.XLOOKUP(C23,'[3]②7月-汇总'!$D:$D,'[3]②7月-汇总'!$AP:$AP,0)</f>
        <v>29</v>
      </c>
      <c r="N23" s="122">
        <f>_xlfn.XLOOKUP(C23,店助核算!O:O,店助核算!P:P,0)</f>
        <v>3100</v>
      </c>
      <c r="O23" s="122">
        <f t="shared" si="0"/>
        <v>2900</v>
      </c>
      <c r="P23" s="114">
        <f>_xlfn.XLOOKUP(C23,'①考勤-B-a-26考勤汇总表'!D:D,'①考勤-B-a-26考勤汇总表'!U:U,0)</f>
        <v>2</v>
      </c>
      <c r="Q23" s="114">
        <f t="shared" si="1"/>
        <v>200</v>
      </c>
      <c r="R23" s="140">
        <f t="shared" si="2"/>
        <v>2900</v>
      </c>
      <c r="S23" s="142">
        <f>IFERROR(_xlfn.XLOOKUP(C23,店助核算!O:O,店助核算!V:V,0),0)</f>
        <v>602.53200000000004</v>
      </c>
      <c r="T23" s="142">
        <f>_xlfn.XLOOKUP(C23,店助核算!O:O,店助核算!W:W,0)</f>
        <v>0</v>
      </c>
      <c r="U23" s="142">
        <f>_xlfn.XLOOKUP(C23,店助核算!O:O,店助核算!X:X,0)</f>
        <v>150</v>
      </c>
    </row>
    <row r="24" spans="2:21" x14ac:dyDescent="0.15">
      <c r="B24" s="72" t="str">
        <f>②当月数据及门店毛利!B26</f>
        <v>凤凰山</v>
      </c>
      <c r="C24" s="76" t="str">
        <f>_xlfn.XLOOKUP(B24,店助核算!B:B,店助核算!O:O,0)</f>
        <v>叶璐璐</v>
      </c>
      <c r="D24" s="122">
        <f>②当月数据及门店毛利!C26</f>
        <v>180307.8</v>
      </c>
      <c r="F24" s="122"/>
      <c r="G24" s="122"/>
      <c r="H24" s="122"/>
      <c r="I24" s="122"/>
      <c r="J24" s="122"/>
      <c r="K24" s="122"/>
      <c r="L24" s="122"/>
      <c r="M24" s="114">
        <f>_xlfn.XLOOKUP(C24,'[3]②7月-汇总'!$D:$D,'[3]②7月-汇总'!$AP:$AP,0)</f>
        <v>31</v>
      </c>
      <c r="N24" s="122">
        <f>_xlfn.XLOOKUP(C24,店助核算!O:O,店助核算!P:P,0)</f>
        <v>3000</v>
      </c>
      <c r="O24" s="122">
        <f t="shared" si="0"/>
        <v>3000</v>
      </c>
      <c r="P24" s="114">
        <f>_xlfn.XLOOKUP(C24,'①考勤-B-a-26考勤汇总表'!D:D,'①考勤-B-a-26考勤汇总表'!U:U,0)</f>
        <v>0</v>
      </c>
      <c r="Q24" s="114">
        <f t="shared" si="1"/>
        <v>0</v>
      </c>
      <c r="R24" s="140">
        <f t="shared" si="2"/>
        <v>3000</v>
      </c>
      <c r="S24" s="142">
        <f>IFERROR(_xlfn.XLOOKUP(C24,店助核算!O:O,店助核算!V:V,0),0)</f>
        <v>721.84679999999992</v>
      </c>
      <c r="T24" s="142">
        <f>_xlfn.XLOOKUP(C24,店助核算!O:O,店助核算!W:W,0)</f>
        <v>0</v>
      </c>
      <c r="U24" s="142">
        <f>_xlfn.XLOOKUP(C24,店助核算!O:O,店助核算!X:X,0)</f>
        <v>150</v>
      </c>
    </row>
    <row r="25" spans="2:21" x14ac:dyDescent="0.15">
      <c r="B25" s="72" t="str">
        <f>②当月数据及门店毛利!B27</f>
        <v>南湖</v>
      </c>
      <c r="C25" s="76" t="str">
        <f>_xlfn.XLOOKUP(B25,店助核算!B:B,店助核算!O:O,0)</f>
        <v>施凤皎</v>
      </c>
      <c r="D25" s="122">
        <f>②当月数据及门店毛利!C27</f>
        <v>139022</v>
      </c>
      <c r="F25" s="122"/>
      <c r="G25" s="122"/>
      <c r="H25" s="122"/>
      <c r="I25" s="122"/>
      <c r="J25" s="122"/>
      <c r="K25" s="122"/>
      <c r="L25" s="122"/>
      <c r="M25" s="114">
        <f>_xlfn.XLOOKUP(C25,'[3]②7月-汇总'!$D:$D,'[3]②7月-汇总'!$AP:$AP,0)</f>
        <v>31</v>
      </c>
      <c r="N25" s="122">
        <f>_xlfn.XLOOKUP(C25,店助核算!O:O,店助核算!P:P,0)</f>
        <v>3000</v>
      </c>
      <c r="O25" s="122">
        <f t="shared" si="0"/>
        <v>3000</v>
      </c>
      <c r="P25" s="114">
        <f>_xlfn.XLOOKUP(C25,'①考勤-B-a-26考勤汇总表'!D:D,'①考勤-B-a-26考勤汇总表'!U:U,0)</f>
        <v>0</v>
      </c>
      <c r="Q25" s="114">
        <f t="shared" si="1"/>
        <v>0</v>
      </c>
      <c r="R25" s="140">
        <f t="shared" si="2"/>
        <v>3000</v>
      </c>
      <c r="S25" s="142">
        <f>IFERROR(_xlfn.XLOOKUP(C25,店助核算!O:O,店助核算!V:V,0),0)</f>
        <v>556.08799999999997</v>
      </c>
      <c r="T25" s="142">
        <f>_xlfn.XLOOKUP(C25,店助核算!O:O,店助核算!W:W,0)</f>
        <v>200</v>
      </c>
      <c r="U25" s="142">
        <f>_xlfn.XLOOKUP(C25,店助核算!O:O,店助核算!X:X,0)</f>
        <v>150</v>
      </c>
    </row>
    <row r="26" spans="2:21" x14ac:dyDescent="0.15">
      <c r="B26" s="72" t="str">
        <f>②当月数据及门店毛利!B28</f>
        <v>大源</v>
      </c>
      <c r="C26" s="76" t="str">
        <f>_xlfn.XLOOKUP(B26,店助核算!B:B,店助核算!O:O,0)</f>
        <v>陈燕辉</v>
      </c>
      <c r="D26" s="122">
        <f>②当月数据及门店毛利!C28</f>
        <v>120949.6</v>
      </c>
      <c r="F26" s="122"/>
      <c r="G26" s="122"/>
      <c r="H26" s="122"/>
      <c r="I26" s="122"/>
      <c r="J26" s="122"/>
      <c r="K26" s="122"/>
      <c r="L26" s="122"/>
      <c r="M26" s="114">
        <f>_xlfn.XLOOKUP(C26,'[3]②7月-汇总'!$D:$D,'[3]②7月-汇总'!$AP:$AP,0)</f>
        <v>31</v>
      </c>
      <c r="N26" s="122">
        <f>_xlfn.XLOOKUP(C26,店助核算!O:O,店助核算!P:P,0)</f>
        <v>3200</v>
      </c>
      <c r="O26" s="122">
        <f t="shared" si="0"/>
        <v>3200</v>
      </c>
      <c r="P26" s="114">
        <f>_xlfn.XLOOKUP(C26,'①考勤-B-a-26考勤汇总表'!D:D,'①考勤-B-a-26考勤汇总表'!U:U,0)</f>
        <v>0</v>
      </c>
      <c r="Q26" s="114">
        <f t="shared" si="1"/>
        <v>0</v>
      </c>
      <c r="R26" s="140">
        <f t="shared" si="2"/>
        <v>3200</v>
      </c>
      <c r="S26" s="142">
        <f>IFERROR(_xlfn.XLOOKUP(C26,店助核算!O:O,店助核算!V:V,0),0)</f>
        <v>485.69760000000002</v>
      </c>
      <c r="T26" s="142">
        <f>_xlfn.XLOOKUP(C26,店助核算!O:O,店助核算!W:W,0)</f>
        <v>200</v>
      </c>
      <c r="U26" s="142">
        <f>_xlfn.XLOOKUP(C26,店助核算!O:O,店助核算!X:X,0)</f>
        <v>150</v>
      </c>
    </row>
    <row r="27" spans="2:21" x14ac:dyDescent="0.15">
      <c r="B27" s="72" t="str">
        <f>②当月数据及门店毛利!B29</f>
        <v>红光</v>
      </c>
      <c r="C27" s="76" t="str">
        <f>_xlfn.XLOOKUP(B27,店助核算!B:B,店助核算!O:O,0)</f>
        <v>谢双叶</v>
      </c>
      <c r="D27" s="122">
        <f>②当月数据及门店毛利!C29</f>
        <v>259744.88</v>
      </c>
      <c r="F27" s="122"/>
      <c r="G27" s="122"/>
      <c r="H27" s="122"/>
      <c r="I27" s="122"/>
      <c r="J27" s="122"/>
      <c r="K27" s="122"/>
      <c r="L27" s="122"/>
      <c r="M27" s="114">
        <f>_xlfn.XLOOKUP(C27,'[3]②7月-汇总'!$D:$D,'[3]②7月-汇总'!$AP:$AP,0)</f>
        <v>31</v>
      </c>
      <c r="N27" s="122">
        <f>_xlfn.XLOOKUP(C27,店助核算!O:O,店助核算!P:P,0)</f>
        <v>3200</v>
      </c>
      <c r="O27" s="122">
        <f t="shared" si="0"/>
        <v>3200</v>
      </c>
      <c r="P27" s="114">
        <f>_xlfn.XLOOKUP(C27,'①考勤-B-a-26考勤汇总表'!D:D,'①考勤-B-a-26考勤汇总表'!U:U,0)</f>
        <v>0</v>
      </c>
      <c r="Q27" s="114">
        <f t="shared" si="1"/>
        <v>0</v>
      </c>
      <c r="R27" s="140">
        <f t="shared" si="2"/>
        <v>3200</v>
      </c>
      <c r="S27" s="142">
        <f>IFERROR(_xlfn.XLOOKUP(C27,店助核算!O:O,店助核算!V:V,0),0)</f>
        <v>1318.46928</v>
      </c>
      <c r="T27" s="142">
        <f>_xlfn.XLOOKUP(C27,店助核算!O:O,店助核算!W:W,0)</f>
        <v>200</v>
      </c>
      <c r="U27" s="142">
        <f>_xlfn.XLOOKUP(C27,店助核算!O:O,店助核算!X:X,0)</f>
        <v>150</v>
      </c>
    </row>
    <row r="28" spans="2:21" x14ac:dyDescent="0.15">
      <c r="B28" s="72" t="str">
        <f>②当月数据及门店毛利!B30</f>
        <v>保利</v>
      </c>
      <c r="C28" s="76" t="str">
        <f>_xlfn.XLOOKUP(B28,店助核算!B:B,店助核算!O:O,0)</f>
        <v>汪丽娟</v>
      </c>
      <c r="D28" s="122">
        <f>②当月数据及门店毛利!C30</f>
        <v>150031.32999999999</v>
      </c>
      <c r="F28" s="122"/>
      <c r="G28" s="122"/>
      <c r="H28" s="122"/>
      <c r="I28" s="122"/>
      <c r="J28" s="122"/>
      <c r="K28" s="122"/>
      <c r="L28" s="122"/>
      <c r="M28" s="114">
        <f>_xlfn.XLOOKUP(C28,'[3]②7月-汇总'!$D:$D,'[3]②7月-汇总'!$AP:$AP,0)</f>
        <v>31</v>
      </c>
      <c r="N28" s="122">
        <f>_xlfn.XLOOKUP(C28,店助核算!O:O,店助核算!P:P,0)</f>
        <v>3100</v>
      </c>
      <c r="O28" s="122">
        <f t="shared" si="0"/>
        <v>3100</v>
      </c>
      <c r="P28" s="114">
        <f>_xlfn.XLOOKUP(C28,'①考勤-B-a-26考勤汇总表'!D:D,'①考勤-B-a-26考勤汇总表'!U:U,0)</f>
        <v>0</v>
      </c>
      <c r="Q28" s="114">
        <f t="shared" si="1"/>
        <v>0</v>
      </c>
      <c r="R28" s="140">
        <f t="shared" si="2"/>
        <v>3100</v>
      </c>
      <c r="S28" s="142">
        <f>IFERROR(_xlfn.XLOOKUP(C28,店助核算!O:O,店助核算!V:V,0),0)</f>
        <v>600.18797999999992</v>
      </c>
      <c r="T28" s="142">
        <f>_xlfn.XLOOKUP(C28,店助核算!O:O,店助核算!W:W,0)</f>
        <v>200</v>
      </c>
      <c r="U28" s="142">
        <f>_xlfn.XLOOKUP(C28,店助核算!O:O,店助核算!X:X,0)</f>
        <v>150</v>
      </c>
    </row>
    <row r="29" spans="2:21" x14ac:dyDescent="0.15">
      <c r="B29" s="72" t="str">
        <f>②当月数据及门店毛利!B31</f>
        <v>龙城国际</v>
      </c>
      <c r="C29" s="76" t="str">
        <f>_xlfn.XLOOKUP(B29,店助核算!B:B,店助核算!O:O,0)</f>
        <v>胡祝曲</v>
      </c>
      <c r="D29" s="122">
        <f>②当月数据及门店毛利!C31</f>
        <v>133334.88</v>
      </c>
      <c r="F29" s="122"/>
      <c r="G29" s="122"/>
      <c r="H29" s="122"/>
      <c r="I29" s="122"/>
      <c r="J29" s="122"/>
      <c r="K29" s="122"/>
      <c r="L29" s="122"/>
      <c r="M29" s="114">
        <f>_xlfn.XLOOKUP(C29,'[3]②7月-汇总'!$D:$D,'[3]②7月-汇总'!$AP:$AP,0)</f>
        <v>31</v>
      </c>
      <c r="N29" s="122">
        <f>_xlfn.XLOOKUP(C29,店助核算!O:O,店助核算!P:P,0)</f>
        <v>3200</v>
      </c>
      <c r="O29" s="122">
        <f t="shared" si="0"/>
        <v>3200</v>
      </c>
      <c r="P29" s="114">
        <f>_xlfn.XLOOKUP(C29,'①考勤-B-a-26考勤汇总表'!D:D,'①考勤-B-a-26考勤汇总表'!U:U,0)</f>
        <v>0</v>
      </c>
      <c r="Q29" s="114">
        <f t="shared" si="1"/>
        <v>0</v>
      </c>
      <c r="R29" s="140">
        <f t="shared" si="2"/>
        <v>3200</v>
      </c>
      <c r="S29" s="142">
        <f>IFERROR(_xlfn.XLOOKUP(C29,店助核算!O:O,店助核算!V:V,0),0)</f>
        <v>560.00927999999999</v>
      </c>
      <c r="T29" s="142">
        <f>_xlfn.XLOOKUP(C29,店助核算!O:O,店助核算!W:W,0)</f>
        <v>0</v>
      </c>
      <c r="U29" s="142">
        <f>_xlfn.XLOOKUP(C29,店助核算!O:O,店助核算!X:X,0)</f>
        <v>150</v>
      </c>
    </row>
    <row r="30" spans="2:21" x14ac:dyDescent="0.15">
      <c r="B30" s="72" t="str">
        <f>②当月数据及门店毛利!B32</f>
        <v>川音</v>
      </c>
      <c r="C30" s="76" t="str">
        <f>_xlfn.XLOOKUP(B30,店助核算!B:B,店助核算!O:O,0)</f>
        <v>涂莹丹</v>
      </c>
      <c r="D30" s="122">
        <f>②当月数据及门店毛利!C32</f>
        <v>173290.6</v>
      </c>
      <c r="F30" s="122"/>
      <c r="G30" s="122"/>
      <c r="H30" s="122"/>
      <c r="I30" s="122"/>
      <c r="J30" s="122"/>
      <c r="K30" s="122"/>
      <c r="L30" s="122"/>
      <c r="M30" s="114">
        <f>_xlfn.XLOOKUP(C30,'[3]②7月-汇总'!$D:$D,'[3]②7月-汇总'!$AP:$AP,0)</f>
        <v>31</v>
      </c>
      <c r="N30" s="122">
        <f>_xlfn.XLOOKUP(C30,店助核算!O:O,店助核算!P:P,0)</f>
        <v>3100</v>
      </c>
      <c r="O30" s="122">
        <f t="shared" si="0"/>
        <v>3100</v>
      </c>
      <c r="P30" s="114">
        <f>_xlfn.XLOOKUP(C30,'①考勤-B-a-26考勤汇总表'!D:D,'①考勤-B-a-26考勤汇总表'!U:U,0)</f>
        <v>0</v>
      </c>
      <c r="Q30" s="114">
        <f t="shared" si="1"/>
        <v>0</v>
      </c>
      <c r="R30" s="140">
        <f t="shared" si="2"/>
        <v>3100</v>
      </c>
      <c r="S30" s="142">
        <f>IFERROR(_xlfn.XLOOKUP(C30,店助核算!O:O,店助核算!V:V,0),0)</f>
        <v>739.74360000000001</v>
      </c>
      <c r="T30" s="142">
        <f>_xlfn.XLOOKUP(C30,店助核算!O:O,店助核算!W:W,0)</f>
        <v>400</v>
      </c>
      <c r="U30" s="142">
        <f>_xlfn.XLOOKUP(C30,店助核算!O:O,店助核算!X:X,0)</f>
        <v>150</v>
      </c>
    </row>
    <row r="31" spans="2:21" x14ac:dyDescent="0.15">
      <c r="B31" s="72">
        <f>②当月数据及门店毛利!B33</f>
        <v>0</v>
      </c>
      <c r="C31" s="76">
        <f>_xlfn.XLOOKUP(B31,店助核算!B:B,店助核算!O:O,0)</f>
        <v>0</v>
      </c>
      <c r="D31" s="122">
        <f>②当月数据及门店毛利!C33</f>
        <v>0</v>
      </c>
      <c r="F31" s="122"/>
      <c r="G31" s="122"/>
      <c r="H31" s="122"/>
      <c r="I31" s="122"/>
      <c r="J31" s="122"/>
      <c r="K31" s="122"/>
      <c r="L31" s="122"/>
      <c r="M31" s="114">
        <f>_xlfn.XLOOKUP(C31,'[3]②7月-汇总'!$D:$D,'[3]②7月-汇总'!$AP:$AP,0)</f>
        <v>0</v>
      </c>
      <c r="N31" s="122">
        <f>_xlfn.XLOOKUP(C31,店助核算!O:O,店助核算!P:P,0)</f>
        <v>0</v>
      </c>
      <c r="O31" s="122">
        <f t="shared" si="0"/>
        <v>0</v>
      </c>
      <c r="P31" s="114">
        <f>_xlfn.XLOOKUP(C31,'①考勤-B-a-26考勤汇总表'!D:D,'①考勤-B-a-26考勤汇总表'!U:U,0)</f>
        <v>0</v>
      </c>
      <c r="Q31" s="114">
        <f t="shared" si="1"/>
        <v>0</v>
      </c>
      <c r="R31" s="140">
        <f t="shared" si="2"/>
        <v>0</v>
      </c>
      <c r="S31" s="142">
        <f>IFERROR(_xlfn.XLOOKUP(C31,店助核算!O:O,店助核算!V:V,0),0)</f>
        <v>0</v>
      </c>
      <c r="T31" s="142">
        <f>_xlfn.XLOOKUP(C31,店助核算!O:O,店助核算!W:W,0)</f>
        <v>0</v>
      </c>
      <c r="U31" s="142">
        <f>_xlfn.XLOOKUP(C31,店助核算!O:O,店助核算!X:X,0)</f>
        <v>0</v>
      </c>
    </row>
    <row r="32" spans="2:21" x14ac:dyDescent="0.15">
      <c r="B32" s="72">
        <f>②当月数据及门店毛利!B34</f>
        <v>0</v>
      </c>
      <c r="C32" s="76">
        <f>_xlfn.XLOOKUP(B32,店助核算!B:B,店助核算!O:O,0)</f>
        <v>0</v>
      </c>
      <c r="D32" s="122">
        <f>②当月数据及门店毛利!C34</f>
        <v>0</v>
      </c>
      <c r="F32" s="122"/>
      <c r="G32" s="122"/>
      <c r="H32" s="122"/>
      <c r="I32" s="122"/>
      <c r="J32" s="122"/>
      <c r="K32" s="122"/>
      <c r="L32" s="122"/>
      <c r="M32" s="114">
        <f>_xlfn.XLOOKUP(C32,'[3]②7月-汇总'!$D:$D,'[3]②7月-汇总'!$AP:$AP,0)</f>
        <v>0</v>
      </c>
      <c r="N32" s="122">
        <f>_xlfn.XLOOKUP(C32,店助核算!O:O,店助核算!P:P,0)</f>
        <v>0</v>
      </c>
      <c r="O32" s="122">
        <f t="shared" si="0"/>
        <v>0</v>
      </c>
      <c r="P32" s="114">
        <f>_xlfn.XLOOKUP(C32,'①考勤-B-a-26考勤汇总表'!D:D,'①考勤-B-a-26考勤汇总表'!U:U,0)</f>
        <v>0</v>
      </c>
      <c r="Q32" s="114">
        <f t="shared" si="1"/>
        <v>0</v>
      </c>
      <c r="R32" s="140">
        <f t="shared" si="2"/>
        <v>0</v>
      </c>
      <c r="S32" s="142">
        <f>IFERROR(_xlfn.XLOOKUP(C32,店助核算!O:O,店助核算!V:V,0),0)</f>
        <v>0</v>
      </c>
      <c r="T32" s="142">
        <f>_xlfn.XLOOKUP(C32,店助核算!O:O,店助核算!W:W,0)</f>
        <v>0</v>
      </c>
      <c r="U32" s="142">
        <f>_xlfn.XLOOKUP(C32,店助核算!O:O,店助核算!X:X,0)</f>
        <v>0</v>
      </c>
    </row>
    <row r="33" spans="3:21" x14ac:dyDescent="0.15">
      <c r="C33" s="76">
        <f>_xlfn.XLOOKUP(B33,店助核算!B:B,店助核算!O:O,0)</f>
        <v>0</v>
      </c>
      <c r="D33" s="122">
        <f>②当月数据及门店毛利!C35</f>
        <v>0</v>
      </c>
      <c r="F33" s="122"/>
      <c r="G33" s="122"/>
      <c r="H33" s="122"/>
      <c r="I33" s="122"/>
      <c r="J33" s="122"/>
      <c r="K33" s="122"/>
      <c r="L33" s="122"/>
      <c r="M33" s="114">
        <f>_xlfn.XLOOKUP(C33,'[3]②7月-汇总'!$D:$D,'[3]②7月-汇总'!$AP:$AP,0)</f>
        <v>0</v>
      </c>
      <c r="N33" s="122">
        <f>_xlfn.XLOOKUP(C33,店助核算!O:O,店助核算!P:P,0)</f>
        <v>0</v>
      </c>
      <c r="O33" s="122">
        <f t="shared" si="0"/>
        <v>0</v>
      </c>
      <c r="P33" s="114">
        <f>_xlfn.XLOOKUP(C33,'①考勤-B-a-26考勤汇总表'!D:D,'①考勤-B-a-26考勤汇总表'!U:U,0)</f>
        <v>0</v>
      </c>
      <c r="Q33" s="114">
        <f t="shared" si="1"/>
        <v>0</v>
      </c>
      <c r="R33" s="140">
        <f t="shared" si="2"/>
        <v>0</v>
      </c>
      <c r="S33" s="142">
        <f>IFERROR(_xlfn.XLOOKUP(C33,店助核算!O:O,店助核算!V:V,0),0)</f>
        <v>0</v>
      </c>
      <c r="T33" s="142">
        <f>_xlfn.XLOOKUP(C33,店助核算!O:O,店助核算!W:W,0)</f>
        <v>0</v>
      </c>
      <c r="U33" s="142">
        <f>_xlfn.XLOOKUP(C33,店助核算!O:O,店助核算!X:X,0)</f>
        <v>0</v>
      </c>
    </row>
    <row r="34" spans="3:21" x14ac:dyDescent="0.15">
      <c r="C34" s="76">
        <f>_xlfn.XLOOKUP(B34,店助核算!B:B,店助核算!O:O,0)</f>
        <v>0</v>
      </c>
      <c r="D34" s="122">
        <f>②当月数据及门店毛利!C36</f>
        <v>0</v>
      </c>
      <c r="F34" s="122"/>
      <c r="G34" s="122"/>
      <c r="H34" s="122"/>
      <c r="I34" s="122"/>
      <c r="J34" s="122"/>
      <c r="K34" s="122"/>
      <c r="L34" s="122"/>
      <c r="M34" s="114">
        <f>_xlfn.XLOOKUP(C34,'[3]②7月-汇总'!$D:$D,'[3]②7月-汇总'!$AP:$AP,0)</f>
        <v>0</v>
      </c>
      <c r="N34" s="122">
        <f>_xlfn.XLOOKUP(C34,店助核算!O:O,店助核算!P:P,0)</f>
        <v>0</v>
      </c>
      <c r="O34" s="122">
        <f t="shared" si="0"/>
        <v>0</v>
      </c>
      <c r="P34" s="114">
        <f>_xlfn.XLOOKUP(C34,'①考勤-B-a-26考勤汇总表'!D:D,'①考勤-B-a-26考勤汇总表'!U:U,0)</f>
        <v>0</v>
      </c>
      <c r="Q34" s="114">
        <f t="shared" si="1"/>
        <v>0</v>
      </c>
      <c r="R34" s="140">
        <f t="shared" si="2"/>
        <v>0</v>
      </c>
      <c r="S34" s="142">
        <f>IFERROR(_xlfn.XLOOKUP(C34,店助核算!O:O,店助核算!V:V,0),0)</f>
        <v>0</v>
      </c>
      <c r="T34" s="142">
        <f>_xlfn.XLOOKUP(C34,店助核算!O:O,店助核算!W:W,0)</f>
        <v>0</v>
      </c>
      <c r="U34" s="142">
        <f>_xlfn.XLOOKUP(C34,店助核算!O:O,店助核算!X:X,0)</f>
        <v>0</v>
      </c>
    </row>
  </sheetData>
  <autoFilter ref="A1:X1" xr:uid="{00000000-0001-0000-0C00-000000000000}"/>
  <phoneticPr fontId="4" type="noConversion"/>
  <conditionalFormatting sqref="A1">
    <cfRule type="duplicateValues" dxfId="12" priority="1"/>
  </conditionalFormatting>
  <conditionalFormatting sqref="B1">
    <cfRule type="duplicateValues" dxfId="11" priority="2"/>
  </conditionalFormatting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39"/>
  <sheetViews>
    <sheetView topLeftCell="J1" workbookViewId="0">
      <selection activeCell="A10" sqref="A10:XFD10"/>
    </sheetView>
  </sheetViews>
  <sheetFormatPr defaultColWidth="9" defaultRowHeight="14.25" x14ac:dyDescent="0.15"/>
  <cols>
    <col min="1" max="2" width="13.25" style="76" customWidth="1"/>
    <col min="3" max="3" width="10.875" style="76" customWidth="1"/>
    <col min="4" max="6" width="8.875" style="76" customWidth="1"/>
    <col min="7" max="10" width="10.875" style="76" customWidth="1"/>
    <col min="11" max="11" width="10.375" style="76" customWidth="1"/>
    <col min="12" max="12" width="11.5" style="76" customWidth="1"/>
    <col min="13" max="13" width="12.625" style="76" customWidth="1"/>
    <col min="14" max="14" width="8.875" style="76" customWidth="1"/>
    <col min="15" max="15" width="15.125" style="76" customWidth="1"/>
    <col min="16" max="16" width="12.875" style="76" customWidth="1"/>
    <col min="17" max="17" width="12" style="76" customWidth="1"/>
    <col min="18" max="18" width="11.125" style="76" customWidth="1"/>
    <col min="19" max="19" width="17.125" style="76" customWidth="1"/>
    <col min="20" max="20" width="12.875" style="76" customWidth="1"/>
    <col min="21" max="21" width="21.125" style="76" customWidth="1"/>
    <col min="22" max="22" width="9.5" style="76" customWidth="1"/>
    <col min="23" max="24" width="15.375" style="79" customWidth="1"/>
    <col min="25" max="25" width="16.125" style="79" customWidth="1"/>
    <col min="26" max="26" width="11.625" style="78" customWidth="1"/>
    <col min="27" max="27" width="21.625" style="79" customWidth="1"/>
    <col min="28" max="28" width="11.5" style="76"/>
    <col min="29" max="16384" width="9" style="76"/>
  </cols>
  <sheetData>
    <row r="1" spans="1:27" x14ac:dyDescent="0.15">
      <c r="O1" s="76">
        <f>IF(U32=2,VLOOKUP(B32,'④前置信息-大固定-包含了工资和总经理'!$B:$U,19,0)*$X$2+(VLOOKUP(B32,'④前置信息-大固定-包含了工资和总经理'!$B:$U,20,0)-VLOOKUP(B32,'④前置信息-大固定-包含了工资和总经理'!$B:$U,19,0))*$X$3+(O32-VLOOKUP(B32,'④前置信息-大固定-包含了工资和总经理'!$B:$U,20,0))*$X$4,IF(U32=1,VLOOKUP(B32,'④前置信息-大固定-包含了工资和总经理'!$B:$U,19,0)*$X$2+(O32-VLOOKUP(B32,'④前置信息-大固定-包含了工资和总经理'!$B:$U,19,0))*$X$3,IF(U32=0,O32*$X$2,0)))</f>
        <v>1540.4292</v>
      </c>
      <c r="U1" s="76" t="s">
        <v>215</v>
      </c>
      <c r="W1" s="79" t="s">
        <v>25</v>
      </c>
      <c r="X1" s="79" t="s">
        <v>18</v>
      </c>
      <c r="Z1" s="78" t="s">
        <v>5</v>
      </c>
    </row>
    <row r="2" spans="1:27" x14ac:dyDescent="0.15">
      <c r="A2" s="76" t="s">
        <v>119</v>
      </c>
      <c r="B2" s="76" t="s">
        <v>122</v>
      </c>
      <c r="C2" s="76" t="s">
        <v>131</v>
      </c>
      <c r="E2" s="76">
        <v>4000</v>
      </c>
      <c r="F2" s="77">
        <v>0.01</v>
      </c>
      <c r="G2" s="78">
        <v>1.4999999999999999E-2</v>
      </c>
      <c r="H2" s="77">
        <v>0.02</v>
      </c>
      <c r="I2" s="78"/>
      <c r="K2" s="78"/>
      <c r="Q2" s="76" t="s">
        <v>216</v>
      </c>
      <c r="R2" s="76" t="s">
        <v>217</v>
      </c>
      <c r="U2" s="77">
        <v>0.01</v>
      </c>
      <c r="V2" s="77"/>
      <c r="W2" s="78">
        <v>0.01</v>
      </c>
      <c r="X2" s="78">
        <v>1.4999999999999999E-2</v>
      </c>
      <c r="Y2" s="78"/>
      <c r="Z2" s="77">
        <v>0.01</v>
      </c>
      <c r="AA2" s="79" t="s">
        <v>218</v>
      </c>
    </row>
    <row r="3" spans="1:27" x14ac:dyDescent="0.15">
      <c r="F3" s="77"/>
      <c r="G3" s="77"/>
      <c r="H3" s="77"/>
      <c r="I3" s="77"/>
      <c r="Q3" s="76" t="s">
        <v>219</v>
      </c>
      <c r="R3" s="76" t="s">
        <v>220</v>
      </c>
      <c r="W3" s="78">
        <v>0.02</v>
      </c>
      <c r="X3" s="78">
        <v>0.02</v>
      </c>
      <c r="Y3" s="78"/>
      <c r="Z3" s="78">
        <v>1.4999999999999999E-2</v>
      </c>
      <c r="AA3" s="79" t="s">
        <v>221</v>
      </c>
    </row>
    <row r="4" spans="1:27" x14ac:dyDescent="0.15">
      <c r="W4" s="78">
        <v>2.5000000000000001E-2</v>
      </c>
      <c r="X4" s="78">
        <v>2.5000000000000001E-2</v>
      </c>
      <c r="Y4" s="78"/>
      <c r="Z4" s="77">
        <v>0.02</v>
      </c>
      <c r="AA4" s="79" t="s">
        <v>222</v>
      </c>
    </row>
    <row r="5" spans="1:27" x14ac:dyDescent="0.15">
      <c r="A5" s="76" t="s">
        <v>168</v>
      </c>
      <c r="L5" s="76">
        <f>SUM(L7:L39)</f>
        <v>5377232.8799999999</v>
      </c>
      <c r="M5" s="76">
        <f t="shared" ref="M5:O5" si="0">SUM(M7:M39)</f>
        <v>4525940.03</v>
      </c>
      <c r="N5" s="76">
        <f t="shared" si="0"/>
        <v>4861</v>
      </c>
      <c r="O5" s="76">
        <f t="shared" si="0"/>
        <v>4197067.66</v>
      </c>
      <c r="R5" s="76" t="s">
        <v>154</v>
      </c>
      <c r="U5" s="76">
        <f>IF(U7=0,O7*$Z$2,0)</f>
        <v>0</v>
      </c>
      <c r="Z5" s="78" t="s">
        <v>165</v>
      </c>
    </row>
    <row r="6" spans="1:27" x14ac:dyDescent="0.15">
      <c r="A6" s="76" t="s">
        <v>7</v>
      </c>
      <c r="C6" s="76" t="s">
        <v>170</v>
      </c>
      <c r="D6" s="76" t="s">
        <v>223</v>
      </c>
      <c r="E6" s="76" t="s">
        <v>171</v>
      </c>
      <c r="F6" s="76" t="s">
        <v>172</v>
      </c>
      <c r="G6" s="76" t="s">
        <v>173</v>
      </c>
      <c r="H6" s="76" t="s">
        <v>105</v>
      </c>
      <c r="I6" s="76" t="s">
        <v>106</v>
      </c>
      <c r="J6" s="76" t="s">
        <v>224</v>
      </c>
      <c r="K6" s="76" t="s">
        <v>225</v>
      </c>
      <c r="L6" s="86" t="s">
        <v>175</v>
      </c>
      <c r="M6" s="86" t="s">
        <v>176</v>
      </c>
      <c r="N6" s="86" t="s">
        <v>177</v>
      </c>
      <c r="O6" s="86" t="s">
        <v>178</v>
      </c>
      <c r="P6" s="87" t="s">
        <v>12</v>
      </c>
      <c r="Q6" s="76" t="s">
        <v>179</v>
      </c>
      <c r="R6" s="76" t="s">
        <v>226</v>
      </c>
      <c r="S6" s="76" t="s">
        <v>227</v>
      </c>
      <c r="T6" s="76" t="s">
        <v>228</v>
      </c>
      <c r="U6" s="76" t="s">
        <v>229</v>
      </c>
      <c r="V6" s="76" t="s">
        <v>147</v>
      </c>
      <c r="W6" s="79" t="s">
        <v>230</v>
      </c>
      <c r="X6" s="79" t="s">
        <v>231</v>
      </c>
      <c r="Y6" s="79" t="s">
        <v>232</v>
      </c>
      <c r="Z6" s="78" t="s">
        <v>233</v>
      </c>
      <c r="AA6" s="79" t="s">
        <v>234</v>
      </c>
    </row>
    <row r="7" spans="1:27" x14ac:dyDescent="0.15">
      <c r="A7" s="88" t="s">
        <v>116</v>
      </c>
      <c r="B7" s="88" t="s">
        <v>117</v>
      </c>
      <c r="C7" s="88" t="s">
        <v>96</v>
      </c>
      <c r="D7" s="88" t="str">
        <f>IFERROR(VLOOKUP(C7,③工资核算浮动条件设置①!P:Q,2,0),"")</f>
        <v/>
      </c>
      <c r="E7" s="88" t="s">
        <v>96</v>
      </c>
      <c r="F7" s="88" t="s">
        <v>96</v>
      </c>
      <c r="G7" s="88" t="s">
        <v>96</v>
      </c>
      <c r="H7" s="88">
        <f>IFERROR(VLOOKUP(B7,'④前置信息-大固定-包含了工资和总经理'!B:E,4,0),0)</f>
        <v>0</v>
      </c>
      <c r="I7" s="88">
        <f>IFERROR(VLOOKUP(B7,'④前置信息-大固定-包含了工资和总经理'!B:F,5,0),0)</f>
        <v>0</v>
      </c>
      <c r="J7" s="88">
        <f>IFERROR(VLOOKUP(B7,'④前置信息-大固定-包含了工资和总经理'!B:D,3,0),0)</f>
        <v>0</v>
      </c>
      <c r="K7" s="88">
        <f>IFERROR(VLOOKUP(B7,'④前置信息-大固定-包含了工资和总经理'!B:G,6,0),0)</f>
        <v>0</v>
      </c>
      <c r="L7" s="88">
        <f>IFERROR(VLOOKUP(B7,②当月数据及门店毛利!B:C,2,0),0)</f>
        <v>0</v>
      </c>
      <c r="M7" s="88">
        <f>IFERROR(VLOOKUP(B7,②当月数据及门店毛利!B:D,3,0),0)</f>
        <v>0</v>
      </c>
      <c r="N7" s="89">
        <f>IFERROR(VLOOKUP(B7,②当月数据及门店毛利!B:E,4,0),0)</f>
        <v>0</v>
      </c>
      <c r="O7" s="89">
        <f>IFERROR(IF(P7=0,0,VLOOKUP(B7,②当月数据及门店毛利!B:N,12,0)),0)</f>
        <v>0</v>
      </c>
      <c r="P7" s="89">
        <f>IFERROR(VLOOKUP(B7,'④前置信息-大固定-包含了工资和总经理'!B:S,18,0),0)</f>
        <v>0</v>
      </c>
      <c r="Q7" s="88">
        <f>IF(P7=0,0,$E$2)</f>
        <v>0</v>
      </c>
      <c r="R7" s="88">
        <f>IFERROR(IF(L7&gt;VLOOKUP(B7,'④前置信息-大固定-包含了工资和总经理'!B:T,19,0),"yes",0),0)</f>
        <v>0</v>
      </c>
      <c r="S7" s="88">
        <f>IF(L7=0,0,IF(O7&gt;=VLOOKUP(B7,'④前置信息-大固定-包含了工资和总经理'!$B:$U,19,0),1,0))</f>
        <v>0</v>
      </c>
      <c r="T7" s="88">
        <f>IF(S7=0,0,IF(O7&gt;=VLOOKUP(B7,'④前置信息-大固定-包含了工资和总经理'!$B:$U,20,0),1,0))</f>
        <v>0</v>
      </c>
      <c r="U7" s="88" t="str">
        <f>IF(R7=0,"不提",IF(S7=0,0,IF(T7=0,1,2)))</f>
        <v>不提</v>
      </c>
      <c r="V7" s="88"/>
      <c r="W7" s="91">
        <f>IF(D7="方案一",IF(U7=2,VLOOKUP(B7,'④前置信息-大固定-包含了工资和总经理'!$B:$U,19,0)*$Z$2+(VLOOKUP(B7,'④前置信息-大固定-包含了工资和总经理'!$B:$U,20,0)-VLOOKUP(B7,'④前置信息-大固定-包含了工资和总经理'!$B:$U,19,0))*$Z$3+(O7-VLOOKUP(B7,'④前置信息-大固定-包含了工资和总经理'!$B:$U,20,0))*$Z$4,IF(U7=1,VLOOKUP(B7,'④前置信息-大固定-包含了工资和总经理'!$B:$U,19,0)*$Z$2+(O7-VLOOKUP(B7,'④前置信息-大固定-包含了工资和总经理'!$B:$U,19,0))*$Z$3,IF(U7=0,O7*$Z$2,0))),0)</f>
        <v>0</v>
      </c>
      <c r="X7" s="91">
        <f>IF(D7="方案二",IF(U7=2,VLOOKUP(B7,'④前置信息-大固定-包含了工资和总经理'!$B:$U,19,0)*$W$2+(VLOOKUP(B7,'④前置信息-大固定-包含了工资和总经理'!$B:$U,20,0)-VLOOKUP(B7,'④前置信息-大固定-包含了工资和总经理'!$B:$U,19,0))*$W$3+(O7-VLOOKUP(B7,'④前置信息-大固定-包含了工资和总经理'!$B:$U,20,0))*$W$4,IF(U7=1,VLOOKUP(B7,'④前置信息-大固定-包含了工资和总经理'!$B:$U,19,0)*$W$2+(O7-VLOOKUP(B7,'④前置信息-大固定-包含了工资和总经理'!$B:$U,19,0))*$W$3,IF(U7=0,O7*$W$2,0))),0)</f>
        <v>0</v>
      </c>
      <c r="Y7" s="91">
        <f>IF(D7="方案三",IF(U7=2,VLOOKUP(B7,'④前置信息-大固定-包含了工资和总经理'!$B:$U,19,0)*$X$2+(VLOOKUP(B7,'④前置信息-大固定-包含了工资和总经理'!$B:$U,20,0)-VLOOKUP(B7,'④前置信息-大固定-包含了工资和总经理'!$B:$U,19,0))*$X$3+(O7-VLOOKUP(B7,'④前置信息-大固定-包含了工资和总经理'!$B:$U,20,0))*$X$4,IF(U7=1,VLOOKUP(B7,'④前置信息-大固定-包含了工资和总经理'!$B:$U,19,0)*$X$2+(O7-VLOOKUP(B7,'④前置信息-大固定-包含了工资和总经理'!$B:$U,19,0))*$X$3,IF(U7=0,O7*$X$2,0))),0)</f>
        <v>0</v>
      </c>
      <c r="Z7" s="90">
        <f>IFERROR(IF(R7="yes",IF(O7&lt;VLOOKUP(B7,'④前置信息-大固定-包含了工资和总经理'!B:T,19,0),$F$2,IF(AND(O7&gt;VLOOKUP(B7,'④前置信息-大固定-包含了工资和总经理'!$B:$T,19,0),O7&lt;=VLOOKUP(B7,'④前置信息-大固定-包含了工资和总经理'!B:U,20,0)),$G$2,IF(O7&gt;VLOOKUP(B7,'④前置信息-大固定-包含了工资和总经理'!$B:$U,20,0),$H$2,0))),0),0)</f>
        <v>0</v>
      </c>
      <c r="AA7" s="91">
        <f>IF(U7="不提",0,W7+X7+Y7)</f>
        <v>0</v>
      </c>
    </row>
    <row r="8" spans="1:27" x14ac:dyDescent="0.15">
      <c r="A8" s="88" t="s">
        <v>118</v>
      </c>
      <c r="B8" s="88" t="s">
        <v>40</v>
      </c>
      <c r="C8" s="88" t="s">
        <v>22</v>
      </c>
      <c r="D8" s="88" t="str">
        <f>IFERROR(VLOOKUP(C8,③工资核算浮动条件设置①!P:Q,2,0),"")</f>
        <v>方案一</v>
      </c>
      <c r="E8" s="88" t="s">
        <v>188</v>
      </c>
      <c r="F8" s="88" t="s">
        <v>90</v>
      </c>
      <c r="G8" s="88" t="s">
        <v>189</v>
      </c>
      <c r="H8" s="88">
        <f>IFERROR(VLOOKUP(B8,'④前置信息-大固定-包含了工资和总经理'!B:E,4,0),0)</f>
        <v>0</v>
      </c>
      <c r="I8" s="88">
        <f>IFERROR(VLOOKUP(B8,'④前置信息-大固定-包含了工资和总经理'!B:F,5,0),0)</f>
        <v>0</v>
      </c>
      <c r="J8" s="88" t="str">
        <f>IFERROR(VLOOKUP(B8,'④前置信息-大固定-包含了工资和总经理'!B:D,3,0),0)</f>
        <v>A类</v>
      </c>
      <c r="K8" s="88">
        <f>IFERROR(VLOOKUP(B8,'④前置信息-大固定-包含了工资和总经理'!B:G,6,0),0)</f>
        <v>350000</v>
      </c>
      <c r="L8" s="88">
        <f>IFERROR(VLOOKUP(B8,②当月数据及门店毛利!B:C,2,0),0)</f>
        <v>522756</v>
      </c>
      <c r="M8" s="88">
        <f>IFERROR(VLOOKUP(B8,②当月数据及门店毛利!B:D,3,0),0)</f>
        <v>368762.45</v>
      </c>
      <c r="N8" s="89">
        <f>IFERROR(VLOOKUP(B8,②当月数据及门店毛利!B:E,4,0),0)</f>
        <v>210</v>
      </c>
      <c r="O8" s="89">
        <f>IFERROR(IF(P8=0,0,VLOOKUP(B8,②当月数据及门店毛利!B:N,13,0)),0)</f>
        <v>490659.57</v>
      </c>
      <c r="P8" s="89" t="str">
        <f>IFERROR(VLOOKUP(B8,'④前置信息-大固定-包含了工资和总经理'!B:S,18,0),0)</f>
        <v>饶秋华</v>
      </c>
      <c r="Q8" s="88">
        <f t="shared" ref="Q8:Q39" si="1">IF(P8=0,0,$E$2)</f>
        <v>4000</v>
      </c>
      <c r="R8" s="88" t="str">
        <f>IFERROR(IF(L8&gt;VLOOKUP(B8,'④前置信息-大固定-包含了工资和总经理'!B:T,19,0),"yes",0),0)</f>
        <v>yes</v>
      </c>
      <c r="S8" s="88">
        <f>IF(L8=0,0,IF(O8&gt;=VLOOKUP(B8,'④前置信息-大固定-包含了工资和总经理'!$B:$U,19,0),1,0))</f>
        <v>1</v>
      </c>
      <c r="T8" s="88">
        <f>IF(S8=0,0,IF(O8&gt;=VLOOKUP(B8,'④前置信息-大固定-包含了工资和总经理'!$B:$U,20,0),1,0))</f>
        <v>1</v>
      </c>
      <c r="U8" s="88">
        <f>IF(R8=0,"不提",IF(S8=0,0,IF(T8=0,1,2)))</f>
        <v>2</v>
      </c>
      <c r="V8" s="88"/>
      <c r="W8" s="91">
        <f>IF(D8="方案一",IF(U8=2,VLOOKUP(B8,'④前置信息-大固定-包含了工资和总经理'!$B:$U,19,0)*$Z$2+(VLOOKUP(B8,'④前置信息-大固定-包含了工资和总经理'!$B:$U,20,0)-VLOOKUP(B8,'④前置信息-大固定-包含了工资和总经理'!$B:$U,19,0))*$Z$3+(O8-VLOOKUP(B8,'④前置信息-大固定-包含了工资和总经理'!$B:$U,20,0))*$Z$4,IF(U8=1,VLOOKUP(B8,'④前置信息-大固定-包含了工资和总经理'!$B:$U,19,0)*$Z$2+(O8-VLOOKUP(B8,'④前置信息-大固定-包含了工资和总经理'!$B:$U,19,0))*$Z$3,IF(U8=0,O8*$Z$2,0))),0)</f>
        <v>6063.1913999999997</v>
      </c>
      <c r="X8" s="91">
        <f>IF(D8="方案二",IF(U8=2,VLOOKUP(B8,'④前置信息-大固定-包含了工资和总经理'!$B:$U,19,0)*$W$2+(VLOOKUP(B8,'④前置信息-大固定-包含了工资和总经理'!$B:$U,20,0)-VLOOKUP(B8,'④前置信息-大固定-包含了工资和总经理'!$B:$U,19,0))*$W$3+(O8-VLOOKUP(B8,'④前置信息-大固定-包含了工资和总经理'!$B:$U,20,0))*$W$4,IF(U8=1,VLOOKUP(B8,'④前置信息-大固定-包含了工资和总经理'!$B:$U,19,0)*$W$2+(O8-VLOOKUP(B8,'④前置信息-大固定-包含了工资和总经理'!$B:$U,19,0))*$W$3,IF(U8=0,O8*$W$2,0))),0)</f>
        <v>0</v>
      </c>
      <c r="Y8" s="91">
        <f>IF(D8="方案三",IF(U8=2,VLOOKUP(B8,'④前置信息-大固定-包含了工资和总经理'!$B:$U,19,0)*$X$2+(VLOOKUP(B8,'④前置信息-大固定-包含了工资和总经理'!$B:$U,20,0)-VLOOKUP(B8,'④前置信息-大固定-包含了工资和总经理'!$B:$U,19,0))*$X$3+(O8-VLOOKUP(B8,'④前置信息-大固定-包含了工资和总经理'!$B:$U,20,0))*$X$4,IF(U8=1,VLOOKUP(B8,'④前置信息-大固定-包含了工资和总经理'!$B:$U,19,0)*$X$2+(O8-VLOOKUP(B8,'④前置信息-大固定-包含了工资和总经理'!$B:$U,19,0))*$X$3,IF(U8=0,O8*$X$2,0))),0)</f>
        <v>0</v>
      </c>
      <c r="Z8" s="90">
        <f>IFERROR(IF(R8="yes",IF(O8&lt;VLOOKUP(B8,'④前置信息-大固定-包含了工资和总经理'!B:T,19,0),$F$2,IF(AND(O8&gt;VLOOKUP(B8,'④前置信息-大固定-包含了工资和总经理'!$B:$T,19,0),O8&lt;=VLOOKUP(B8,'④前置信息-大固定-包含了工资和总经理'!B:U,20,0)),$G$2,IF(O8&gt;VLOOKUP(B8,'④前置信息-大固定-包含了工资和总经理'!$B:$U,20,0),$H$2,0))),0),0)</f>
        <v>0.02</v>
      </c>
      <c r="AA8" s="91">
        <f t="shared" ref="AA8:AA39" si="2">IF(U8="不提",0,W8+X8+Y8)</f>
        <v>6063.1913999999997</v>
      </c>
    </row>
    <row r="9" spans="1:27" x14ac:dyDescent="0.15">
      <c r="A9" s="88" t="s">
        <v>120</v>
      </c>
      <c r="B9" s="88" t="s">
        <v>42</v>
      </c>
      <c r="C9" s="88" t="s">
        <v>22</v>
      </c>
      <c r="D9" s="88" t="str">
        <f>IFERROR(VLOOKUP(C9,③工资核算浮动条件设置①!P:Q,2,0),"")</f>
        <v>方案一</v>
      </c>
      <c r="E9" s="88" t="s">
        <v>190</v>
      </c>
      <c r="F9" s="88" t="s">
        <v>81</v>
      </c>
      <c r="G9" s="88" t="s">
        <v>191</v>
      </c>
      <c r="H9" s="88">
        <f>IFERROR(VLOOKUP(B9,'④前置信息-大固定-包含了工资和总经理'!B:E,4,0),0)</f>
        <v>0</v>
      </c>
      <c r="I9" s="88">
        <f>IFERROR(VLOOKUP(B9,'④前置信息-大固定-包含了工资和总经理'!B:F,5,0),0)</f>
        <v>0</v>
      </c>
      <c r="J9" s="88" t="str">
        <f>IFERROR(VLOOKUP(B9,'④前置信息-大固定-包含了工资和总经理'!B:D,3,0),0)</f>
        <v>A类</v>
      </c>
      <c r="K9" s="88">
        <f>IFERROR(VLOOKUP(B9,'④前置信息-大固定-包含了工资和总经理'!B:G,6,0),0)</f>
        <v>300000</v>
      </c>
      <c r="L9" s="88">
        <f>IFERROR(VLOOKUP(B9,②当月数据及门店毛利!B:C,2,0),0)</f>
        <v>220223</v>
      </c>
      <c r="M9" s="88">
        <f>IFERROR(VLOOKUP(B9,②当月数据及门店毛利!B:D,3,0),0)</f>
        <v>210203.02</v>
      </c>
      <c r="N9" s="89">
        <f>IFERROR(VLOOKUP(B9,②当月数据及门店毛利!B:E,4,0),0)</f>
        <v>205</v>
      </c>
      <c r="O9" s="89">
        <f>IFERROR(IF(P9=0,0,VLOOKUP(B9,②当月数据及门店毛利!B:N,13,0)),0)</f>
        <v>204200.89</v>
      </c>
      <c r="P9" s="89" t="str">
        <f>IFERROR(VLOOKUP(B9,'④前置信息-大固定-包含了工资和总经理'!B:S,18,0),0)</f>
        <v>饶秋华</v>
      </c>
      <c r="Q9" s="88">
        <v>0</v>
      </c>
      <c r="R9" s="88">
        <f>IFERROR(IF(L9&gt;VLOOKUP(B9,'④前置信息-大固定-包含了工资和总经理'!B:T,19,0),"yes",0),0)</f>
        <v>0</v>
      </c>
      <c r="S9" s="88">
        <f>IF(L9=0,0,IF(O9&gt;=VLOOKUP(B9,'④前置信息-大固定-包含了工资和总经理'!$B:$U,19,0),1,0))</f>
        <v>0</v>
      </c>
      <c r="T9" s="88">
        <f>IF(S9=0,0,IF(O9&gt;=VLOOKUP(B9,'④前置信息-大固定-包含了工资和总经理'!$B:$U,20,0),1,0))</f>
        <v>0</v>
      </c>
      <c r="U9" s="88" t="str">
        <f t="shared" ref="U9:U35" si="3">IF(R9=0,"不提",IF(S9=0,0,IF(T9=0,1,2)))</f>
        <v>不提</v>
      </c>
      <c r="V9" s="88"/>
      <c r="W9" s="91">
        <f>IF(D9="方案一",IF(U9=2,VLOOKUP(B9,'④前置信息-大固定-包含了工资和总经理'!$B:$U,19,0)*$Z$2+(VLOOKUP(B9,'④前置信息-大固定-包含了工资和总经理'!$B:$U,20,0)-VLOOKUP(B9,'④前置信息-大固定-包含了工资和总经理'!$B:$U,19,0))*$Z$3+(O9-VLOOKUP(B9,'④前置信息-大固定-包含了工资和总经理'!$B:$U,20,0))*$Z$4,IF(U9=1,VLOOKUP(B9,'④前置信息-大固定-包含了工资和总经理'!$B:$U,19,0)*$Z$2+(O9-VLOOKUP(B9,'④前置信息-大固定-包含了工资和总经理'!$B:$U,19,0))*$Z$3,IF(U9=0,O9*$Z$2,0))),0)</f>
        <v>0</v>
      </c>
      <c r="X9" s="91">
        <f>IF(D9="方案二",IF(U9=2,VLOOKUP(B9,'④前置信息-大固定-包含了工资和总经理'!$B:$U,19,0)*$W$2+(VLOOKUP(B9,'④前置信息-大固定-包含了工资和总经理'!$B:$U,20,0)-VLOOKUP(B9,'④前置信息-大固定-包含了工资和总经理'!$B:$U,19,0))*$W$3+(O9-VLOOKUP(B9,'④前置信息-大固定-包含了工资和总经理'!$B:$U,20,0))*$W$4,IF(U9=1,VLOOKUP(B9,'④前置信息-大固定-包含了工资和总经理'!$B:$U,19,0)*$W$2+(O9-VLOOKUP(B9,'④前置信息-大固定-包含了工资和总经理'!$B:$U,19,0))*$W$3,IF(U9=0,O9*$W$2,0))),0)</f>
        <v>0</v>
      </c>
      <c r="Y9" s="91">
        <f>IF(D9="方案三",IF(U9=2,VLOOKUP(B9,'④前置信息-大固定-包含了工资和总经理'!$B:$U,19,0)*$X$2+(VLOOKUP(B9,'④前置信息-大固定-包含了工资和总经理'!$B:$U,20,0)-VLOOKUP(B9,'④前置信息-大固定-包含了工资和总经理'!$B:$U,19,0))*$X$3+(O9-VLOOKUP(B9,'④前置信息-大固定-包含了工资和总经理'!$B:$U,20,0))*$X$4,IF(U9=1,VLOOKUP(B9,'④前置信息-大固定-包含了工资和总经理'!$B:$U,19,0)*$X$2+(O9-VLOOKUP(B9,'④前置信息-大固定-包含了工资和总经理'!$B:$U,19,0))*$X$3,IF(U9=0,O9*$X$2,0))),0)</f>
        <v>0</v>
      </c>
      <c r="Z9" s="90">
        <f>IFERROR(IF(R9="yes",IF(O9&lt;VLOOKUP(B9,'④前置信息-大固定-包含了工资和总经理'!B:T,19,0),$F$2,IF(AND(O9&gt;VLOOKUP(B9,'④前置信息-大固定-包含了工资和总经理'!$B:$T,19,0),O9&lt;=VLOOKUP(B9,'④前置信息-大固定-包含了工资和总经理'!B:U,20,0)),$G$2,IF(O9&gt;VLOOKUP(B9,'④前置信息-大固定-包含了工资和总经理'!$B:$U,20,0),$H$2,0))),0),0)</f>
        <v>0</v>
      </c>
      <c r="AA9" s="91">
        <f t="shared" si="2"/>
        <v>0</v>
      </c>
    </row>
    <row r="10" spans="1:27" x14ac:dyDescent="0.15">
      <c r="A10" s="88" t="s">
        <v>121</v>
      </c>
      <c r="B10" s="88" t="s">
        <v>35</v>
      </c>
      <c r="C10" s="88" t="s">
        <v>21</v>
      </c>
      <c r="D10" s="88" t="str">
        <f>IFERROR(VLOOKUP(C10,③工资核算浮动条件设置①!P:Q,2,0),"")</f>
        <v>方案一</v>
      </c>
      <c r="E10" s="88" t="s">
        <v>190</v>
      </c>
      <c r="F10" s="88" t="s">
        <v>90</v>
      </c>
      <c r="G10" s="88" t="s">
        <v>191</v>
      </c>
      <c r="H10" s="88">
        <f>IFERROR(VLOOKUP(B10,'④前置信息-大固定-包含了工资和总经理'!B:E,4,0),0)</f>
        <v>0</v>
      </c>
      <c r="I10" s="88">
        <f>IFERROR(VLOOKUP(B10,'④前置信息-大固定-包含了工资和总经理'!B:F,5,0),0)</f>
        <v>0</v>
      </c>
      <c r="J10" s="88" t="str">
        <f>IFERROR(VLOOKUP(B10,'④前置信息-大固定-包含了工资和总经理'!B:D,3,0),0)</f>
        <v>B类</v>
      </c>
      <c r="K10" s="88">
        <f>IFERROR(VLOOKUP(B10,'④前置信息-大固定-包含了工资和总经理'!B:G,6,0),0)</f>
        <v>150000</v>
      </c>
      <c r="L10" s="88">
        <f>IFERROR(VLOOKUP(B10,②当月数据及门店毛利!B:C,2,0),0)</f>
        <v>150694</v>
      </c>
      <c r="M10" s="88">
        <f>IFERROR(VLOOKUP(B10,②当月数据及门店毛利!B:D,3,0),0)</f>
        <v>142453.84</v>
      </c>
      <c r="N10" s="89">
        <f>IFERROR(VLOOKUP(B10,②当月数据及门店毛利!B:E,4,0),0)</f>
        <v>160</v>
      </c>
      <c r="O10" s="89">
        <f>IFERROR(IF(P10=0,0,VLOOKUP(B10,②当月数据及门店毛利!B:N,13,0)),0)</f>
        <v>131274.23000000001</v>
      </c>
      <c r="P10" s="89" t="str">
        <f>IFERROR(VLOOKUP(B10,'④前置信息-大固定-包含了工资和总经理'!B:S,18,0),0)</f>
        <v>秦亚平</v>
      </c>
      <c r="Q10" s="88">
        <f t="shared" si="1"/>
        <v>4000</v>
      </c>
      <c r="R10" s="88" t="str">
        <f>IFERROR(IF(L10&gt;VLOOKUP(B10,'④前置信息-大固定-包含了工资和总经理'!B:T,19,0),"yes",0),0)</f>
        <v>yes</v>
      </c>
      <c r="S10" s="88">
        <f>IF(L10=0,0,IF(O10&gt;=VLOOKUP(B10,'④前置信息-大固定-包含了工资和总经理'!$B:$U,19,0),1,0))</f>
        <v>0</v>
      </c>
      <c r="T10" s="88">
        <f>IF(S10=0,0,IF(O10&gt;=VLOOKUP(B10,'④前置信息-大固定-包含了工资和总经理'!$B:$U,20,0),1,0))</f>
        <v>0</v>
      </c>
      <c r="U10" s="88">
        <f t="shared" si="3"/>
        <v>0</v>
      </c>
      <c r="V10" s="88"/>
      <c r="W10" s="91">
        <f>IF(D10="方案一",IF(U10=2,VLOOKUP(B10,'④前置信息-大固定-包含了工资和总经理'!$B:$U,19,0)*$Z$2+(VLOOKUP(B10,'④前置信息-大固定-包含了工资和总经理'!$B:$U,20,0)-VLOOKUP(B10,'④前置信息-大固定-包含了工资和总经理'!$B:$U,19,0))*$Z$3+(O10-VLOOKUP(B10,'④前置信息-大固定-包含了工资和总经理'!$B:$U,20,0))*$Z$4,IF(U10=1,VLOOKUP(B10,'④前置信息-大固定-包含了工资和总经理'!$B:$U,19,0)*$Z$2+(O10-VLOOKUP(B10,'④前置信息-大固定-包含了工资和总经理'!$B:$U,19,0))*$Z$3,IF(U10=0,O10*$Z$2,0))),0)</f>
        <v>1312.7423000000001</v>
      </c>
      <c r="X10" s="91">
        <f>IF(D10="方案二",IF(U10=2,VLOOKUP(B10,'④前置信息-大固定-包含了工资和总经理'!$B:$U,19,0)*$W$2+(VLOOKUP(B10,'④前置信息-大固定-包含了工资和总经理'!$B:$U,20,0)-VLOOKUP(B10,'④前置信息-大固定-包含了工资和总经理'!$B:$U,19,0))*$W$3+(O10-VLOOKUP(B10,'④前置信息-大固定-包含了工资和总经理'!$B:$U,20,0))*$W$4,IF(U10=1,VLOOKUP(B10,'④前置信息-大固定-包含了工资和总经理'!$B:$U,19,0)*$W$2+(O10-VLOOKUP(B10,'④前置信息-大固定-包含了工资和总经理'!$B:$U,19,0))*$W$3,IF(U10=0,O10*$W$2,0))),0)</f>
        <v>0</v>
      </c>
      <c r="Y10" s="91">
        <f>IF(D10="方案三",IF(U10=2,VLOOKUP(B10,'④前置信息-大固定-包含了工资和总经理'!$B:$U,19,0)*$X$2+(VLOOKUP(B10,'④前置信息-大固定-包含了工资和总经理'!$B:$U,20,0)-VLOOKUP(B10,'④前置信息-大固定-包含了工资和总经理'!$B:$U,19,0))*$X$3+(O10-VLOOKUP(B10,'④前置信息-大固定-包含了工资和总经理'!$B:$U,20,0))*$X$4,IF(U10=1,VLOOKUP(B10,'④前置信息-大固定-包含了工资和总经理'!$B:$U,19,0)*$X$2+(O10-VLOOKUP(B10,'④前置信息-大固定-包含了工资和总经理'!$B:$U,19,0))*$X$3,IF(U10=0,O10*$X$2,0))),0)</f>
        <v>0</v>
      </c>
      <c r="Z10" s="90">
        <f>IFERROR(IF(R10="yes",IF(O10&lt;VLOOKUP(B10,'④前置信息-大固定-包含了工资和总经理'!B:T,19,0),$F$2,IF(AND(O10&gt;VLOOKUP(B10,'④前置信息-大固定-包含了工资和总经理'!$B:$T,19,0),O10&lt;=VLOOKUP(B10,'④前置信息-大固定-包含了工资和总经理'!B:U,20,0)),$G$2,IF(O10&gt;VLOOKUP(B10,'④前置信息-大固定-包含了工资和总经理'!$B:$U,20,0),$H$2,0))),0),0)</f>
        <v>0.01</v>
      </c>
      <c r="AA10" s="91">
        <f t="shared" si="2"/>
        <v>1312.7423000000001</v>
      </c>
    </row>
    <row r="11" spans="1:27" x14ac:dyDescent="0.15">
      <c r="A11" s="88" t="s">
        <v>123</v>
      </c>
      <c r="B11" s="88" t="s">
        <v>23</v>
      </c>
      <c r="C11" s="88" t="s">
        <v>4</v>
      </c>
      <c r="D11" s="88" t="str">
        <f>IFERROR(VLOOKUP(C11,③工资核算浮动条件设置①!P:Q,2,0),"")</f>
        <v>方案一</v>
      </c>
      <c r="E11" s="88" t="s">
        <v>190</v>
      </c>
      <c r="F11" s="88" t="s">
        <v>81</v>
      </c>
      <c r="G11" s="88" t="s">
        <v>189</v>
      </c>
      <c r="H11" s="88">
        <f>IFERROR(VLOOKUP(B11,'④前置信息-大固定-包含了工资和总经理'!B:E,4,0),0)</f>
        <v>0</v>
      </c>
      <c r="I11" s="88">
        <f>IFERROR(VLOOKUP(B11,'④前置信息-大固定-包含了工资和总经理'!B:F,5,0),0)</f>
        <v>0</v>
      </c>
      <c r="J11" s="88" t="str">
        <f>IFERROR(VLOOKUP(B11,'④前置信息-大固定-包含了工资和总经理'!B:D,3,0),0)</f>
        <v>A类</v>
      </c>
      <c r="K11" s="88">
        <f>IFERROR(VLOOKUP(B11,'④前置信息-大固定-包含了工资和总经理'!B:G,6,0),0)</f>
        <v>250000</v>
      </c>
      <c r="L11" s="88">
        <f>IFERROR(VLOOKUP(B11,②当月数据及门店毛利!B:C,2,0),0)</f>
        <v>201952.3</v>
      </c>
      <c r="M11" s="88">
        <f>IFERROR(VLOOKUP(B11,②当月数据及门店毛利!B:D,3,0),0)</f>
        <v>179433.01</v>
      </c>
      <c r="N11" s="89">
        <f>IFERROR(VLOOKUP(B11,②当月数据及门店毛利!B:E,4,0),0)</f>
        <v>195</v>
      </c>
      <c r="O11" s="89">
        <f>IFERROR(IF(P11=0,0,VLOOKUP(B11,②当月数据及门店毛利!B:N,13,0)),0)</f>
        <v>190485.74</v>
      </c>
      <c r="P11" s="89" t="str">
        <f>IFERROR(VLOOKUP(B11,'④前置信息-大固定-包含了工资和总经理'!B:S,18,0),0)</f>
        <v>邹福贞</v>
      </c>
      <c r="Q11" s="88">
        <f t="shared" si="1"/>
        <v>4000</v>
      </c>
      <c r="R11" s="88">
        <f>IFERROR(IF(L11&gt;VLOOKUP(B11,'④前置信息-大固定-包含了工资和总经理'!B:T,19,0),"yes",0),0)</f>
        <v>0</v>
      </c>
      <c r="S11" s="88">
        <f>IF(L11=0,0,IF(O11&gt;=VLOOKUP(B11,'④前置信息-大固定-包含了工资和总经理'!$B:$U,19,0),1,0))</f>
        <v>0</v>
      </c>
      <c r="T11" s="88">
        <f>IF(S11=0,0,IF(O11&gt;=VLOOKUP(B11,'④前置信息-大固定-包含了工资和总经理'!$B:$U,20,0),1,0))</f>
        <v>0</v>
      </c>
      <c r="U11" s="88" t="str">
        <f t="shared" si="3"/>
        <v>不提</v>
      </c>
      <c r="V11" s="88"/>
      <c r="W11" s="91">
        <f>IF(D11="方案一",IF(U11=2,VLOOKUP(B11,'④前置信息-大固定-包含了工资和总经理'!$B:$U,19,0)*$Z$2+(VLOOKUP(B11,'④前置信息-大固定-包含了工资和总经理'!$B:$U,20,0)-VLOOKUP(B11,'④前置信息-大固定-包含了工资和总经理'!$B:$U,19,0))*$Z$3+(O11-VLOOKUP(B11,'④前置信息-大固定-包含了工资和总经理'!$B:$U,20,0))*$Z$4,IF(U11=1,VLOOKUP(B11,'④前置信息-大固定-包含了工资和总经理'!$B:$U,19,0)*$Z$2+(O11-VLOOKUP(B11,'④前置信息-大固定-包含了工资和总经理'!$B:$U,19,0))*$Z$3,IF(U11=0,O11*$Z$2,0))),0)</f>
        <v>0</v>
      </c>
      <c r="X11" s="91">
        <f>IF(D11="方案二",IF(U11=2,VLOOKUP(B11,'④前置信息-大固定-包含了工资和总经理'!$B:$U,19,0)*$W$2+(VLOOKUP(B11,'④前置信息-大固定-包含了工资和总经理'!$B:$U,20,0)-VLOOKUP(B11,'④前置信息-大固定-包含了工资和总经理'!$B:$U,19,0))*$W$3+(O11-VLOOKUP(B11,'④前置信息-大固定-包含了工资和总经理'!$B:$U,20,0))*$W$4,IF(U11=1,VLOOKUP(B11,'④前置信息-大固定-包含了工资和总经理'!$B:$U,19,0)*$W$2+(O11-VLOOKUP(B11,'④前置信息-大固定-包含了工资和总经理'!$B:$U,19,0))*$W$3,IF(U11=0,O11*$W$2,0))),0)</f>
        <v>0</v>
      </c>
      <c r="Y11" s="91">
        <f>IF(D11="方案三",IF(U11=2,VLOOKUP(B11,'④前置信息-大固定-包含了工资和总经理'!$B:$U,19,0)*$X$2+(VLOOKUP(B11,'④前置信息-大固定-包含了工资和总经理'!$B:$U,20,0)-VLOOKUP(B11,'④前置信息-大固定-包含了工资和总经理'!$B:$U,19,0))*$X$3+(O11-VLOOKUP(B11,'④前置信息-大固定-包含了工资和总经理'!$B:$U,20,0))*$X$4,IF(U11=1,VLOOKUP(B11,'④前置信息-大固定-包含了工资和总经理'!$B:$U,19,0)*$X$2+(O11-VLOOKUP(B11,'④前置信息-大固定-包含了工资和总经理'!$B:$U,19,0))*$X$3,IF(U11=0,O11*$X$2,0))),0)</f>
        <v>0</v>
      </c>
      <c r="Z11" s="90">
        <f>IFERROR(IF(R11="yes",IF(O11&lt;VLOOKUP(B11,'④前置信息-大固定-包含了工资和总经理'!B:T,19,0),$F$2,IF(AND(O11&gt;VLOOKUP(B11,'④前置信息-大固定-包含了工资和总经理'!$B:$T,19,0),O11&lt;=VLOOKUP(B11,'④前置信息-大固定-包含了工资和总经理'!B:U,20,0)),$G$2,IF(O11&gt;VLOOKUP(B11,'④前置信息-大固定-包含了工资和总经理'!$B:$U,20,0),$H$2,0))),0),0)</f>
        <v>0</v>
      </c>
      <c r="AA11" s="91">
        <f t="shared" si="2"/>
        <v>0</v>
      </c>
    </row>
    <row r="12" spans="1:27" x14ac:dyDescent="0.15">
      <c r="A12" s="88" t="s">
        <v>124</v>
      </c>
      <c r="B12" s="88" t="s">
        <v>19</v>
      </c>
      <c r="C12" s="88" t="s">
        <v>4</v>
      </c>
      <c r="D12" s="88" t="str">
        <f>IFERROR(VLOOKUP(C12,③工资核算浮动条件设置①!P:Q,2,0),"")</f>
        <v>方案一</v>
      </c>
      <c r="E12" s="88" t="s">
        <v>188</v>
      </c>
      <c r="F12" s="88" t="s">
        <v>81</v>
      </c>
      <c r="G12" s="88" t="s">
        <v>191</v>
      </c>
      <c r="H12" s="88">
        <f>IFERROR(VLOOKUP(B12,'④前置信息-大固定-包含了工资和总经理'!B:E,4,0),0)</f>
        <v>0</v>
      </c>
      <c r="I12" s="88">
        <f>IFERROR(VLOOKUP(B12,'④前置信息-大固定-包含了工资和总经理'!B:F,5,0),0)</f>
        <v>0</v>
      </c>
      <c r="J12" s="88" t="str">
        <f>IFERROR(VLOOKUP(B12,'④前置信息-大固定-包含了工资和总经理'!B:D,3,0),0)</f>
        <v>A类</v>
      </c>
      <c r="K12" s="88">
        <f>IFERROR(VLOOKUP(B12,'④前置信息-大固定-包含了工资和总经理'!B:G,6,0),0)</f>
        <v>320000</v>
      </c>
      <c r="L12" s="88">
        <f>IFERROR(VLOOKUP(B12,②当月数据及门店毛利!B:C,2,0),0)</f>
        <v>407490.19</v>
      </c>
      <c r="M12" s="88">
        <f>IFERROR(VLOOKUP(B12,②当月数据及门店毛利!B:D,3,0),0)</f>
        <v>518617.05</v>
      </c>
      <c r="N12" s="89">
        <f>IFERROR(VLOOKUP(B12,②当月数据及门店毛利!B:E,4,0),0)</f>
        <v>206</v>
      </c>
      <c r="O12" s="89">
        <f>IFERROR(IF(P12=0,0,VLOOKUP(B12,②当月数据及门店毛利!B:N,13,0)),0)</f>
        <v>363971.12</v>
      </c>
      <c r="P12" s="89" t="str">
        <f>IFERROR(VLOOKUP(B12,'④前置信息-大固定-包含了工资和总经理'!B:S,18,0),0)</f>
        <v>邹福贞</v>
      </c>
      <c r="Q12" s="88">
        <v>0</v>
      </c>
      <c r="R12" s="88" t="str">
        <f>IFERROR(IF(L12&gt;VLOOKUP(B12,'④前置信息-大固定-包含了工资和总经理'!B:T,19,0),"yes",0),0)</f>
        <v>yes</v>
      </c>
      <c r="S12" s="88">
        <f>IF(L12=0,0,IF(O12&gt;=VLOOKUP(B12,'④前置信息-大固定-包含了工资和总经理'!$B:$U,19,0),1,0))</f>
        <v>1</v>
      </c>
      <c r="T12" s="88">
        <f>IF(S12=0,0,IF(O12&gt;=VLOOKUP(B12,'④前置信息-大固定-包含了工资和总经理'!$B:$U,20,0),1,0))</f>
        <v>0</v>
      </c>
      <c r="U12" s="88">
        <f t="shared" si="3"/>
        <v>1</v>
      </c>
      <c r="V12" s="88"/>
      <c r="W12" s="91">
        <f>IF(D12="方案一",IF(U12=2,VLOOKUP(B12,'④前置信息-大固定-包含了工资和总经理'!$B:$U,19,0)*$Z$2+(VLOOKUP(B12,'④前置信息-大固定-包含了工资和总经理'!$B:$U,20,0)-VLOOKUP(B12,'④前置信息-大固定-包含了工资和总经理'!$B:$U,19,0))*$Z$3+(O12-VLOOKUP(B12,'④前置信息-大固定-包含了工资和总经理'!$B:$U,20,0))*$Z$4,IF(U12=1,VLOOKUP(B12,'④前置信息-大固定-包含了工资和总经理'!$B:$U,19,0)*$Z$2+(O12-VLOOKUP(B12,'④前置信息-大固定-包含了工资和总经理'!$B:$U,19,0))*$Z$3,IF(U12=0,O12*$Z$2,0))),0)</f>
        <v>3859.5668000000001</v>
      </c>
      <c r="X12" s="91">
        <f>IF(D12="方案二",IF(U12=2,VLOOKUP(B12,'④前置信息-大固定-包含了工资和总经理'!$B:$U,19,0)*$W$2+(VLOOKUP(B12,'④前置信息-大固定-包含了工资和总经理'!$B:$U,20,0)-VLOOKUP(B12,'④前置信息-大固定-包含了工资和总经理'!$B:$U,19,0))*$W$3+(O12-VLOOKUP(B12,'④前置信息-大固定-包含了工资和总经理'!$B:$U,20,0))*$W$4,IF(U12=1,VLOOKUP(B12,'④前置信息-大固定-包含了工资和总经理'!$B:$U,19,0)*$W$2+(O12-VLOOKUP(B12,'④前置信息-大固定-包含了工资和总经理'!$B:$U,19,0))*$W$3,IF(U12=0,O12*$W$2,0))),0)</f>
        <v>0</v>
      </c>
      <c r="Y12" s="91">
        <f>IF(D12="方案三",IF(U12=2,VLOOKUP(B12,'④前置信息-大固定-包含了工资和总经理'!$B:$U,19,0)*$X$2+(VLOOKUP(B12,'④前置信息-大固定-包含了工资和总经理'!$B:$U,20,0)-VLOOKUP(B12,'④前置信息-大固定-包含了工资和总经理'!$B:$U,19,0))*$X$3+(O12-VLOOKUP(B12,'④前置信息-大固定-包含了工资和总经理'!$B:$U,20,0))*$X$4,IF(U12=1,VLOOKUP(B12,'④前置信息-大固定-包含了工资和总经理'!$B:$U,19,0)*$X$2+(O12-VLOOKUP(B12,'④前置信息-大固定-包含了工资和总经理'!$B:$U,19,0))*$X$3,IF(U12=0,O12*$X$2,0))),0)</f>
        <v>0</v>
      </c>
      <c r="Z12" s="90">
        <f>IFERROR(IF(R12="yes",IF(O12&lt;VLOOKUP(B12,'④前置信息-大固定-包含了工资和总经理'!B:T,19,0),$F$2,IF(AND(O12&gt;VLOOKUP(B12,'④前置信息-大固定-包含了工资和总经理'!$B:$T,19,0),O12&lt;=VLOOKUP(B12,'④前置信息-大固定-包含了工资和总经理'!B:U,20,0)),$G$2,IF(O12&gt;VLOOKUP(B12,'④前置信息-大固定-包含了工资和总经理'!$B:$U,20,0),$H$2,0))),0),0)</f>
        <v>1.4999999999999999E-2</v>
      </c>
      <c r="AA12" s="91">
        <f t="shared" si="2"/>
        <v>3859.5668000000001</v>
      </c>
    </row>
    <row r="13" spans="1:27" x14ac:dyDescent="0.15">
      <c r="A13" s="88" t="s">
        <v>125</v>
      </c>
      <c r="B13" s="88" t="s">
        <v>30</v>
      </c>
      <c r="C13" s="88" t="s">
        <v>17</v>
      </c>
      <c r="D13" s="88" t="str">
        <f>IFERROR(VLOOKUP(C13,③工资核算浮动条件设置①!P:Q,2,0),"")</f>
        <v>方案三</v>
      </c>
      <c r="E13" s="88" t="s">
        <v>190</v>
      </c>
      <c r="F13" s="88" t="s">
        <v>90</v>
      </c>
      <c r="G13" s="88" t="s">
        <v>191</v>
      </c>
      <c r="H13" s="88">
        <f>IFERROR(VLOOKUP(B13,'④前置信息-大固定-包含了工资和总经理'!B:E,4,0),0)</f>
        <v>0</v>
      </c>
      <c r="I13" s="88">
        <f>IFERROR(VLOOKUP(B13,'④前置信息-大固定-包含了工资和总经理'!B:F,5,0),0)</f>
        <v>0</v>
      </c>
      <c r="J13" s="88" t="str">
        <f>IFERROR(VLOOKUP(B13,'④前置信息-大固定-包含了工资和总经理'!B:D,3,0),0)</f>
        <v>B类</v>
      </c>
      <c r="K13" s="88">
        <f>IFERROR(VLOOKUP(B13,'④前置信息-大固定-包含了工资和总经理'!B:G,6,0),0)</f>
        <v>150000</v>
      </c>
      <c r="L13" s="88">
        <f>IFERROR(VLOOKUP(B13,②当月数据及门店毛利!B:C,2,0),0)</f>
        <v>160812</v>
      </c>
      <c r="M13" s="88">
        <f>IFERROR(VLOOKUP(B13,②当月数据及门店毛利!B:D,3,0),0)</f>
        <v>146778.57999999999</v>
      </c>
      <c r="N13" s="89">
        <f>IFERROR(VLOOKUP(B13,②当月数据及门店毛利!B:E,4,0),0)</f>
        <v>192</v>
      </c>
      <c r="O13" s="89">
        <f>IFERROR(IF(P13=0,0,VLOOKUP(B13,②当月数据及门店毛利!B:N,13,0)),0)</f>
        <v>146003.42000000001</v>
      </c>
      <c r="P13" s="89" t="str">
        <f>IFERROR(VLOOKUP(B13,'④前置信息-大固定-包含了工资和总经理'!B:S,18,0),0)</f>
        <v>张艳秋</v>
      </c>
      <c r="Q13" s="88">
        <f t="shared" si="1"/>
        <v>4000</v>
      </c>
      <c r="R13" s="88" t="str">
        <f>IFERROR(IF(L13&gt;VLOOKUP(B13,'④前置信息-大固定-包含了工资和总经理'!B:T,19,0),"yes",0),0)</f>
        <v>yes</v>
      </c>
      <c r="S13" s="88">
        <f>IF(L13=0,0,IF(O13&gt;=VLOOKUP(B13,'④前置信息-大固定-包含了工资和总经理'!$B:$U,19,0),1,0))</f>
        <v>0</v>
      </c>
      <c r="T13" s="88">
        <f>IF(S13=0,0,IF(O13&gt;=VLOOKUP(B13,'④前置信息-大固定-包含了工资和总经理'!$B:$U,20,0),1,0))</f>
        <v>0</v>
      </c>
      <c r="U13" s="88">
        <f t="shared" si="3"/>
        <v>0</v>
      </c>
      <c r="V13" s="88"/>
      <c r="W13" s="91">
        <f>IF(D13="方案一",IF(U13=2,VLOOKUP(B13,'④前置信息-大固定-包含了工资和总经理'!$B:$U,19,0)*$Z$2+(VLOOKUP(B13,'④前置信息-大固定-包含了工资和总经理'!$B:$U,20,0)-VLOOKUP(B13,'④前置信息-大固定-包含了工资和总经理'!$B:$U,19,0))*$Z$3+(O13-VLOOKUP(B13,'④前置信息-大固定-包含了工资和总经理'!$B:$U,20,0))*$Z$4,IF(U13=1,VLOOKUP(B13,'④前置信息-大固定-包含了工资和总经理'!$B:$U,19,0)*$Z$2+(O13-VLOOKUP(B13,'④前置信息-大固定-包含了工资和总经理'!$B:$U,19,0))*$Z$3,IF(U13=0,O13*$Z$2,0))),0)</f>
        <v>0</v>
      </c>
      <c r="X13" s="91">
        <f>IF(D13="方案二",IF(U13=2,VLOOKUP(B13,'④前置信息-大固定-包含了工资和总经理'!$B:$U,19,0)*$W$2+(VLOOKUP(B13,'④前置信息-大固定-包含了工资和总经理'!$B:$U,20,0)-VLOOKUP(B13,'④前置信息-大固定-包含了工资和总经理'!$B:$U,19,0))*$W$3+(O13-VLOOKUP(B13,'④前置信息-大固定-包含了工资和总经理'!$B:$U,20,0))*$W$4,IF(U13=1,VLOOKUP(B13,'④前置信息-大固定-包含了工资和总经理'!$B:$U,19,0)*$W$2+(O13-VLOOKUP(B13,'④前置信息-大固定-包含了工资和总经理'!$B:$U,19,0))*$W$3,IF(U13=0,O13*$W$2,0))),0)</f>
        <v>0</v>
      </c>
      <c r="Y13" s="91">
        <f>IF(D13="方案三",IF(U13=2,VLOOKUP(B13,'④前置信息-大固定-包含了工资和总经理'!$B:$U,19,0)*$X$2+(VLOOKUP(B13,'④前置信息-大固定-包含了工资和总经理'!$B:$U,20,0)-VLOOKUP(B13,'④前置信息-大固定-包含了工资和总经理'!$B:$U,19,0))*$X$3+(O13-VLOOKUP(B13,'④前置信息-大固定-包含了工资和总经理'!$B:$U,20,0))*$X$4,IF(U13=1,VLOOKUP(B13,'④前置信息-大固定-包含了工资和总经理'!$B:$U,19,0)*$X$2+(O13-VLOOKUP(B13,'④前置信息-大固定-包含了工资和总经理'!$B:$U,19,0))*$X$3,IF(U13=0,O13*$X$2,0))),0)</f>
        <v>2190.0513000000001</v>
      </c>
      <c r="Z13" s="90">
        <f>IFERROR(IF(R13="yes",IF(O13&lt;VLOOKUP(B13,'④前置信息-大固定-包含了工资和总经理'!B:T,19,0),$F$2,IF(AND(O13&gt;VLOOKUP(B13,'④前置信息-大固定-包含了工资和总经理'!$B:$T,19,0),O13&lt;=VLOOKUP(B13,'④前置信息-大固定-包含了工资和总经理'!B:U,20,0)),$G$2,IF(O13&gt;VLOOKUP(B13,'④前置信息-大固定-包含了工资和总经理'!$B:$U,20,0),$H$2,0))),0),0)</f>
        <v>0.01</v>
      </c>
      <c r="AA13" s="91">
        <f t="shared" si="2"/>
        <v>2190.0513000000001</v>
      </c>
    </row>
    <row r="14" spans="1:27" x14ac:dyDescent="0.15">
      <c r="A14" s="88" t="s">
        <v>126</v>
      </c>
      <c r="B14" s="88">
        <v>468</v>
      </c>
      <c r="C14" s="88" t="s">
        <v>4</v>
      </c>
      <c r="D14" s="88" t="str">
        <f>IFERROR(VLOOKUP(C14,③工资核算浮动条件设置①!P:Q,2,0),"")</f>
        <v>方案一</v>
      </c>
      <c r="E14" s="88" t="s">
        <v>190</v>
      </c>
      <c r="F14" s="88" t="s">
        <v>81</v>
      </c>
      <c r="G14" s="88" t="s">
        <v>191</v>
      </c>
      <c r="H14" s="88">
        <f>IFERROR(VLOOKUP(B14,'④前置信息-大固定-包含了工资和总经理'!B:E,4,0),0)</f>
        <v>0</v>
      </c>
      <c r="I14" s="88">
        <f>IFERROR(VLOOKUP(B14,'④前置信息-大固定-包含了工资和总经理'!B:F,5,0),0)</f>
        <v>0</v>
      </c>
      <c r="J14" s="88" t="str">
        <f>IFERROR(VLOOKUP(B14,'④前置信息-大固定-包含了工资和总经理'!B:D,3,0),0)</f>
        <v>A类</v>
      </c>
      <c r="K14" s="88">
        <f>IFERROR(VLOOKUP(B14,'④前置信息-大固定-包含了工资和总经理'!B:G,6,0),0)</f>
        <v>200000</v>
      </c>
      <c r="L14" s="88">
        <f>IFERROR(VLOOKUP(B14,②当月数据及门店毛利!B:C,2,0),0)</f>
        <v>140295</v>
      </c>
      <c r="M14" s="88">
        <f>IFERROR(VLOOKUP(B14,②当月数据及门店毛利!B:D,3,0),0)</f>
        <v>190782.77</v>
      </c>
      <c r="N14" s="89">
        <f>IFERROR(VLOOKUP(B14,②当月数据及门店毛利!B:E,4,0),0)</f>
        <v>217</v>
      </c>
      <c r="O14" s="89">
        <f>IFERROR(IF(P14=0,0,VLOOKUP(B14,②当月数据及门店毛利!B:N,13,0)),0)</f>
        <v>127193.11</v>
      </c>
      <c r="P14" s="89" t="str">
        <f>IFERROR(VLOOKUP(B14,'④前置信息-大固定-包含了工资和总经理'!B:S,18,0),0)</f>
        <v>邹福贞</v>
      </c>
      <c r="Q14" s="88">
        <v>0</v>
      </c>
      <c r="R14" s="88">
        <f>IFERROR(IF(L14&gt;VLOOKUP(B14,'④前置信息-大固定-包含了工资和总经理'!B:T,19,0),"yes",0),0)</f>
        <v>0</v>
      </c>
      <c r="S14" s="88">
        <f>IF(L14=0,0,IF(O14&gt;=VLOOKUP(B14,'④前置信息-大固定-包含了工资和总经理'!$B:$U,19,0),1,0))</f>
        <v>0</v>
      </c>
      <c r="T14" s="88">
        <f>IF(S14=0,0,IF(O14&gt;=VLOOKUP(B14,'④前置信息-大固定-包含了工资和总经理'!$B:$U,20,0),1,0))</f>
        <v>0</v>
      </c>
      <c r="U14" s="88" t="str">
        <f t="shared" si="3"/>
        <v>不提</v>
      </c>
      <c r="V14" s="88"/>
      <c r="W14" s="91">
        <f>IF(D14="方案一",IF(U14=2,VLOOKUP(B14,'④前置信息-大固定-包含了工资和总经理'!$B:$U,19,0)*$Z$2+(VLOOKUP(B14,'④前置信息-大固定-包含了工资和总经理'!$B:$U,20,0)-VLOOKUP(B14,'④前置信息-大固定-包含了工资和总经理'!$B:$U,19,0))*$Z$3+(O14-VLOOKUP(B14,'④前置信息-大固定-包含了工资和总经理'!$B:$U,20,0))*$Z$4,IF(U14=1,VLOOKUP(B14,'④前置信息-大固定-包含了工资和总经理'!$B:$U,19,0)*$Z$2+(O14-VLOOKUP(B14,'④前置信息-大固定-包含了工资和总经理'!$B:$U,19,0))*$Z$3,IF(U14=0,O14*$Z$2,0))),0)</f>
        <v>0</v>
      </c>
      <c r="X14" s="91">
        <f>IF(D14="方案二",IF(U14=2,VLOOKUP(B14,'④前置信息-大固定-包含了工资和总经理'!$B:$U,19,0)*$W$2+(VLOOKUP(B14,'④前置信息-大固定-包含了工资和总经理'!$B:$U,20,0)-VLOOKUP(B14,'④前置信息-大固定-包含了工资和总经理'!$B:$U,19,0))*$W$3+(O14-VLOOKUP(B14,'④前置信息-大固定-包含了工资和总经理'!$B:$U,20,0))*$W$4,IF(U14=1,VLOOKUP(B14,'④前置信息-大固定-包含了工资和总经理'!$B:$U,19,0)*$W$2+(O14-VLOOKUP(B14,'④前置信息-大固定-包含了工资和总经理'!$B:$U,19,0))*$W$3,IF(U14=0,O14*$W$2,0))),0)</f>
        <v>0</v>
      </c>
      <c r="Y14" s="91">
        <f>IF(D14="方案三",IF(U14=2,VLOOKUP(B14,'④前置信息-大固定-包含了工资和总经理'!$B:$U,19,0)*$X$2+(VLOOKUP(B14,'④前置信息-大固定-包含了工资和总经理'!$B:$U,20,0)-VLOOKUP(B14,'④前置信息-大固定-包含了工资和总经理'!$B:$U,19,0))*$X$3+(O14-VLOOKUP(B14,'④前置信息-大固定-包含了工资和总经理'!$B:$U,20,0))*$X$4,IF(U14=1,VLOOKUP(B14,'④前置信息-大固定-包含了工资和总经理'!$B:$U,19,0)*$X$2+(O14-VLOOKUP(B14,'④前置信息-大固定-包含了工资和总经理'!$B:$U,19,0))*$X$3,IF(U14=0,O14*$X$2,0))),0)</f>
        <v>0</v>
      </c>
      <c r="Z14" s="90">
        <f>IFERROR(IF(R14="yes",IF(O14&lt;VLOOKUP(B14,'④前置信息-大固定-包含了工资和总经理'!B:T,19,0),$F$2,IF(AND(O14&gt;VLOOKUP(B14,'④前置信息-大固定-包含了工资和总经理'!$B:$T,19,0),O14&lt;=VLOOKUP(B14,'④前置信息-大固定-包含了工资和总经理'!B:U,20,0)),$G$2,IF(O14&gt;VLOOKUP(B14,'④前置信息-大固定-包含了工资和总经理'!$B:$U,20,0),$H$2,0))),0),0)</f>
        <v>0</v>
      </c>
      <c r="AA14" s="91">
        <f t="shared" si="2"/>
        <v>0</v>
      </c>
    </row>
    <row r="15" spans="1:27" x14ac:dyDescent="0.15">
      <c r="A15" s="88" t="s">
        <v>127</v>
      </c>
      <c r="B15" s="88" t="s">
        <v>47</v>
      </c>
      <c r="C15" s="88" t="s">
        <v>22</v>
      </c>
      <c r="D15" s="88" t="str">
        <f>IFERROR(VLOOKUP(C15,③工资核算浮动条件设置①!P:Q,2,0),"")</f>
        <v>方案一</v>
      </c>
      <c r="E15" s="88" t="s">
        <v>188</v>
      </c>
      <c r="F15" s="88" t="s">
        <v>81</v>
      </c>
      <c r="G15" s="88" t="s">
        <v>191</v>
      </c>
      <c r="H15" s="88">
        <f>IFERROR(VLOOKUP(B15,'④前置信息-大固定-包含了工资和总经理'!B:E,4,0),0)</f>
        <v>0</v>
      </c>
      <c r="I15" s="88">
        <f>IFERROR(VLOOKUP(B15,'④前置信息-大固定-包含了工资和总经理'!B:F,5,0),0)</f>
        <v>0</v>
      </c>
      <c r="J15" s="88" t="str">
        <f>IFERROR(VLOOKUP(B15,'④前置信息-大固定-包含了工资和总经理'!B:D,3,0),0)</f>
        <v>B类</v>
      </c>
      <c r="K15" s="88">
        <f>IFERROR(VLOOKUP(B15,'④前置信息-大固定-包含了工资和总经理'!B:G,6,0),0)</f>
        <v>150000</v>
      </c>
      <c r="L15" s="88">
        <f>IFERROR(VLOOKUP(B15,②当月数据及门店毛利!B:C,2,0),0)</f>
        <v>135590</v>
      </c>
      <c r="M15" s="88">
        <f>IFERROR(VLOOKUP(B15,②当月数据及门店毛利!B:D,3,0),0)</f>
        <v>120657.22</v>
      </c>
      <c r="N15" s="89">
        <f>IFERROR(VLOOKUP(B15,②当月数据及门店毛利!B:E,4,0),0)</f>
        <v>150</v>
      </c>
      <c r="O15" s="89">
        <f>IFERROR(IF(P15=0,0,VLOOKUP(B15,②当月数据及门店毛利!B:N,13,0)),0)</f>
        <v>125352.01000000001</v>
      </c>
      <c r="P15" s="89" t="str">
        <f>IFERROR(VLOOKUP(B15,'④前置信息-大固定-包含了工资和总经理'!B:S,18,0),0)</f>
        <v>饶秋华</v>
      </c>
      <c r="Q15" s="88">
        <v>0</v>
      </c>
      <c r="R15" s="88">
        <f>IFERROR(IF(L15&gt;VLOOKUP(B15,'④前置信息-大固定-包含了工资和总经理'!B:T,19,0),"yes",0),0)</f>
        <v>0</v>
      </c>
      <c r="S15" s="88">
        <f>IF(L15=0,0,IF(O15&gt;=VLOOKUP(B15,'④前置信息-大固定-包含了工资和总经理'!$B:$U,19,0),1,0))</f>
        <v>0</v>
      </c>
      <c r="T15" s="88">
        <f>IF(S15=0,0,IF(O15&gt;=VLOOKUP(B15,'④前置信息-大固定-包含了工资和总经理'!$B:$U,20,0),1,0))</f>
        <v>0</v>
      </c>
      <c r="U15" s="88" t="str">
        <f t="shared" si="3"/>
        <v>不提</v>
      </c>
      <c r="V15" s="88"/>
      <c r="W15" s="91">
        <f>IF(D15="方案一",IF(U15=2,VLOOKUP(B15,'④前置信息-大固定-包含了工资和总经理'!$B:$U,19,0)*$Z$2+(VLOOKUP(B15,'④前置信息-大固定-包含了工资和总经理'!$B:$U,20,0)-VLOOKUP(B15,'④前置信息-大固定-包含了工资和总经理'!$B:$U,19,0))*$Z$3+(O15-VLOOKUP(B15,'④前置信息-大固定-包含了工资和总经理'!$B:$U,20,0))*$Z$4,IF(U15=1,VLOOKUP(B15,'④前置信息-大固定-包含了工资和总经理'!$B:$U,19,0)*$Z$2+(O15-VLOOKUP(B15,'④前置信息-大固定-包含了工资和总经理'!$B:$U,19,0))*$Z$3,IF(U15=0,O15*$Z$2,0))),0)</f>
        <v>0</v>
      </c>
      <c r="X15" s="91">
        <f>IF(D15="方案二",IF(U15=2,VLOOKUP(B15,'④前置信息-大固定-包含了工资和总经理'!$B:$U,19,0)*$W$2+(VLOOKUP(B15,'④前置信息-大固定-包含了工资和总经理'!$B:$U,20,0)-VLOOKUP(B15,'④前置信息-大固定-包含了工资和总经理'!$B:$U,19,0))*$W$3+(O15-VLOOKUP(B15,'④前置信息-大固定-包含了工资和总经理'!$B:$U,20,0))*$W$4,IF(U15=1,VLOOKUP(B15,'④前置信息-大固定-包含了工资和总经理'!$B:$U,19,0)*$W$2+(O15-VLOOKUP(B15,'④前置信息-大固定-包含了工资和总经理'!$B:$U,19,0))*$W$3,IF(U15=0,O15*$W$2,0))),0)</f>
        <v>0</v>
      </c>
      <c r="Y15" s="91">
        <f>IF(D15="方案三",IF(U15=2,VLOOKUP(B15,'④前置信息-大固定-包含了工资和总经理'!$B:$U,19,0)*$X$2+(VLOOKUP(B15,'④前置信息-大固定-包含了工资和总经理'!$B:$U,20,0)-VLOOKUP(B15,'④前置信息-大固定-包含了工资和总经理'!$B:$U,19,0))*$X$3+(O15-VLOOKUP(B15,'④前置信息-大固定-包含了工资和总经理'!$B:$U,20,0))*$X$4,IF(U15=1,VLOOKUP(B15,'④前置信息-大固定-包含了工资和总经理'!$B:$U,19,0)*$X$2+(O15-VLOOKUP(B15,'④前置信息-大固定-包含了工资和总经理'!$B:$U,19,0))*$X$3,IF(U15=0,O15*$X$2,0))),0)</f>
        <v>0</v>
      </c>
      <c r="Z15" s="90">
        <f>IFERROR(IF(R15="yes",IF(O15&lt;VLOOKUP(B15,'④前置信息-大固定-包含了工资和总经理'!B:T,19,0),$F$2,IF(AND(O15&gt;VLOOKUP(B15,'④前置信息-大固定-包含了工资和总经理'!$B:$T,19,0),O15&lt;=VLOOKUP(B15,'④前置信息-大固定-包含了工资和总经理'!B:U,20,0)),$G$2,IF(O15&gt;VLOOKUP(B15,'④前置信息-大固定-包含了工资和总经理'!$B:$U,20,0),$H$2,0))),0),0)</f>
        <v>0</v>
      </c>
      <c r="AA15" s="91">
        <f t="shared" si="2"/>
        <v>0</v>
      </c>
    </row>
    <row r="16" spans="1:27" x14ac:dyDescent="0.15">
      <c r="A16" s="88" t="s">
        <v>128</v>
      </c>
      <c r="B16" s="88" t="s">
        <v>37</v>
      </c>
      <c r="C16" s="88" t="s">
        <v>21</v>
      </c>
      <c r="D16" s="88" t="str">
        <f>IFERROR(VLOOKUP(C16,③工资核算浮动条件设置①!P:Q,2,0),"")</f>
        <v>方案一</v>
      </c>
      <c r="E16" s="88" t="s">
        <v>190</v>
      </c>
      <c r="F16" s="88" t="s">
        <v>81</v>
      </c>
      <c r="G16" s="88" t="s">
        <v>189</v>
      </c>
      <c r="H16" s="88">
        <f>IFERROR(VLOOKUP(B16,'④前置信息-大固定-包含了工资和总经理'!B:E,4,0),0)</f>
        <v>0</v>
      </c>
      <c r="I16" s="88">
        <f>IFERROR(VLOOKUP(B16,'④前置信息-大固定-包含了工资和总经理'!B:F,5,0),0)</f>
        <v>0</v>
      </c>
      <c r="J16" s="88" t="str">
        <f>IFERROR(VLOOKUP(B16,'④前置信息-大固定-包含了工资和总经理'!B:D,3,0),0)</f>
        <v>B类</v>
      </c>
      <c r="K16" s="88">
        <f>IFERROR(VLOOKUP(B16,'④前置信息-大固定-包含了工资和总经理'!B:G,6,0),0)</f>
        <v>150000</v>
      </c>
      <c r="L16" s="88">
        <f>IFERROR(VLOOKUP(B16,②当月数据及门店毛利!B:C,2,0),0)</f>
        <v>152421</v>
      </c>
      <c r="M16" s="88">
        <f>IFERROR(VLOOKUP(B16,②当月数据及门店毛利!B:D,3,0),0)</f>
        <v>117167.22</v>
      </c>
      <c r="N16" s="89">
        <f>IFERROR(VLOOKUP(B16,②当月数据及门店毛利!B:E,4,0),0)</f>
        <v>138</v>
      </c>
      <c r="O16" s="89">
        <f>IFERROR(IF(P16=0,0,VLOOKUP(B16,②当月数据及门店毛利!B:N,13,0)),0)</f>
        <v>145914.04999999999</v>
      </c>
      <c r="P16" s="89" t="str">
        <f>IFERROR(VLOOKUP(B16,'④前置信息-大固定-包含了工资和总经理'!B:S,18,0),0)</f>
        <v>秦亚平</v>
      </c>
      <c r="Q16" s="88">
        <v>0</v>
      </c>
      <c r="R16" s="88" t="str">
        <f>IFERROR(IF(L16&gt;VLOOKUP(B16,'④前置信息-大固定-包含了工资和总经理'!B:T,19,0),"yes",0),0)</f>
        <v>yes</v>
      </c>
      <c r="S16" s="88">
        <f>IF(L16=0,0,IF(O16&gt;=VLOOKUP(B16,'④前置信息-大固定-包含了工资和总经理'!$B:$U,19,0),1,0))</f>
        <v>0</v>
      </c>
      <c r="T16" s="88">
        <f>IF(S16=0,0,IF(O16&gt;=VLOOKUP(B16,'④前置信息-大固定-包含了工资和总经理'!$B:$U,20,0),1,0))</f>
        <v>0</v>
      </c>
      <c r="U16" s="88">
        <f t="shared" si="3"/>
        <v>0</v>
      </c>
      <c r="V16" s="88"/>
      <c r="W16" s="91">
        <f>IF(D16="方案一",IF(U16=2,VLOOKUP(B16,'④前置信息-大固定-包含了工资和总经理'!$B:$U,19,0)*$Z$2+(VLOOKUP(B16,'④前置信息-大固定-包含了工资和总经理'!$B:$U,20,0)-VLOOKUP(B16,'④前置信息-大固定-包含了工资和总经理'!$B:$U,19,0))*$Z$3+(O16-VLOOKUP(B16,'④前置信息-大固定-包含了工资和总经理'!$B:$U,20,0))*$Z$4,IF(U16=1,VLOOKUP(B16,'④前置信息-大固定-包含了工资和总经理'!$B:$U,19,0)*$Z$2+(O16-VLOOKUP(B16,'④前置信息-大固定-包含了工资和总经理'!$B:$U,19,0))*$Z$3,IF(U16=0,O16*$Z$2,0))),0)</f>
        <v>1459.1405</v>
      </c>
      <c r="X16" s="91">
        <f>IF(D16="方案二",IF(U16=2,VLOOKUP(B16,'④前置信息-大固定-包含了工资和总经理'!$B:$U,19,0)*$W$2+(VLOOKUP(B16,'④前置信息-大固定-包含了工资和总经理'!$B:$U,20,0)-VLOOKUP(B16,'④前置信息-大固定-包含了工资和总经理'!$B:$U,19,0))*$W$3+(O16-VLOOKUP(B16,'④前置信息-大固定-包含了工资和总经理'!$B:$U,20,0))*$W$4,IF(U16=1,VLOOKUP(B16,'④前置信息-大固定-包含了工资和总经理'!$B:$U,19,0)*$W$2+(O16-VLOOKUP(B16,'④前置信息-大固定-包含了工资和总经理'!$B:$U,19,0))*$W$3,IF(U16=0,O16*$W$2,0))),0)</f>
        <v>0</v>
      </c>
      <c r="Y16" s="91">
        <f>IF(D16="方案三",IF(U16=2,VLOOKUP(B16,'④前置信息-大固定-包含了工资和总经理'!$B:$U,19,0)*$X$2+(VLOOKUP(B16,'④前置信息-大固定-包含了工资和总经理'!$B:$U,20,0)-VLOOKUP(B16,'④前置信息-大固定-包含了工资和总经理'!$B:$U,19,0))*$X$3+(O16-VLOOKUP(B16,'④前置信息-大固定-包含了工资和总经理'!$B:$U,20,0))*$X$4,IF(U16=1,VLOOKUP(B16,'④前置信息-大固定-包含了工资和总经理'!$B:$U,19,0)*$X$2+(O16-VLOOKUP(B16,'④前置信息-大固定-包含了工资和总经理'!$B:$U,19,0))*$X$3,IF(U16=0,O16*$X$2,0))),0)</f>
        <v>0</v>
      </c>
      <c r="Z16" s="90">
        <f>IFERROR(IF(R16="yes",IF(O16&lt;VLOOKUP(B16,'④前置信息-大固定-包含了工资和总经理'!B:T,19,0),$F$2,IF(AND(O16&gt;VLOOKUP(B16,'④前置信息-大固定-包含了工资和总经理'!$B:$T,19,0),O16&lt;=VLOOKUP(B16,'④前置信息-大固定-包含了工资和总经理'!B:U,20,0)),$G$2,IF(O16&gt;VLOOKUP(B16,'④前置信息-大固定-包含了工资和总经理'!$B:$U,20,0),$H$2,0))),0),0)</f>
        <v>0.01</v>
      </c>
      <c r="AA16" s="91">
        <f t="shared" si="2"/>
        <v>1459.1405</v>
      </c>
    </row>
    <row r="17" spans="1:27" x14ac:dyDescent="0.15">
      <c r="A17" s="88" t="s">
        <v>129</v>
      </c>
      <c r="B17" s="88" t="s">
        <v>49</v>
      </c>
      <c r="C17" s="88" t="s">
        <v>24</v>
      </c>
      <c r="D17" s="88" t="str">
        <f>IFERROR(VLOOKUP(C17,③工资核算浮动条件设置①!P:Q,2,0),"")</f>
        <v>方案二</v>
      </c>
      <c r="E17" s="88" t="s">
        <v>190</v>
      </c>
      <c r="F17" s="88" t="s">
        <v>90</v>
      </c>
      <c r="G17" s="88" t="s">
        <v>189</v>
      </c>
      <c r="H17" s="88">
        <f>IFERROR(VLOOKUP(B17,'④前置信息-大固定-包含了工资和总经理'!B:E,4,0),0)</f>
        <v>0</v>
      </c>
      <c r="I17" s="88">
        <f>IFERROR(VLOOKUP(B17,'④前置信息-大固定-包含了工资和总经理'!B:F,5,0),0)</f>
        <v>0</v>
      </c>
      <c r="J17" s="88" t="str">
        <f>IFERROR(VLOOKUP(B17,'④前置信息-大固定-包含了工资和总经理'!B:D,3,0),0)</f>
        <v>A类</v>
      </c>
      <c r="K17" s="88">
        <f>IFERROR(VLOOKUP(B17,'④前置信息-大固定-包含了工资和总经理'!B:G,6,0),0)</f>
        <v>200000</v>
      </c>
      <c r="L17" s="88">
        <f>IFERROR(VLOOKUP(B17,②当月数据及门店毛利!B:C,2,0),0)</f>
        <v>205041</v>
      </c>
      <c r="M17" s="88">
        <f>IFERROR(VLOOKUP(B17,②当月数据及门店毛利!B:D,3,0),0)</f>
        <v>194741.48</v>
      </c>
      <c r="N17" s="89">
        <f>IFERROR(VLOOKUP(B17,②当月数据及门店毛利!B:E,4,0),0)</f>
        <v>157</v>
      </c>
      <c r="O17" s="89">
        <f>IFERROR(IF(P17=0,0,VLOOKUP(B17,②当月数据及门店毛利!B:N,13,0)),0)</f>
        <v>184338.94</v>
      </c>
      <c r="P17" s="89" t="str">
        <f>IFERROR(VLOOKUP(B17,'④前置信息-大固定-包含了工资和总经理'!B:S,18,0),0)</f>
        <v>张小娟</v>
      </c>
      <c r="Q17" s="88">
        <f t="shared" si="1"/>
        <v>4000</v>
      </c>
      <c r="R17" s="88" t="str">
        <f>IFERROR(IF(L17&gt;VLOOKUP(B17,'④前置信息-大固定-包含了工资和总经理'!B:T,19,0),"yes",0),0)</f>
        <v>yes</v>
      </c>
      <c r="S17" s="88">
        <f>IF(L17=0,0,IF(O17&gt;=VLOOKUP(B17,'④前置信息-大固定-包含了工资和总经理'!$B:$U,19,0),1,0))</f>
        <v>1</v>
      </c>
      <c r="T17" s="88">
        <f>IF(S17=0,0,IF(O17&gt;=VLOOKUP(B17,'④前置信息-大固定-包含了工资和总经理'!$B:$U,20,0),1,0))</f>
        <v>0</v>
      </c>
      <c r="U17" s="88">
        <f t="shared" si="3"/>
        <v>1</v>
      </c>
      <c r="V17" s="88"/>
      <c r="W17" s="91">
        <f>IF(D17="方案一",IF(U17=2,VLOOKUP(B17,'④前置信息-大固定-包含了工资和总经理'!$B:$U,19,0)*$Z$2+(VLOOKUP(B17,'④前置信息-大固定-包含了工资和总经理'!$B:$U,20,0)-VLOOKUP(B17,'④前置信息-大固定-包含了工资和总经理'!$B:$U,19,0))*$Z$3+(O17-VLOOKUP(B17,'④前置信息-大固定-包含了工资和总经理'!$B:$U,20,0))*$Z$4,IF(U17=1,VLOOKUP(B17,'④前置信息-大固定-包含了工资和总经理'!$B:$U,19,0)*$Z$2+(O17-VLOOKUP(B17,'④前置信息-大固定-包含了工资和总经理'!$B:$U,19,0))*$Z$3,IF(U17=0,O17*$Z$2,0))),0)</f>
        <v>0</v>
      </c>
      <c r="X17" s="91">
        <f>IF(D17="方案二",IF(U17=2,VLOOKUP(B17,'④前置信息-大固定-包含了工资和总经理'!$B:$U,19,0)*$W$2+(VLOOKUP(B17,'④前置信息-大固定-包含了工资和总经理'!$B:$U,20,0)-VLOOKUP(B17,'④前置信息-大固定-包含了工资和总经理'!$B:$U,19,0))*$W$3+(O17-VLOOKUP(B17,'④前置信息-大固定-包含了工资和总经理'!$B:$U,20,0))*$W$4,IF(U17=1,VLOOKUP(B17,'④前置信息-大固定-包含了工资和总经理'!$B:$U,19,0)*$W$2+(O17-VLOOKUP(B17,'④前置信息-大固定-包含了工资和总经理'!$B:$U,19,0))*$W$3,IF(U17=0,O17*$W$2,0))),0)</f>
        <v>2186.7788</v>
      </c>
      <c r="Y17" s="91">
        <f>IF(D17="方案三",IF(U17=2,VLOOKUP(B17,'④前置信息-大固定-包含了工资和总经理'!$B:$U,19,0)*$X$2+(VLOOKUP(B17,'④前置信息-大固定-包含了工资和总经理'!$B:$U,20,0)-VLOOKUP(B17,'④前置信息-大固定-包含了工资和总经理'!$B:$U,19,0))*$X$3+(O17-VLOOKUP(B17,'④前置信息-大固定-包含了工资和总经理'!$B:$U,20,0))*$X$4,IF(U17=1,VLOOKUP(B17,'④前置信息-大固定-包含了工资和总经理'!$B:$U,19,0)*$X$2+(O17-VLOOKUP(B17,'④前置信息-大固定-包含了工资和总经理'!$B:$U,19,0))*$X$3,IF(U17=0,O17*$X$2,0))),0)</f>
        <v>0</v>
      </c>
      <c r="Z17" s="90">
        <f>IFERROR(IF(R17="yes",IF(O17&lt;VLOOKUP(B17,'④前置信息-大固定-包含了工资和总经理'!B:T,19,0),$F$2,IF(AND(O17&gt;VLOOKUP(B17,'④前置信息-大固定-包含了工资和总经理'!$B:$T,19,0),O17&lt;=VLOOKUP(B17,'④前置信息-大固定-包含了工资和总经理'!B:U,20,0)),$G$2,IF(O17&gt;VLOOKUP(B17,'④前置信息-大固定-包含了工资和总经理'!$B:$U,20,0),$H$2,0))),0),0)</f>
        <v>1.4999999999999999E-2</v>
      </c>
      <c r="AA17" s="91">
        <f t="shared" si="2"/>
        <v>2186.7788</v>
      </c>
    </row>
    <row r="18" spans="1:27" x14ac:dyDescent="0.15">
      <c r="A18" s="88" t="s">
        <v>130</v>
      </c>
      <c r="B18" s="88" t="s">
        <v>46</v>
      </c>
      <c r="C18" s="88" t="s">
        <v>22</v>
      </c>
      <c r="D18" s="88" t="str">
        <f>IFERROR(VLOOKUP(C18,③工资核算浮动条件设置①!P:Q,2,0),"")</f>
        <v>方案一</v>
      </c>
      <c r="E18" s="88" t="s">
        <v>190</v>
      </c>
      <c r="F18" s="88" t="s">
        <v>90</v>
      </c>
      <c r="G18" s="88" t="s">
        <v>189</v>
      </c>
      <c r="H18" s="88">
        <f>IFERROR(VLOOKUP(B18,'④前置信息-大固定-包含了工资和总经理'!B:E,4,0),0)</f>
        <v>0</v>
      </c>
      <c r="I18" s="88">
        <f>IFERROR(VLOOKUP(B18,'④前置信息-大固定-包含了工资和总经理'!B:F,5,0),0)</f>
        <v>0</v>
      </c>
      <c r="J18" s="88" t="str">
        <f>IFERROR(VLOOKUP(B18,'④前置信息-大固定-包含了工资和总经理'!B:D,3,0),0)</f>
        <v>C类</v>
      </c>
      <c r="K18" s="88">
        <f>IFERROR(VLOOKUP(B18,'④前置信息-大固定-包含了工资和总经理'!B:G,6,0),0)</f>
        <v>120000</v>
      </c>
      <c r="L18" s="88">
        <f>IFERROR(VLOOKUP(B18,②当月数据及门店毛利!B:C,2,0),0)</f>
        <v>111267</v>
      </c>
      <c r="M18" s="88">
        <f>IFERROR(VLOOKUP(B18,②当月数据及门店毛利!B:D,3,0),0)</f>
        <v>87745.89</v>
      </c>
      <c r="N18" s="89">
        <f>IFERROR(VLOOKUP(B18,②当月数据及门店毛利!B:E,4,0),0)</f>
        <v>142</v>
      </c>
      <c r="O18" s="89">
        <f>IFERROR(IF(P18=0,0,VLOOKUP(B18,②当月数据及门店毛利!B:N,13,0)),0)</f>
        <v>95534.82</v>
      </c>
      <c r="P18" s="89" t="str">
        <f>IFERROR(VLOOKUP(B18,'④前置信息-大固定-包含了工资和总经理'!B:S,18,0),0)</f>
        <v>饶秋华</v>
      </c>
      <c r="Q18" s="88">
        <v>0</v>
      </c>
      <c r="R18" s="88">
        <f>IFERROR(IF(L18&gt;VLOOKUP(B18,'④前置信息-大固定-包含了工资和总经理'!B:T,19,0),"yes",0),0)</f>
        <v>0</v>
      </c>
      <c r="S18" s="88">
        <f>IF(L18=0,0,IF(O18&gt;=VLOOKUP(B18,'④前置信息-大固定-包含了工资和总经理'!$B:$U,19,0),1,0))</f>
        <v>0</v>
      </c>
      <c r="T18" s="88">
        <f>IF(S18=0,0,IF(O18&gt;=VLOOKUP(B18,'④前置信息-大固定-包含了工资和总经理'!$B:$U,20,0),1,0))</f>
        <v>0</v>
      </c>
      <c r="U18" s="88" t="str">
        <f t="shared" si="3"/>
        <v>不提</v>
      </c>
      <c r="V18" s="88"/>
      <c r="W18" s="91">
        <f>IF(D18="方案一",IF(U18=2,VLOOKUP(B18,'④前置信息-大固定-包含了工资和总经理'!$B:$U,19,0)*$Z$2+(VLOOKUP(B18,'④前置信息-大固定-包含了工资和总经理'!$B:$U,20,0)-VLOOKUP(B18,'④前置信息-大固定-包含了工资和总经理'!$B:$U,19,0))*$Z$3+(O18-VLOOKUP(B18,'④前置信息-大固定-包含了工资和总经理'!$B:$U,20,0))*$Z$4,IF(U18=1,VLOOKUP(B18,'④前置信息-大固定-包含了工资和总经理'!$B:$U,19,0)*$Z$2+(O18-VLOOKUP(B18,'④前置信息-大固定-包含了工资和总经理'!$B:$U,19,0))*$Z$3,IF(U18=0,O18*$Z$2,0))),0)</f>
        <v>0</v>
      </c>
      <c r="X18" s="91">
        <f>IF(D18="方案二",IF(U18=2,VLOOKUP(B18,'④前置信息-大固定-包含了工资和总经理'!$B:$U,19,0)*$W$2+(VLOOKUP(B18,'④前置信息-大固定-包含了工资和总经理'!$B:$U,20,0)-VLOOKUP(B18,'④前置信息-大固定-包含了工资和总经理'!$B:$U,19,0))*$W$3+(O18-VLOOKUP(B18,'④前置信息-大固定-包含了工资和总经理'!$B:$U,20,0))*$W$4,IF(U18=1,VLOOKUP(B18,'④前置信息-大固定-包含了工资和总经理'!$B:$U,19,0)*$W$2+(O18-VLOOKUP(B18,'④前置信息-大固定-包含了工资和总经理'!$B:$U,19,0))*$W$3,IF(U18=0,O18*$W$2,0))),0)</f>
        <v>0</v>
      </c>
      <c r="Y18" s="91">
        <f>IF(D18="方案三",IF(U18=2,VLOOKUP(B18,'④前置信息-大固定-包含了工资和总经理'!$B:$U,19,0)*$X$2+(VLOOKUP(B18,'④前置信息-大固定-包含了工资和总经理'!$B:$U,20,0)-VLOOKUP(B18,'④前置信息-大固定-包含了工资和总经理'!$B:$U,19,0))*$X$3+(O18-VLOOKUP(B18,'④前置信息-大固定-包含了工资和总经理'!$B:$U,20,0))*$X$4,IF(U18=1,VLOOKUP(B18,'④前置信息-大固定-包含了工资和总经理'!$B:$U,19,0)*$X$2+(O18-VLOOKUP(B18,'④前置信息-大固定-包含了工资和总经理'!$B:$U,19,0))*$X$3,IF(U18=0,O18*$X$2,0))),0)</f>
        <v>0</v>
      </c>
      <c r="Z18" s="90">
        <f>IFERROR(IF(R18="yes",IF(O18&lt;VLOOKUP(B18,'④前置信息-大固定-包含了工资和总经理'!B:T,19,0),$F$2,IF(AND(O18&gt;VLOOKUP(B18,'④前置信息-大固定-包含了工资和总经理'!$B:$T,19,0),O18&lt;=VLOOKUP(B18,'④前置信息-大固定-包含了工资和总经理'!B:U,20,0)),$G$2,IF(O18&gt;VLOOKUP(B18,'④前置信息-大固定-包含了工资和总经理'!$B:$U,20,0),$H$2,0))),0),0)</f>
        <v>0</v>
      </c>
      <c r="AA18" s="91">
        <f t="shared" si="2"/>
        <v>0</v>
      </c>
    </row>
    <row r="19" spans="1:27" x14ac:dyDescent="0.15">
      <c r="A19" s="88" t="s">
        <v>132</v>
      </c>
      <c r="B19" s="88" t="s">
        <v>36</v>
      </c>
      <c r="C19" s="88" t="s">
        <v>21</v>
      </c>
      <c r="D19" s="88" t="str">
        <f>IFERROR(VLOOKUP(C19,③工资核算浮动条件设置①!P:Q,2,0),"")</f>
        <v>方案一</v>
      </c>
      <c r="E19" s="88" t="s">
        <v>188</v>
      </c>
      <c r="F19" s="88" t="s">
        <v>90</v>
      </c>
      <c r="G19" s="88" t="s">
        <v>189</v>
      </c>
      <c r="H19" s="88">
        <f>IFERROR(VLOOKUP(B19,'④前置信息-大固定-包含了工资和总经理'!B:E,4,0),0)</f>
        <v>0</v>
      </c>
      <c r="I19" s="88">
        <f>IFERROR(VLOOKUP(B19,'④前置信息-大固定-包含了工资和总经理'!B:F,5,0),0)</f>
        <v>0</v>
      </c>
      <c r="J19" s="88" t="str">
        <f>IFERROR(VLOOKUP(B19,'④前置信息-大固定-包含了工资和总经理'!B:D,3,0),0)</f>
        <v>B类</v>
      </c>
      <c r="K19" s="88">
        <f>IFERROR(VLOOKUP(B19,'④前置信息-大固定-包含了工资和总经理'!B:G,6,0),0)</f>
        <v>150000</v>
      </c>
      <c r="L19" s="88">
        <f>IFERROR(VLOOKUP(B19,②当月数据及门店毛利!B:C,2,0),0)</f>
        <v>180024</v>
      </c>
      <c r="M19" s="88">
        <f>IFERROR(VLOOKUP(B19,②当月数据及门店毛利!B:D,3,0),0)</f>
        <v>87671.5</v>
      </c>
      <c r="N19" s="89">
        <f>IFERROR(VLOOKUP(B19,②当月数据及门店毛利!B:E,4,0),0)</f>
        <v>140</v>
      </c>
      <c r="O19" s="89">
        <f>IFERROR(IF(P19=0,0,VLOOKUP(B19,②当月数据及门店毛利!B:N,13,0)),0)</f>
        <v>171360.44</v>
      </c>
      <c r="P19" s="89" t="str">
        <f>IFERROR(VLOOKUP(B19,'④前置信息-大固定-包含了工资和总经理'!B:S,18,0),0)</f>
        <v>秦亚平</v>
      </c>
      <c r="Q19" s="88">
        <v>0</v>
      </c>
      <c r="R19" s="88" t="str">
        <f>IFERROR(IF(L19&gt;VLOOKUP(B19,'④前置信息-大固定-包含了工资和总经理'!B:T,19,0),"yes",0),0)</f>
        <v>yes</v>
      </c>
      <c r="S19" s="88">
        <f>IF(L19=0,0,IF(O19&gt;=VLOOKUP(B19,'④前置信息-大固定-包含了工资和总经理'!$B:$U,19,0),1,0))</f>
        <v>1</v>
      </c>
      <c r="T19" s="88">
        <f>IF(S19=0,0,IF(O19&gt;=VLOOKUP(B19,'④前置信息-大固定-包含了工资和总经理'!$B:$U,20,0),1,0))</f>
        <v>0</v>
      </c>
      <c r="U19" s="88">
        <f t="shared" si="3"/>
        <v>1</v>
      </c>
      <c r="V19" s="88"/>
      <c r="W19" s="91">
        <f>IF(D19="方案一",IF(U19=2,VLOOKUP(B19,'④前置信息-大固定-包含了工资和总经理'!$B:$U,19,0)*$Z$2+(VLOOKUP(B19,'④前置信息-大固定-包含了工资和总经理'!$B:$U,20,0)-VLOOKUP(B19,'④前置信息-大固定-包含了工资和总经理'!$B:$U,19,0))*$Z$3+(O19-VLOOKUP(B19,'④前置信息-大固定-包含了工资和总经理'!$B:$U,20,0))*$Z$4,IF(U19=1,VLOOKUP(B19,'④前置信息-大固定-包含了工资和总经理'!$B:$U,19,0)*$Z$2+(O19-VLOOKUP(B19,'④前置信息-大固定-包含了工资和总经理'!$B:$U,19,0))*$Z$3,IF(U19=0,O19*$Z$2,0))),0)</f>
        <v>1820.4066</v>
      </c>
      <c r="X19" s="91">
        <f>IF(D19="方案二",IF(U19=2,VLOOKUP(B19,'④前置信息-大固定-包含了工资和总经理'!$B:$U,19,0)*$W$2+(VLOOKUP(B19,'④前置信息-大固定-包含了工资和总经理'!$B:$U,20,0)-VLOOKUP(B19,'④前置信息-大固定-包含了工资和总经理'!$B:$U,19,0))*$W$3+(O19-VLOOKUP(B19,'④前置信息-大固定-包含了工资和总经理'!$B:$U,20,0))*$W$4,IF(U19=1,VLOOKUP(B19,'④前置信息-大固定-包含了工资和总经理'!$B:$U,19,0)*$W$2+(O19-VLOOKUP(B19,'④前置信息-大固定-包含了工资和总经理'!$B:$U,19,0))*$W$3,IF(U19=0,O19*$W$2,0))),0)</f>
        <v>0</v>
      </c>
      <c r="Y19" s="91">
        <f>IF(D19="方案三",IF(U19=2,VLOOKUP(B19,'④前置信息-大固定-包含了工资和总经理'!$B:$U,19,0)*$X$2+(VLOOKUP(B19,'④前置信息-大固定-包含了工资和总经理'!$B:$U,20,0)-VLOOKUP(B19,'④前置信息-大固定-包含了工资和总经理'!$B:$U,19,0))*$X$3+(O19-VLOOKUP(B19,'④前置信息-大固定-包含了工资和总经理'!$B:$U,20,0))*$X$4,IF(U19=1,VLOOKUP(B19,'④前置信息-大固定-包含了工资和总经理'!$B:$U,19,0)*$X$2+(O19-VLOOKUP(B19,'④前置信息-大固定-包含了工资和总经理'!$B:$U,19,0))*$X$3,IF(U19=0,O19*$X$2,0))),0)</f>
        <v>0</v>
      </c>
      <c r="Z19" s="90">
        <f>IFERROR(IF(R19="yes",IF(O19&lt;VLOOKUP(B19,'④前置信息-大固定-包含了工资和总经理'!B:T,19,0),$F$2,IF(AND(O19&gt;VLOOKUP(B19,'④前置信息-大固定-包含了工资和总经理'!$B:$T,19,0),O19&lt;=VLOOKUP(B19,'④前置信息-大固定-包含了工资和总经理'!B:U,20,0)),$G$2,IF(O19&gt;VLOOKUP(B19,'④前置信息-大固定-包含了工资和总经理'!$B:$U,20,0),$H$2,0))),0),0)</f>
        <v>1.4999999999999999E-2</v>
      </c>
      <c r="AA19" s="91">
        <f t="shared" si="2"/>
        <v>1820.4066</v>
      </c>
    </row>
    <row r="20" spans="1:27" x14ac:dyDescent="0.15">
      <c r="A20" s="88" t="s">
        <v>133</v>
      </c>
      <c r="B20" s="88" t="s">
        <v>48</v>
      </c>
      <c r="C20" s="88" t="s">
        <v>22</v>
      </c>
      <c r="D20" s="88" t="str">
        <f>IFERROR(VLOOKUP(C20,③工资核算浮动条件设置①!P:Q,2,0),"")</f>
        <v>方案一</v>
      </c>
      <c r="E20" s="88" t="s">
        <v>190</v>
      </c>
      <c r="F20" s="88" t="s">
        <v>90</v>
      </c>
      <c r="G20" s="88" t="s">
        <v>191</v>
      </c>
      <c r="H20" s="88">
        <f>IFERROR(VLOOKUP(B20,'④前置信息-大固定-包含了工资和总经理'!B:E,4,0),0)</f>
        <v>0</v>
      </c>
      <c r="I20" s="88">
        <f>IFERROR(VLOOKUP(B20,'④前置信息-大固定-包含了工资和总经理'!B:F,5,0),0)</f>
        <v>0</v>
      </c>
      <c r="J20" s="88" t="str">
        <f>IFERROR(VLOOKUP(B20,'④前置信息-大固定-包含了工资和总经理'!B:D,3,0),0)</f>
        <v>B类</v>
      </c>
      <c r="K20" s="88">
        <f>IFERROR(VLOOKUP(B20,'④前置信息-大固定-包含了工资和总经理'!B:G,6,0),0)</f>
        <v>150000</v>
      </c>
      <c r="L20" s="88">
        <f>IFERROR(VLOOKUP(B20,②当月数据及门店毛利!B:C,2,0),0)</f>
        <v>153950.6</v>
      </c>
      <c r="M20" s="88">
        <f>IFERROR(VLOOKUP(B20,②当月数据及门店毛利!B:D,3,0),0)</f>
        <v>140812.54</v>
      </c>
      <c r="N20" s="89">
        <f>IFERROR(VLOOKUP(B20,②当月数据及门店毛利!B:E,4,0),0)</f>
        <v>153</v>
      </c>
      <c r="O20" s="89">
        <f>IFERROR(IF(P20=0,0,VLOOKUP(B20,②当月数据及门店毛利!B:N,13,0)),0)</f>
        <v>142584.57</v>
      </c>
      <c r="P20" s="89" t="str">
        <f>IFERROR(VLOOKUP(B20,'④前置信息-大固定-包含了工资和总经理'!B:S,18,0),0)</f>
        <v>饶秋华</v>
      </c>
      <c r="Q20" s="88">
        <v>0</v>
      </c>
      <c r="R20" s="88" t="str">
        <f>IFERROR(IF(L20&gt;VLOOKUP(B20,'④前置信息-大固定-包含了工资和总经理'!B:T,19,0),"yes",0),0)</f>
        <v>yes</v>
      </c>
      <c r="S20" s="88">
        <f>IF(L20=0,0,IF(O20&gt;=VLOOKUP(B20,'④前置信息-大固定-包含了工资和总经理'!$B:$U,19,0),1,0))</f>
        <v>0</v>
      </c>
      <c r="T20" s="88">
        <f>IF(S20=0,0,IF(O20&gt;=VLOOKUP(B20,'④前置信息-大固定-包含了工资和总经理'!$B:$U,20,0),1,0))</f>
        <v>0</v>
      </c>
      <c r="U20" s="88">
        <f t="shared" si="3"/>
        <v>0</v>
      </c>
      <c r="V20" s="88"/>
      <c r="W20" s="91">
        <f>IF(D20="方案一",IF(U20=2,VLOOKUP(B20,'④前置信息-大固定-包含了工资和总经理'!$B:$U,19,0)*$Z$2+(VLOOKUP(B20,'④前置信息-大固定-包含了工资和总经理'!$B:$U,20,0)-VLOOKUP(B20,'④前置信息-大固定-包含了工资和总经理'!$B:$U,19,0))*$Z$3+(O20-VLOOKUP(B20,'④前置信息-大固定-包含了工资和总经理'!$B:$U,20,0))*$Z$4,IF(U20=1,VLOOKUP(B20,'④前置信息-大固定-包含了工资和总经理'!$B:$U,19,0)*$Z$2+(O20-VLOOKUP(B20,'④前置信息-大固定-包含了工资和总经理'!$B:$U,19,0))*$Z$3,IF(U20=0,O20*$Z$2,0))),0)</f>
        <v>1425.8457000000001</v>
      </c>
      <c r="X20" s="91">
        <f>IF(D20="方案二",IF(U20=2,VLOOKUP(B20,'④前置信息-大固定-包含了工资和总经理'!$B:$U,19,0)*$W$2+(VLOOKUP(B20,'④前置信息-大固定-包含了工资和总经理'!$B:$U,20,0)-VLOOKUP(B20,'④前置信息-大固定-包含了工资和总经理'!$B:$U,19,0))*$W$3+(O20-VLOOKUP(B20,'④前置信息-大固定-包含了工资和总经理'!$B:$U,20,0))*$W$4,IF(U20=1,VLOOKUP(B20,'④前置信息-大固定-包含了工资和总经理'!$B:$U,19,0)*$W$2+(O20-VLOOKUP(B20,'④前置信息-大固定-包含了工资和总经理'!$B:$U,19,0))*$W$3,IF(U20=0,O20*$W$2,0))),0)</f>
        <v>0</v>
      </c>
      <c r="Y20" s="91">
        <f>IF(D20="方案三",IF(U20=2,VLOOKUP(B20,'④前置信息-大固定-包含了工资和总经理'!$B:$U,19,0)*$X$2+(VLOOKUP(B20,'④前置信息-大固定-包含了工资和总经理'!$B:$U,20,0)-VLOOKUP(B20,'④前置信息-大固定-包含了工资和总经理'!$B:$U,19,0))*$X$3+(O20-VLOOKUP(B20,'④前置信息-大固定-包含了工资和总经理'!$B:$U,20,0))*$X$4,IF(U20=1,VLOOKUP(B20,'④前置信息-大固定-包含了工资和总经理'!$B:$U,19,0)*$X$2+(O20-VLOOKUP(B20,'④前置信息-大固定-包含了工资和总经理'!$B:$U,19,0))*$X$3,IF(U20=0,O20*$X$2,0))),0)</f>
        <v>0</v>
      </c>
      <c r="Z20" s="90">
        <f>IFERROR(IF(R20="yes",IF(O20&lt;VLOOKUP(B20,'④前置信息-大固定-包含了工资和总经理'!B:T,19,0),$F$2,IF(AND(O20&gt;VLOOKUP(B20,'④前置信息-大固定-包含了工资和总经理'!$B:$T,19,0),O20&lt;=VLOOKUP(B20,'④前置信息-大固定-包含了工资和总经理'!B:U,20,0)),$G$2,IF(O20&gt;VLOOKUP(B20,'④前置信息-大固定-包含了工资和总经理'!$B:$U,20,0),$H$2,0))),0),0)</f>
        <v>0.01</v>
      </c>
      <c r="AA20" s="91">
        <f t="shared" si="2"/>
        <v>1425.8457000000001</v>
      </c>
    </row>
    <row r="21" spans="1:27" x14ac:dyDescent="0.15">
      <c r="A21" s="88" t="s">
        <v>134</v>
      </c>
      <c r="B21" s="88" t="s">
        <v>39</v>
      </c>
      <c r="C21" s="88" t="s">
        <v>21</v>
      </c>
      <c r="D21" s="88" t="str">
        <f>IFERROR(VLOOKUP(C21,③工资核算浮动条件设置①!P:Q,2,0),"")</f>
        <v>方案一</v>
      </c>
      <c r="E21" s="88" t="s">
        <v>188</v>
      </c>
      <c r="F21" s="88" t="s">
        <v>81</v>
      </c>
      <c r="G21" s="88" t="s">
        <v>189</v>
      </c>
      <c r="H21" s="88">
        <f>IFERROR(VLOOKUP(B21,'④前置信息-大固定-包含了工资和总经理'!B:E,4,0),0)</f>
        <v>0</v>
      </c>
      <c r="I21" s="88">
        <f>IFERROR(VLOOKUP(B21,'④前置信息-大固定-包含了工资和总经理'!B:F,5,0),0)</f>
        <v>0</v>
      </c>
      <c r="J21" s="88" t="str">
        <f>IFERROR(VLOOKUP(B21,'④前置信息-大固定-包含了工资和总经理'!B:D,3,0),0)</f>
        <v>B类</v>
      </c>
      <c r="K21" s="88">
        <f>IFERROR(VLOOKUP(B21,'④前置信息-大固定-包含了工资和总经理'!B:G,6,0),0)</f>
        <v>150000</v>
      </c>
      <c r="L21" s="88">
        <f>IFERROR(VLOOKUP(B21,②当月数据及门店毛利!B:C,2,0),0)</f>
        <v>169632</v>
      </c>
      <c r="M21" s="88">
        <f>IFERROR(VLOOKUP(B21,②当月数据及门店毛利!B:D,3,0),0)</f>
        <v>139162.62</v>
      </c>
      <c r="N21" s="89">
        <f>IFERROR(VLOOKUP(B21,②当月数据及门店毛利!B:E,4,0),0)</f>
        <v>180</v>
      </c>
      <c r="O21" s="89">
        <f>IFERROR(IF(P21=0,0,VLOOKUP(B21,②当月数据及门店毛利!B:N,13,0)),0)</f>
        <v>141297.79999999999</v>
      </c>
      <c r="P21" s="89" t="str">
        <f>IFERROR(VLOOKUP(B21,'④前置信息-大固定-包含了工资和总经理'!B:S,18,0),0)</f>
        <v>秦亚平</v>
      </c>
      <c r="Q21" s="88">
        <v>0</v>
      </c>
      <c r="R21" s="88" t="str">
        <f>IFERROR(IF(L21&gt;VLOOKUP(B21,'④前置信息-大固定-包含了工资和总经理'!B:T,19,0),"yes",0),0)</f>
        <v>yes</v>
      </c>
      <c r="S21" s="88">
        <f>IF(L21=0,0,IF(O21&gt;=VLOOKUP(B21,'④前置信息-大固定-包含了工资和总经理'!$B:$U,19,0),1,0))</f>
        <v>0</v>
      </c>
      <c r="T21" s="88">
        <f>IF(S21=0,0,IF(O21&gt;=VLOOKUP(B21,'④前置信息-大固定-包含了工资和总经理'!$B:$U,20,0),1,0))</f>
        <v>0</v>
      </c>
      <c r="U21" s="88">
        <f t="shared" si="3"/>
        <v>0</v>
      </c>
      <c r="V21" s="88"/>
      <c r="W21" s="91">
        <f>IF(D21="方案一",IF(U21=2,VLOOKUP(B21,'④前置信息-大固定-包含了工资和总经理'!$B:$U,19,0)*$Z$2+(VLOOKUP(B21,'④前置信息-大固定-包含了工资和总经理'!$B:$U,20,0)-VLOOKUP(B21,'④前置信息-大固定-包含了工资和总经理'!$B:$U,19,0))*$Z$3+(O21-VLOOKUP(B21,'④前置信息-大固定-包含了工资和总经理'!$B:$U,20,0))*$Z$4,IF(U21=1,VLOOKUP(B21,'④前置信息-大固定-包含了工资和总经理'!$B:$U,19,0)*$Z$2+(O21-VLOOKUP(B21,'④前置信息-大固定-包含了工资和总经理'!$B:$U,19,0))*$Z$3,IF(U21=0,O21*$Z$2,0))),0)</f>
        <v>1412.9779999999998</v>
      </c>
      <c r="X21" s="91">
        <f>IF(D21="方案二",IF(U21=2,VLOOKUP(B21,'④前置信息-大固定-包含了工资和总经理'!$B:$U,19,0)*$W$2+(VLOOKUP(B21,'④前置信息-大固定-包含了工资和总经理'!$B:$U,20,0)-VLOOKUP(B21,'④前置信息-大固定-包含了工资和总经理'!$B:$U,19,0))*$W$3+(O21-VLOOKUP(B21,'④前置信息-大固定-包含了工资和总经理'!$B:$U,20,0))*$W$4,IF(U21=1,VLOOKUP(B21,'④前置信息-大固定-包含了工资和总经理'!$B:$U,19,0)*$W$2+(O21-VLOOKUP(B21,'④前置信息-大固定-包含了工资和总经理'!$B:$U,19,0))*$W$3,IF(U21=0,O21*$W$2,0))),0)</f>
        <v>0</v>
      </c>
      <c r="Y21" s="91">
        <f>IF(D21="方案三",IF(U21=2,VLOOKUP(B21,'④前置信息-大固定-包含了工资和总经理'!$B:$U,19,0)*$X$2+(VLOOKUP(B21,'④前置信息-大固定-包含了工资和总经理'!$B:$U,20,0)-VLOOKUP(B21,'④前置信息-大固定-包含了工资和总经理'!$B:$U,19,0))*$X$3+(O21-VLOOKUP(B21,'④前置信息-大固定-包含了工资和总经理'!$B:$U,20,0))*$X$4,IF(U21=1,VLOOKUP(B21,'④前置信息-大固定-包含了工资和总经理'!$B:$U,19,0)*$X$2+(O21-VLOOKUP(B21,'④前置信息-大固定-包含了工资和总经理'!$B:$U,19,0))*$X$3,IF(U21=0,O21*$X$2,0))),0)</f>
        <v>0</v>
      </c>
      <c r="Z21" s="90">
        <f>IFERROR(IF(R21="yes",IF(O21&lt;VLOOKUP(B21,'④前置信息-大固定-包含了工资和总经理'!B:T,19,0),$F$2,IF(AND(O21&gt;VLOOKUP(B21,'④前置信息-大固定-包含了工资和总经理'!$B:$T,19,0),O21&lt;=VLOOKUP(B21,'④前置信息-大固定-包含了工资和总经理'!B:U,20,0)),$G$2,IF(O21&gt;VLOOKUP(B21,'④前置信息-大固定-包含了工资和总经理'!$B:$U,20,0),$H$2,0))),0),0)</f>
        <v>0.01</v>
      </c>
      <c r="AA21" s="91">
        <f t="shared" si="2"/>
        <v>1412.9779999999998</v>
      </c>
    </row>
    <row r="22" spans="1:27" x14ac:dyDescent="0.15">
      <c r="A22" s="88" t="s">
        <v>135</v>
      </c>
      <c r="B22" s="88" t="s">
        <v>53</v>
      </c>
      <c r="C22" s="88" t="s">
        <v>28</v>
      </c>
      <c r="D22" s="88" t="str">
        <f>IFERROR(VLOOKUP(C22,③工资核算浮动条件设置①!P:Q,2,0),"")</f>
        <v>方案二</v>
      </c>
      <c r="E22" s="88" t="s">
        <v>190</v>
      </c>
      <c r="F22" s="88" t="s">
        <v>81</v>
      </c>
      <c r="G22" s="88" t="s">
        <v>191</v>
      </c>
      <c r="H22" s="88">
        <f>IFERROR(VLOOKUP(B22,'④前置信息-大固定-包含了工资和总经理'!B:E,4,0),0)</f>
        <v>0</v>
      </c>
      <c r="I22" s="88">
        <f>IFERROR(VLOOKUP(B22,'④前置信息-大固定-包含了工资和总经理'!B:F,5,0),0)</f>
        <v>0</v>
      </c>
      <c r="J22" s="88" t="str">
        <f>IFERROR(VLOOKUP(B22,'④前置信息-大固定-包含了工资和总经理'!B:D,3,0),0)</f>
        <v>A类</v>
      </c>
      <c r="K22" s="88">
        <f>IFERROR(VLOOKUP(B22,'④前置信息-大固定-包含了工资和总经理'!B:G,6,0),0)</f>
        <v>200000</v>
      </c>
      <c r="L22" s="88">
        <f>IFERROR(VLOOKUP(B22,②当月数据及门店毛利!B:C,2,0),0)</f>
        <v>200049.7</v>
      </c>
      <c r="M22" s="88">
        <f>IFERROR(VLOOKUP(B22,②当月数据及门店毛利!B:D,3,0),0)</f>
        <v>192405.22</v>
      </c>
      <c r="N22" s="89">
        <f>IFERROR(VLOOKUP(B22,②当月数据及门店毛利!B:E,4,0),0)</f>
        <v>172</v>
      </c>
      <c r="O22" s="89">
        <f>IFERROR(IF(P22=0,0,VLOOKUP(B22,②当月数据及门店毛利!B:N,13,0)),0)</f>
        <v>181858.24000000002</v>
      </c>
      <c r="P22" s="89" t="str">
        <f>IFERROR(VLOOKUP(B22,'④前置信息-大固定-包含了工资和总经理'!B:S,18,0),0)</f>
        <v>蒲草</v>
      </c>
      <c r="Q22" s="88">
        <f t="shared" si="1"/>
        <v>4000</v>
      </c>
      <c r="R22" s="88" t="str">
        <f>IFERROR(IF(L22&gt;VLOOKUP(B22,'④前置信息-大固定-包含了工资和总经理'!B:T,19,0),"yes",0),0)</f>
        <v>yes</v>
      </c>
      <c r="S22" s="88">
        <f>IF(L22=0,0,IF(O22&gt;=VLOOKUP(B22,'④前置信息-大固定-包含了工资和总经理'!$B:$U,19,0),1,0))</f>
        <v>0</v>
      </c>
      <c r="T22" s="88">
        <f>IF(S22=0,0,IF(O22&gt;=VLOOKUP(B22,'④前置信息-大固定-包含了工资和总经理'!$B:$U,20,0),1,0))</f>
        <v>0</v>
      </c>
      <c r="U22" s="88">
        <f t="shared" si="3"/>
        <v>0</v>
      </c>
      <c r="V22" s="88"/>
      <c r="W22" s="91">
        <f>IF(D22="方案一",IF(U22=2,VLOOKUP(B22,'④前置信息-大固定-包含了工资和总经理'!$B:$U,19,0)*$Z$2+(VLOOKUP(B22,'④前置信息-大固定-包含了工资和总经理'!$B:$U,20,0)-VLOOKUP(B22,'④前置信息-大固定-包含了工资和总经理'!$B:$U,19,0))*$Z$3+(O22-VLOOKUP(B22,'④前置信息-大固定-包含了工资和总经理'!$B:$U,20,0))*$Z$4,IF(U22=1,VLOOKUP(B22,'④前置信息-大固定-包含了工资和总经理'!$B:$U,19,0)*$Z$2+(O22-VLOOKUP(B22,'④前置信息-大固定-包含了工资和总经理'!$B:$U,19,0))*$Z$3,IF(U22=0,O22*$Z$2,0))),0)</f>
        <v>0</v>
      </c>
      <c r="X22" s="91">
        <f>IF(D22="方案二",IF(U22=2,VLOOKUP(B22,'④前置信息-大固定-包含了工资和总经理'!$B:$U,19,0)*$W$2+(VLOOKUP(B22,'④前置信息-大固定-包含了工资和总经理'!$B:$U,20,0)-VLOOKUP(B22,'④前置信息-大固定-包含了工资和总经理'!$B:$U,19,0))*$W$3+(O22-VLOOKUP(B22,'④前置信息-大固定-包含了工资和总经理'!$B:$U,20,0))*$W$4,IF(U22=1,VLOOKUP(B22,'④前置信息-大固定-包含了工资和总经理'!$B:$U,19,0)*$W$2+(O22-VLOOKUP(B22,'④前置信息-大固定-包含了工资和总经理'!$B:$U,19,0))*$W$3,IF(U22=0,O22*$W$2,0))),0)</f>
        <v>1818.5824000000002</v>
      </c>
      <c r="Y22" s="91">
        <f>IF(D22="方案三",IF(U22=2,VLOOKUP(B22,'④前置信息-大固定-包含了工资和总经理'!$B:$U,19,0)*$X$2+(VLOOKUP(B22,'④前置信息-大固定-包含了工资和总经理'!$B:$U,20,0)-VLOOKUP(B22,'④前置信息-大固定-包含了工资和总经理'!$B:$U,19,0))*$X$3+(O22-VLOOKUP(B22,'④前置信息-大固定-包含了工资和总经理'!$B:$U,20,0))*$X$4,IF(U22=1,VLOOKUP(B22,'④前置信息-大固定-包含了工资和总经理'!$B:$U,19,0)*$X$2+(O22-VLOOKUP(B22,'④前置信息-大固定-包含了工资和总经理'!$B:$U,19,0))*$X$3,IF(U22=0,O22*$X$2,0))),0)</f>
        <v>0</v>
      </c>
      <c r="Z22" s="90">
        <f>IFERROR(IF(R22="yes",IF(O22&lt;VLOOKUP(B22,'④前置信息-大固定-包含了工资和总经理'!B:T,19,0),$F$2,IF(AND(O22&gt;VLOOKUP(B22,'④前置信息-大固定-包含了工资和总经理'!$B:$T,19,0),O22&lt;=VLOOKUP(B22,'④前置信息-大固定-包含了工资和总经理'!B:U,20,0)),$G$2,IF(O22&gt;VLOOKUP(B22,'④前置信息-大固定-包含了工资和总经理'!$B:$U,20,0),$H$2,0))),0),0)</f>
        <v>0.01</v>
      </c>
      <c r="AA22" s="91">
        <f t="shared" si="2"/>
        <v>1818.5824000000002</v>
      </c>
    </row>
    <row r="23" spans="1:27" x14ac:dyDescent="0.15">
      <c r="A23" s="88" t="s">
        <v>136</v>
      </c>
      <c r="B23" s="88" t="s">
        <v>43</v>
      </c>
      <c r="C23" s="88" t="s">
        <v>22</v>
      </c>
      <c r="D23" s="88" t="str">
        <f>IFERROR(VLOOKUP(C23,③工资核算浮动条件设置①!P:Q,2,0),"")</f>
        <v>方案一</v>
      </c>
      <c r="E23" s="88" t="s">
        <v>188</v>
      </c>
      <c r="F23" s="88" t="s">
        <v>90</v>
      </c>
      <c r="G23" s="88" t="s">
        <v>189</v>
      </c>
      <c r="H23" s="88">
        <f>IFERROR(VLOOKUP(B23,'④前置信息-大固定-包含了工资和总经理'!B:E,4,0),0)</f>
        <v>0</v>
      </c>
      <c r="I23" s="88">
        <f>IFERROR(VLOOKUP(B23,'④前置信息-大固定-包含了工资和总经理'!B:F,5,0),0)</f>
        <v>0</v>
      </c>
      <c r="J23" s="88" t="str">
        <f>IFERROR(VLOOKUP(B23,'④前置信息-大固定-包含了工资和总经理'!B:D,3,0),0)</f>
        <v>B类</v>
      </c>
      <c r="K23" s="88">
        <f>IFERROR(VLOOKUP(B23,'④前置信息-大固定-包含了工资和总经理'!B:G,6,0),0)</f>
        <v>150000</v>
      </c>
      <c r="L23" s="88">
        <f>IFERROR(VLOOKUP(B23,②当月数据及门店毛利!B:C,2,0),0)</f>
        <v>311108</v>
      </c>
      <c r="M23" s="88">
        <f>IFERROR(VLOOKUP(B23,②当月数据及门店毛利!B:D,3,0),0)</f>
        <v>291471.05</v>
      </c>
      <c r="N23" s="89">
        <f>IFERROR(VLOOKUP(B23,②当月数据及门店毛利!B:E,4,0),0)</f>
        <v>163</v>
      </c>
      <c r="O23" s="89">
        <f>IFERROR(IF(P23=0,0,VLOOKUP(B23,②当月数据及门店毛利!B:N,13,0)),0)</f>
        <v>0</v>
      </c>
      <c r="P23" s="89">
        <f>IFERROR(VLOOKUP(B23,'④前置信息-大固定-包含了工资和总经理'!B:S,18,0),0)</f>
        <v>0</v>
      </c>
      <c r="Q23" s="88">
        <f t="shared" si="1"/>
        <v>0</v>
      </c>
      <c r="R23" s="88" t="str">
        <f>IFERROR(IF(L23&gt;VLOOKUP(B23,'④前置信息-大固定-包含了工资和总经理'!B:T,19,0),"yes",0),0)</f>
        <v>yes</v>
      </c>
      <c r="S23" s="88">
        <f>IF(L23=0,0,IF(O23&gt;=VLOOKUP(B23,'④前置信息-大固定-包含了工资和总经理'!$B:$U,19,0),1,0))</f>
        <v>0</v>
      </c>
      <c r="T23" s="88">
        <f>IF(S23=0,0,IF(O23&gt;=VLOOKUP(B23,'④前置信息-大固定-包含了工资和总经理'!$B:$U,20,0),1,0))</f>
        <v>0</v>
      </c>
      <c r="U23" s="88">
        <f t="shared" si="3"/>
        <v>0</v>
      </c>
      <c r="V23" s="88"/>
      <c r="W23" s="91">
        <f>IF(D23="方案一",IF(U23=2,VLOOKUP(B23,'④前置信息-大固定-包含了工资和总经理'!$B:$U,19,0)*$Z$2+(VLOOKUP(B23,'④前置信息-大固定-包含了工资和总经理'!$B:$U,20,0)-VLOOKUP(B23,'④前置信息-大固定-包含了工资和总经理'!$B:$U,19,0))*$Z$3+(O23-VLOOKUP(B23,'④前置信息-大固定-包含了工资和总经理'!$B:$U,20,0))*$Z$4,IF(U23=1,VLOOKUP(B23,'④前置信息-大固定-包含了工资和总经理'!$B:$U,19,0)*$Z$2+(O23-VLOOKUP(B23,'④前置信息-大固定-包含了工资和总经理'!$B:$U,19,0))*$Z$3,IF(U23=0,O23*$Z$2,0))),0)</f>
        <v>0</v>
      </c>
      <c r="X23" s="91">
        <f>IF(D23="方案二",IF(U23=2,VLOOKUP(B23,'④前置信息-大固定-包含了工资和总经理'!$B:$U,19,0)*$W$2+(VLOOKUP(B23,'④前置信息-大固定-包含了工资和总经理'!$B:$U,20,0)-VLOOKUP(B23,'④前置信息-大固定-包含了工资和总经理'!$B:$U,19,0))*$W$3+(O23-VLOOKUP(B23,'④前置信息-大固定-包含了工资和总经理'!$B:$U,20,0))*$W$4,IF(U23=1,VLOOKUP(B23,'④前置信息-大固定-包含了工资和总经理'!$B:$U,19,0)*$W$2+(O23-VLOOKUP(B23,'④前置信息-大固定-包含了工资和总经理'!$B:$U,19,0))*$W$3,IF(U23=0,O23*$W$2,0))),0)</f>
        <v>0</v>
      </c>
      <c r="Y23" s="91">
        <f>IF(D23="方案三",IF(U23=2,VLOOKUP(B23,'④前置信息-大固定-包含了工资和总经理'!$B:$U,19,0)*$X$2+(VLOOKUP(B23,'④前置信息-大固定-包含了工资和总经理'!$B:$U,20,0)-VLOOKUP(B23,'④前置信息-大固定-包含了工资和总经理'!$B:$U,19,0))*$X$3+(O23-VLOOKUP(B23,'④前置信息-大固定-包含了工资和总经理'!$B:$U,20,0))*$X$4,IF(U23=1,VLOOKUP(B23,'④前置信息-大固定-包含了工资和总经理'!$B:$U,19,0)*$X$2+(O23-VLOOKUP(B23,'④前置信息-大固定-包含了工资和总经理'!$B:$U,19,0))*$X$3,IF(U23=0,O23*$X$2,0))),0)</f>
        <v>0</v>
      </c>
      <c r="Z23" s="90">
        <f>IFERROR(IF(R23="yes",IF(O23&lt;VLOOKUP(B23,'④前置信息-大固定-包含了工资和总经理'!B:T,19,0),$F$2,IF(AND(O23&gt;VLOOKUP(B23,'④前置信息-大固定-包含了工资和总经理'!$B:$T,19,0),O23&lt;=VLOOKUP(B23,'④前置信息-大固定-包含了工资和总经理'!B:U,20,0)),$G$2,IF(O23&gt;VLOOKUP(B23,'④前置信息-大固定-包含了工资和总经理'!$B:$U,20,0),$H$2,0))),0),0)</f>
        <v>0.01</v>
      </c>
      <c r="AA23" s="91">
        <f t="shared" si="2"/>
        <v>0</v>
      </c>
    </row>
    <row r="24" spans="1:27" x14ac:dyDescent="0.15">
      <c r="A24" s="88" t="s">
        <v>137</v>
      </c>
      <c r="B24" s="88" t="s">
        <v>33</v>
      </c>
      <c r="C24" s="88" t="s">
        <v>21</v>
      </c>
      <c r="D24" s="88" t="str">
        <f>IFERROR(VLOOKUP(C24,③工资核算浮动条件设置①!P:Q,2,0),"")</f>
        <v>方案一</v>
      </c>
      <c r="E24" s="88" t="s">
        <v>188</v>
      </c>
      <c r="F24" s="88" t="s">
        <v>90</v>
      </c>
      <c r="G24" s="88" t="s">
        <v>189</v>
      </c>
      <c r="H24" s="88">
        <f>IFERROR(VLOOKUP(B24,'④前置信息-大固定-包含了工资和总经理'!B:E,4,0),0)</f>
        <v>0</v>
      </c>
      <c r="I24" s="88">
        <f>IFERROR(VLOOKUP(B24,'④前置信息-大固定-包含了工资和总经理'!B:F,5,0),0)</f>
        <v>0</v>
      </c>
      <c r="J24" s="88" t="str">
        <f>IFERROR(VLOOKUP(B24,'④前置信息-大固定-包含了工资和总经理'!B:D,3,0),0)</f>
        <v>A类</v>
      </c>
      <c r="K24" s="88">
        <f>IFERROR(VLOOKUP(B24,'④前置信息-大固定-包含了工资和总经理'!B:G,6,0),0)</f>
        <v>200000</v>
      </c>
      <c r="L24" s="88">
        <f>IFERROR(VLOOKUP(B24,②当月数据及门店毛利!B:C,2,0),0)</f>
        <v>158633</v>
      </c>
      <c r="M24" s="88">
        <f>IFERROR(VLOOKUP(B24,②当月数据及门店毛利!B:D,3,0),0)</f>
        <v>123760.98</v>
      </c>
      <c r="N24" s="89">
        <f>IFERROR(VLOOKUP(B24,②当月数据及门店毛利!B:E,4,0),0)</f>
        <v>177</v>
      </c>
      <c r="O24" s="89">
        <f>IFERROR(IF(P24=0,0,VLOOKUP(B24,②当月数据及门店毛利!B:N,13,0)),0)</f>
        <v>152070.18</v>
      </c>
      <c r="P24" s="89" t="str">
        <f>IFERROR(VLOOKUP(B24,'④前置信息-大固定-包含了工资和总经理'!B:S,18,0),0)</f>
        <v>秦亚平</v>
      </c>
      <c r="Q24" s="88">
        <v>0</v>
      </c>
      <c r="R24" s="88">
        <f>IFERROR(IF(L24&gt;VLOOKUP(B24,'④前置信息-大固定-包含了工资和总经理'!B:T,19,0),"yes",0),0)</f>
        <v>0</v>
      </c>
      <c r="S24" s="88">
        <f>IF(L24=0,0,IF(O24&gt;=VLOOKUP(B24,'④前置信息-大固定-包含了工资和总经理'!$B:$U,19,0),1,0))</f>
        <v>0</v>
      </c>
      <c r="T24" s="88">
        <f>IF(S24=0,0,IF(O24&gt;=VLOOKUP(B24,'④前置信息-大固定-包含了工资和总经理'!$B:$U,20,0),1,0))</f>
        <v>0</v>
      </c>
      <c r="U24" s="88" t="str">
        <f t="shared" si="3"/>
        <v>不提</v>
      </c>
      <c r="V24" s="88"/>
      <c r="W24" s="91">
        <f>IF(D24="方案一",IF(U24=2,VLOOKUP(B24,'④前置信息-大固定-包含了工资和总经理'!$B:$U,19,0)*$Z$2+(VLOOKUP(B24,'④前置信息-大固定-包含了工资和总经理'!$B:$U,20,0)-VLOOKUP(B24,'④前置信息-大固定-包含了工资和总经理'!$B:$U,19,0))*$Z$3+(O24-VLOOKUP(B24,'④前置信息-大固定-包含了工资和总经理'!$B:$U,20,0))*$Z$4,IF(U24=1,VLOOKUP(B24,'④前置信息-大固定-包含了工资和总经理'!$B:$U,19,0)*$Z$2+(O24-VLOOKUP(B24,'④前置信息-大固定-包含了工资和总经理'!$B:$U,19,0))*$Z$3,IF(U24=0,O24*$Z$2,0))),0)</f>
        <v>0</v>
      </c>
      <c r="X24" s="91">
        <f>IF(D24="方案二",IF(U24=2,VLOOKUP(B24,'④前置信息-大固定-包含了工资和总经理'!$B:$U,19,0)*$W$2+(VLOOKUP(B24,'④前置信息-大固定-包含了工资和总经理'!$B:$U,20,0)-VLOOKUP(B24,'④前置信息-大固定-包含了工资和总经理'!$B:$U,19,0))*$W$3+(O24-VLOOKUP(B24,'④前置信息-大固定-包含了工资和总经理'!$B:$U,20,0))*$W$4,IF(U24=1,VLOOKUP(B24,'④前置信息-大固定-包含了工资和总经理'!$B:$U,19,0)*$W$2+(O24-VLOOKUP(B24,'④前置信息-大固定-包含了工资和总经理'!$B:$U,19,0))*$W$3,IF(U24=0,O24*$W$2,0))),0)</f>
        <v>0</v>
      </c>
      <c r="Y24" s="91">
        <f>IF(D24="方案三",IF(U24=2,VLOOKUP(B24,'④前置信息-大固定-包含了工资和总经理'!$B:$U,19,0)*$X$2+(VLOOKUP(B24,'④前置信息-大固定-包含了工资和总经理'!$B:$U,20,0)-VLOOKUP(B24,'④前置信息-大固定-包含了工资和总经理'!$B:$U,19,0))*$X$3+(O24-VLOOKUP(B24,'④前置信息-大固定-包含了工资和总经理'!$B:$U,20,0))*$X$4,IF(U24=1,VLOOKUP(B24,'④前置信息-大固定-包含了工资和总经理'!$B:$U,19,0)*$X$2+(O24-VLOOKUP(B24,'④前置信息-大固定-包含了工资和总经理'!$B:$U,19,0))*$X$3,IF(U24=0,O24*$X$2,0))),0)</f>
        <v>0</v>
      </c>
      <c r="Z24" s="90">
        <f>IFERROR(IF(R24="yes",IF(O24&lt;VLOOKUP(B24,'④前置信息-大固定-包含了工资和总经理'!B:T,19,0),$F$2,IF(AND(O24&gt;VLOOKUP(B24,'④前置信息-大固定-包含了工资和总经理'!$B:$T,19,0),O24&lt;=VLOOKUP(B24,'④前置信息-大固定-包含了工资和总经理'!B:U,20,0)),$G$2,IF(O24&gt;VLOOKUP(B24,'④前置信息-大固定-包含了工资和总经理'!$B:$U,20,0),$H$2,0))),0),0)</f>
        <v>0</v>
      </c>
      <c r="AA24" s="91">
        <f t="shared" si="2"/>
        <v>0</v>
      </c>
    </row>
    <row r="25" spans="1:27" x14ac:dyDescent="0.15">
      <c r="A25" s="88" t="s">
        <v>138</v>
      </c>
      <c r="B25" s="88" t="s">
        <v>51</v>
      </c>
      <c r="C25" s="88" t="s">
        <v>24</v>
      </c>
      <c r="D25" s="88" t="str">
        <f>IFERROR(VLOOKUP(C25,③工资核算浮动条件设置①!P:Q,2,0),"")</f>
        <v>方案二</v>
      </c>
      <c r="E25" s="88" t="s">
        <v>190</v>
      </c>
      <c r="F25" s="88" t="s">
        <v>81</v>
      </c>
      <c r="G25" s="88" t="s">
        <v>191</v>
      </c>
      <c r="H25" s="88">
        <f>IFERROR(VLOOKUP(B25,'④前置信息-大固定-包含了工资和总经理'!B:E,4,0),0)</f>
        <v>0</v>
      </c>
      <c r="I25" s="88">
        <f>IFERROR(VLOOKUP(B25,'④前置信息-大固定-包含了工资和总经理'!B:F,5,0),0)</f>
        <v>0</v>
      </c>
      <c r="J25" s="88" t="str">
        <f>IFERROR(VLOOKUP(B25,'④前置信息-大固定-包含了工资和总经理'!B:D,3,0),0)</f>
        <v>C类</v>
      </c>
      <c r="K25" s="88">
        <f>IFERROR(VLOOKUP(B25,'④前置信息-大固定-包含了工资和总经理'!B:G,6,0),0)</f>
        <v>120000</v>
      </c>
      <c r="L25" s="88">
        <f>IFERROR(VLOOKUP(B25,②当月数据及门店毛利!B:C,2,0),0)</f>
        <v>92371</v>
      </c>
      <c r="M25" s="88">
        <f>IFERROR(VLOOKUP(B25,②当月数据及门店毛利!B:D,3,0),0)</f>
        <v>58105.8</v>
      </c>
      <c r="N25" s="89">
        <f>IFERROR(VLOOKUP(B25,②当月数据及门店毛利!B:E,4,0),0)</f>
        <v>169</v>
      </c>
      <c r="O25" s="89">
        <f>IFERROR(IF(P25=0,0,VLOOKUP(B25,②当月数据及门店毛利!B:N,13,0)),0)</f>
        <v>87940.58</v>
      </c>
      <c r="P25" s="89" t="str">
        <f>IFERROR(VLOOKUP(B25,'④前置信息-大固定-包含了工资和总经理'!B:S,18,0),0)</f>
        <v>张小娟</v>
      </c>
      <c r="Q25" s="88">
        <v>0</v>
      </c>
      <c r="R25" s="88">
        <f>IFERROR(IF(L25&gt;VLOOKUP(B25,'④前置信息-大固定-包含了工资和总经理'!B:T,19,0),"yes",0),0)</f>
        <v>0</v>
      </c>
      <c r="S25" s="88">
        <f>IF(L25=0,0,IF(O25&gt;=VLOOKUP(B25,'④前置信息-大固定-包含了工资和总经理'!$B:$U,19,0),1,0))</f>
        <v>0</v>
      </c>
      <c r="T25" s="88">
        <f>IF(S25=0,0,IF(O25&gt;=VLOOKUP(B25,'④前置信息-大固定-包含了工资和总经理'!$B:$U,20,0),1,0))</f>
        <v>0</v>
      </c>
      <c r="U25" s="88" t="str">
        <f t="shared" si="3"/>
        <v>不提</v>
      </c>
      <c r="V25" s="88"/>
      <c r="W25" s="91">
        <f>IF(D25="方案一",IF(U25=2,VLOOKUP(B25,'④前置信息-大固定-包含了工资和总经理'!$B:$U,19,0)*$Z$2+(VLOOKUP(B25,'④前置信息-大固定-包含了工资和总经理'!$B:$U,20,0)-VLOOKUP(B25,'④前置信息-大固定-包含了工资和总经理'!$B:$U,19,0))*$Z$3+(O25-VLOOKUP(B25,'④前置信息-大固定-包含了工资和总经理'!$B:$U,20,0))*$Z$4,IF(U25=1,VLOOKUP(B25,'④前置信息-大固定-包含了工资和总经理'!$B:$U,19,0)*$Z$2+(O25-VLOOKUP(B25,'④前置信息-大固定-包含了工资和总经理'!$B:$U,19,0))*$Z$3,IF(U25=0,O25*$Z$2,0))),0)</f>
        <v>0</v>
      </c>
      <c r="X25" s="91">
        <f>IF(D25="方案二",IF(U25=2,VLOOKUP(B25,'④前置信息-大固定-包含了工资和总经理'!$B:$U,19,0)*$W$2+(VLOOKUP(B25,'④前置信息-大固定-包含了工资和总经理'!$B:$U,20,0)-VLOOKUP(B25,'④前置信息-大固定-包含了工资和总经理'!$B:$U,19,0))*$W$3+(O25-VLOOKUP(B25,'④前置信息-大固定-包含了工资和总经理'!$B:$U,20,0))*$W$4,IF(U25=1,VLOOKUP(B25,'④前置信息-大固定-包含了工资和总经理'!$B:$U,19,0)*$W$2+(O25-VLOOKUP(B25,'④前置信息-大固定-包含了工资和总经理'!$B:$U,19,0))*$W$3,IF(U25=0,O25*$W$2,0))),0)</f>
        <v>0</v>
      </c>
      <c r="Y25" s="91">
        <f>IF(D25="方案三",IF(U25=2,VLOOKUP(B25,'④前置信息-大固定-包含了工资和总经理'!$B:$U,19,0)*$X$2+(VLOOKUP(B25,'④前置信息-大固定-包含了工资和总经理'!$B:$U,20,0)-VLOOKUP(B25,'④前置信息-大固定-包含了工资和总经理'!$B:$U,19,0))*$X$3+(O25-VLOOKUP(B25,'④前置信息-大固定-包含了工资和总经理'!$B:$U,20,0))*$X$4,IF(U25=1,VLOOKUP(B25,'④前置信息-大固定-包含了工资和总经理'!$B:$U,19,0)*$X$2+(O25-VLOOKUP(B25,'④前置信息-大固定-包含了工资和总经理'!$B:$U,19,0))*$X$3,IF(U25=0,O25*$X$2,0))),0)</f>
        <v>0</v>
      </c>
      <c r="Z25" s="90">
        <f>IFERROR(IF(R25="yes",IF(O25&lt;VLOOKUP(B25,'④前置信息-大固定-包含了工资和总经理'!B:T,19,0),$F$2,IF(AND(O25&gt;VLOOKUP(B25,'④前置信息-大固定-包含了工资和总经理'!$B:$T,19,0),O25&lt;=VLOOKUP(B25,'④前置信息-大固定-包含了工资和总经理'!B:U,20,0)),$G$2,IF(O25&gt;VLOOKUP(B25,'④前置信息-大固定-包含了工资和总经理'!$B:$U,20,0),$H$2,0))),0),0)</f>
        <v>0</v>
      </c>
      <c r="AA25" s="91">
        <f t="shared" si="2"/>
        <v>0</v>
      </c>
    </row>
    <row r="26" spans="1:27" x14ac:dyDescent="0.15">
      <c r="A26" s="88" t="s">
        <v>139</v>
      </c>
      <c r="B26" s="88" t="s">
        <v>26</v>
      </c>
      <c r="C26" s="88" t="s">
        <v>4</v>
      </c>
      <c r="D26" s="88" t="str">
        <f>IFERROR(VLOOKUP(C26,③工资核算浮动条件设置①!P:Q,2,0),"")</f>
        <v>方案一</v>
      </c>
      <c r="E26" s="88" t="s">
        <v>188</v>
      </c>
      <c r="F26" s="88" t="s">
        <v>81</v>
      </c>
      <c r="G26" s="88" t="s">
        <v>189</v>
      </c>
      <c r="H26" s="88">
        <f>IFERROR(VLOOKUP(B26,'④前置信息-大固定-包含了工资和总经理'!B:E,4,0),0)</f>
        <v>0</v>
      </c>
      <c r="I26" s="88">
        <f>IFERROR(VLOOKUP(B26,'④前置信息-大固定-包含了工资和总经理'!B:F,5,0),0)</f>
        <v>0</v>
      </c>
      <c r="J26" s="88" t="str">
        <f>IFERROR(VLOOKUP(B26,'④前置信息-大固定-包含了工资和总经理'!B:D,3,0),0)</f>
        <v>B类</v>
      </c>
      <c r="K26" s="88">
        <f>IFERROR(VLOOKUP(B26,'④前置信息-大固定-包含了工资和总经理'!B:G,6,0),0)</f>
        <v>150000</v>
      </c>
      <c r="L26" s="88">
        <f>IFERROR(VLOOKUP(B26,②当月数据及门店毛利!B:C,2,0),0)</f>
        <v>100934</v>
      </c>
      <c r="M26" s="88">
        <f>IFERROR(VLOOKUP(B26,②当月数据及门店毛利!B:D,3,0),0)</f>
        <v>120573.32</v>
      </c>
      <c r="N26" s="89">
        <f>IFERROR(VLOOKUP(B26,②当月数据及门店毛利!B:E,4,0),0)</f>
        <v>183</v>
      </c>
      <c r="O26" s="89">
        <f>IFERROR(IF(P26=0,0,VLOOKUP(B26,②当月数据及门店毛利!B:N,13,0)),0)</f>
        <v>89096.790000000008</v>
      </c>
      <c r="P26" s="89" t="str">
        <f>IFERROR(VLOOKUP(B26,'④前置信息-大固定-包含了工资和总经理'!B:S,18,0),0)</f>
        <v>邹福贞</v>
      </c>
      <c r="Q26" s="88">
        <v>0</v>
      </c>
      <c r="R26" s="88">
        <f>IFERROR(IF(L26&gt;VLOOKUP(B26,'④前置信息-大固定-包含了工资和总经理'!B:T,19,0),"yes",0),0)</f>
        <v>0</v>
      </c>
      <c r="S26" s="88">
        <f>IF(L26=0,0,IF(O26&gt;=VLOOKUP(B26,'④前置信息-大固定-包含了工资和总经理'!$B:$U,19,0),1,0))</f>
        <v>0</v>
      </c>
      <c r="T26" s="88">
        <f>IF(S26=0,0,IF(O26&gt;=VLOOKUP(B26,'④前置信息-大固定-包含了工资和总经理'!$B:$U,20,0),1,0))</f>
        <v>0</v>
      </c>
      <c r="U26" s="88" t="str">
        <f t="shared" si="3"/>
        <v>不提</v>
      </c>
      <c r="V26" s="88"/>
      <c r="W26" s="91">
        <f>IF(D26="方案一",IF(U26=2,VLOOKUP(B26,'④前置信息-大固定-包含了工资和总经理'!$B:$U,19,0)*$Z$2+(VLOOKUP(B26,'④前置信息-大固定-包含了工资和总经理'!$B:$U,20,0)-VLOOKUP(B26,'④前置信息-大固定-包含了工资和总经理'!$B:$U,19,0))*$Z$3+(O26-VLOOKUP(B26,'④前置信息-大固定-包含了工资和总经理'!$B:$U,20,0))*$Z$4,IF(U26=1,VLOOKUP(B26,'④前置信息-大固定-包含了工资和总经理'!$B:$U,19,0)*$Z$2+(O26-VLOOKUP(B26,'④前置信息-大固定-包含了工资和总经理'!$B:$U,19,0))*$Z$3,IF(U26=0,O26*$Z$2,0))),0)</f>
        <v>0</v>
      </c>
      <c r="X26" s="91">
        <f>IF(D26="方案二",IF(U26=2,VLOOKUP(B26,'④前置信息-大固定-包含了工资和总经理'!$B:$U,19,0)*$W$2+(VLOOKUP(B26,'④前置信息-大固定-包含了工资和总经理'!$B:$U,20,0)-VLOOKUP(B26,'④前置信息-大固定-包含了工资和总经理'!$B:$U,19,0))*$W$3+(O26-VLOOKUP(B26,'④前置信息-大固定-包含了工资和总经理'!$B:$U,20,0))*$W$4,IF(U26=1,VLOOKUP(B26,'④前置信息-大固定-包含了工资和总经理'!$B:$U,19,0)*$W$2+(O26-VLOOKUP(B26,'④前置信息-大固定-包含了工资和总经理'!$B:$U,19,0))*$W$3,IF(U26=0,O26*$W$2,0))),0)</f>
        <v>0</v>
      </c>
      <c r="Y26" s="91">
        <f>IF(D26="方案三",IF(U26=2,VLOOKUP(B26,'④前置信息-大固定-包含了工资和总经理'!$B:$U,19,0)*$X$2+(VLOOKUP(B26,'④前置信息-大固定-包含了工资和总经理'!$B:$U,20,0)-VLOOKUP(B26,'④前置信息-大固定-包含了工资和总经理'!$B:$U,19,0))*$X$3+(O26-VLOOKUP(B26,'④前置信息-大固定-包含了工资和总经理'!$B:$U,20,0))*$X$4,IF(U26=1,VLOOKUP(B26,'④前置信息-大固定-包含了工资和总经理'!$B:$U,19,0)*$X$2+(O26-VLOOKUP(B26,'④前置信息-大固定-包含了工资和总经理'!$B:$U,19,0))*$X$3,IF(U26=0,O26*$X$2,0))),0)</f>
        <v>0</v>
      </c>
      <c r="Z26" s="90">
        <f>IFERROR(IF(R26="yes",IF(O26&lt;VLOOKUP(B26,'④前置信息-大固定-包含了工资和总经理'!B:T,19,0),$F$2,IF(AND(O26&gt;VLOOKUP(B26,'④前置信息-大固定-包含了工资和总经理'!$B:$T,19,0),O26&lt;=VLOOKUP(B26,'④前置信息-大固定-包含了工资和总经理'!B:U,20,0)),$G$2,IF(O26&gt;VLOOKUP(B26,'④前置信息-大固定-包含了工资和总经理'!$B:$U,20,0),$H$2,0))),0),0)</f>
        <v>0</v>
      </c>
      <c r="AA26" s="91">
        <f t="shared" si="2"/>
        <v>0</v>
      </c>
    </row>
    <row r="27" spans="1:27" x14ac:dyDescent="0.15">
      <c r="A27" s="88" t="s">
        <v>140</v>
      </c>
      <c r="B27" s="88" t="s">
        <v>56</v>
      </c>
      <c r="C27" s="88" t="s">
        <v>28</v>
      </c>
      <c r="D27" s="88" t="str">
        <f>IFERROR(VLOOKUP(C27,③工资核算浮动条件设置①!P:Q,2,0),"")</f>
        <v>方案二</v>
      </c>
      <c r="E27" s="88" t="s">
        <v>190</v>
      </c>
      <c r="F27" s="88" t="s">
        <v>81</v>
      </c>
      <c r="G27" s="88" t="s">
        <v>191</v>
      </c>
      <c r="H27" s="88">
        <f>IFERROR(VLOOKUP(B27,'④前置信息-大固定-包含了工资和总经理'!B:E,4,0),0)</f>
        <v>0</v>
      </c>
      <c r="I27" s="88">
        <f>IFERROR(VLOOKUP(B27,'④前置信息-大固定-包含了工资和总经理'!B:F,5,0),0)</f>
        <v>0</v>
      </c>
      <c r="J27" s="88" t="str">
        <f>IFERROR(VLOOKUP(B27,'④前置信息-大固定-包含了工资和总经理'!B:D,3,0),0)</f>
        <v>B类</v>
      </c>
      <c r="K27" s="88">
        <f>IFERROR(VLOOKUP(B27,'④前置信息-大固定-包含了工资和总经理'!B:G,6,0),0)</f>
        <v>150000</v>
      </c>
      <c r="L27" s="88">
        <f>IFERROR(VLOOKUP(B27,②当月数据及门店毛利!B:C,2,0),0)</f>
        <v>151129</v>
      </c>
      <c r="M27" s="88">
        <f>IFERROR(VLOOKUP(B27,②当月数据及门店毛利!B:D,3,0),0)</f>
        <v>112580.75</v>
      </c>
      <c r="N27" s="89">
        <f>IFERROR(VLOOKUP(B27,②当月数据及门店毛利!B:E,4,0),0)</f>
        <v>164</v>
      </c>
      <c r="O27" s="89">
        <f>IFERROR(IF(P27=0,0,VLOOKUP(B27,②当月数据及门店毛利!B:N,13,0)),0)</f>
        <v>144958.69</v>
      </c>
      <c r="P27" s="89" t="str">
        <f>IFERROR(VLOOKUP(B27,'④前置信息-大固定-包含了工资和总经理'!B:S,18,0),0)</f>
        <v>蒲草</v>
      </c>
      <c r="Q27" s="88">
        <v>0</v>
      </c>
      <c r="R27" s="88" t="str">
        <f>IFERROR(IF(L27&gt;VLOOKUP(B27,'④前置信息-大固定-包含了工资和总经理'!B:T,19,0),"yes",0),0)</f>
        <v>yes</v>
      </c>
      <c r="S27" s="88">
        <f>IF(L27=0,0,IF(O27&gt;=VLOOKUP(B27,'④前置信息-大固定-包含了工资和总经理'!$B:$U,19,0),1,0))</f>
        <v>0</v>
      </c>
      <c r="T27" s="88">
        <f>IF(S27=0,0,IF(O27&gt;=VLOOKUP(B27,'④前置信息-大固定-包含了工资和总经理'!$B:$U,20,0),1,0))</f>
        <v>0</v>
      </c>
      <c r="U27" s="88">
        <f t="shared" si="3"/>
        <v>0</v>
      </c>
      <c r="V27" s="88"/>
      <c r="W27" s="91">
        <f>IF(D27="方案一",IF(U27=2,VLOOKUP(B27,'④前置信息-大固定-包含了工资和总经理'!$B:$U,19,0)*$Z$2+(VLOOKUP(B27,'④前置信息-大固定-包含了工资和总经理'!$B:$U,20,0)-VLOOKUP(B27,'④前置信息-大固定-包含了工资和总经理'!$B:$U,19,0))*$Z$3+(O27-VLOOKUP(B27,'④前置信息-大固定-包含了工资和总经理'!$B:$U,20,0))*$Z$4,IF(U27=1,VLOOKUP(B27,'④前置信息-大固定-包含了工资和总经理'!$B:$U,19,0)*$Z$2+(O27-VLOOKUP(B27,'④前置信息-大固定-包含了工资和总经理'!$B:$U,19,0))*$Z$3,IF(U27=0,O27*$Z$2,0))),0)</f>
        <v>0</v>
      </c>
      <c r="X27" s="91">
        <f>IF(D27="方案二",IF(U27=2,VLOOKUP(B27,'④前置信息-大固定-包含了工资和总经理'!$B:$U,19,0)*$W$2+(VLOOKUP(B27,'④前置信息-大固定-包含了工资和总经理'!$B:$U,20,0)-VLOOKUP(B27,'④前置信息-大固定-包含了工资和总经理'!$B:$U,19,0))*$W$3+(O27-VLOOKUP(B27,'④前置信息-大固定-包含了工资和总经理'!$B:$U,20,0))*$W$4,IF(U27=1,VLOOKUP(B27,'④前置信息-大固定-包含了工资和总经理'!$B:$U,19,0)*$W$2+(O27-VLOOKUP(B27,'④前置信息-大固定-包含了工资和总经理'!$B:$U,19,0))*$W$3,IF(U27=0,O27*$W$2,0))),0)</f>
        <v>1449.5869</v>
      </c>
      <c r="Y27" s="91">
        <f>IF(D27="方案三",IF(U27=2,VLOOKUP(B27,'④前置信息-大固定-包含了工资和总经理'!$B:$U,19,0)*$X$2+(VLOOKUP(B27,'④前置信息-大固定-包含了工资和总经理'!$B:$U,20,0)-VLOOKUP(B27,'④前置信息-大固定-包含了工资和总经理'!$B:$U,19,0))*$X$3+(O27-VLOOKUP(B27,'④前置信息-大固定-包含了工资和总经理'!$B:$U,20,0))*$X$4,IF(U27=1,VLOOKUP(B27,'④前置信息-大固定-包含了工资和总经理'!$B:$U,19,0)*$X$2+(O27-VLOOKUP(B27,'④前置信息-大固定-包含了工资和总经理'!$B:$U,19,0))*$X$3,IF(U27=0,O27*$X$2,0))),0)</f>
        <v>0</v>
      </c>
      <c r="Z27" s="90">
        <f>IFERROR(IF(R27="yes",IF(O27&lt;VLOOKUP(B27,'④前置信息-大固定-包含了工资和总经理'!B:T,19,0),$F$2,IF(AND(O27&gt;VLOOKUP(B27,'④前置信息-大固定-包含了工资和总经理'!$B:$T,19,0),O27&lt;=VLOOKUP(B27,'④前置信息-大固定-包含了工资和总经理'!B:U,20,0)),$G$2,IF(O27&gt;VLOOKUP(B27,'④前置信息-大固定-包含了工资和总经理'!$B:$U,20,0),$H$2,0))),0),0)</f>
        <v>0.01</v>
      </c>
      <c r="AA27" s="91">
        <f t="shared" si="2"/>
        <v>1449.5869</v>
      </c>
    </row>
    <row r="28" spans="1:27" x14ac:dyDescent="0.15">
      <c r="A28" s="88" t="s">
        <v>141</v>
      </c>
      <c r="B28" s="88" t="s">
        <v>52</v>
      </c>
      <c r="C28" s="88" t="s">
        <v>24</v>
      </c>
      <c r="D28" s="88" t="str">
        <f>IFERROR(VLOOKUP(C28,③工资核算浮动条件设置①!P:Q,2,0),"")</f>
        <v>方案二</v>
      </c>
      <c r="E28" s="88" t="s">
        <v>188</v>
      </c>
      <c r="F28" s="88" t="s">
        <v>81</v>
      </c>
      <c r="G28" s="88" t="s">
        <v>191</v>
      </c>
      <c r="H28" s="88">
        <f>IFERROR(VLOOKUP(B28,'④前置信息-大固定-包含了工资和总经理'!B:E,4,0),0)</f>
        <v>0</v>
      </c>
      <c r="I28" s="88">
        <f>IFERROR(VLOOKUP(B28,'④前置信息-大固定-包含了工资和总经理'!B:F,5,0),0)</f>
        <v>0</v>
      </c>
      <c r="J28" s="88" t="str">
        <f>IFERROR(VLOOKUP(B28,'④前置信息-大固定-包含了工资和总经理'!B:D,3,0),0)</f>
        <v>C类</v>
      </c>
      <c r="K28" s="88">
        <f>IFERROR(VLOOKUP(B28,'④前置信息-大固定-包含了工资和总经理'!B:G,6,0),0)</f>
        <v>120000</v>
      </c>
      <c r="L28" s="88">
        <f>IFERROR(VLOOKUP(B28,②当月数据及门店毛利!B:C,2,0),0)</f>
        <v>143757</v>
      </c>
      <c r="M28" s="88">
        <f>IFERROR(VLOOKUP(B28,②当月数据及门店毛利!B:D,3,0),0)</f>
        <v>100865.33</v>
      </c>
      <c r="N28" s="89">
        <f>IFERROR(VLOOKUP(B28,②当月数据及门店毛利!B:E,4,0),0)</f>
        <v>156</v>
      </c>
      <c r="O28" s="89">
        <f>IFERROR(IF(P28=0,0,VLOOKUP(B28,②当月数据及门店毛利!B:N,13,0)),0)</f>
        <v>126172.11</v>
      </c>
      <c r="P28" s="89" t="str">
        <f>IFERROR(VLOOKUP(B28,'④前置信息-大固定-包含了工资和总经理'!B:S,18,0),0)</f>
        <v>张小娟</v>
      </c>
      <c r="Q28" s="88">
        <v>0</v>
      </c>
      <c r="R28" s="88" t="str">
        <f>IFERROR(IF(L28&gt;VLOOKUP(B28,'④前置信息-大固定-包含了工资和总经理'!B:T,19,0),"yes",0),0)</f>
        <v>yes</v>
      </c>
      <c r="S28" s="88">
        <f>IF(L28=0,0,IF(O28&gt;=VLOOKUP(B28,'④前置信息-大固定-包含了工资和总经理'!$B:$U,19,0),1,0))</f>
        <v>1</v>
      </c>
      <c r="T28" s="88">
        <f>IF(S28=0,0,IF(O28&gt;=VLOOKUP(B28,'④前置信息-大固定-包含了工资和总经理'!$B:$U,20,0),1,0))</f>
        <v>0</v>
      </c>
      <c r="U28" s="88">
        <f t="shared" si="3"/>
        <v>1</v>
      </c>
      <c r="V28" s="88"/>
      <c r="W28" s="91">
        <f>IF(D28="方案一",IF(U28=2,VLOOKUP(B28,'④前置信息-大固定-包含了工资和总经理'!$B:$U,19,0)*$Z$2+(VLOOKUP(B28,'④前置信息-大固定-包含了工资和总经理'!$B:$U,20,0)-VLOOKUP(B28,'④前置信息-大固定-包含了工资和总经理'!$B:$U,19,0))*$Z$3+(O28-VLOOKUP(B28,'④前置信息-大固定-包含了工资和总经理'!$B:$U,20,0))*$Z$4,IF(U28=1,VLOOKUP(B28,'④前置信息-大固定-包含了工资和总经理'!$B:$U,19,0)*$Z$2+(O28-VLOOKUP(B28,'④前置信息-大固定-包含了工资和总经理'!$B:$U,19,0))*$Z$3,IF(U28=0,O28*$Z$2,0))),0)</f>
        <v>0</v>
      </c>
      <c r="X28" s="91">
        <f>IF(D28="方案二",IF(U28=2,VLOOKUP(B28,'④前置信息-大固定-包含了工资和总经理'!$B:$U,19,0)*$W$2+(VLOOKUP(B28,'④前置信息-大固定-包含了工资和总经理'!$B:$U,20,0)-VLOOKUP(B28,'④前置信息-大固定-包含了工资和总经理'!$B:$U,19,0))*$W$3+(O28-VLOOKUP(B28,'④前置信息-大固定-包含了工资和总经理'!$B:$U,20,0))*$W$4,IF(U28=1,VLOOKUP(B28,'④前置信息-大固定-包含了工资和总经理'!$B:$U,19,0)*$W$2+(O28-VLOOKUP(B28,'④前置信息-大固定-包含了工资和总经理'!$B:$U,19,0))*$W$3,IF(U28=0,O28*$W$2,0))),0)</f>
        <v>1523.4422</v>
      </c>
      <c r="Y28" s="91">
        <f>IF(D28="方案三",IF(U28=2,VLOOKUP(B28,'④前置信息-大固定-包含了工资和总经理'!$B:$U,19,0)*$X$2+(VLOOKUP(B28,'④前置信息-大固定-包含了工资和总经理'!$B:$U,20,0)-VLOOKUP(B28,'④前置信息-大固定-包含了工资和总经理'!$B:$U,19,0))*$X$3+(O28-VLOOKUP(B28,'④前置信息-大固定-包含了工资和总经理'!$B:$U,20,0))*$X$4,IF(U28=1,VLOOKUP(B28,'④前置信息-大固定-包含了工资和总经理'!$B:$U,19,0)*$X$2+(O28-VLOOKUP(B28,'④前置信息-大固定-包含了工资和总经理'!$B:$U,19,0))*$X$3,IF(U28=0,O28*$X$2,0))),0)</f>
        <v>0</v>
      </c>
      <c r="Z28" s="90">
        <f>IFERROR(IF(R28="yes",IF(O28&lt;VLOOKUP(B28,'④前置信息-大固定-包含了工资和总经理'!B:T,19,0),$F$2,IF(AND(O28&gt;VLOOKUP(B28,'④前置信息-大固定-包含了工资和总经理'!$B:$T,19,0),O28&lt;=VLOOKUP(B28,'④前置信息-大固定-包含了工资和总经理'!B:U,20,0)),$G$2,IF(O28&gt;VLOOKUP(B28,'④前置信息-大固定-包含了工资和总经理'!$B:$U,20,0),$H$2,0))),0),0)</f>
        <v>1.4999999999999999E-2</v>
      </c>
      <c r="AA28" s="91">
        <f t="shared" si="2"/>
        <v>1523.4422</v>
      </c>
    </row>
    <row r="29" spans="1:27" x14ac:dyDescent="0.15">
      <c r="A29" s="88" t="s">
        <v>142</v>
      </c>
      <c r="B29" s="88" t="s">
        <v>38</v>
      </c>
      <c r="C29" s="88" t="s">
        <v>21</v>
      </c>
      <c r="D29" s="88" t="str">
        <f>IFERROR(VLOOKUP(C29,③工资核算浮动条件设置①!P:Q,2,0),"")</f>
        <v>方案一</v>
      </c>
      <c r="E29" s="88" t="s">
        <v>188</v>
      </c>
      <c r="F29" s="88" t="s">
        <v>90</v>
      </c>
      <c r="G29" s="88" t="s">
        <v>189</v>
      </c>
      <c r="H29" s="88">
        <f>IFERROR(VLOOKUP(B29,'④前置信息-大固定-包含了工资和总经理'!B:E,4,0),0)</f>
        <v>0</v>
      </c>
      <c r="I29" s="88">
        <f>IFERROR(VLOOKUP(B29,'④前置信息-大固定-包含了工资和总经理'!B:F,5,0),0)</f>
        <v>0</v>
      </c>
      <c r="J29" s="88" t="str">
        <f>IFERROR(VLOOKUP(B29,'④前置信息-大固定-包含了工资和总经理'!B:D,3,0),0)</f>
        <v>B类</v>
      </c>
      <c r="K29" s="88">
        <f>IFERROR(VLOOKUP(B29,'④前置信息-大固定-包含了工资和总经理'!B:G,6,0),0)</f>
        <v>150000</v>
      </c>
      <c r="L29" s="88">
        <f>IFERROR(VLOOKUP(B29,②当月数据及门店毛利!B:C,2,0),0)</f>
        <v>150422</v>
      </c>
      <c r="M29" s="88">
        <f>IFERROR(VLOOKUP(B29,②当月数据及门店毛利!B:D,3,0),0)</f>
        <v>103361.72</v>
      </c>
      <c r="N29" s="89">
        <f>IFERROR(VLOOKUP(B29,②当月数据及门店毛利!B:E,4,0),0)</f>
        <v>111</v>
      </c>
      <c r="O29" s="89">
        <f>IFERROR(IF(P29=0,0,VLOOKUP(B29,②当月数据及门店毛利!B:N,13,0)),0)</f>
        <v>137585.4</v>
      </c>
      <c r="P29" s="89" t="str">
        <f>IFERROR(VLOOKUP(B29,'④前置信息-大固定-包含了工资和总经理'!B:S,18,0),0)</f>
        <v>秦亚平</v>
      </c>
      <c r="Q29" s="88">
        <v>0</v>
      </c>
      <c r="R29" s="88" t="str">
        <f>IFERROR(IF(L29&gt;VLOOKUP(B29,'④前置信息-大固定-包含了工资和总经理'!B:T,19,0),"yes",0),0)</f>
        <v>yes</v>
      </c>
      <c r="S29" s="88">
        <f>IF(L29=0,0,IF(O29&gt;=VLOOKUP(B29,'④前置信息-大固定-包含了工资和总经理'!$B:$U,19,0),1,0))</f>
        <v>0</v>
      </c>
      <c r="T29" s="88">
        <f>IF(S29=0,0,IF(O29&gt;=VLOOKUP(B29,'④前置信息-大固定-包含了工资和总经理'!$B:$U,20,0),1,0))</f>
        <v>0</v>
      </c>
      <c r="U29" s="88">
        <f t="shared" si="3"/>
        <v>0</v>
      </c>
      <c r="V29" s="88"/>
      <c r="W29" s="91">
        <f>IF(D29="方案一",IF(U29=2,VLOOKUP(B29,'④前置信息-大固定-包含了工资和总经理'!$B:$U,19,0)*$Z$2+(VLOOKUP(B29,'④前置信息-大固定-包含了工资和总经理'!$B:$U,20,0)-VLOOKUP(B29,'④前置信息-大固定-包含了工资和总经理'!$B:$U,19,0))*$Z$3+(O29-VLOOKUP(B29,'④前置信息-大固定-包含了工资和总经理'!$B:$U,20,0))*$Z$4,IF(U29=1,VLOOKUP(B29,'④前置信息-大固定-包含了工资和总经理'!$B:$U,19,0)*$Z$2+(O29-VLOOKUP(B29,'④前置信息-大固定-包含了工资和总经理'!$B:$U,19,0))*$Z$3,IF(U29=0,O29*$Z$2,0))),0)</f>
        <v>1375.854</v>
      </c>
      <c r="X29" s="91">
        <f>IF(D29="方案二",IF(U29=2,VLOOKUP(B29,'④前置信息-大固定-包含了工资和总经理'!$B:$U,19,0)*$W$2+(VLOOKUP(B29,'④前置信息-大固定-包含了工资和总经理'!$B:$U,20,0)-VLOOKUP(B29,'④前置信息-大固定-包含了工资和总经理'!$B:$U,19,0))*$W$3+(O29-VLOOKUP(B29,'④前置信息-大固定-包含了工资和总经理'!$B:$U,20,0))*$W$4,IF(U29=1,VLOOKUP(B29,'④前置信息-大固定-包含了工资和总经理'!$B:$U,19,0)*$W$2+(O29-VLOOKUP(B29,'④前置信息-大固定-包含了工资和总经理'!$B:$U,19,0))*$W$3,IF(U29=0,O29*$W$2,0))),0)</f>
        <v>0</v>
      </c>
      <c r="Y29" s="91">
        <f>IF(D29="方案三",IF(U29=2,VLOOKUP(B29,'④前置信息-大固定-包含了工资和总经理'!$B:$U,19,0)*$X$2+(VLOOKUP(B29,'④前置信息-大固定-包含了工资和总经理'!$B:$U,20,0)-VLOOKUP(B29,'④前置信息-大固定-包含了工资和总经理'!$B:$U,19,0))*$X$3+(O29-VLOOKUP(B29,'④前置信息-大固定-包含了工资和总经理'!$B:$U,20,0))*$X$4,IF(U29=1,VLOOKUP(B29,'④前置信息-大固定-包含了工资和总经理'!$B:$U,19,0)*$X$2+(O29-VLOOKUP(B29,'④前置信息-大固定-包含了工资和总经理'!$B:$U,19,0))*$X$3,IF(U29=0,O29*$X$2,0))),0)</f>
        <v>0</v>
      </c>
      <c r="Z29" s="90">
        <f>IFERROR(IF(R29="yes",IF(O29&lt;VLOOKUP(B29,'④前置信息-大固定-包含了工资和总经理'!B:T,19,0),$F$2,IF(AND(O29&gt;VLOOKUP(B29,'④前置信息-大固定-包含了工资和总经理'!$B:$T,19,0),O29&lt;=VLOOKUP(B29,'④前置信息-大固定-包含了工资和总经理'!B:U,20,0)),$G$2,IF(O29&gt;VLOOKUP(B29,'④前置信息-大固定-包含了工资和总经理'!$B:$U,20,0),$H$2,0))),0),0)</f>
        <v>0.01</v>
      </c>
      <c r="AA29" s="91">
        <f t="shared" si="2"/>
        <v>1375.854</v>
      </c>
    </row>
    <row r="30" spans="1:27" x14ac:dyDescent="0.15">
      <c r="A30" s="88" t="s">
        <v>143</v>
      </c>
      <c r="B30" s="88" t="s">
        <v>55</v>
      </c>
      <c r="C30" s="88" t="s">
        <v>28</v>
      </c>
      <c r="D30" s="88" t="str">
        <f>IFERROR(VLOOKUP(C30,③工资核算浮动条件设置①!P:Q,2,0),"")</f>
        <v>方案二</v>
      </c>
      <c r="E30" s="88" t="s">
        <v>190</v>
      </c>
      <c r="F30" s="88" t="s">
        <v>81</v>
      </c>
      <c r="G30" s="88" t="s">
        <v>191</v>
      </c>
      <c r="H30" s="88">
        <f>IFERROR(VLOOKUP(B30,'④前置信息-大固定-包含了工资和总经理'!B:E,4,0),0)</f>
        <v>0</v>
      </c>
      <c r="I30" s="88">
        <f>IFERROR(VLOOKUP(B30,'④前置信息-大固定-包含了工资和总经理'!B:F,5,0),0)</f>
        <v>0</v>
      </c>
      <c r="J30" s="88" t="str">
        <f>IFERROR(VLOOKUP(B30,'④前置信息-大固定-包含了工资和总经理'!B:D,3,0),0)</f>
        <v>A类</v>
      </c>
      <c r="K30" s="88">
        <f>IFERROR(VLOOKUP(B30,'④前置信息-大固定-包含了工资和总经理'!B:G,6,0),0)</f>
        <v>180000</v>
      </c>
      <c r="L30" s="88">
        <f>IFERROR(VLOOKUP(B30,②当月数据及门店毛利!B:C,2,0),0)</f>
        <v>180307.8</v>
      </c>
      <c r="M30" s="88">
        <f>IFERROR(VLOOKUP(B30,②当月数据及门店毛利!B:D,3,0),0)</f>
        <v>89092.800000000003</v>
      </c>
      <c r="N30" s="89">
        <f>IFERROR(VLOOKUP(B30,②当月数据及门店毛利!B:E,4,0),0)</f>
        <v>154</v>
      </c>
      <c r="O30" s="89">
        <f>IFERROR(IF(P30=0,0,VLOOKUP(B30,②当月数据及门店毛利!B:N,13,0)),0)</f>
        <v>167397.06</v>
      </c>
      <c r="P30" s="89" t="str">
        <f>IFERROR(VLOOKUP(B30,'④前置信息-大固定-包含了工资和总经理'!B:S,18,0),0)</f>
        <v>蒲草</v>
      </c>
      <c r="Q30" s="88">
        <v>0</v>
      </c>
      <c r="R30" s="88" t="str">
        <f>IFERROR(IF(L30&gt;VLOOKUP(B30,'④前置信息-大固定-包含了工资和总经理'!B:T,19,0),"yes",0),0)</f>
        <v>yes</v>
      </c>
      <c r="S30" s="88">
        <f>IF(L30=0,0,IF(O30&gt;=VLOOKUP(B30,'④前置信息-大固定-包含了工资和总经理'!$B:$U,19,0),1,0))</f>
        <v>1</v>
      </c>
      <c r="T30" s="88">
        <f>IF(S30=0,0,IF(O30&gt;=VLOOKUP(B30,'④前置信息-大固定-包含了工资和总经理'!$B:$U,20,0),1,0))</f>
        <v>0</v>
      </c>
      <c r="U30" s="88">
        <f t="shared" si="3"/>
        <v>1</v>
      </c>
      <c r="V30" s="88"/>
      <c r="W30" s="91">
        <f>IF(D30="方案一",IF(U30=2,VLOOKUP(B30,'④前置信息-大固定-包含了工资和总经理'!$B:$U,19,0)*$Z$2+(VLOOKUP(B30,'④前置信息-大固定-包含了工资和总经理'!$B:$U,20,0)-VLOOKUP(B30,'④前置信息-大固定-包含了工资和总经理'!$B:$U,19,0))*$Z$3+(O30-VLOOKUP(B30,'④前置信息-大固定-包含了工资和总经理'!$B:$U,20,0))*$Z$4,IF(U30=1,VLOOKUP(B30,'④前置信息-大固定-包含了工资和总经理'!$B:$U,19,0)*$Z$2+(O30-VLOOKUP(B30,'④前置信息-大固定-包含了工资和总经理'!$B:$U,19,0))*$Z$3,IF(U30=0,O30*$Z$2,0))),0)</f>
        <v>0</v>
      </c>
      <c r="X30" s="91">
        <f>IF(D30="方案二",IF(U30=2,VLOOKUP(B30,'④前置信息-大固定-包含了工资和总经理'!$B:$U,19,0)*$W$2+(VLOOKUP(B30,'④前置信息-大固定-包含了工资和总经理'!$B:$U,20,0)-VLOOKUP(B30,'④前置信息-大固定-包含了工资和总经理'!$B:$U,19,0))*$W$3+(O30-VLOOKUP(B30,'④前置信息-大固定-包含了工资和总经理'!$B:$U,20,0))*$W$4,IF(U30=1,VLOOKUP(B30,'④前置信息-大固定-包含了工资和总经理'!$B:$U,19,0)*$W$2+(O30-VLOOKUP(B30,'④前置信息-大固定-包含了工资和总经理'!$B:$U,19,0))*$W$3,IF(U30=0,O30*$W$2,0))),0)</f>
        <v>1847.9412</v>
      </c>
      <c r="Y30" s="91">
        <f>IF(D30="方案三",IF(U30=2,VLOOKUP(B30,'④前置信息-大固定-包含了工资和总经理'!$B:$U,19,0)*$X$2+(VLOOKUP(B30,'④前置信息-大固定-包含了工资和总经理'!$B:$U,20,0)-VLOOKUP(B30,'④前置信息-大固定-包含了工资和总经理'!$B:$U,19,0))*$X$3+(O30-VLOOKUP(B30,'④前置信息-大固定-包含了工资和总经理'!$B:$U,20,0))*$X$4,IF(U30=1,VLOOKUP(B30,'④前置信息-大固定-包含了工资和总经理'!$B:$U,19,0)*$X$2+(O30-VLOOKUP(B30,'④前置信息-大固定-包含了工资和总经理'!$B:$U,19,0))*$X$3,IF(U30=0,O30*$X$2,0))),0)</f>
        <v>0</v>
      </c>
      <c r="Z30" s="90">
        <f>IFERROR(IF(R30="yes",IF(O30&lt;VLOOKUP(B30,'④前置信息-大固定-包含了工资和总经理'!B:T,19,0),$F$2,IF(AND(O30&gt;VLOOKUP(B30,'④前置信息-大固定-包含了工资和总经理'!$B:$T,19,0),O30&lt;=VLOOKUP(B30,'④前置信息-大固定-包含了工资和总经理'!B:U,20,0)),$G$2,IF(O30&gt;VLOOKUP(B30,'④前置信息-大固定-包含了工资和总经理'!$B:$U,20,0),$H$2,0))),0),0)</f>
        <v>1.4999999999999999E-2</v>
      </c>
      <c r="AA30" s="91">
        <f t="shared" si="2"/>
        <v>1847.9412</v>
      </c>
    </row>
    <row r="31" spans="1:27" x14ac:dyDescent="0.15">
      <c r="A31" s="88" t="s">
        <v>144</v>
      </c>
      <c r="B31" s="88" t="s">
        <v>45</v>
      </c>
      <c r="C31" s="88" t="s">
        <v>22</v>
      </c>
      <c r="D31" s="88" t="str">
        <f>IFERROR(VLOOKUP(C31,③工资核算浮动条件设置①!P:Q,2,0),"")</f>
        <v>方案一</v>
      </c>
      <c r="E31" s="88" t="s">
        <v>188</v>
      </c>
      <c r="F31" s="88" t="s">
        <v>90</v>
      </c>
      <c r="G31" s="88" t="s">
        <v>189</v>
      </c>
      <c r="H31" s="88">
        <f>IFERROR(VLOOKUP(B31,'④前置信息-大固定-包含了工资和总经理'!B:E,4,0),0)</f>
        <v>0</v>
      </c>
      <c r="I31" s="88">
        <f>IFERROR(VLOOKUP(B31,'④前置信息-大固定-包含了工资和总经理'!B:F,5,0),0)</f>
        <v>0</v>
      </c>
      <c r="J31" s="88" t="str">
        <f>IFERROR(VLOOKUP(B31,'④前置信息-大固定-包含了工资和总经理'!B:D,3,0),0)</f>
        <v>A类</v>
      </c>
      <c r="K31" s="88">
        <f>IFERROR(VLOOKUP(B31,'④前置信息-大固定-包含了工资和总经理'!B:G,6,0),0)</f>
        <v>180000</v>
      </c>
      <c r="L31" s="88">
        <f>IFERROR(VLOOKUP(B31,②当月数据及门店毛利!B:C,2,0),0)</f>
        <v>139022</v>
      </c>
      <c r="M31" s="88">
        <f>IFERROR(VLOOKUP(B31,②当月数据及门店毛利!B:D,3,0),0)</f>
        <v>127157.72</v>
      </c>
      <c r="N31" s="89">
        <f>IFERROR(VLOOKUP(B31,②当月数据及门店毛利!B:E,4,0),0)</f>
        <v>191</v>
      </c>
      <c r="O31" s="89">
        <f>IFERROR(IF(P31=0,0,VLOOKUP(B31,②当月数据及门店毛利!B:N,13,0)),0)</f>
        <v>0</v>
      </c>
      <c r="P31" s="89">
        <f>IFERROR(VLOOKUP(B31,'④前置信息-大固定-包含了工资和总经理'!B:S,18,0),0)</f>
        <v>0</v>
      </c>
      <c r="Q31" s="88">
        <v>0</v>
      </c>
      <c r="R31" s="88">
        <f>IFERROR(IF(L31&gt;VLOOKUP(B31,'④前置信息-大固定-包含了工资和总经理'!B:T,19,0),"yes",0),0)</f>
        <v>0</v>
      </c>
      <c r="S31" s="88">
        <f>IF(L31=0,0,IF(O31&gt;=VLOOKUP(B31,'④前置信息-大固定-包含了工资和总经理'!$B:$U,19,0),1,0))</f>
        <v>0</v>
      </c>
      <c r="T31" s="88">
        <f>IF(S31=0,0,IF(O31&gt;=VLOOKUP(B31,'④前置信息-大固定-包含了工资和总经理'!$B:$U,20,0),1,0))</f>
        <v>0</v>
      </c>
      <c r="U31" s="88" t="str">
        <f t="shared" si="3"/>
        <v>不提</v>
      </c>
      <c r="V31" s="88"/>
      <c r="W31" s="91">
        <f>IF(D31="方案一",IF(U31=2,VLOOKUP(B31,'④前置信息-大固定-包含了工资和总经理'!$B:$U,19,0)*$Z$2+(VLOOKUP(B31,'④前置信息-大固定-包含了工资和总经理'!$B:$U,20,0)-VLOOKUP(B31,'④前置信息-大固定-包含了工资和总经理'!$B:$U,19,0))*$Z$3+(O31-VLOOKUP(B31,'④前置信息-大固定-包含了工资和总经理'!$B:$U,20,0))*$Z$4,IF(U31=1,VLOOKUP(B31,'④前置信息-大固定-包含了工资和总经理'!$B:$U,19,0)*$Z$2+(O31-VLOOKUP(B31,'④前置信息-大固定-包含了工资和总经理'!$B:$U,19,0))*$Z$3,IF(U31=0,O31*$Z$2,0))),0)</f>
        <v>0</v>
      </c>
      <c r="X31" s="91">
        <f>IF(D31="方案二",IF(U31=2,VLOOKUP(B31,'④前置信息-大固定-包含了工资和总经理'!$B:$U,19,0)*$W$2+(VLOOKUP(B31,'④前置信息-大固定-包含了工资和总经理'!$B:$U,20,0)-VLOOKUP(B31,'④前置信息-大固定-包含了工资和总经理'!$B:$U,19,0))*$W$3+(O31-VLOOKUP(B31,'④前置信息-大固定-包含了工资和总经理'!$B:$U,20,0))*$W$4,IF(U31=1,VLOOKUP(B31,'④前置信息-大固定-包含了工资和总经理'!$B:$U,19,0)*$W$2+(O31-VLOOKUP(B31,'④前置信息-大固定-包含了工资和总经理'!$B:$U,19,0))*$W$3,IF(U31=0,O31*$W$2,0))),0)</f>
        <v>0</v>
      </c>
      <c r="Y31" s="91">
        <f>IF(D31="方案三",IF(U31=2,VLOOKUP(B31,'④前置信息-大固定-包含了工资和总经理'!$B:$U,19,0)*$X$2+(VLOOKUP(B31,'④前置信息-大固定-包含了工资和总经理'!$B:$U,20,0)-VLOOKUP(B31,'④前置信息-大固定-包含了工资和总经理'!$B:$U,19,0))*$X$3+(O31-VLOOKUP(B31,'④前置信息-大固定-包含了工资和总经理'!$B:$U,20,0))*$X$4,IF(U31=1,VLOOKUP(B31,'④前置信息-大固定-包含了工资和总经理'!$B:$U,19,0)*$X$2+(O31-VLOOKUP(B31,'④前置信息-大固定-包含了工资和总经理'!$B:$U,19,0))*$X$3,IF(U31=0,O31*$X$2,0))),0)</f>
        <v>0</v>
      </c>
      <c r="Z31" s="90">
        <f>IFERROR(IF(R31="yes",IF(O31&lt;VLOOKUP(B31,'④前置信息-大固定-包含了工资和总经理'!B:T,19,0),$F$2,IF(AND(O31&gt;VLOOKUP(B31,'④前置信息-大固定-包含了工资和总经理'!$B:$T,19,0),O31&lt;=VLOOKUP(B31,'④前置信息-大固定-包含了工资和总经理'!B:U,20,0)),$G$2,IF(O31&gt;VLOOKUP(B31,'④前置信息-大固定-包含了工资和总经理'!$B:$U,20,0),$H$2,0))),0),0)</f>
        <v>0</v>
      </c>
      <c r="AA31" s="91">
        <f t="shared" si="2"/>
        <v>0</v>
      </c>
    </row>
    <row r="32" spans="1:27" x14ac:dyDescent="0.15">
      <c r="A32" s="88" t="s">
        <v>145</v>
      </c>
      <c r="B32" s="88" t="s">
        <v>32</v>
      </c>
      <c r="C32" s="88" t="s">
        <v>17</v>
      </c>
      <c r="D32" s="88" t="str">
        <f>IFERROR(VLOOKUP(C32,③工资核算浮动条件设置①!P:Q,2,0),"")</f>
        <v>方案三</v>
      </c>
      <c r="E32" s="88" t="s">
        <v>190</v>
      </c>
      <c r="F32" s="88" t="s">
        <v>90</v>
      </c>
      <c r="G32" s="88" t="s">
        <v>191</v>
      </c>
      <c r="H32" s="88">
        <f>IFERROR(VLOOKUP(B32,'④前置信息-大固定-包含了工资和总经理'!B:E,4,0),0)</f>
        <v>0</v>
      </c>
      <c r="I32" s="88">
        <f>IFERROR(VLOOKUP(B32,'④前置信息-大固定-包含了工资和总经理'!B:F,5,0),0)</f>
        <v>0</v>
      </c>
      <c r="J32" s="88" t="str">
        <f>IFERROR(VLOOKUP(B32,'④前置信息-大固定-包含了工资和总经理'!B:D,3,0),0)</f>
        <v>C类</v>
      </c>
      <c r="K32" s="88">
        <f>IFERROR(VLOOKUP(B32,'④前置信息-大固定-包含了工资和总经理'!B:G,6,0),0)</f>
        <v>120000</v>
      </c>
      <c r="L32" s="88">
        <f>IFERROR(VLOOKUP(B32,②当月数据及门店毛利!B:C,2,0),0)</f>
        <v>120949.6</v>
      </c>
      <c r="M32" s="88">
        <f>IFERROR(VLOOKUP(B32,②当月数据及门店毛利!B:D,3,0),0)</f>
        <v>82307.44</v>
      </c>
      <c r="N32" s="89">
        <f>IFERROR(VLOOKUP(B32,②当月数据及门店毛利!B:E,4,0),0)</f>
        <v>149</v>
      </c>
      <c r="O32" s="89">
        <f>IFERROR(IF(P32=0,0,VLOOKUP(B32,②当月数据及门店毛利!B:N,13,0)),0)</f>
        <v>102021.46</v>
      </c>
      <c r="P32" s="89" t="str">
        <f>IFERROR(VLOOKUP(B32,'④前置信息-大固定-包含了工资和总经理'!B:S,18,0),0)</f>
        <v>张艳秋</v>
      </c>
      <c r="Q32" s="88">
        <v>0</v>
      </c>
      <c r="R32" s="88" t="str">
        <f>IFERROR(IF(L32&gt;VLOOKUP(B32,'④前置信息-大固定-包含了工资和总经理'!B:T,19,0),"yes",0),0)</f>
        <v>yes</v>
      </c>
      <c r="S32" s="88">
        <f>IF(L32=0,0,IF(O32&gt;=VLOOKUP(B32,'④前置信息-大固定-包含了工资和总经理'!$B:$U,19,0),1,0))</f>
        <v>1</v>
      </c>
      <c r="T32" s="88">
        <f>IF(S32=0,0,IF(O32&gt;=VLOOKUP(B32,'④前置信息-大固定-包含了工资和总经理'!$B:$U,20,0),1,0))</f>
        <v>0</v>
      </c>
      <c r="U32" s="88">
        <f t="shared" si="3"/>
        <v>1</v>
      </c>
      <c r="V32" s="88"/>
      <c r="W32" s="91">
        <f>IF(D32="方案一",IF(U32=2,VLOOKUP(B32,'④前置信息-大固定-包含了工资和总经理'!$B:$U,19,0)*$Z$2+(VLOOKUP(B32,'④前置信息-大固定-包含了工资和总经理'!$B:$U,20,0)-VLOOKUP(B32,'④前置信息-大固定-包含了工资和总经理'!$B:$U,19,0))*$Z$3+(O32-VLOOKUP(B32,'④前置信息-大固定-包含了工资和总经理'!$B:$U,20,0))*$Z$4,IF(U32=1,VLOOKUP(B32,'④前置信息-大固定-包含了工资和总经理'!$B:$U,19,0)*$Z$2+(O32-VLOOKUP(B32,'④前置信息-大固定-包含了工资和总经理'!$B:$U,19,0))*$Z$3,IF(U32=0,O32*$Z$2,0))),0)</f>
        <v>0</v>
      </c>
      <c r="X32" s="91">
        <f>IF(D32="方案二",IF(U32=2,VLOOKUP(B32,'④前置信息-大固定-包含了工资和总经理'!$B:$U,19,0)*$W$2+(VLOOKUP(B32,'④前置信息-大固定-包含了工资和总经理'!$B:$U,20,0)-VLOOKUP(B32,'④前置信息-大固定-包含了工资和总经理'!$B:$U,19,0))*$W$3+(O32-VLOOKUP(B32,'④前置信息-大固定-包含了工资和总经理'!$B:$U,20,0))*$W$4,IF(U32=1,VLOOKUP(B32,'④前置信息-大固定-包含了工资和总经理'!$B:$U,19,0)*$W$2+(O32-VLOOKUP(B32,'④前置信息-大固定-包含了工资和总经理'!$B:$U,19,0))*$W$3,IF(U32=0,O32*$W$2,0))),0)</f>
        <v>0</v>
      </c>
      <c r="Y32" s="91">
        <f>IF(D32="方案三",IF(U32=2,VLOOKUP(B32,'④前置信息-大固定-包含了工资和总经理'!$B:$U,19,0)*$X$2+(VLOOKUP(B32,'④前置信息-大固定-包含了工资和总经理'!$B:$U,20,0)-VLOOKUP(B32,'④前置信息-大固定-包含了工资和总经理'!$B:$U,19,0))*$X$3+(O32-VLOOKUP(B32,'④前置信息-大固定-包含了工资和总经理'!$B:$U,20,0))*$X$4,IF(U32=1,VLOOKUP(B32,'④前置信息-大固定-包含了工资和总经理'!$B:$U,19,0)*$X$2+(O32-VLOOKUP(B32,'④前置信息-大固定-包含了工资和总经理'!$B:$U,19,0))*$X$3,IF(U32=0,O32*$X$2,0))),0)</f>
        <v>1540.4292</v>
      </c>
      <c r="Z32" s="90">
        <f>IFERROR(IF(R32="yes",IF(O32&lt;VLOOKUP(B32,'④前置信息-大固定-包含了工资和总经理'!B:T,19,0),$F$2,IF(AND(O32&gt;VLOOKUP(B32,'④前置信息-大固定-包含了工资和总经理'!$B:$T,19,0),O32&lt;=VLOOKUP(B32,'④前置信息-大固定-包含了工资和总经理'!B:U,20,0)),$G$2,IF(O32&gt;VLOOKUP(B32,'④前置信息-大固定-包含了工资和总经理'!$B:$U,20,0),$H$2,0))),0),0)</f>
        <v>1.4999999999999999E-2</v>
      </c>
      <c r="AA32" s="91">
        <f t="shared" si="2"/>
        <v>1540.4292</v>
      </c>
    </row>
    <row r="33" spans="1:27" x14ac:dyDescent="0.15">
      <c r="A33" s="88" t="s">
        <v>146</v>
      </c>
      <c r="B33" s="88" t="s">
        <v>29</v>
      </c>
      <c r="C33" s="88" t="s">
        <v>4</v>
      </c>
      <c r="D33" s="88" t="str">
        <f>IFERROR(VLOOKUP(C33,③工资核算浮动条件设置①!P:Q,2,0),"")</f>
        <v>方案一</v>
      </c>
      <c r="E33" s="88" t="s">
        <v>188</v>
      </c>
      <c r="F33" s="88" t="s">
        <v>81</v>
      </c>
      <c r="G33" s="88" t="s">
        <v>189</v>
      </c>
      <c r="H33" s="88" t="str">
        <f>IFERROR(VLOOKUP(B33,'④前置信息-大固定-包含了工资和总经理'!B:E,4,0),0)</f>
        <v>新店</v>
      </c>
      <c r="I33" s="88" t="str">
        <f>IFERROR(VLOOKUP(B33,'④前置信息-大固定-包含了工资和总经理'!B:F,5,0),0)</f>
        <v>C类</v>
      </c>
      <c r="J33" s="88" t="str">
        <f>IFERROR(VLOOKUP(B33,'④前置信息-大固定-包含了工资和总经理'!B:D,3,0),0)</f>
        <v>C类</v>
      </c>
      <c r="K33" s="88">
        <f>IFERROR(VLOOKUP(B33,'④前置信息-大固定-包含了工资和总经理'!B:G,6,0),0)</f>
        <v>120000</v>
      </c>
      <c r="L33" s="88">
        <f>IFERROR(VLOOKUP(B33,②当月数据及门店毛利!B:C,2,0),0)</f>
        <v>259744.88</v>
      </c>
      <c r="M33" s="88">
        <f>IFERROR(VLOOKUP(B33,②当月数据及门店毛利!B:D,3,0),0)</f>
        <v>180406.1</v>
      </c>
      <c r="N33" s="89">
        <f>IFERROR(VLOOKUP(B33,②当月数据及门店毛利!B:E,4,0),0)</f>
        <v>155</v>
      </c>
      <c r="O33" s="89">
        <f>IFERROR(IF(P33=0,0,VLOOKUP(B33,②当月数据及门店毛利!B:N,13,0)),0)</f>
        <v>214268.52000000002</v>
      </c>
      <c r="P33" s="89" t="str">
        <f>IFERROR(VLOOKUP(B33,'④前置信息-大固定-包含了工资和总经理'!B:S,18,0),0)</f>
        <v>邹福贞</v>
      </c>
      <c r="Q33" s="88">
        <v>0</v>
      </c>
      <c r="R33" s="88" t="str">
        <f>IFERROR(IF(L33&gt;VLOOKUP(B33,'④前置信息-大固定-包含了工资和总经理'!B:T,19,0),"yes",0),0)</f>
        <v>yes</v>
      </c>
      <c r="S33" s="88">
        <f>IF(L33=0,0,IF(O33&gt;=VLOOKUP(B33,'④前置信息-大固定-包含了工资和总经理'!$B:$U,19,0),1,0))</f>
        <v>1</v>
      </c>
      <c r="T33" s="88">
        <f>IF(S33=0,0,IF(O33&gt;=VLOOKUP(B33,'④前置信息-大固定-包含了工资和总经理'!$B:$U,20,0),1,0))</f>
        <v>1</v>
      </c>
      <c r="U33" s="88">
        <f t="shared" si="3"/>
        <v>2</v>
      </c>
      <c r="V33" s="88"/>
      <c r="W33" s="91">
        <f>IF(D33="方案一",IF(U33=2,VLOOKUP(B33,'④前置信息-大固定-包含了工资和总经理'!$B:$U,19,0)*$Z$2+(VLOOKUP(B33,'④前置信息-大固定-包含了工资和总经理'!$B:$U,20,0)-VLOOKUP(B33,'④前置信息-大固定-包含了工资和总经理'!$B:$U,19,0))*$Z$3+(O33-VLOOKUP(B33,'④前置信息-大固定-包含了工资和总经理'!$B:$U,20,0))*$Z$4,IF(U33=1,VLOOKUP(B33,'④前置信息-大固定-包含了工资和总经理'!$B:$U,19,0)*$Z$2+(O33-VLOOKUP(B33,'④前置信息-大固定-包含了工资和总经理'!$B:$U,19,0))*$Z$3,IF(U33=0,O33*$Z$2,0))),0)</f>
        <v>2535.3704000000002</v>
      </c>
      <c r="X33" s="91">
        <f>IF(D33="方案二",IF(U33=2,VLOOKUP(B33,'④前置信息-大固定-包含了工资和总经理'!$B:$U,19,0)*$W$2+(VLOOKUP(B33,'④前置信息-大固定-包含了工资和总经理'!$B:$U,20,0)-VLOOKUP(B33,'④前置信息-大固定-包含了工资和总经理'!$B:$U,19,0))*$W$3+(O33-VLOOKUP(B33,'④前置信息-大固定-包含了工资和总经理'!$B:$U,20,0))*$W$4,IF(U33=1,VLOOKUP(B33,'④前置信息-大固定-包含了工资和总经理'!$B:$U,19,0)*$W$2+(O33-VLOOKUP(B33,'④前置信息-大固定-包含了工资和总经理'!$B:$U,19,0))*$W$3,IF(U33=0,O33*$W$2,0))),0)</f>
        <v>0</v>
      </c>
      <c r="Y33" s="91">
        <f>IF(D33="方案三",IF(U33=2,VLOOKUP(B33,'④前置信息-大固定-包含了工资和总经理'!$B:$U,19,0)*$X$2+(VLOOKUP(B33,'④前置信息-大固定-包含了工资和总经理'!$B:$U,20,0)-VLOOKUP(B33,'④前置信息-大固定-包含了工资和总经理'!$B:$U,19,0))*$X$3+(O33-VLOOKUP(B33,'④前置信息-大固定-包含了工资和总经理'!$B:$U,20,0))*$X$4,IF(U33=1,VLOOKUP(B33,'④前置信息-大固定-包含了工资和总经理'!$B:$U,19,0)*$X$2+(O33-VLOOKUP(B33,'④前置信息-大固定-包含了工资和总经理'!$B:$U,19,0))*$X$3,IF(U33=0,O33*$X$2,0))),0)</f>
        <v>0</v>
      </c>
      <c r="Z33" s="90">
        <f>IFERROR(IF(R33="yes",IF(O33&lt;VLOOKUP(B33,'④前置信息-大固定-包含了工资和总经理'!B:T,19,0),$F$2,IF(AND(O33&gt;VLOOKUP(B33,'④前置信息-大固定-包含了工资和总经理'!$B:$T,19,0),O33&lt;=VLOOKUP(B33,'④前置信息-大固定-包含了工资和总经理'!B:U,20,0)),$G$2,IF(O33&gt;VLOOKUP(B33,'④前置信息-大固定-包含了工资和总经理'!$B:$U,20,0),$H$2,0))),0),0)</f>
        <v>0.02</v>
      </c>
      <c r="AA33" s="91">
        <f t="shared" si="2"/>
        <v>2535.3704000000002</v>
      </c>
    </row>
    <row r="34" spans="1:27" x14ac:dyDescent="0.15">
      <c r="A34" s="88" t="s">
        <v>148</v>
      </c>
      <c r="B34" s="88" t="s">
        <v>59</v>
      </c>
      <c r="C34" s="88" t="s">
        <v>17</v>
      </c>
      <c r="D34" s="88" t="s">
        <v>25</v>
      </c>
      <c r="E34" s="88" t="s">
        <v>190</v>
      </c>
      <c r="F34" s="88" t="s">
        <v>90</v>
      </c>
      <c r="G34" s="88" t="s">
        <v>191</v>
      </c>
      <c r="H34" s="88" t="str">
        <f>IFERROR(VLOOKUP(B34,'④前置信息-大固定-包含了工资和总经理'!B:E,4,0),0)</f>
        <v>新店</v>
      </c>
      <c r="I34" s="88">
        <f>IFERROR(VLOOKUP(B34,'④前置信息-大固定-包含了工资和总经理'!B:F,5,0),0)</f>
        <v>0</v>
      </c>
      <c r="J34" s="88" t="str">
        <f>IFERROR(VLOOKUP(B34,'④前置信息-大固定-包含了工资和总经理'!B:D,3,0),0)</f>
        <v>B类</v>
      </c>
      <c r="K34" s="88">
        <f>IFERROR(VLOOKUP(B34,'④前置信息-大固定-包含了工资和总经理'!B:G,6,0),0)</f>
        <v>150000</v>
      </c>
      <c r="L34" s="88">
        <f>IFERROR(VLOOKUP(B34,②当月数据及门店毛利!B:C,2,0),0)</f>
        <v>150031.32999999999</v>
      </c>
      <c r="M34" s="88">
        <f>IFERROR(VLOOKUP(B34,②当月数据及门店毛利!B:D,3,0),0)</f>
        <v>65878.570000000007</v>
      </c>
      <c r="N34" s="89">
        <f>IFERROR(VLOOKUP(B34,②当月数据及门店毛利!B:E,4,0),0)</f>
        <v>186</v>
      </c>
      <c r="O34" s="89">
        <f>IFERROR(IF(P34=0,0,VLOOKUP(B34,②当月数据及门店毛利!B:N,13,0)),0)</f>
        <v>133527.91999999998</v>
      </c>
      <c r="P34" s="89" t="str">
        <f>IFERROR(VLOOKUP(B34,'④前置信息-大固定-包含了工资和总经理'!B:S,18,0),0)</f>
        <v>张艳秋</v>
      </c>
      <c r="Q34" s="88">
        <v>0</v>
      </c>
      <c r="R34" s="88" t="str">
        <f>IFERROR(IF(L34&gt;VLOOKUP(B34,'④前置信息-大固定-包含了工资和总经理'!B:T,19,0),"yes",0),0)</f>
        <v>yes</v>
      </c>
      <c r="S34" s="88">
        <f>IF(L34=0,0,IF(O34&gt;=VLOOKUP(B34,'④前置信息-大固定-包含了工资和总经理'!$B:$U,19,0),1,0))</f>
        <v>0</v>
      </c>
      <c r="T34" s="88">
        <f>IF(S34=0,0,IF(O34&gt;=VLOOKUP(B34,'④前置信息-大固定-包含了工资和总经理'!$B:$U,20,0),1,0))</f>
        <v>0</v>
      </c>
      <c r="U34" s="88">
        <f t="shared" si="3"/>
        <v>0</v>
      </c>
      <c r="V34" s="88"/>
      <c r="W34" s="91">
        <f>IF(D34="方案一",IF(U34=2,VLOOKUP(B34,'④前置信息-大固定-包含了工资和总经理'!$B:$U,19,0)*$Z$2+(VLOOKUP(B34,'④前置信息-大固定-包含了工资和总经理'!$B:$U,20,0)-VLOOKUP(B34,'④前置信息-大固定-包含了工资和总经理'!$B:$U,19,0))*$Z$3+(O34-VLOOKUP(B34,'④前置信息-大固定-包含了工资和总经理'!$B:$U,20,0))*$Z$4,IF(U34=1,VLOOKUP(B34,'④前置信息-大固定-包含了工资和总经理'!$B:$U,19,0)*$Z$2+(O34-VLOOKUP(B34,'④前置信息-大固定-包含了工资和总经理'!$B:$U,19,0))*$Z$3,IF(U34=0,O34*$Z$2,0))),0)</f>
        <v>0</v>
      </c>
      <c r="X34" s="91">
        <f>IF(D34="方案二",IF(U34=2,VLOOKUP(B34,'④前置信息-大固定-包含了工资和总经理'!$B:$U,19,0)*$W$2+(VLOOKUP(B34,'④前置信息-大固定-包含了工资和总经理'!$B:$U,20,0)-VLOOKUP(B34,'④前置信息-大固定-包含了工资和总经理'!$B:$U,19,0))*$W$3+(O34-VLOOKUP(B34,'④前置信息-大固定-包含了工资和总经理'!$B:$U,20,0))*$W$4,IF(U34=1,VLOOKUP(B34,'④前置信息-大固定-包含了工资和总经理'!$B:$U,19,0)*$W$2+(O34-VLOOKUP(B34,'④前置信息-大固定-包含了工资和总经理'!$B:$U,19,0))*$W$3,IF(U34=0,O34*$W$2,0))),0)</f>
        <v>1335.2791999999999</v>
      </c>
      <c r="Y34" s="91">
        <f>IF(D34="方案三",IF(U34=2,VLOOKUP(B34,'④前置信息-大固定-包含了工资和总经理'!$B:$U,19,0)*$X$2+(VLOOKUP(B34,'④前置信息-大固定-包含了工资和总经理'!$B:$U,20,0)-VLOOKUP(B34,'④前置信息-大固定-包含了工资和总经理'!$B:$U,19,0))*$X$3+(O34-VLOOKUP(B34,'④前置信息-大固定-包含了工资和总经理'!$B:$U,20,0))*$X$4,IF(U34=1,VLOOKUP(B34,'④前置信息-大固定-包含了工资和总经理'!$B:$U,19,0)*$X$2+(O34-VLOOKUP(B34,'④前置信息-大固定-包含了工资和总经理'!$B:$U,19,0))*$X$3,IF(U34=0,O34*$X$2,0))),0)</f>
        <v>0</v>
      </c>
      <c r="Z34" s="90">
        <f>IFERROR(IF(R34="yes",IF(O34&lt;VLOOKUP(B34,'④前置信息-大固定-包含了工资和总经理'!B:T,19,0),$F$2,IF(AND(O34&gt;VLOOKUP(B34,'④前置信息-大固定-包含了工资和总经理'!$B:$T,19,0),O34&lt;=VLOOKUP(B34,'④前置信息-大固定-包含了工资和总经理'!B:U,20,0)),$G$2,IF(O34&gt;VLOOKUP(B34,'④前置信息-大固定-包含了工资和总经理'!$B:$U,20,0),$H$2,0))),0),0)</f>
        <v>0.01</v>
      </c>
      <c r="AA34" s="91">
        <f t="shared" si="2"/>
        <v>1335.2791999999999</v>
      </c>
    </row>
    <row r="35" spans="1:27" x14ac:dyDescent="0.15">
      <c r="A35" s="88" t="s">
        <v>149</v>
      </c>
      <c r="B35" s="88" t="s">
        <v>150</v>
      </c>
      <c r="C35" s="88" t="s">
        <v>4</v>
      </c>
      <c r="D35" s="88" t="str">
        <f>IFERROR(VLOOKUP(C35,③工资核算浮动条件设置①!P:Q,2,0),"")</f>
        <v>方案一</v>
      </c>
      <c r="E35" s="88" t="s">
        <v>188</v>
      </c>
      <c r="F35" s="88" t="s">
        <v>81</v>
      </c>
      <c r="G35" s="88" t="s">
        <v>189</v>
      </c>
      <c r="H35" s="88">
        <f>IFERROR(VLOOKUP(B35,'④前置信息-大固定-包含了工资和总经理'!B:E,4,0),0)</f>
        <v>0</v>
      </c>
      <c r="I35" s="88">
        <f>IFERROR(VLOOKUP(B35,'④前置信息-大固定-包含了工资和总经理'!B:F,5,0),0)</f>
        <v>0</v>
      </c>
      <c r="J35" s="88" t="str">
        <f>IFERROR(VLOOKUP(B35,'④前置信息-大固定-包含了工资和总经理'!B:D,3,0),0)</f>
        <v>C类</v>
      </c>
      <c r="K35" s="88">
        <f>IFERROR(VLOOKUP(B35,'④前置信息-大固定-包含了工资和总经理'!B:G,6,0),0)</f>
        <v>0</v>
      </c>
      <c r="L35" s="88">
        <f>IFERROR(VLOOKUP(B35,②当月数据及门店毛利!B:C,2,0),0)</f>
        <v>0</v>
      </c>
      <c r="M35" s="88">
        <f>IFERROR(VLOOKUP(B35,②当月数据及门店毛利!B:D,3,0),0)</f>
        <v>0</v>
      </c>
      <c r="N35" s="89">
        <f>IFERROR(VLOOKUP(B35,②当月数据及门店毛利!B:E,4,0),0)</f>
        <v>0</v>
      </c>
      <c r="O35" s="89">
        <f>IFERROR(IF(P35=0,0,VLOOKUP(B35,②当月数据及门店毛利!B:N,13,0)),0)</f>
        <v>0</v>
      </c>
      <c r="P35" s="89">
        <f>IFERROR(VLOOKUP(B35,'④前置信息-大固定-包含了工资和总经理'!B:S,18,0),0)</f>
        <v>0</v>
      </c>
      <c r="Q35" s="88">
        <v>0</v>
      </c>
      <c r="R35" s="88">
        <f>IFERROR(IF(L35&gt;VLOOKUP(B35,'④前置信息-大固定-包含了工资和总经理'!B:T,19,0),"yes",0),0)</f>
        <v>0</v>
      </c>
      <c r="S35" s="88">
        <f>IF(L35=0,0,IF(O35&gt;=VLOOKUP(B35,'④前置信息-大固定-包含了工资和总经理'!$B:$U,19,0),1,0))</f>
        <v>0</v>
      </c>
      <c r="T35" s="88">
        <f>IF(S35=0,0,IF(O35&gt;=VLOOKUP(B35,'④前置信息-大固定-包含了工资和总经理'!$B:$U,20,0),1,0))</f>
        <v>0</v>
      </c>
      <c r="U35" s="88" t="str">
        <f t="shared" si="3"/>
        <v>不提</v>
      </c>
      <c r="V35" s="88"/>
      <c r="W35" s="91">
        <f>IF(D35="方案一",IF(U35=2,VLOOKUP(B35,'④前置信息-大固定-包含了工资和总经理'!$B:$U,19,0)*$Z$2+(VLOOKUP(B35,'④前置信息-大固定-包含了工资和总经理'!$B:$U,20,0)-VLOOKUP(B35,'④前置信息-大固定-包含了工资和总经理'!$B:$U,19,0))*$Z$3+(O35-VLOOKUP(B35,'④前置信息-大固定-包含了工资和总经理'!$B:$U,20,0))*$Z$4,IF(U35=1,VLOOKUP(B35,'④前置信息-大固定-包含了工资和总经理'!$B:$U,19,0)*$Z$2+(O35-VLOOKUP(B35,'④前置信息-大固定-包含了工资和总经理'!$B:$U,19,0))*$Z$3,IF(U35=0,O35*$Z$2,0))),0)</f>
        <v>0</v>
      </c>
      <c r="X35" s="91">
        <f>IF(D35="方案二",IF(U35=2,VLOOKUP(B35,'④前置信息-大固定-包含了工资和总经理'!$B:$U,19,0)*$W$2+(VLOOKUP(B35,'④前置信息-大固定-包含了工资和总经理'!$B:$U,20,0)-VLOOKUP(B35,'④前置信息-大固定-包含了工资和总经理'!$B:$U,19,0))*$W$3+(O35-VLOOKUP(B35,'④前置信息-大固定-包含了工资和总经理'!$B:$U,20,0))*$W$4,IF(U35=1,VLOOKUP(B35,'④前置信息-大固定-包含了工资和总经理'!$B:$U,19,0)*$W$2+(O35-VLOOKUP(B35,'④前置信息-大固定-包含了工资和总经理'!$B:$U,19,0))*$W$3,IF(U35=0,O35*$W$2,0))),0)</f>
        <v>0</v>
      </c>
      <c r="Y35" s="91">
        <f>IF(D35="方案三",IF(U35=2,VLOOKUP(B35,'④前置信息-大固定-包含了工资和总经理'!$B:$U,19,0)*$X$2+(VLOOKUP(B35,'④前置信息-大固定-包含了工资和总经理'!$B:$U,20,0)-VLOOKUP(B35,'④前置信息-大固定-包含了工资和总经理'!$B:$U,19,0))*$X$3+(O35-VLOOKUP(B35,'④前置信息-大固定-包含了工资和总经理'!$B:$U,20,0))*$X$4,IF(U35=1,VLOOKUP(B35,'④前置信息-大固定-包含了工资和总经理'!$B:$U,19,0)*$X$2+(O35-VLOOKUP(B35,'④前置信息-大固定-包含了工资和总经理'!$B:$U,19,0))*$X$3,IF(U35=0,O35*$X$2,0))),0)</f>
        <v>0</v>
      </c>
      <c r="Z35" s="90">
        <f>IFERROR(IF(R35="yes",IF(O35&lt;VLOOKUP(B35,'④前置信息-大固定-包含了工资和总经理'!B:T,19,0),$F$2,IF(AND(O35&gt;VLOOKUP(B35,'④前置信息-大固定-包含了工资和总经理'!$B:$T,19,0),O35&lt;=VLOOKUP(B35,'④前置信息-大固定-包含了工资和总经理'!B:U,20,0)),$G$2,IF(O35&gt;VLOOKUP(B35,'④前置信息-大固定-包含了工资和总经理'!$B:$U,20,0),$H$2,0))),0),0)</f>
        <v>0</v>
      </c>
      <c r="AA35" s="91">
        <f t="shared" si="2"/>
        <v>0</v>
      </c>
    </row>
    <row r="36" spans="1:27" x14ac:dyDescent="0.15">
      <c r="A36" s="88" t="s">
        <v>166</v>
      </c>
      <c r="B36" s="88" t="s">
        <v>57</v>
      </c>
      <c r="C36" s="88" t="s">
        <v>21</v>
      </c>
      <c r="D36" s="88" t="str">
        <f>IFERROR(VLOOKUP(C36,③工资核算浮动条件设置①!P:Q,2,0),"")</f>
        <v>方案一</v>
      </c>
      <c r="E36" s="88"/>
      <c r="F36" s="88" t="s">
        <v>81</v>
      </c>
      <c r="G36" s="88"/>
      <c r="H36" s="88" t="str">
        <f>IFERROR(VLOOKUP(B36,'④前置信息-大固定-包含了工资和总经理'!B:E,4,0),0)</f>
        <v>新店</v>
      </c>
      <c r="I36" s="88">
        <f>IFERROR(VLOOKUP(B36,'④前置信息-大固定-包含了工资和总经理'!B:F,5,0),0)</f>
        <v>0</v>
      </c>
      <c r="J36" s="88" t="str">
        <f>IFERROR(VLOOKUP(B36,'④前置信息-大固定-包含了工资和总经理'!B:D,3,0),0)</f>
        <v>C类</v>
      </c>
      <c r="K36" s="88">
        <f>IFERROR(VLOOKUP(B36,'④前置信息-大固定-包含了工资和总经理'!B:G,6,0),0)</f>
        <v>120000</v>
      </c>
      <c r="L36" s="88">
        <f>IFERROR(VLOOKUP(B36,②当月数据及门店毛利!B:C,2,0),0)</f>
        <v>133334.88</v>
      </c>
      <c r="M36" s="88">
        <f>IFERROR(VLOOKUP(B36,②当月数据及门店毛利!B:D,3,0),0)</f>
        <v>117423.44</v>
      </c>
      <c r="N36" s="89">
        <f>IFERROR(VLOOKUP(B36,②当月数据及门店毛利!B:E,4,0),0)</f>
        <v>117</v>
      </c>
      <c r="O36" s="89">
        <f>IFERROR(IF(P36=0,0,VLOOKUP(B36,②当月数据及门店毛利!B:N,13,0)),0)</f>
        <v>0</v>
      </c>
      <c r="P36" s="89">
        <f>IFERROR(VLOOKUP(B36,'④前置信息-大固定-包含了工资和总经理'!B:S,18,0),0)</f>
        <v>0</v>
      </c>
      <c r="Q36" s="88">
        <v>0</v>
      </c>
      <c r="R36" s="88">
        <f>IFERROR(IF(L36&gt;VLOOKUP(B36,'④前置信息-大固定-包含了工资和总经理'!B:T,19,0),"yes",0),0)</f>
        <v>0</v>
      </c>
      <c r="S36" s="88">
        <f>IF(L36=0,0,IF(O36&gt;=VLOOKUP(B36,'④前置信息-大固定-包含了工资和总经理'!$B:$U,19,0),1,0))</f>
        <v>0</v>
      </c>
      <c r="T36" s="88">
        <f>IF(S36=0,0,IF(O36&gt;=VLOOKUP(B36,'④前置信息-大固定-包含了工资和总经理'!$B:$U,20,0),1,0))</f>
        <v>0</v>
      </c>
      <c r="U36" s="88" t="str">
        <f t="shared" ref="U36" si="4">IF(R36=0,"不提",IF(S36=0,0,IF(T36=0,1,2)))</f>
        <v>不提</v>
      </c>
      <c r="V36" s="88">
        <f>O36*U2</f>
        <v>0</v>
      </c>
      <c r="W36" s="91">
        <f>IF(D36="方案一",IF(U36=2,VLOOKUP(B36,'④前置信息-大固定-包含了工资和总经理'!$B:$U,19,0)*$Z$2+(VLOOKUP(B36,'④前置信息-大固定-包含了工资和总经理'!$B:$U,20,0)-VLOOKUP(B36,'④前置信息-大固定-包含了工资和总经理'!$B:$U,19,0))*$Z$3+(O36-VLOOKUP(B36,'④前置信息-大固定-包含了工资和总经理'!$B:$U,20,0))*$Z$4,IF(U36=1,VLOOKUP(B36,'④前置信息-大固定-包含了工资和总经理'!$B:$U,19,0)*$Z$2+(O36-VLOOKUP(B36,'④前置信息-大固定-包含了工资和总经理'!$B:$U,19,0))*$Z$3,IF(U36=0,O36*$Z$2,0))),0)</f>
        <v>0</v>
      </c>
      <c r="X36" s="91">
        <f>IF(D36="方案二",IF(U36=2,VLOOKUP(B36,'④前置信息-大固定-包含了工资和总经理'!$B:$U,19,0)*$W$2+(VLOOKUP(B36,'④前置信息-大固定-包含了工资和总经理'!$B:$U,20,0)-VLOOKUP(B36,'④前置信息-大固定-包含了工资和总经理'!$B:$U,19,0))*$W$3+(O36-VLOOKUP(B36,'④前置信息-大固定-包含了工资和总经理'!$B:$U,20,0))*$W$4,IF(U36=1,VLOOKUP(B36,'④前置信息-大固定-包含了工资和总经理'!$B:$U,19,0)*$W$2+(O36-VLOOKUP(B36,'④前置信息-大固定-包含了工资和总经理'!$B:$U,19,0))*$W$3,IF(U36=0,O36*$W$2,0))),0)</f>
        <v>0</v>
      </c>
      <c r="Y36" s="91">
        <f>IF(D36="方案三",IF(U36=2,VLOOKUP(B36,'④前置信息-大固定-包含了工资和总经理'!$B:$U,19,0)*$X$2+(VLOOKUP(B36,'④前置信息-大固定-包含了工资和总经理'!$B:$U,20,0)-VLOOKUP(B36,'④前置信息-大固定-包含了工资和总经理'!$B:$U,19,0))*$X$3+(O36-VLOOKUP(B36,'④前置信息-大固定-包含了工资和总经理'!$B:$U,20,0))*$X$4,IF(U36=1,VLOOKUP(B36,'④前置信息-大固定-包含了工资和总经理'!$B:$U,19,0)*$X$2+(O36-VLOOKUP(B36,'④前置信息-大固定-包含了工资和总经理'!$B:$U,19,0))*$X$3,IF(U36=0,O36*$X$2,0))),0)</f>
        <v>0</v>
      </c>
      <c r="Z36" s="90">
        <f>IFERROR(IF(R36="yes",IF(O36&lt;VLOOKUP(B36,'④前置信息-大固定-包含了工资和总经理'!B:T,19,0),$F$2,IF(AND(O36&gt;VLOOKUP(B36,'④前置信息-大固定-包含了工资和总经理'!$B:$T,19,0),O36&lt;=VLOOKUP(B36,'④前置信息-大固定-包含了工资和总经理'!B:U,20,0)),$G$2,IF(O36&gt;VLOOKUP(B36,'④前置信息-大固定-包含了工资和总经理'!$B:$U,20,0),$H$2,0))),0),0)</f>
        <v>0</v>
      </c>
      <c r="AA36" s="91">
        <f t="shared" si="2"/>
        <v>0</v>
      </c>
    </row>
    <row r="37" spans="1:27" x14ac:dyDescent="0.15">
      <c r="A37" s="88" t="s">
        <v>152</v>
      </c>
      <c r="B37" s="88" t="s">
        <v>60</v>
      </c>
      <c r="C37" s="88" t="s">
        <v>21</v>
      </c>
      <c r="D37" s="88" t="str">
        <f>IFERROR(VLOOKUP(C37,③工资核算浮动条件设置①!P:Q,2,0),"")</f>
        <v>方案一</v>
      </c>
      <c r="E37" s="88"/>
      <c r="F37" s="88"/>
      <c r="G37" s="88"/>
      <c r="H37" s="88" t="str">
        <f>IFERROR(VLOOKUP(B37,'④前置信息-大固定-包含了工资和总经理'!B:E,4,0),0)</f>
        <v>新店</v>
      </c>
      <c r="I37" s="88">
        <f>IFERROR(VLOOKUP(B37,'④前置信息-大固定-包含了工资和总经理'!B:F,5,0),0)</f>
        <v>0</v>
      </c>
      <c r="J37" s="88" t="str">
        <f>IFERROR(VLOOKUP(B37,'④前置信息-大固定-包含了工资和总经理'!B:D,3,0),0)</f>
        <v>B类</v>
      </c>
      <c r="K37" s="88">
        <f>IFERROR(VLOOKUP(B37,'④前置信息-大固定-包含了工资和总经理'!B:G,6,0),0)</f>
        <v>150000</v>
      </c>
      <c r="L37" s="88">
        <f>IFERROR(VLOOKUP(B37,②当月数据及门店毛利!B:C,2,0),0)</f>
        <v>173290.6</v>
      </c>
      <c r="M37" s="88">
        <f>IFERROR(VLOOKUP(B37,②当月数据及门店毛利!B:D,3,0),0)</f>
        <v>115560.6</v>
      </c>
      <c r="N37" s="89">
        <f>IFERROR(VLOOKUP(B37,②当月数据及门店毛利!B:E,4,0),0)</f>
        <v>169</v>
      </c>
      <c r="O37" s="89">
        <f>IFERROR(IF(P37=0,0,VLOOKUP(B37,②当月数据及门店毛利!B:N,13,0)),0)</f>
        <v>0</v>
      </c>
      <c r="P37" s="89">
        <f>IFERROR(VLOOKUP(B37,'④前置信息-大固定-包含了工资和总经理'!B:S,18,0),0)</f>
        <v>0</v>
      </c>
      <c r="Q37" s="88">
        <v>0</v>
      </c>
      <c r="R37" s="88" t="str">
        <f>IFERROR(IF(L37&gt;VLOOKUP(B37,'④前置信息-大固定-包含了工资和总经理'!B:T,19,0),"yes",0),0)</f>
        <v>yes</v>
      </c>
      <c r="S37" s="88">
        <f>IF(L37=0,0,IF(O37&gt;=VLOOKUP(B37,'④前置信息-大固定-包含了工资和总经理'!$B:$U,19,0),1,0))</f>
        <v>0</v>
      </c>
      <c r="T37" s="88">
        <f>IF(S37=0,0,IF(O37&gt;=VLOOKUP(B37,'④前置信息-大固定-包含了工资和总经理'!$B:$U,20,0),1,0))</f>
        <v>0</v>
      </c>
      <c r="U37" s="88">
        <f t="shared" ref="U37:U39" si="5">IF(R37=0,"不提",IF(S37=0,0,IF(T37=0,1,2)))</f>
        <v>0</v>
      </c>
      <c r="V37" s="88">
        <f t="shared" ref="V37:V39" si="6">O37*U3</f>
        <v>0</v>
      </c>
      <c r="W37" s="91">
        <f>IF(D37="方案一",IF(U37=2,VLOOKUP(B37,'④前置信息-大固定-包含了工资和总经理'!$B:$U,19,0)*$Z$2+(VLOOKUP(B37,'④前置信息-大固定-包含了工资和总经理'!$B:$U,20,0)-VLOOKUP(B37,'④前置信息-大固定-包含了工资和总经理'!$B:$U,19,0))*$Z$3+(O37-VLOOKUP(B37,'④前置信息-大固定-包含了工资和总经理'!$B:$U,20,0))*$Z$4,IF(U37=1,VLOOKUP(B37,'④前置信息-大固定-包含了工资和总经理'!$B:$U,19,0)*$Z$2+(O37-VLOOKUP(B37,'④前置信息-大固定-包含了工资和总经理'!$B:$U,19,0))*$Z$3,IF(U37=0,O37*$Z$2,0))),0)</f>
        <v>0</v>
      </c>
      <c r="X37" s="91">
        <f>IF(D37="方案二",IF(U37=2,VLOOKUP(B37,'④前置信息-大固定-包含了工资和总经理'!$B:$U,19,0)*$W$2+(VLOOKUP(B37,'④前置信息-大固定-包含了工资和总经理'!$B:$U,20,0)-VLOOKUP(B37,'④前置信息-大固定-包含了工资和总经理'!$B:$U,19,0))*$W$3+(O37-VLOOKUP(B37,'④前置信息-大固定-包含了工资和总经理'!$B:$U,20,0))*$W$4,IF(U37=1,VLOOKUP(B37,'④前置信息-大固定-包含了工资和总经理'!$B:$U,19,0)*$W$2+(O37-VLOOKUP(B37,'④前置信息-大固定-包含了工资和总经理'!$B:$U,19,0))*$W$3,IF(U37=0,O37*$W$2,0))),0)</f>
        <v>0</v>
      </c>
      <c r="Y37" s="91">
        <f>IF(D37="方案三",IF(U37=2,VLOOKUP(B37,'④前置信息-大固定-包含了工资和总经理'!$B:$U,19,0)*$X$2+(VLOOKUP(B37,'④前置信息-大固定-包含了工资和总经理'!$B:$U,20,0)-VLOOKUP(B37,'④前置信息-大固定-包含了工资和总经理'!$B:$U,19,0))*$X$3+(O37-VLOOKUP(B37,'④前置信息-大固定-包含了工资和总经理'!$B:$U,20,0))*$X$4,IF(U37=1,VLOOKUP(B37,'④前置信息-大固定-包含了工资和总经理'!$B:$U,19,0)*$X$2+(O37-VLOOKUP(B37,'④前置信息-大固定-包含了工资和总经理'!$B:$U,19,0))*$X$3,IF(U37=0,O37*$X$2,0))),0)</f>
        <v>0</v>
      </c>
      <c r="Z37" s="90">
        <f>IFERROR(IF(R37="yes",IF(O37&lt;VLOOKUP(B37,'④前置信息-大固定-包含了工资和总经理'!B:T,19,0),$F$2,IF(AND(O37&gt;VLOOKUP(B37,'④前置信息-大固定-包含了工资和总经理'!$B:$T,19,0),O37&lt;=VLOOKUP(B37,'④前置信息-大固定-包含了工资和总经理'!B:U,20,0)),$G$2,IF(O37&gt;VLOOKUP(B37,'④前置信息-大固定-包含了工资和总经理'!$B:$U,20,0),$H$2,0))),0),0)</f>
        <v>0.01</v>
      </c>
      <c r="AA37" s="91">
        <f t="shared" si="2"/>
        <v>0</v>
      </c>
    </row>
    <row r="38" spans="1:27" x14ac:dyDescent="0.15">
      <c r="A38" s="88"/>
      <c r="B38" s="88"/>
      <c r="C38" s="88"/>
      <c r="D38" s="88"/>
      <c r="E38" s="88"/>
      <c r="F38" s="88"/>
      <c r="G38" s="88"/>
      <c r="H38" s="88">
        <f>IFERROR(VLOOKUP(B38,'④前置信息-大固定-包含了工资和总经理'!B:E,4,0),0)</f>
        <v>0</v>
      </c>
      <c r="I38" s="88">
        <f>IFERROR(VLOOKUP(B38,'④前置信息-大固定-包含了工资和总经理'!B:F,5,0),0)</f>
        <v>0</v>
      </c>
      <c r="J38" s="88">
        <f>IFERROR(VLOOKUP(B38,'④前置信息-大固定-包含了工资和总经理'!B:D,3,0),0)</f>
        <v>0</v>
      </c>
      <c r="K38" s="88">
        <f>IFERROR(VLOOKUP(B38,'④前置信息-大固定-包含了工资和总经理'!B:G,6,0),0)</f>
        <v>0</v>
      </c>
      <c r="L38" s="88">
        <f>IFERROR(VLOOKUP(B38,②当月数据及门店毛利!B:C,2,0),0)</f>
        <v>0</v>
      </c>
      <c r="M38" s="88">
        <f>IFERROR(VLOOKUP(B38,②当月数据及门店毛利!B:D,3,0),0)</f>
        <v>0</v>
      </c>
      <c r="N38" s="89">
        <f>IFERROR(VLOOKUP(B38,②当月数据及门店毛利!B:E,4,0),0)</f>
        <v>0</v>
      </c>
      <c r="O38" s="89">
        <f>IFERROR(IF(P38=0,0,VLOOKUP(B38,②当月数据及门店毛利!B:N,13,0)),0)</f>
        <v>0</v>
      </c>
      <c r="P38" s="89">
        <f>IFERROR(VLOOKUP(B38,'④前置信息-大固定-包含了工资和总经理'!B:S,18,0),0)</f>
        <v>0</v>
      </c>
      <c r="Q38" s="88">
        <f t="shared" si="1"/>
        <v>0</v>
      </c>
      <c r="R38" s="88">
        <f>IFERROR(IF(L38&gt;VLOOKUP(B38,'④前置信息-大固定-包含了工资和总经理'!B:T,19,0),"yes",0),0)</f>
        <v>0</v>
      </c>
      <c r="S38" s="88">
        <f>IF(L38=0,0,IF(O38&gt;=VLOOKUP(B38,'④前置信息-大固定-包含了工资和总经理'!$B:$U,19,0),1,0))</f>
        <v>0</v>
      </c>
      <c r="T38" s="88">
        <f>IF(S38=0,0,IF(O38&gt;=VLOOKUP(B38,'④前置信息-大固定-包含了工资和总经理'!$B:$U,20,0),1,0))</f>
        <v>0</v>
      </c>
      <c r="U38" s="88" t="str">
        <f t="shared" si="5"/>
        <v>不提</v>
      </c>
      <c r="V38" s="88">
        <f t="shared" si="6"/>
        <v>0</v>
      </c>
      <c r="W38" s="91">
        <f>IF(D38="方案一",IF(U38=2,VLOOKUP(B38,'④前置信息-大固定-包含了工资和总经理'!$B:$U,19,0)*$Z$2+(VLOOKUP(B38,'④前置信息-大固定-包含了工资和总经理'!$B:$U,20,0)-VLOOKUP(B38,'④前置信息-大固定-包含了工资和总经理'!$B:$U,19,0))*$Z$3+(O38-VLOOKUP(B38,'④前置信息-大固定-包含了工资和总经理'!$B:$U,20,0))*$Z$4,IF(U38=1,VLOOKUP(B38,'④前置信息-大固定-包含了工资和总经理'!$B:$U,19,0)*$Z$2+(O38-VLOOKUP(B38,'④前置信息-大固定-包含了工资和总经理'!$B:$U,19,0))*$Z$3,IF(U38=0,O38*$Z$2,0))),0)</f>
        <v>0</v>
      </c>
      <c r="X38" s="91">
        <f>IF(D38="方案二",IF(U38=2,VLOOKUP(B38,'④前置信息-大固定-包含了工资和总经理'!$B:$U,19,0)*$W$2+(VLOOKUP(B38,'④前置信息-大固定-包含了工资和总经理'!$B:$U,20,0)-VLOOKUP(B38,'④前置信息-大固定-包含了工资和总经理'!$B:$U,19,0))*$W$3+(O38-VLOOKUP(B38,'④前置信息-大固定-包含了工资和总经理'!$B:$U,20,0))*$W$4,IF(U38=1,VLOOKUP(B38,'④前置信息-大固定-包含了工资和总经理'!$B:$U,19,0)*$W$2+(O38-VLOOKUP(B38,'④前置信息-大固定-包含了工资和总经理'!$B:$U,19,0))*$W$3,IF(U38=0,O38*$W$2,0))),0)</f>
        <v>0</v>
      </c>
      <c r="Y38" s="91">
        <f>IF(D38="方案三",IF(U38=2,VLOOKUP(B38,'④前置信息-大固定-包含了工资和总经理'!$B:$U,19,0)*$X$2+(VLOOKUP(B38,'④前置信息-大固定-包含了工资和总经理'!$B:$U,20,0)-VLOOKUP(B38,'④前置信息-大固定-包含了工资和总经理'!$B:$U,19,0))*$X$3+(O38-VLOOKUP(B38,'④前置信息-大固定-包含了工资和总经理'!$B:$U,20,0))*$X$4,IF(U38=1,VLOOKUP(B38,'④前置信息-大固定-包含了工资和总经理'!$B:$U,19,0)*$X$2+(O38-VLOOKUP(B38,'④前置信息-大固定-包含了工资和总经理'!$B:$U,19,0))*$X$3,IF(U38=0,O38*$X$2,0))),0)</f>
        <v>0</v>
      </c>
      <c r="Z38" s="90">
        <f>IFERROR(IF(R38="yes",IF(O38&lt;VLOOKUP(B38,'④前置信息-大固定-包含了工资和总经理'!B:T,19,0),$F$2,IF(AND(O38&gt;VLOOKUP(B38,'④前置信息-大固定-包含了工资和总经理'!$B:$T,19,0),O38&lt;=VLOOKUP(B38,'④前置信息-大固定-包含了工资和总经理'!B:U,20,0)),$G$2,IF(O38&gt;VLOOKUP(B38,'④前置信息-大固定-包含了工资和总经理'!$B:$U,20,0),$H$2,0))),0),0)</f>
        <v>0</v>
      </c>
      <c r="AA38" s="91">
        <f t="shared" si="2"/>
        <v>0</v>
      </c>
    </row>
    <row r="39" spans="1:27" x14ac:dyDescent="0.15">
      <c r="A39" s="88"/>
      <c r="B39" s="88"/>
      <c r="C39" s="88"/>
      <c r="D39" s="88"/>
      <c r="E39" s="88"/>
      <c r="F39" s="88"/>
      <c r="G39" s="88"/>
      <c r="H39" s="88">
        <f>IFERROR(VLOOKUP(B39,'④前置信息-大固定-包含了工资和总经理'!B:E,4,0),0)</f>
        <v>0</v>
      </c>
      <c r="I39" s="88">
        <f>IFERROR(VLOOKUP(B39,'④前置信息-大固定-包含了工资和总经理'!B:F,5,0),0)</f>
        <v>0</v>
      </c>
      <c r="J39" s="88">
        <f>IFERROR(VLOOKUP(B39,'④前置信息-大固定-包含了工资和总经理'!B:D,3,0),0)</f>
        <v>0</v>
      </c>
      <c r="K39" s="88">
        <f>IFERROR(VLOOKUP(B39,'④前置信息-大固定-包含了工资和总经理'!B:G,6,0),0)</f>
        <v>0</v>
      </c>
      <c r="L39" s="88">
        <f>IFERROR(VLOOKUP(B39,②当月数据及门店毛利!B:C,2,0),0)</f>
        <v>0</v>
      </c>
      <c r="M39" s="88">
        <f>IFERROR(VLOOKUP(B39,②当月数据及门店毛利!B:D,3,0),0)</f>
        <v>0</v>
      </c>
      <c r="N39" s="89">
        <f>IFERROR(VLOOKUP(B39,②当月数据及门店毛利!B:E,4,0),0)</f>
        <v>0</v>
      </c>
      <c r="O39" s="89">
        <f>IFERROR(IF(P39=0,0,VLOOKUP(B39,②当月数据及门店毛利!B:N,13,0)),0)</f>
        <v>0</v>
      </c>
      <c r="P39" s="89">
        <f>IFERROR(VLOOKUP(B39,'④前置信息-大固定-包含了工资和总经理'!B:S,18,0),0)</f>
        <v>0</v>
      </c>
      <c r="Q39" s="88">
        <f t="shared" si="1"/>
        <v>0</v>
      </c>
      <c r="R39" s="88">
        <f>IFERROR(IF(L39&gt;VLOOKUP(B39,'④前置信息-大固定-包含了工资和总经理'!B:T,19,0),"yes",0),0)</f>
        <v>0</v>
      </c>
      <c r="S39" s="88">
        <f>IF(L39=0,0,IF(O39&gt;=VLOOKUP(B39,'④前置信息-大固定-包含了工资和总经理'!$B:$U,19,0),1,0))</f>
        <v>0</v>
      </c>
      <c r="T39" s="88">
        <f>IF(S39=0,0,IF(O39&gt;=VLOOKUP(B39,'④前置信息-大固定-包含了工资和总经理'!$B:$U,20,0),1,0))</f>
        <v>0</v>
      </c>
      <c r="U39" s="88" t="str">
        <f t="shared" si="5"/>
        <v>不提</v>
      </c>
      <c r="V39" s="88">
        <f t="shared" si="6"/>
        <v>0</v>
      </c>
      <c r="W39" s="91">
        <f>IF(D39="方案一",IF(U39=2,VLOOKUP(B39,'④前置信息-大固定-包含了工资和总经理'!$B:$U,19,0)*$Z$2+(VLOOKUP(B39,'④前置信息-大固定-包含了工资和总经理'!$B:$U,20,0)-VLOOKUP(B39,'④前置信息-大固定-包含了工资和总经理'!$B:$U,19,0))*$Z$3+(O39-VLOOKUP(B39,'④前置信息-大固定-包含了工资和总经理'!$B:$U,20,0))*$Z$4,IF(U39=1,VLOOKUP(B39,'④前置信息-大固定-包含了工资和总经理'!$B:$U,19,0)*$Z$2+(O39-VLOOKUP(B39,'④前置信息-大固定-包含了工资和总经理'!$B:$U,19,0))*$Z$3,IF(U39=0,O39*$Z$2,0))),0)</f>
        <v>0</v>
      </c>
      <c r="X39" s="91">
        <f>IF(D39="方案二",IF(U39=2,VLOOKUP(B39,'④前置信息-大固定-包含了工资和总经理'!$B:$U,19,0)*$W$2+(VLOOKUP(B39,'④前置信息-大固定-包含了工资和总经理'!$B:$U,20,0)-VLOOKUP(B39,'④前置信息-大固定-包含了工资和总经理'!$B:$U,19,0))*$W$3+(O39-VLOOKUP(B39,'④前置信息-大固定-包含了工资和总经理'!$B:$U,20,0))*$W$4,IF(U39=1,VLOOKUP(B39,'④前置信息-大固定-包含了工资和总经理'!$B:$U,19,0)*$W$2+(O39-VLOOKUP(B39,'④前置信息-大固定-包含了工资和总经理'!$B:$U,19,0))*$W$3,IF(U39=0,O39*$W$2,0))),0)</f>
        <v>0</v>
      </c>
      <c r="Y39" s="91">
        <f>IF(D39="方案三",IF(U39=2,VLOOKUP(B39,'④前置信息-大固定-包含了工资和总经理'!$B:$U,19,0)*$X$2+(VLOOKUP(B39,'④前置信息-大固定-包含了工资和总经理'!$B:$U,20,0)-VLOOKUP(B39,'④前置信息-大固定-包含了工资和总经理'!$B:$U,19,0))*$X$3+(O39-VLOOKUP(B39,'④前置信息-大固定-包含了工资和总经理'!$B:$U,20,0))*$X$4,IF(U39=1,VLOOKUP(B39,'④前置信息-大固定-包含了工资和总经理'!$B:$U,19,0)*$X$2+(O39-VLOOKUP(B39,'④前置信息-大固定-包含了工资和总经理'!$B:$U,19,0))*$X$3,IF(U39=0,O39*$X$2,0))),0)</f>
        <v>0</v>
      </c>
      <c r="Z39" s="90">
        <f>IFERROR(IF(R39="yes",IF(O39&lt;VLOOKUP(B39,'④前置信息-大固定-包含了工资和总经理'!B:T,19,0),$F$2,IF(AND(O39&gt;VLOOKUP(B39,'④前置信息-大固定-包含了工资和总经理'!$B:$T,19,0),O39&lt;=VLOOKUP(B39,'④前置信息-大固定-包含了工资和总经理'!B:U,20,0)),$G$2,IF(O39&gt;VLOOKUP(B39,'④前置信息-大固定-包含了工资和总经理'!$B:$U,20,0),$H$2,0))),0),0)</f>
        <v>0</v>
      </c>
      <c r="AA39" s="91">
        <f t="shared" si="2"/>
        <v>0</v>
      </c>
    </row>
  </sheetData>
  <autoFilter ref="A6:AB39" xr:uid="{00000000-0009-0000-0000-00000D000000}"/>
  <phoneticPr fontId="4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Z34"/>
  <sheetViews>
    <sheetView workbookViewId="0">
      <selection activeCell="Q6" sqref="Q6"/>
    </sheetView>
  </sheetViews>
  <sheetFormatPr defaultColWidth="9" defaultRowHeight="14.25" x14ac:dyDescent="0.15"/>
  <cols>
    <col min="1" max="3" width="9" style="76"/>
    <col min="4" max="5" width="11.625" style="122" customWidth="1"/>
    <col min="6" max="6" width="9.125" style="122" customWidth="1"/>
    <col min="7" max="8" width="10.5" style="122" customWidth="1"/>
    <col min="9" max="9" width="9.5" style="122" customWidth="1"/>
    <col min="10" max="10" width="10.5" style="122" customWidth="1"/>
    <col min="11" max="11" width="13.875" style="122" bestFit="1" customWidth="1"/>
    <col min="12" max="12" width="9.5" style="122" customWidth="1"/>
    <col min="13" max="13" width="12.375" style="122" customWidth="1"/>
    <col min="14" max="16" width="9" style="76"/>
    <col min="17" max="17" width="12.375" style="122" customWidth="1"/>
    <col min="18" max="16384" width="9" style="76"/>
  </cols>
  <sheetData>
    <row r="1" spans="1:26" s="72" customFormat="1" x14ac:dyDescent="0.15">
      <c r="A1" s="107" t="s">
        <v>12</v>
      </c>
      <c r="B1" s="107" t="s">
        <v>7</v>
      </c>
      <c r="C1" s="107" t="s">
        <v>63</v>
      </c>
      <c r="D1" s="144" t="s">
        <v>154</v>
      </c>
      <c r="E1" s="144" t="s">
        <v>155</v>
      </c>
      <c r="F1" s="144" t="s">
        <v>156</v>
      </c>
      <c r="G1" s="145" t="s">
        <v>192</v>
      </c>
      <c r="H1" s="145" t="s">
        <v>193</v>
      </c>
      <c r="I1" s="145" t="s">
        <v>194</v>
      </c>
      <c r="J1" s="145" t="s">
        <v>195</v>
      </c>
      <c r="K1" s="145" t="s">
        <v>196</v>
      </c>
      <c r="L1" s="145" t="s">
        <v>197</v>
      </c>
      <c r="M1" s="145" t="s">
        <v>165</v>
      </c>
      <c r="N1" s="109" t="s">
        <v>198</v>
      </c>
      <c r="O1" s="109" t="s">
        <v>309</v>
      </c>
      <c r="P1" s="111" t="s">
        <v>199</v>
      </c>
      <c r="Q1" s="145" t="s">
        <v>200</v>
      </c>
      <c r="R1" s="107" t="s">
        <v>201</v>
      </c>
      <c r="S1" s="107" t="s">
        <v>71</v>
      </c>
      <c r="T1" s="146" t="s">
        <v>202</v>
      </c>
      <c r="U1" s="147" t="s">
        <v>203</v>
      </c>
      <c r="V1" s="107" t="s">
        <v>73</v>
      </c>
      <c r="W1" s="148" t="s">
        <v>204</v>
      </c>
      <c r="X1" s="148" t="s">
        <v>77</v>
      </c>
      <c r="Y1" s="109" t="s">
        <v>205</v>
      </c>
      <c r="Z1" s="107" t="s">
        <v>64</v>
      </c>
    </row>
    <row r="2" spans="1:26" x14ac:dyDescent="0.15">
      <c r="B2" s="72" t="str">
        <f>②当月数据及门店毛利!B4</f>
        <v>紫荆</v>
      </c>
      <c r="C2" s="76" t="str">
        <f>_xlfn.XLOOKUP(B2,'总经理核算-门店口径核算'!B:B,'总经理核算-门店口径核算'!P:P,0)</f>
        <v>饶秋华</v>
      </c>
      <c r="D2" s="122">
        <f>②当月数据及门店毛利!C4</f>
        <v>522756</v>
      </c>
      <c r="E2" s="122">
        <f>②当月数据及门店毛利!D4</f>
        <v>368762.45</v>
      </c>
      <c r="F2" s="122">
        <f>②当月数据及门店毛利!E4</f>
        <v>210</v>
      </c>
      <c r="G2" s="122">
        <f>②当月数据及门店毛利!G4</f>
        <v>2025</v>
      </c>
      <c r="H2" s="122">
        <f>②当月数据及门店毛利!H4</f>
        <v>1715.29</v>
      </c>
      <c r="I2" s="122">
        <f>②当月数据及门店毛利!I4</f>
        <v>3589.34</v>
      </c>
      <c r="J2" s="122">
        <f>②当月数据及门店毛利!J4</f>
        <v>23805</v>
      </c>
      <c r="K2" s="122">
        <f>②当月数据及门店毛利!K4</f>
        <v>0</v>
      </c>
      <c r="L2" s="122">
        <f>②当月数据及门店毛利!L4</f>
        <v>961.8</v>
      </c>
      <c r="M2" s="122">
        <f>②当月数据及门店毛利!N4</f>
        <v>490659.57</v>
      </c>
      <c r="N2" s="76">
        <f>_xlfn.XLOOKUP(B2,'总经理核算-门店口径核算'!B:B,'总经理核算-门店口径核算'!Q:Q,0)</f>
        <v>4000</v>
      </c>
      <c r="O2" s="76">
        <f>_xlfn.XLOOKUP(C2,'①考勤-B-a-26考勤汇总表'!D:D,'①考勤-B-a-26考勤汇总表'!U:U,0)</f>
        <v>0</v>
      </c>
      <c r="Q2" s="122">
        <f>_xlfn.XLOOKUP(B2,'总经理核算-门店口径核算'!B:B,'总经理核算-门店口径核算'!AA:AA,0)</f>
        <v>6063.1913999999997</v>
      </c>
    </row>
    <row r="3" spans="1:26" x14ac:dyDescent="0.15">
      <c r="B3" s="72" t="str">
        <f>②当月数据及门店毛利!B5</f>
        <v>龙湖</v>
      </c>
      <c r="C3" s="76" t="str">
        <f>_xlfn.XLOOKUP(B3,'总经理核算-门店口径核算'!B:B,'总经理核算-门店口径核算'!P:P,0)</f>
        <v>饶秋华</v>
      </c>
      <c r="D3" s="122">
        <f>②当月数据及门店毛利!C5</f>
        <v>220223</v>
      </c>
      <c r="E3" s="122">
        <f>②当月数据及门店毛利!D5</f>
        <v>210203.02</v>
      </c>
      <c r="F3" s="122">
        <f>②当月数据及门店毛利!E5</f>
        <v>205</v>
      </c>
      <c r="G3" s="122">
        <f>②当月数据及门店毛利!G5</f>
        <v>2426.79</v>
      </c>
      <c r="H3" s="122">
        <f>②当月数据及门店毛利!H5</f>
        <v>997.28</v>
      </c>
      <c r="I3" s="122">
        <f>②当月数据及门店毛利!I5</f>
        <v>3222.84</v>
      </c>
      <c r="J3" s="122">
        <f>②当月数据及门店毛利!J5</f>
        <v>8600</v>
      </c>
      <c r="K3" s="122">
        <f>②当月数据及门店毛利!K5</f>
        <v>0</v>
      </c>
      <c r="L3" s="122">
        <f>②当月数据及门店毛利!L5</f>
        <v>775.2</v>
      </c>
      <c r="M3" s="122">
        <f>②当月数据及门店毛利!N5</f>
        <v>204200.89</v>
      </c>
      <c r="N3" s="76">
        <f>_xlfn.XLOOKUP(B3,'总经理核算-门店口径核算'!B:B,'总经理核算-门店口径核算'!Q:Q,0)</f>
        <v>0</v>
      </c>
      <c r="O3" s="76">
        <f>_xlfn.XLOOKUP(C3,'①考勤-B-a-26考勤汇总表'!D:D,'①考勤-B-a-26考勤汇总表'!U:U,0)</f>
        <v>0</v>
      </c>
      <c r="Q3" s="122">
        <f>_xlfn.XLOOKUP(B3,'总经理核算-门店口径核算'!B:B,'总经理核算-门店口径核算'!AA:AA,0)</f>
        <v>0</v>
      </c>
    </row>
    <row r="4" spans="1:26" x14ac:dyDescent="0.15">
      <c r="B4" s="72" t="str">
        <f>②当月数据及门店毛利!B6</f>
        <v>沙河</v>
      </c>
      <c r="C4" s="76" t="str">
        <f>_xlfn.XLOOKUP(B4,'总经理核算-门店口径核算'!B:B,'总经理核算-门店口径核算'!P:P,0)</f>
        <v>秦亚平</v>
      </c>
      <c r="D4" s="122">
        <f>②当月数据及门店毛利!C6</f>
        <v>150694</v>
      </c>
      <c r="E4" s="122">
        <f>②当月数据及门店毛利!D6</f>
        <v>142453.84</v>
      </c>
      <c r="F4" s="122">
        <f>②当月数据及门店毛利!E6</f>
        <v>160</v>
      </c>
      <c r="G4" s="122">
        <f>②当月数据及门店毛利!G6</f>
        <v>2001</v>
      </c>
      <c r="H4" s="122">
        <f>②当月数据及门店毛利!H6</f>
        <v>2190.15</v>
      </c>
      <c r="I4" s="122">
        <f>②当月数据及门店毛利!I6</f>
        <v>11665.32</v>
      </c>
      <c r="J4" s="122">
        <f>②当月数据及门店毛利!J6</f>
        <v>2450</v>
      </c>
      <c r="K4" s="122">
        <f>②当月数据及门店毛利!K6</f>
        <v>0</v>
      </c>
      <c r="L4" s="122">
        <f>②当月数据及门店毛利!L6</f>
        <v>1113.3</v>
      </c>
      <c r="M4" s="122">
        <f>②当月数据及门店毛利!N6</f>
        <v>131274.23000000001</v>
      </c>
      <c r="N4" s="76">
        <f>_xlfn.XLOOKUP(B4,'总经理核算-门店口径核算'!B:B,'总经理核算-门店口径核算'!Q:Q,0)</f>
        <v>4000</v>
      </c>
      <c r="O4" s="76">
        <f>_xlfn.XLOOKUP(C4,'①考勤-B-a-26考勤汇总表'!D:D,'①考勤-B-a-26考勤汇总表'!U:U,0)</f>
        <v>0</v>
      </c>
      <c r="Q4" s="122">
        <f>_xlfn.XLOOKUP(B4,'总经理核算-门店口径核算'!B:B,'总经理核算-门店口径核算'!AA:AA,0)</f>
        <v>1312.7423000000001</v>
      </c>
    </row>
    <row r="5" spans="1:26" x14ac:dyDescent="0.15">
      <c r="B5" s="72" t="str">
        <f>②当月数据及门店毛利!B7</f>
        <v>华润</v>
      </c>
      <c r="C5" s="76" t="str">
        <f>_xlfn.XLOOKUP(B5,'总经理核算-门店口径核算'!B:B,'总经理核算-门店口径核算'!P:P,0)</f>
        <v>邹福贞</v>
      </c>
      <c r="D5" s="122">
        <f>②当月数据及门店毛利!C7</f>
        <v>201952.3</v>
      </c>
      <c r="E5" s="122">
        <f>②当月数据及门店毛利!D7</f>
        <v>179433.01</v>
      </c>
      <c r="F5" s="122">
        <f>②当月数据及门店毛利!E7</f>
        <v>195</v>
      </c>
      <c r="G5" s="122">
        <f>②当月数据及门店毛利!G7</f>
        <v>2114.34</v>
      </c>
      <c r="H5" s="122">
        <f>②当月数据及门店毛利!H7</f>
        <v>701.6</v>
      </c>
      <c r="I5" s="122">
        <f>②当月数据及门店毛利!I7</f>
        <v>2895.52</v>
      </c>
      <c r="J5" s="122">
        <f>②当月数据及门店毛利!J7</f>
        <v>4750</v>
      </c>
      <c r="K5" s="122">
        <f>②当月数据及门店毛利!K7</f>
        <v>0</v>
      </c>
      <c r="L5" s="122">
        <f>②当月数据及门店毛利!L7</f>
        <v>1005.1</v>
      </c>
      <c r="M5" s="122">
        <f>②当月数据及门店毛利!N7</f>
        <v>190485.74</v>
      </c>
      <c r="N5" s="76">
        <f>_xlfn.XLOOKUP(B5,'总经理核算-门店口径核算'!B:B,'总经理核算-门店口径核算'!Q:Q,0)</f>
        <v>4000</v>
      </c>
      <c r="O5" s="76">
        <f>_xlfn.XLOOKUP(C5,'①考勤-B-a-26考勤汇总表'!D:D,'①考勤-B-a-26考勤汇总表'!U:U,0)</f>
        <v>0</v>
      </c>
      <c r="Q5" s="122">
        <f>_xlfn.XLOOKUP(B5,'总经理核算-门店口径核算'!B:B,'总经理核算-门店口径核算'!AA:AA,0)</f>
        <v>0</v>
      </c>
    </row>
    <row r="6" spans="1:26" x14ac:dyDescent="0.15">
      <c r="B6" s="72" t="str">
        <f>②当月数据及门店毛利!B8</f>
        <v>静居寺</v>
      </c>
      <c r="C6" s="76" t="str">
        <f>_xlfn.XLOOKUP(B6,'总经理核算-门店口径核算'!B:B,'总经理核算-门店口径核算'!P:P,0)</f>
        <v>邹福贞</v>
      </c>
      <c r="D6" s="122">
        <f>②当月数据及门店毛利!C8</f>
        <v>407490.19</v>
      </c>
      <c r="E6" s="122">
        <f>②当月数据及门店毛利!D8</f>
        <v>518617.05</v>
      </c>
      <c r="F6" s="122">
        <f>②当月数据及门店毛利!E8</f>
        <v>206</v>
      </c>
      <c r="G6" s="122">
        <f>②当月数据及门店毛利!G8</f>
        <v>4907.0600000000004</v>
      </c>
      <c r="H6" s="122">
        <f>②当月数据及门店毛利!H8</f>
        <v>689.11</v>
      </c>
      <c r="I6" s="122">
        <f>②当月数据及门店毛利!I8</f>
        <v>3515.1</v>
      </c>
      <c r="J6" s="122">
        <f>②当月数据及门店毛利!J8</f>
        <v>25892.5</v>
      </c>
      <c r="K6" s="122">
        <f>②当月数据及门店毛利!K8</f>
        <v>7360</v>
      </c>
      <c r="L6" s="122">
        <f>②当月数据及门店毛利!L8</f>
        <v>1155.3</v>
      </c>
      <c r="M6" s="122">
        <f>②当月数据及门店毛利!N8</f>
        <v>363971.12</v>
      </c>
      <c r="N6" s="76">
        <f>_xlfn.XLOOKUP(B6,'总经理核算-门店口径核算'!B:B,'总经理核算-门店口径核算'!Q:Q,0)</f>
        <v>0</v>
      </c>
      <c r="O6" s="76">
        <f>_xlfn.XLOOKUP(C6,'①考勤-B-a-26考勤汇总表'!D:D,'①考勤-B-a-26考勤汇总表'!U:U,0)</f>
        <v>0</v>
      </c>
      <c r="Q6" s="122">
        <f>_xlfn.XLOOKUP(B6,'总经理核算-门店口径核算'!B:B,'总经理核算-门店口径核算'!AA:AA,0)</f>
        <v>3859.5668000000001</v>
      </c>
    </row>
    <row r="7" spans="1:26" x14ac:dyDescent="0.15">
      <c r="B7" s="72" t="str">
        <f>②当月数据及门店毛利!B9</f>
        <v>优品道</v>
      </c>
      <c r="C7" s="76" t="str">
        <f>_xlfn.XLOOKUP(B7,'总经理核算-门店口径核算'!B:B,'总经理核算-门店口径核算'!P:P,0)</f>
        <v>张艳秋</v>
      </c>
      <c r="D7" s="122">
        <f>②当月数据及门店毛利!C9</f>
        <v>160812</v>
      </c>
      <c r="E7" s="122">
        <f>②当月数据及门店毛利!D9</f>
        <v>146778.57999999999</v>
      </c>
      <c r="F7" s="122">
        <f>②当月数据及门店毛利!E9</f>
        <v>192</v>
      </c>
      <c r="G7" s="122">
        <f>②当月数据及门店毛利!G9</f>
        <v>3500</v>
      </c>
      <c r="H7" s="122">
        <f>②当月数据及门店毛利!H9</f>
        <v>1215.3800000000001</v>
      </c>
      <c r="I7" s="122">
        <f>②当月数据及门店毛利!I9</f>
        <v>3582.9</v>
      </c>
      <c r="J7" s="122">
        <f>②当月数据及门店毛利!J9</f>
        <v>5590</v>
      </c>
      <c r="K7" s="122">
        <f>②当月数据及门店毛利!K9</f>
        <v>0</v>
      </c>
      <c r="L7" s="122">
        <f>②当月数据及门店毛利!L9</f>
        <v>920.3</v>
      </c>
      <c r="M7" s="122">
        <f>②当月数据及门店毛利!N9</f>
        <v>146003.42000000001</v>
      </c>
      <c r="N7" s="76">
        <f>_xlfn.XLOOKUP(B7,'总经理核算-门店口径核算'!B:B,'总经理核算-门店口径核算'!Q:Q,0)</f>
        <v>4000</v>
      </c>
      <c r="O7" s="76">
        <f>_xlfn.XLOOKUP(C7,'①考勤-B-a-26考勤汇总表'!D:D,'①考勤-B-a-26考勤汇总表'!U:U,0)</f>
        <v>0</v>
      </c>
      <c r="Q7" s="122">
        <f>_xlfn.XLOOKUP(B7,'总经理核算-门店口径核算'!B:B,'总经理核算-门店口径核算'!AA:AA,0)</f>
        <v>2190.0513000000001</v>
      </c>
    </row>
    <row r="8" spans="1:26" x14ac:dyDescent="0.15">
      <c r="B8" s="72">
        <f>②当月数据及门店毛利!B10</f>
        <v>468</v>
      </c>
      <c r="C8" s="76" t="str">
        <f>_xlfn.XLOOKUP(B8,'总经理核算-门店口径核算'!B:B,'总经理核算-门店口径核算'!P:P,0)</f>
        <v>邹福贞</v>
      </c>
      <c r="D8" s="122">
        <f>②当月数据及门店毛利!C10</f>
        <v>140295</v>
      </c>
      <c r="E8" s="122">
        <f>②当月数据及门店毛利!D10</f>
        <v>190782.77</v>
      </c>
      <c r="F8" s="122">
        <f>②当月数据及门店毛利!E10</f>
        <v>217</v>
      </c>
      <c r="G8" s="122">
        <f>②当月数据及门店毛利!G10</f>
        <v>3754.95</v>
      </c>
      <c r="H8" s="122">
        <f>②当月数据及门店毛利!H10</f>
        <v>1491.04</v>
      </c>
      <c r="I8" s="122">
        <f>②当月数据及门店毛利!I10</f>
        <v>3218.6</v>
      </c>
      <c r="J8" s="122">
        <f>②当月数据及门店毛利!J10</f>
        <v>3600</v>
      </c>
      <c r="K8" s="122">
        <f>②当月数据及门店毛利!K10</f>
        <v>90</v>
      </c>
      <c r="L8" s="122">
        <f>②当月数据及门店毛利!L10</f>
        <v>947.3</v>
      </c>
      <c r="M8" s="122">
        <f>②当月数据及门店毛利!N10</f>
        <v>127193.11</v>
      </c>
      <c r="N8" s="76">
        <f>_xlfn.XLOOKUP(B8,'总经理核算-门店口径核算'!B:B,'总经理核算-门店口径核算'!Q:Q,0)</f>
        <v>0</v>
      </c>
      <c r="O8" s="76">
        <f>_xlfn.XLOOKUP(C8,'①考勤-B-a-26考勤汇总表'!D:D,'①考勤-B-a-26考勤汇总表'!U:U,0)</f>
        <v>0</v>
      </c>
      <c r="Q8" s="122">
        <f>_xlfn.XLOOKUP(B8,'总经理核算-门店口径核算'!B:B,'总经理核算-门店口径核算'!AA:AA,0)</f>
        <v>0</v>
      </c>
    </row>
    <row r="9" spans="1:26" x14ac:dyDescent="0.15">
      <c r="B9" s="72" t="str">
        <f>②当月数据及门店毛利!B11</f>
        <v>光华</v>
      </c>
      <c r="C9" s="76" t="str">
        <f>_xlfn.XLOOKUP(B9,'总经理核算-门店口径核算'!B:B,'总经理核算-门店口径核算'!P:P,0)</f>
        <v>饶秋华</v>
      </c>
      <c r="D9" s="122">
        <f>②当月数据及门店毛利!C11</f>
        <v>135590</v>
      </c>
      <c r="E9" s="122">
        <f>②当月数据及门店毛利!D11</f>
        <v>120657.22</v>
      </c>
      <c r="F9" s="122">
        <f>②当月数据及门店毛利!E11</f>
        <v>150</v>
      </c>
      <c r="G9" s="122">
        <f>②当月数据及门店毛利!G11</f>
        <v>1259.28</v>
      </c>
      <c r="H9" s="122">
        <f>②当月数据及门店毛利!H11</f>
        <v>1380.21</v>
      </c>
      <c r="I9" s="122">
        <f>②当月数据及门店毛利!I11</f>
        <v>3929.7</v>
      </c>
      <c r="J9" s="122">
        <f>②当月数据及门店毛利!J11</f>
        <v>3240</v>
      </c>
      <c r="K9" s="122">
        <f>②当月数据及门店毛利!K11</f>
        <v>0</v>
      </c>
      <c r="L9" s="122">
        <f>②当月数据及门店毛利!L11</f>
        <v>428.8</v>
      </c>
      <c r="M9" s="122">
        <f>②当月数据及门店毛利!N11</f>
        <v>125352.01000000001</v>
      </c>
      <c r="N9" s="76">
        <f>_xlfn.XLOOKUP(B9,'总经理核算-门店口径核算'!B:B,'总经理核算-门店口径核算'!Q:Q,0)</f>
        <v>0</v>
      </c>
      <c r="O9" s="76">
        <f>_xlfn.XLOOKUP(C9,'①考勤-B-a-26考勤汇总表'!D:D,'①考勤-B-a-26考勤汇总表'!U:U,0)</f>
        <v>0</v>
      </c>
      <c r="Q9" s="122">
        <f>_xlfn.XLOOKUP(B9,'总经理核算-门店口径核算'!B:B,'总经理核算-门店口径核算'!AA:AA,0)</f>
        <v>0</v>
      </c>
    </row>
    <row r="10" spans="1:26" x14ac:dyDescent="0.15">
      <c r="B10" s="72" t="str">
        <f>②当月数据及门店毛利!B12</f>
        <v>融创</v>
      </c>
      <c r="C10" s="76" t="str">
        <f>_xlfn.XLOOKUP(B10,'总经理核算-门店口径核算'!B:B,'总经理核算-门店口径核算'!P:P,0)</f>
        <v>秦亚平</v>
      </c>
      <c r="D10" s="122">
        <f>②当月数据及门店毛利!C12</f>
        <v>152421</v>
      </c>
      <c r="E10" s="122">
        <f>②当月数据及门店毛利!D12</f>
        <v>117167.22</v>
      </c>
      <c r="F10" s="122">
        <f>②当月数据及门店毛利!E12</f>
        <v>138</v>
      </c>
      <c r="G10" s="122">
        <f>②当月数据及门店毛利!G12</f>
        <v>2889.06</v>
      </c>
      <c r="H10" s="122">
        <f>②当月数据及门店毛利!H12</f>
        <v>981.27</v>
      </c>
      <c r="I10" s="122">
        <f>②当月数据及门店毛利!I12</f>
        <v>2847.42</v>
      </c>
      <c r="J10" s="122">
        <f>②当月数据及门店毛利!J12</f>
        <v>-800</v>
      </c>
      <c r="K10" s="122">
        <f>②当月数据及门店毛利!K12</f>
        <v>0</v>
      </c>
      <c r="L10" s="122">
        <f>②当月数据及门店毛利!L12</f>
        <v>589.20000000000005</v>
      </c>
      <c r="M10" s="122">
        <f>②当月数据及门店毛利!N12</f>
        <v>145914.04999999999</v>
      </c>
      <c r="N10" s="76">
        <f>_xlfn.XLOOKUP(B10,'总经理核算-门店口径核算'!B:B,'总经理核算-门店口径核算'!Q:Q,0)</f>
        <v>0</v>
      </c>
      <c r="O10" s="76">
        <f>_xlfn.XLOOKUP(C10,'①考勤-B-a-26考勤汇总表'!D:D,'①考勤-B-a-26考勤汇总表'!U:U,0)</f>
        <v>0</v>
      </c>
      <c r="Q10" s="122">
        <f>_xlfn.XLOOKUP(B10,'总经理核算-门店口径核算'!B:B,'总经理核算-门店口径核算'!AA:AA,0)</f>
        <v>1459.1405</v>
      </c>
    </row>
    <row r="11" spans="1:26" x14ac:dyDescent="0.15">
      <c r="B11" s="72" t="str">
        <f>②当月数据及门店毛利!B13</f>
        <v>川师</v>
      </c>
      <c r="C11" s="76" t="str">
        <f>_xlfn.XLOOKUP(B11,'总经理核算-门店口径核算'!B:B,'总经理核算-门店口径核算'!P:P,0)</f>
        <v>张小娟</v>
      </c>
      <c r="D11" s="122">
        <f>②当月数据及门店毛利!C13</f>
        <v>205041</v>
      </c>
      <c r="E11" s="122">
        <f>②当月数据及门店毛利!D13</f>
        <v>194741.48</v>
      </c>
      <c r="F11" s="122">
        <f>②当月数据及门店毛利!E13</f>
        <v>157</v>
      </c>
      <c r="G11" s="122">
        <f>②当月数据及门店毛利!G13</f>
        <v>2000</v>
      </c>
      <c r="H11" s="122">
        <f>②当月数据及门店毛利!H13</f>
        <v>902.66</v>
      </c>
      <c r="I11" s="122">
        <f>②当月数据及门店毛利!I13</f>
        <v>1049.7</v>
      </c>
      <c r="J11" s="122">
        <f>②当月数据及门店毛利!J13</f>
        <v>12845</v>
      </c>
      <c r="K11" s="122">
        <f>②当月数据及门店毛利!K13</f>
        <v>3203</v>
      </c>
      <c r="L11" s="122">
        <f>②当月数据及门店毛利!L13</f>
        <v>701.7</v>
      </c>
      <c r="M11" s="122">
        <f>②当月数据及门店毛利!N13</f>
        <v>184338.94</v>
      </c>
      <c r="N11" s="76">
        <f>_xlfn.XLOOKUP(B11,'总经理核算-门店口径核算'!B:B,'总经理核算-门店口径核算'!Q:Q,0)</f>
        <v>4000</v>
      </c>
      <c r="O11" s="76">
        <f>_xlfn.XLOOKUP(C11,'①考勤-B-a-26考勤汇总表'!D:D,'①考勤-B-a-26考勤汇总表'!U:U,0)</f>
        <v>0</v>
      </c>
      <c r="Q11" s="122">
        <f>_xlfn.XLOOKUP(B11,'总经理核算-门店口径核算'!B:B,'总经理核算-门店口径核算'!AA:AA,0)</f>
        <v>2186.7788</v>
      </c>
    </row>
    <row r="12" spans="1:26" x14ac:dyDescent="0.15">
      <c r="B12" s="72" t="str">
        <f>②当月数据及门店毛利!B14</f>
        <v>鹭岛</v>
      </c>
      <c r="C12" s="76" t="str">
        <f>_xlfn.XLOOKUP(B12,'总经理核算-门店口径核算'!B:B,'总经理核算-门店口径核算'!P:P,0)</f>
        <v>饶秋华</v>
      </c>
      <c r="D12" s="122">
        <f>②当月数据及门店毛利!C14</f>
        <v>111267</v>
      </c>
      <c r="E12" s="122">
        <f>②当月数据及门店毛利!D14</f>
        <v>87745.89</v>
      </c>
      <c r="F12" s="122">
        <f>②当月数据及门店毛利!E14</f>
        <v>142</v>
      </c>
      <c r="G12" s="122">
        <f>②当月数据及门店毛利!G14</f>
        <v>7901.28</v>
      </c>
      <c r="H12" s="122">
        <f>②当月数据及门店毛利!H14</f>
        <v>896.98</v>
      </c>
      <c r="I12" s="122">
        <f>②当月数据及门店毛利!I14</f>
        <v>3666.72</v>
      </c>
      <c r="J12" s="122">
        <f>②当月数据及门店毛利!J14</f>
        <v>2550</v>
      </c>
      <c r="K12" s="122">
        <f>②当月数据及门店毛利!K14</f>
        <v>0</v>
      </c>
      <c r="L12" s="122">
        <f>②当月数据及门店毛利!L14</f>
        <v>717.2</v>
      </c>
      <c r="M12" s="122">
        <f>②当月数据及门店毛利!N14</f>
        <v>95534.82</v>
      </c>
      <c r="N12" s="76">
        <f>_xlfn.XLOOKUP(B12,'总经理核算-门店口径核算'!B:B,'总经理核算-门店口径核算'!Q:Q,0)</f>
        <v>0</v>
      </c>
      <c r="O12" s="76">
        <f>_xlfn.XLOOKUP(C12,'①考勤-B-a-26考勤汇总表'!D:D,'①考勤-B-a-26考勤汇总表'!U:U,0)</f>
        <v>0</v>
      </c>
      <c r="Q12" s="122">
        <f>_xlfn.XLOOKUP(B12,'总经理核算-门店口径核算'!B:B,'总经理核算-门店口径核算'!AA:AA,0)</f>
        <v>0</v>
      </c>
    </row>
    <row r="13" spans="1:26" x14ac:dyDescent="0.15">
      <c r="B13" s="72" t="str">
        <f>②当月数据及门店毛利!B15</f>
        <v>荣华南路</v>
      </c>
      <c r="C13" s="76" t="str">
        <f>_xlfn.XLOOKUP(B13,'总经理核算-门店口径核算'!B:B,'总经理核算-门店口径核算'!P:P,0)</f>
        <v>秦亚平</v>
      </c>
      <c r="D13" s="122">
        <f>②当月数据及门店毛利!C15</f>
        <v>180024</v>
      </c>
      <c r="E13" s="122">
        <f>②当月数据及门店毛利!D15</f>
        <v>87671.5</v>
      </c>
      <c r="F13" s="122">
        <f>②当月数据及门店毛利!E15</f>
        <v>140</v>
      </c>
      <c r="G13" s="122">
        <f>②当月数据及门店毛利!G15</f>
        <v>2665.77</v>
      </c>
      <c r="H13" s="122">
        <f>②当月数据及门店毛利!H15</f>
        <v>2365.85</v>
      </c>
      <c r="I13" s="122">
        <f>②当月数据及门店毛利!I15</f>
        <v>2773.14</v>
      </c>
      <c r="J13" s="122">
        <f>②当月数据及门店毛利!J15</f>
        <v>0</v>
      </c>
      <c r="K13" s="122">
        <f>②当月数据及门店毛利!K15</f>
        <v>0</v>
      </c>
      <c r="L13" s="122">
        <f>②当月数据及门店毛利!L15</f>
        <v>858.8</v>
      </c>
      <c r="M13" s="122">
        <f>②当月数据及门店毛利!N15</f>
        <v>171360.44</v>
      </c>
      <c r="N13" s="76">
        <f>_xlfn.XLOOKUP(B13,'总经理核算-门店口径核算'!B:B,'总经理核算-门店口径核算'!Q:Q,0)</f>
        <v>0</v>
      </c>
      <c r="O13" s="76">
        <f>_xlfn.XLOOKUP(C13,'①考勤-B-a-26考勤汇总表'!D:D,'①考勤-B-a-26考勤汇总表'!U:U,0)</f>
        <v>0</v>
      </c>
      <c r="Q13" s="122">
        <f>_xlfn.XLOOKUP(B13,'总经理核算-门店口径核算'!B:B,'总经理核算-门店口径核算'!AA:AA,0)</f>
        <v>1820.4066</v>
      </c>
    </row>
    <row r="14" spans="1:26" x14ac:dyDescent="0.15">
      <c r="B14" s="72" t="str">
        <f>②当月数据及门店毛利!B16</f>
        <v>荣华北路</v>
      </c>
      <c r="C14" s="76" t="str">
        <f>_xlfn.XLOOKUP(B14,'总经理核算-门店口径核算'!B:B,'总经理核算-门店口径核算'!P:P,0)</f>
        <v>饶秋华</v>
      </c>
      <c r="D14" s="122">
        <f>②当月数据及门店毛利!C16</f>
        <v>153950.6</v>
      </c>
      <c r="E14" s="122">
        <f>②当月数据及门店毛利!D16</f>
        <v>140812.54</v>
      </c>
      <c r="F14" s="122">
        <f>②当月数据及门店毛利!E16</f>
        <v>153</v>
      </c>
      <c r="G14" s="122">
        <f>②当月数据及门店毛利!G16</f>
        <v>3263.25</v>
      </c>
      <c r="H14" s="122">
        <f>②当月数据及门店毛利!H16</f>
        <v>1044.5</v>
      </c>
      <c r="I14" s="122">
        <f>②当月数据及门店毛利!I16</f>
        <v>4129.88</v>
      </c>
      <c r="J14" s="122">
        <f>②当月数据及门店毛利!J16</f>
        <v>2040</v>
      </c>
      <c r="K14" s="122">
        <f>②当月数据及门店毛利!K16</f>
        <v>0</v>
      </c>
      <c r="L14" s="122">
        <f>②当月数据及门店毛利!L16</f>
        <v>888.4</v>
      </c>
      <c r="M14" s="122">
        <f>②当月数据及门店毛利!N16</f>
        <v>142584.57</v>
      </c>
      <c r="N14" s="76">
        <f>_xlfn.XLOOKUP(B14,'总经理核算-门店口径核算'!B:B,'总经理核算-门店口径核算'!Q:Q,0)</f>
        <v>0</v>
      </c>
      <c r="O14" s="76">
        <f>_xlfn.XLOOKUP(C14,'①考勤-B-a-26考勤汇总表'!D:D,'①考勤-B-a-26考勤汇总表'!U:U,0)</f>
        <v>0</v>
      </c>
      <c r="Q14" s="122">
        <f>_xlfn.XLOOKUP(B14,'总经理核算-门店口径核算'!B:B,'总经理核算-门店口径核算'!AA:AA,0)</f>
        <v>1425.8457000000001</v>
      </c>
    </row>
    <row r="15" spans="1:26" x14ac:dyDescent="0.15">
      <c r="B15" s="72" t="str">
        <f>②当月数据及门店毛利!B17</f>
        <v>涌泉</v>
      </c>
      <c r="C15" s="76" t="str">
        <f>_xlfn.XLOOKUP(B15,'总经理核算-门店口径核算'!B:B,'总经理核算-门店口径核算'!P:P,0)</f>
        <v>秦亚平</v>
      </c>
      <c r="D15" s="122">
        <f>②当月数据及门店毛利!C17</f>
        <v>169632</v>
      </c>
      <c r="E15" s="122">
        <f>②当月数据及门店毛利!D17</f>
        <v>139162.62</v>
      </c>
      <c r="F15" s="122">
        <f>②当月数据及门店毛利!E17</f>
        <v>180</v>
      </c>
      <c r="G15" s="122">
        <f>②当月数据及门店毛利!G17</f>
        <v>4000</v>
      </c>
      <c r="H15" s="122">
        <f>②当月数据及门店毛利!H17</f>
        <v>869.26</v>
      </c>
      <c r="I15" s="122">
        <f>②当月数据及门店毛利!I17</f>
        <v>4870.34</v>
      </c>
      <c r="J15" s="122">
        <f>②当月数据及门店毛利!J17</f>
        <v>17777.5</v>
      </c>
      <c r="K15" s="122">
        <f>②当月数据及门店毛利!K17</f>
        <v>0</v>
      </c>
      <c r="L15" s="122">
        <f>②当月数据及门店毛利!L17</f>
        <v>817.1</v>
      </c>
      <c r="M15" s="122">
        <f>②当月数据及门店毛利!N17</f>
        <v>141297.79999999999</v>
      </c>
      <c r="N15" s="76">
        <f>_xlfn.XLOOKUP(B15,'总经理核算-门店口径核算'!B:B,'总经理核算-门店口径核算'!Q:Q,0)</f>
        <v>0</v>
      </c>
      <c r="O15" s="76">
        <f>_xlfn.XLOOKUP(C15,'①考勤-B-a-26考勤汇总表'!D:D,'①考勤-B-a-26考勤汇总表'!U:U,0)</f>
        <v>0</v>
      </c>
      <c r="Q15" s="122">
        <f>_xlfn.XLOOKUP(B15,'总经理核算-门店口径核算'!B:B,'总经理核算-门店口径核算'!AA:AA,0)</f>
        <v>1412.9779999999998</v>
      </c>
    </row>
    <row r="16" spans="1:26" x14ac:dyDescent="0.15">
      <c r="B16" s="72" t="str">
        <f>②当月数据及门店毛利!B18</f>
        <v>大丰</v>
      </c>
      <c r="C16" s="76" t="str">
        <f>_xlfn.XLOOKUP(B16,'总经理核算-门店口径核算'!B:B,'总经理核算-门店口径核算'!P:P,0)</f>
        <v>蒲草</v>
      </c>
      <c r="D16" s="122">
        <f>②当月数据及门店毛利!C18</f>
        <v>200049.7</v>
      </c>
      <c r="E16" s="122">
        <f>②当月数据及门店毛利!D18</f>
        <v>192405.22</v>
      </c>
      <c r="F16" s="122">
        <f>②当月数据及门店毛利!E18</f>
        <v>172</v>
      </c>
      <c r="G16" s="122">
        <f>②当月数据及门店毛利!G18</f>
        <v>2686.64</v>
      </c>
      <c r="H16" s="122">
        <f>②当月数据及门店毛利!H18</f>
        <v>1269.98</v>
      </c>
      <c r="I16" s="122">
        <f>②当月数据及门店毛利!I18</f>
        <v>2572.54</v>
      </c>
      <c r="J16" s="122">
        <f>②当月数据及门店毛利!J18</f>
        <v>10560</v>
      </c>
      <c r="K16" s="122">
        <f>②当月数据及门店毛利!K18</f>
        <v>281.39999999999998</v>
      </c>
      <c r="L16" s="122">
        <f>②当月数据及门店毛利!L18</f>
        <v>820.9</v>
      </c>
      <c r="M16" s="122">
        <f>②当月数据及门店毛利!N18</f>
        <v>181858.24000000002</v>
      </c>
      <c r="N16" s="76">
        <f>_xlfn.XLOOKUP(B16,'总经理核算-门店口径核算'!B:B,'总经理核算-门店口径核算'!Q:Q,0)</f>
        <v>4000</v>
      </c>
      <c r="O16" s="76">
        <f>_xlfn.XLOOKUP(C16,'①考勤-B-a-26考勤汇总表'!D:D,'①考勤-B-a-26考勤汇总表'!U:U,0)</f>
        <v>0</v>
      </c>
      <c r="Q16" s="122">
        <f>_xlfn.XLOOKUP(B16,'总经理核算-门店口径核算'!B:B,'总经理核算-门店口径核算'!AA:AA,0)</f>
        <v>1818.5824000000002</v>
      </c>
    </row>
    <row r="17" spans="2:17" x14ac:dyDescent="0.15">
      <c r="B17" s="72" t="str">
        <f>②当月数据及门店毛利!B19</f>
        <v>双流</v>
      </c>
      <c r="C17" s="76">
        <f>_xlfn.XLOOKUP(B17,'总经理核算-门店口径核算'!B:B,'总经理核算-门店口径核算'!P:P,0)</f>
        <v>0</v>
      </c>
      <c r="D17" s="122">
        <f>②当月数据及门店毛利!C19</f>
        <v>311108</v>
      </c>
      <c r="E17" s="122">
        <f>②当月数据及门店毛利!D19</f>
        <v>291471.05</v>
      </c>
      <c r="F17" s="122">
        <f>②当月数据及门店毛利!E19</f>
        <v>163</v>
      </c>
      <c r="G17" s="122">
        <f>②当月数据及门店毛利!G19</f>
        <v>2500</v>
      </c>
      <c r="H17" s="122">
        <f>②当月数据及门店毛利!H19</f>
        <v>571.79</v>
      </c>
      <c r="I17" s="122">
        <f>②当月数据及门店毛利!I19</f>
        <v>3078.24</v>
      </c>
      <c r="J17" s="122">
        <f>②当月数据及门店毛利!J19</f>
        <v>62020</v>
      </c>
      <c r="K17" s="122">
        <f>②当月数据及门店毛利!K19</f>
        <v>5200</v>
      </c>
      <c r="L17" s="122">
        <f>②当月数据及门店毛利!L19</f>
        <v>722.2</v>
      </c>
      <c r="M17" s="122">
        <f>②当月数据及门店毛利!N19</f>
        <v>237015.77000000002</v>
      </c>
      <c r="N17" s="76">
        <f>_xlfn.XLOOKUP(B17,'总经理核算-门店口径核算'!B:B,'总经理核算-门店口径核算'!Q:Q,0)</f>
        <v>0</v>
      </c>
      <c r="O17" s="76">
        <f>_xlfn.XLOOKUP(C17,'①考勤-B-a-26考勤汇总表'!D:D,'①考勤-B-a-26考勤汇总表'!U:U,0)</f>
        <v>0</v>
      </c>
      <c r="Q17" s="122">
        <f>_xlfn.XLOOKUP(B17,'总经理核算-门店口径核算'!B:B,'总经理核算-门店口径核算'!AA:AA,0)</f>
        <v>0</v>
      </c>
    </row>
    <row r="18" spans="2:17" x14ac:dyDescent="0.15">
      <c r="B18" s="72" t="str">
        <f>②当月数据及门店毛利!B20</f>
        <v>骑士郡</v>
      </c>
      <c r="C18" s="76" t="str">
        <f>_xlfn.XLOOKUP(B18,'总经理核算-门店口径核算'!B:B,'总经理核算-门店口径核算'!P:P,0)</f>
        <v>秦亚平</v>
      </c>
      <c r="D18" s="122">
        <f>②当月数据及门店毛利!C20</f>
        <v>158633</v>
      </c>
      <c r="E18" s="122">
        <f>②当月数据及门店毛利!D20</f>
        <v>123760.98</v>
      </c>
      <c r="F18" s="122">
        <f>②当月数据及门店毛利!E20</f>
        <v>177</v>
      </c>
      <c r="G18" s="122">
        <f>②当月数据及门店毛利!G20</f>
        <v>4219.55</v>
      </c>
      <c r="H18" s="122">
        <f>②当月数据及门店毛利!H20</f>
        <v>955.53</v>
      </c>
      <c r="I18" s="122">
        <f>②当月数据及门店毛利!I20</f>
        <v>3464.34</v>
      </c>
      <c r="J18" s="122">
        <f>②当月数据及门店毛利!J20</f>
        <v>-3750</v>
      </c>
      <c r="K18" s="122">
        <f>②当月数据及门店毛利!K20</f>
        <v>300</v>
      </c>
      <c r="L18" s="122">
        <f>②当月数据及门店毛利!L20</f>
        <v>1373.4</v>
      </c>
      <c r="M18" s="122">
        <f>②当月数据及门店毛利!N20</f>
        <v>152070.18</v>
      </c>
      <c r="N18" s="76">
        <f>_xlfn.XLOOKUP(B18,'总经理核算-门店口径核算'!B:B,'总经理核算-门店口径核算'!Q:Q,0)</f>
        <v>0</v>
      </c>
      <c r="O18" s="76">
        <f>_xlfn.XLOOKUP(C18,'①考勤-B-a-26考勤汇总表'!D:D,'①考勤-B-a-26考勤汇总表'!U:U,0)</f>
        <v>0</v>
      </c>
      <c r="Q18" s="122">
        <f>_xlfn.XLOOKUP(B18,'总经理核算-门店口径核算'!B:B,'总经理核算-门店口径核算'!AA:AA,0)</f>
        <v>0</v>
      </c>
    </row>
    <row r="19" spans="2:17" x14ac:dyDescent="0.15">
      <c r="B19" s="72" t="str">
        <f>②当月数据及门店毛利!B21</f>
        <v>明信</v>
      </c>
      <c r="C19" s="76" t="str">
        <f>_xlfn.XLOOKUP(B19,'总经理核算-门店口径核算'!B:B,'总经理核算-门店口径核算'!P:P,0)</f>
        <v>张小娟</v>
      </c>
      <c r="D19" s="122">
        <f>②当月数据及门店毛利!C21</f>
        <v>92371</v>
      </c>
      <c r="E19" s="122">
        <f>②当月数据及门店毛利!D21</f>
        <v>58105.8</v>
      </c>
      <c r="F19" s="122">
        <f>②当月数据及门店毛利!E21</f>
        <v>169</v>
      </c>
      <c r="G19" s="122">
        <f>②当月数据及门店毛利!G21</f>
        <v>156</v>
      </c>
      <c r="H19" s="122">
        <f>②当月数据及门店毛利!H21</f>
        <v>375.92</v>
      </c>
      <c r="I19" s="122">
        <f>②当月数据及门店毛利!I21</f>
        <v>3175.2</v>
      </c>
      <c r="J19" s="122">
        <f>②当月数据及门店毛利!J21</f>
        <v>0</v>
      </c>
      <c r="K19" s="122">
        <f>②当月数据及门店毛利!K21</f>
        <v>0</v>
      </c>
      <c r="L19" s="122">
        <f>②当月数据及门店毛利!L21</f>
        <v>723.3</v>
      </c>
      <c r="M19" s="122">
        <f>②当月数据及门店毛利!N21</f>
        <v>87940.58</v>
      </c>
      <c r="N19" s="76">
        <f>_xlfn.XLOOKUP(B19,'总经理核算-门店口径核算'!B:B,'总经理核算-门店口径核算'!Q:Q,0)</f>
        <v>0</v>
      </c>
      <c r="O19" s="76">
        <f>_xlfn.XLOOKUP(C19,'①考勤-B-a-26考勤汇总表'!D:D,'①考勤-B-a-26考勤汇总表'!U:U,0)</f>
        <v>0</v>
      </c>
      <c r="Q19" s="122">
        <f>_xlfn.XLOOKUP(B19,'总经理核算-门店口径核算'!B:B,'总经理核算-门店口径核算'!AA:AA,0)</f>
        <v>0</v>
      </c>
    </row>
    <row r="20" spans="2:17" x14ac:dyDescent="0.15">
      <c r="B20" s="72" t="str">
        <f>②当月数据及门店毛利!B22</f>
        <v>犀浦</v>
      </c>
      <c r="C20" s="76" t="str">
        <f>_xlfn.XLOOKUP(B20,'总经理核算-门店口径核算'!B:B,'总经理核算-门店口径核算'!P:P,0)</f>
        <v>邹福贞</v>
      </c>
      <c r="D20" s="122">
        <f>②当月数据及门店毛利!C22</f>
        <v>100934</v>
      </c>
      <c r="E20" s="122">
        <f>②当月数据及门店毛利!D22</f>
        <v>120573.32</v>
      </c>
      <c r="F20" s="122">
        <f>②当月数据及门店毛利!E22</f>
        <v>183</v>
      </c>
      <c r="G20" s="122">
        <f>②当月数据及门店毛利!G22</f>
        <v>5076.66</v>
      </c>
      <c r="H20" s="122">
        <f>②当月数据及门店毛利!H22</f>
        <v>1209.6500000000001</v>
      </c>
      <c r="I20" s="122">
        <f>②当月数据及门店毛利!I22</f>
        <v>4620.6000000000004</v>
      </c>
      <c r="J20" s="122">
        <f>②当月数据及门店毛利!J22</f>
        <v>0</v>
      </c>
      <c r="K20" s="122">
        <f>②当月数据及门店毛利!K22</f>
        <v>0</v>
      </c>
      <c r="L20" s="122">
        <f>②当月数据及门店毛利!L22</f>
        <v>930.3</v>
      </c>
      <c r="M20" s="122">
        <f>②当月数据及门店毛利!N22</f>
        <v>89096.790000000008</v>
      </c>
      <c r="N20" s="76">
        <f>_xlfn.XLOOKUP(B20,'总经理核算-门店口径核算'!B:B,'总经理核算-门店口径核算'!Q:Q,0)</f>
        <v>0</v>
      </c>
      <c r="O20" s="76">
        <f>_xlfn.XLOOKUP(C20,'①考勤-B-a-26考勤汇总表'!D:D,'①考勤-B-a-26考勤汇总表'!U:U,0)</f>
        <v>0</v>
      </c>
      <c r="Q20" s="122">
        <f>_xlfn.XLOOKUP(B20,'总经理核算-门店口径核算'!B:B,'总经理核算-门店口径核算'!AA:AA,0)</f>
        <v>0</v>
      </c>
    </row>
    <row r="21" spans="2:17" x14ac:dyDescent="0.15">
      <c r="B21" s="72" t="str">
        <f>②当月数据及门店毛利!B23</f>
        <v>千禧</v>
      </c>
      <c r="C21" s="76" t="str">
        <f>_xlfn.XLOOKUP(B21,'总经理核算-门店口径核算'!B:B,'总经理核算-门店口径核算'!P:P,0)</f>
        <v>蒲草</v>
      </c>
      <c r="D21" s="122">
        <f>②当月数据及门店毛利!C23</f>
        <v>151129</v>
      </c>
      <c r="E21" s="122">
        <f>②当月数据及门店毛利!D23</f>
        <v>112580.75</v>
      </c>
      <c r="F21" s="122">
        <f>②当月数据及门店毛利!E23</f>
        <v>164</v>
      </c>
      <c r="G21" s="122">
        <f>②当月数据及门店毛利!G23</f>
        <v>6040.43</v>
      </c>
      <c r="H21" s="122">
        <f>②当月数据及门店毛利!H23</f>
        <v>477.24</v>
      </c>
      <c r="I21" s="122">
        <f>②当月数据及门店毛利!I23</f>
        <v>3086.14</v>
      </c>
      <c r="J21" s="122">
        <f>②当月数据及门店毛利!J23</f>
        <v>-4305</v>
      </c>
      <c r="K21" s="122">
        <f>②当月数据及门店毛利!K23</f>
        <v>0</v>
      </c>
      <c r="L21" s="122">
        <f>②当月数据及门店毛利!L23</f>
        <v>871.5</v>
      </c>
      <c r="M21" s="122">
        <f>②当月数据及门店毛利!N23</f>
        <v>144958.69</v>
      </c>
      <c r="N21" s="76">
        <f>_xlfn.XLOOKUP(B21,'总经理核算-门店口径核算'!B:B,'总经理核算-门店口径核算'!Q:Q,0)</f>
        <v>0</v>
      </c>
      <c r="O21" s="76">
        <f>_xlfn.XLOOKUP(C21,'①考勤-B-a-26考勤汇总表'!D:D,'①考勤-B-a-26考勤汇总表'!U:U,0)</f>
        <v>0</v>
      </c>
      <c r="Q21" s="122">
        <f>_xlfn.XLOOKUP(B21,'总经理核算-门店口径核算'!B:B,'总经理核算-门店口径核算'!AA:AA,0)</f>
        <v>1449.5869</v>
      </c>
    </row>
    <row r="22" spans="2:17" x14ac:dyDescent="0.15">
      <c r="B22" s="72" t="str">
        <f>②当月数据及门店毛利!B24</f>
        <v>亚洲湾</v>
      </c>
      <c r="C22" s="76" t="str">
        <f>_xlfn.XLOOKUP(B22,'总经理核算-门店口径核算'!B:B,'总经理核算-门店口径核算'!P:P,0)</f>
        <v>张小娟</v>
      </c>
      <c r="D22" s="122">
        <f>②当月数据及门店毛利!C24</f>
        <v>143757</v>
      </c>
      <c r="E22" s="122">
        <f>②当月数据及门店毛利!D24</f>
        <v>100865.33</v>
      </c>
      <c r="F22" s="122">
        <f>②当月数据及门店毛利!E24</f>
        <v>156</v>
      </c>
      <c r="G22" s="122">
        <f>②当月数据及门店毛利!G24</f>
        <v>3000</v>
      </c>
      <c r="H22" s="122">
        <f>②当月数据及门店毛利!H24</f>
        <v>681.77</v>
      </c>
      <c r="I22" s="122">
        <f>②当月数据及门店毛利!I24</f>
        <v>2764.42</v>
      </c>
      <c r="J22" s="122">
        <f>②当月数据及门店毛利!J24</f>
        <v>10520</v>
      </c>
      <c r="K22" s="122">
        <f>②当月数据及门店毛利!K24</f>
        <v>0</v>
      </c>
      <c r="L22" s="122">
        <f>②当月数据及门店毛利!L24</f>
        <v>618.70000000000005</v>
      </c>
      <c r="M22" s="122">
        <f>②当月数据及门店毛利!N24</f>
        <v>126172.11</v>
      </c>
      <c r="N22" s="76">
        <f>_xlfn.XLOOKUP(B22,'总经理核算-门店口径核算'!B:B,'总经理核算-门店口径核算'!Q:Q,0)</f>
        <v>0</v>
      </c>
      <c r="O22" s="76">
        <f>_xlfn.XLOOKUP(C22,'①考勤-B-a-26考勤汇总表'!D:D,'①考勤-B-a-26考勤汇总表'!U:U,0)</f>
        <v>0</v>
      </c>
      <c r="Q22" s="122">
        <f>_xlfn.XLOOKUP(B22,'总经理核算-门店口径核算'!B:B,'总经理核算-门店口径核算'!AA:AA,0)</f>
        <v>1523.4422</v>
      </c>
    </row>
    <row r="23" spans="2:17" x14ac:dyDescent="0.15">
      <c r="B23" s="72" t="str">
        <f>②当月数据及门店毛利!B25</f>
        <v>中和</v>
      </c>
      <c r="C23" s="76" t="str">
        <f>_xlfn.XLOOKUP(B23,'总经理核算-门店口径核算'!B:B,'总经理核算-门店口径核算'!P:P,0)</f>
        <v>秦亚平</v>
      </c>
      <c r="D23" s="122">
        <f>②当月数据及门店毛利!C25</f>
        <v>150422</v>
      </c>
      <c r="E23" s="122">
        <f>②当月数据及门店毛利!D25</f>
        <v>103361.72</v>
      </c>
      <c r="F23" s="122">
        <f>②当月数据及门店毛利!E25</f>
        <v>111</v>
      </c>
      <c r="G23" s="122">
        <f>②当月数据及门店毛利!G25</f>
        <v>2371.5</v>
      </c>
      <c r="H23" s="122">
        <f>②当月数据及门店毛利!H25</f>
        <v>1827.5</v>
      </c>
      <c r="I23" s="122">
        <f>②当月数据及门店毛利!I25</f>
        <v>3256.3</v>
      </c>
      <c r="J23" s="122">
        <f>②当月数据及门店毛利!J25</f>
        <v>4590</v>
      </c>
      <c r="K23" s="122">
        <f>②当月数据及门店毛利!K25</f>
        <v>0</v>
      </c>
      <c r="L23" s="122">
        <f>②当月数据及门店毛利!L25</f>
        <v>791.3</v>
      </c>
      <c r="M23" s="122">
        <f>②当月数据及门店毛利!N25</f>
        <v>137585.4</v>
      </c>
      <c r="N23" s="76">
        <f>_xlfn.XLOOKUP(B23,'总经理核算-门店口径核算'!B:B,'总经理核算-门店口径核算'!Q:Q,0)</f>
        <v>0</v>
      </c>
      <c r="O23" s="76">
        <f>_xlfn.XLOOKUP(C23,'①考勤-B-a-26考勤汇总表'!D:D,'①考勤-B-a-26考勤汇总表'!U:U,0)</f>
        <v>0</v>
      </c>
      <c r="Q23" s="122">
        <f>_xlfn.XLOOKUP(B23,'总经理核算-门店口径核算'!B:B,'总经理核算-门店口径核算'!AA:AA,0)</f>
        <v>1375.854</v>
      </c>
    </row>
    <row r="24" spans="2:17" x14ac:dyDescent="0.15">
      <c r="B24" s="72" t="str">
        <f>②当月数据及门店毛利!B26</f>
        <v>凤凰山</v>
      </c>
      <c r="C24" s="76" t="str">
        <f>_xlfn.XLOOKUP(B24,'总经理核算-门店口径核算'!B:B,'总经理核算-门店口径核算'!P:P,0)</f>
        <v>蒲草</v>
      </c>
      <c r="D24" s="122">
        <f>②当月数据及门店毛利!C26</f>
        <v>180307.8</v>
      </c>
      <c r="E24" s="122">
        <f>②当月数据及门店毛利!D26</f>
        <v>89092.800000000003</v>
      </c>
      <c r="F24" s="122">
        <f>②当月数据及门店毛利!E26</f>
        <v>154</v>
      </c>
      <c r="G24" s="122">
        <f>②当月数据及门店毛利!G26</f>
        <v>4438.3599999999997</v>
      </c>
      <c r="H24" s="122">
        <f>②当月数据及门店毛利!H26</f>
        <v>1593.28</v>
      </c>
      <c r="I24" s="122">
        <f>②当月数据及门店毛利!I26</f>
        <v>4101.6000000000004</v>
      </c>
      <c r="J24" s="122">
        <f>②当月数据及门店毛利!J26</f>
        <v>1655</v>
      </c>
      <c r="K24" s="122">
        <f>②当月数据及门店毛利!K26</f>
        <v>0</v>
      </c>
      <c r="L24" s="122">
        <f>②当月数据及门店毛利!L26</f>
        <v>1122.5</v>
      </c>
      <c r="M24" s="122">
        <f>②当月数据及门店毛利!N26</f>
        <v>167397.06</v>
      </c>
      <c r="N24" s="76">
        <f>_xlfn.XLOOKUP(B24,'总经理核算-门店口径核算'!B:B,'总经理核算-门店口径核算'!Q:Q,0)</f>
        <v>0</v>
      </c>
      <c r="O24" s="76">
        <f>_xlfn.XLOOKUP(C24,'①考勤-B-a-26考勤汇总表'!D:D,'①考勤-B-a-26考勤汇总表'!U:U,0)</f>
        <v>0</v>
      </c>
      <c r="Q24" s="122">
        <f>_xlfn.XLOOKUP(B24,'总经理核算-门店口径核算'!B:B,'总经理核算-门店口径核算'!AA:AA,0)</f>
        <v>1847.9412</v>
      </c>
    </row>
    <row r="25" spans="2:17" x14ac:dyDescent="0.15">
      <c r="B25" s="72" t="str">
        <f>②当月数据及门店毛利!B27</f>
        <v>南湖</v>
      </c>
      <c r="C25" s="76">
        <f>_xlfn.XLOOKUP(B25,'总经理核算-门店口径核算'!B:B,'总经理核算-门店口径核算'!P:P,0)</f>
        <v>0</v>
      </c>
      <c r="D25" s="122">
        <f>②当月数据及门店毛利!C27</f>
        <v>139022</v>
      </c>
      <c r="E25" s="122">
        <f>②当月数据及门店毛利!D27</f>
        <v>127157.72</v>
      </c>
      <c r="F25" s="122">
        <f>②当月数据及门店毛利!E27</f>
        <v>191</v>
      </c>
      <c r="G25" s="122">
        <f>②当月数据及门店毛利!G27</f>
        <v>4456.45</v>
      </c>
      <c r="H25" s="122">
        <f>②当月数据及门店毛利!H27</f>
        <v>1510.72</v>
      </c>
      <c r="I25" s="122">
        <f>②当月数据及门店毛利!I27</f>
        <v>3717.66</v>
      </c>
      <c r="J25" s="122">
        <f>②当月数据及门店毛利!J27</f>
        <v>8980</v>
      </c>
      <c r="K25" s="122">
        <f>②当月数据及门店毛利!K27</f>
        <v>0</v>
      </c>
      <c r="L25" s="122">
        <f>②当月数据及门店毛利!L27</f>
        <v>881.5</v>
      </c>
      <c r="M25" s="122">
        <f>②当月数据及门店毛利!N27</f>
        <v>119475.67</v>
      </c>
      <c r="N25" s="76">
        <f>_xlfn.XLOOKUP(B25,'总经理核算-门店口径核算'!B:B,'总经理核算-门店口径核算'!Q:Q,0)</f>
        <v>0</v>
      </c>
      <c r="O25" s="76">
        <f>_xlfn.XLOOKUP(C25,'①考勤-B-a-26考勤汇总表'!D:D,'①考勤-B-a-26考勤汇总表'!U:U,0)</f>
        <v>0</v>
      </c>
      <c r="Q25" s="122">
        <f>_xlfn.XLOOKUP(B25,'总经理核算-门店口径核算'!B:B,'总经理核算-门店口径核算'!AA:AA,0)</f>
        <v>0</v>
      </c>
    </row>
    <row r="26" spans="2:17" x14ac:dyDescent="0.15">
      <c r="B26" s="72" t="str">
        <f>②当月数据及门店毛利!B28</f>
        <v>大源</v>
      </c>
      <c r="C26" s="76" t="str">
        <f>_xlfn.XLOOKUP(B26,'总经理核算-门店口径核算'!B:B,'总经理核算-门店口径核算'!P:P,0)</f>
        <v>张艳秋</v>
      </c>
      <c r="D26" s="122">
        <f>②当月数据及门店毛利!C28</f>
        <v>120949.6</v>
      </c>
      <c r="E26" s="122">
        <f>②当月数据及门店毛利!D28</f>
        <v>82307.44</v>
      </c>
      <c r="F26" s="122">
        <f>②当月数据及门店毛利!E28</f>
        <v>149</v>
      </c>
      <c r="G26" s="122">
        <f>②当月数据及门店毛利!G28</f>
        <v>3699.8</v>
      </c>
      <c r="H26" s="122">
        <f>②当月数据及门店毛利!H28</f>
        <v>646.76</v>
      </c>
      <c r="I26" s="122">
        <f>②当月数据及门店毛利!I28</f>
        <v>6831.08</v>
      </c>
      <c r="J26" s="122">
        <f>②当月数据及门店毛利!J28</f>
        <v>7225</v>
      </c>
      <c r="K26" s="122">
        <f>②当月数据及门店毛利!K28</f>
        <v>0</v>
      </c>
      <c r="L26" s="122">
        <f>②当月数据及门店毛利!L28</f>
        <v>525.5</v>
      </c>
      <c r="M26" s="122">
        <f>②当月数据及门店毛利!N28</f>
        <v>102021.46</v>
      </c>
      <c r="N26" s="76">
        <f>_xlfn.XLOOKUP(B26,'总经理核算-门店口径核算'!B:B,'总经理核算-门店口径核算'!Q:Q,0)</f>
        <v>0</v>
      </c>
      <c r="O26" s="76">
        <f>_xlfn.XLOOKUP(C26,'①考勤-B-a-26考勤汇总表'!D:D,'①考勤-B-a-26考勤汇总表'!U:U,0)</f>
        <v>0</v>
      </c>
      <c r="Q26" s="122">
        <f>_xlfn.XLOOKUP(B26,'总经理核算-门店口径核算'!B:B,'总经理核算-门店口径核算'!AA:AA,0)</f>
        <v>1540.4292</v>
      </c>
    </row>
    <row r="27" spans="2:17" x14ac:dyDescent="0.15">
      <c r="B27" s="72" t="str">
        <f>②当月数据及门店毛利!B29</f>
        <v>红光</v>
      </c>
      <c r="C27" s="76" t="str">
        <f>_xlfn.XLOOKUP(B27,'总经理核算-门店口径核算'!B:B,'总经理核算-门店口径核算'!P:P,0)</f>
        <v>邹福贞</v>
      </c>
      <c r="D27" s="122">
        <f>②当月数据及门店毛利!C29</f>
        <v>259744.88</v>
      </c>
      <c r="E27" s="122">
        <f>②当月数据及门店毛利!D29</f>
        <v>180406.1</v>
      </c>
      <c r="F27" s="122">
        <f>②当月数据及门店毛利!E29</f>
        <v>155</v>
      </c>
      <c r="G27" s="122">
        <f>②当月数据及门店毛利!G29</f>
        <v>2250</v>
      </c>
      <c r="H27" s="122">
        <f>②当月数据及门店毛利!H29</f>
        <v>892.58</v>
      </c>
      <c r="I27" s="122">
        <f>②当月数据及门店毛利!I29</f>
        <v>2190.88</v>
      </c>
      <c r="J27" s="122">
        <f>②当月数据及门店毛利!J29</f>
        <v>39560</v>
      </c>
      <c r="K27" s="122">
        <f>②当月数据及门店毛利!K29</f>
        <v>0</v>
      </c>
      <c r="L27" s="122">
        <f>②当月数据及门店毛利!L29</f>
        <v>582.9</v>
      </c>
      <c r="M27" s="122">
        <f>②当月数据及门店毛利!N29</f>
        <v>214268.52000000002</v>
      </c>
      <c r="N27" s="76">
        <f>_xlfn.XLOOKUP(B27,'总经理核算-门店口径核算'!B:B,'总经理核算-门店口径核算'!Q:Q,0)</f>
        <v>0</v>
      </c>
      <c r="O27" s="76">
        <f>_xlfn.XLOOKUP(C27,'①考勤-B-a-26考勤汇总表'!D:D,'①考勤-B-a-26考勤汇总表'!U:U,0)</f>
        <v>0</v>
      </c>
      <c r="Q27" s="122">
        <f>_xlfn.XLOOKUP(B27,'总经理核算-门店口径核算'!B:B,'总经理核算-门店口径核算'!AA:AA,0)</f>
        <v>2535.3704000000002</v>
      </c>
    </row>
    <row r="28" spans="2:17" x14ac:dyDescent="0.15">
      <c r="B28" s="72" t="str">
        <f>②当月数据及门店毛利!B30</f>
        <v>保利</v>
      </c>
      <c r="C28" s="76" t="str">
        <f>_xlfn.XLOOKUP(B28,'总经理核算-门店口径核算'!B:B,'总经理核算-门店口径核算'!P:P,0)</f>
        <v>张艳秋</v>
      </c>
      <c r="D28" s="122">
        <f>②当月数据及门店毛利!C30</f>
        <v>150031.32999999999</v>
      </c>
      <c r="E28" s="122">
        <f>②当月数据及门店毛利!D30</f>
        <v>65878.570000000007</v>
      </c>
      <c r="F28" s="122">
        <f>②当月数据及门店毛利!E30</f>
        <v>186</v>
      </c>
      <c r="G28" s="122">
        <f>②当月数据及门店毛利!G30</f>
        <v>4509.84</v>
      </c>
      <c r="H28" s="122">
        <f>②当月数据及门店毛利!H30</f>
        <v>1001.07</v>
      </c>
      <c r="I28" s="122">
        <f>②当月数据及门店毛利!I30</f>
        <v>4515.3</v>
      </c>
      <c r="J28" s="122">
        <f>②当月数据及门店毛利!J30</f>
        <v>5940</v>
      </c>
      <c r="K28" s="122">
        <f>②当月数据及门店毛利!K30</f>
        <v>0</v>
      </c>
      <c r="L28" s="122">
        <f>②当月数据及门店毛利!L30</f>
        <v>537.20000000000005</v>
      </c>
      <c r="M28" s="122">
        <f>②当月数据及门店毛利!N30</f>
        <v>133527.91999999998</v>
      </c>
      <c r="N28" s="76">
        <f>_xlfn.XLOOKUP(B28,'总经理核算-门店口径核算'!B:B,'总经理核算-门店口径核算'!Q:Q,0)</f>
        <v>0</v>
      </c>
      <c r="O28" s="76">
        <f>_xlfn.XLOOKUP(C28,'①考勤-B-a-26考勤汇总表'!D:D,'①考勤-B-a-26考勤汇总表'!U:U,0)</f>
        <v>0</v>
      </c>
      <c r="Q28" s="122">
        <f>_xlfn.XLOOKUP(B28,'总经理核算-门店口径核算'!B:B,'总经理核算-门店口径核算'!AA:AA,0)</f>
        <v>1335.2791999999999</v>
      </c>
    </row>
    <row r="29" spans="2:17" x14ac:dyDescent="0.15">
      <c r="B29" s="72" t="str">
        <f>②当月数据及门店毛利!B31</f>
        <v>龙城国际</v>
      </c>
      <c r="C29" s="76">
        <f>_xlfn.XLOOKUP(B29,'总经理核算-门店口径核算'!B:B,'总经理核算-门店口径核算'!P:P,0)</f>
        <v>0</v>
      </c>
      <c r="D29" s="122">
        <f>②当月数据及门店毛利!C31</f>
        <v>133334.88</v>
      </c>
      <c r="E29" s="122">
        <f>②当月数据及门店毛利!D31</f>
        <v>117423.44</v>
      </c>
      <c r="F29" s="122">
        <f>②当月数据及门店毛利!E31</f>
        <v>117</v>
      </c>
      <c r="G29" s="122">
        <f>②当月数据及门店毛利!G31</f>
        <v>1000</v>
      </c>
      <c r="H29" s="122">
        <f>②当月数据及门店毛利!H31</f>
        <v>1563.73</v>
      </c>
      <c r="I29" s="122">
        <f>②当月数据及门店毛利!I31</f>
        <v>7388.46</v>
      </c>
      <c r="J29" s="122">
        <f>②当月数据及门店毛利!J31</f>
        <v>8495</v>
      </c>
      <c r="K29" s="122">
        <f>②当月数据及门店毛利!K31</f>
        <v>0</v>
      </c>
      <c r="L29" s="122">
        <f>②当月数据及门店毛利!L31</f>
        <v>482.4</v>
      </c>
      <c r="M29" s="122">
        <f>②当月数据及门店毛利!N31</f>
        <v>114405.29000000001</v>
      </c>
      <c r="N29" s="76">
        <f>_xlfn.XLOOKUP(B29,'总经理核算-门店口径核算'!B:B,'总经理核算-门店口径核算'!Q:Q,0)</f>
        <v>0</v>
      </c>
      <c r="O29" s="76">
        <f>_xlfn.XLOOKUP(C29,'①考勤-B-a-26考勤汇总表'!D:D,'①考勤-B-a-26考勤汇总表'!U:U,0)</f>
        <v>0</v>
      </c>
      <c r="Q29" s="122">
        <f>_xlfn.XLOOKUP(B29,'总经理核算-门店口径核算'!B:B,'总经理核算-门店口径核算'!AA:AA,0)</f>
        <v>0</v>
      </c>
    </row>
    <row r="30" spans="2:17" x14ac:dyDescent="0.15">
      <c r="B30" s="72" t="str">
        <f>②当月数据及门店毛利!B32</f>
        <v>川音</v>
      </c>
      <c r="C30" s="76">
        <f>_xlfn.XLOOKUP(B30,'总经理核算-门店口径核算'!B:B,'总经理核算-门店口径核算'!P:P,0)</f>
        <v>0</v>
      </c>
      <c r="D30" s="122">
        <f>②当月数据及门店毛利!C32</f>
        <v>173290.6</v>
      </c>
      <c r="E30" s="122">
        <f>②当月数据及门店毛利!D32</f>
        <v>115560.6</v>
      </c>
      <c r="F30" s="122">
        <f>②当月数据及门店毛利!E32</f>
        <v>169</v>
      </c>
      <c r="G30" s="122">
        <f>②当月数据及门店毛利!G32</f>
        <v>4000</v>
      </c>
      <c r="H30" s="122">
        <f>②当月数据及门店毛利!H32</f>
        <v>2060.02</v>
      </c>
      <c r="I30" s="122">
        <f>②当月数据及门店毛利!I32</f>
        <v>10183.44</v>
      </c>
      <c r="J30" s="122">
        <f>②当月数据及门店毛利!J32</f>
        <v>23992.5</v>
      </c>
      <c r="K30" s="122">
        <f>②当月数据及门店毛利!K32</f>
        <v>0</v>
      </c>
      <c r="L30" s="122">
        <f>②当月数据及门店毛利!L32</f>
        <v>863.9</v>
      </c>
      <c r="M30" s="122">
        <f>②当月数据及门店毛利!N32</f>
        <v>132190.74</v>
      </c>
      <c r="N30" s="76">
        <f>_xlfn.XLOOKUP(B30,'总经理核算-门店口径核算'!B:B,'总经理核算-门店口径核算'!Q:Q,0)</f>
        <v>0</v>
      </c>
      <c r="O30" s="76">
        <f>_xlfn.XLOOKUP(C30,'①考勤-B-a-26考勤汇总表'!D:D,'①考勤-B-a-26考勤汇总表'!U:U,0)</f>
        <v>0</v>
      </c>
      <c r="Q30" s="122">
        <f>_xlfn.XLOOKUP(B30,'总经理核算-门店口径核算'!B:B,'总经理核算-门店口径核算'!AA:AA,0)</f>
        <v>0</v>
      </c>
    </row>
    <row r="31" spans="2:17" x14ac:dyDescent="0.15">
      <c r="B31" s="72">
        <f>②当月数据及门店毛利!B33</f>
        <v>0</v>
      </c>
      <c r="C31" s="76">
        <f>_xlfn.XLOOKUP(B31,'总经理核算-门店口径核算'!B:B,'总经理核算-门店口径核算'!P:P,0)</f>
        <v>0</v>
      </c>
      <c r="D31" s="122">
        <f>②当月数据及门店毛利!C33</f>
        <v>0</v>
      </c>
      <c r="E31" s="122">
        <f>②当月数据及门店毛利!D33</f>
        <v>0</v>
      </c>
      <c r="F31" s="122">
        <f>②当月数据及门店毛利!E33</f>
        <v>0</v>
      </c>
      <c r="G31" s="122">
        <f>②当月数据及门店毛利!G33</f>
        <v>0</v>
      </c>
      <c r="H31" s="122">
        <f>②当月数据及门店毛利!H33</f>
        <v>0</v>
      </c>
      <c r="I31" s="122">
        <f>②当月数据及门店毛利!I33</f>
        <v>0</v>
      </c>
      <c r="J31" s="122">
        <f>②当月数据及门店毛利!J33</f>
        <v>0</v>
      </c>
      <c r="K31" s="122">
        <f>②当月数据及门店毛利!K33</f>
        <v>0</v>
      </c>
      <c r="L31" s="122">
        <f>②当月数据及门店毛利!L33</f>
        <v>0</v>
      </c>
      <c r="M31" s="122">
        <f>②当月数据及门店毛利!N33</f>
        <v>0</v>
      </c>
      <c r="N31" s="76">
        <f>_xlfn.XLOOKUP(B31,'总经理核算-门店口径核算'!B:B,'总经理核算-门店口径核算'!Q:Q,0)</f>
        <v>0</v>
      </c>
      <c r="O31" s="76">
        <f>_xlfn.XLOOKUP(C31,'①考勤-B-a-26考勤汇总表'!D:D,'①考勤-B-a-26考勤汇总表'!U:U,0)</f>
        <v>0</v>
      </c>
      <c r="Q31" s="122">
        <f>_xlfn.XLOOKUP(B31,'总经理核算-门店口径核算'!B:B,'总经理核算-门店口径核算'!AA:AA,0)</f>
        <v>0</v>
      </c>
    </row>
    <row r="32" spans="2:17" x14ac:dyDescent="0.15">
      <c r="B32" s="72">
        <f>②当月数据及门店毛利!B34</f>
        <v>0</v>
      </c>
      <c r="C32" s="76">
        <f>_xlfn.XLOOKUP(B32,'总经理核算-门店口径核算'!B:B,'总经理核算-门店口径核算'!P:P,0)</f>
        <v>0</v>
      </c>
      <c r="D32" s="122">
        <f>②当月数据及门店毛利!C34</f>
        <v>0</v>
      </c>
      <c r="E32" s="122">
        <f>②当月数据及门店毛利!D34</f>
        <v>0</v>
      </c>
      <c r="F32" s="122">
        <f>②当月数据及门店毛利!E34</f>
        <v>0</v>
      </c>
      <c r="G32" s="122">
        <f>②当月数据及门店毛利!G34</f>
        <v>0</v>
      </c>
      <c r="H32" s="122">
        <f>②当月数据及门店毛利!H34</f>
        <v>0</v>
      </c>
      <c r="I32" s="122">
        <f>②当月数据及门店毛利!I34</f>
        <v>0</v>
      </c>
      <c r="J32" s="122">
        <f>②当月数据及门店毛利!J34</f>
        <v>0</v>
      </c>
      <c r="K32" s="122">
        <f>②当月数据及门店毛利!K34</f>
        <v>0</v>
      </c>
      <c r="L32" s="122">
        <f>②当月数据及门店毛利!L34</f>
        <v>0</v>
      </c>
      <c r="M32" s="122">
        <f>②当月数据及门店毛利!N34</f>
        <v>0</v>
      </c>
      <c r="N32" s="76">
        <f>_xlfn.XLOOKUP(B32,'总经理核算-门店口径核算'!B:B,'总经理核算-门店口径核算'!Q:Q,0)</f>
        <v>0</v>
      </c>
      <c r="O32" s="76">
        <f>_xlfn.XLOOKUP(C32,'①考勤-B-a-26考勤汇总表'!D:D,'①考勤-B-a-26考勤汇总表'!U:U,0)</f>
        <v>0</v>
      </c>
      <c r="Q32" s="122">
        <f>_xlfn.XLOOKUP(B32,'总经理核算-门店口径核算'!B:B,'总经理核算-门店口径核算'!AA:AA,0)</f>
        <v>0</v>
      </c>
    </row>
    <row r="33" spans="2:17" x14ac:dyDescent="0.15">
      <c r="B33" s="72">
        <f>②当月数据及门店毛利!B35</f>
        <v>0</v>
      </c>
      <c r="C33" s="76">
        <f>_xlfn.XLOOKUP(B33,'总经理核算-门店口径核算'!B:B,'总经理核算-门店口径核算'!P:P,0)</f>
        <v>0</v>
      </c>
      <c r="D33" s="122">
        <f>②当月数据及门店毛利!C35</f>
        <v>0</v>
      </c>
      <c r="E33" s="122">
        <f>②当月数据及门店毛利!D35</f>
        <v>0</v>
      </c>
      <c r="F33" s="122">
        <f>②当月数据及门店毛利!E35</f>
        <v>0</v>
      </c>
      <c r="G33" s="122">
        <f>②当月数据及门店毛利!G35</f>
        <v>0</v>
      </c>
      <c r="H33" s="122">
        <f>②当月数据及门店毛利!H35</f>
        <v>0</v>
      </c>
      <c r="I33" s="122">
        <f>②当月数据及门店毛利!I35</f>
        <v>0</v>
      </c>
      <c r="J33" s="122">
        <f>②当月数据及门店毛利!J35</f>
        <v>0</v>
      </c>
      <c r="K33" s="122">
        <f>②当月数据及门店毛利!K35</f>
        <v>0</v>
      </c>
      <c r="L33" s="122">
        <f>②当月数据及门店毛利!L35</f>
        <v>0</v>
      </c>
      <c r="M33" s="122">
        <f>②当月数据及门店毛利!N35</f>
        <v>0</v>
      </c>
      <c r="N33" s="76">
        <f>_xlfn.XLOOKUP(B33,'总经理核算-门店口径核算'!B:B,'总经理核算-门店口径核算'!Q:Q,0)</f>
        <v>0</v>
      </c>
      <c r="O33" s="76">
        <f>_xlfn.XLOOKUP(C33,'①考勤-B-a-26考勤汇总表'!D:D,'①考勤-B-a-26考勤汇总表'!U:U,0)</f>
        <v>0</v>
      </c>
      <c r="Q33" s="122">
        <f>_xlfn.XLOOKUP(B33,'总经理核算-门店口径核算'!B:B,'总经理核算-门店口径核算'!AA:AA,0)</f>
        <v>0</v>
      </c>
    </row>
    <row r="34" spans="2:17" x14ac:dyDescent="0.15">
      <c r="B34" s="72">
        <f>②当月数据及门店毛利!B36</f>
        <v>0</v>
      </c>
      <c r="C34" s="76">
        <f>_xlfn.XLOOKUP(B34,'总经理核算-门店口径核算'!B:B,'总经理核算-门店口径核算'!P:P,0)</f>
        <v>0</v>
      </c>
      <c r="D34" s="122">
        <f>②当月数据及门店毛利!C36</f>
        <v>0</v>
      </c>
      <c r="E34" s="122">
        <f>②当月数据及门店毛利!D36</f>
        <v>0</v>
      </c>
      <c r="F34" s="122">
        <f>②当月数据及门店毛利!E36</f>
        <v>0</v>
      </c>
      <c r="G34" s="122">
        <f>②当月数据及门店毛利!G36</f>
        <v>0</v>
      </c>
      <c r="H34" s="122">
        <f>②当月数据及门店毛利!H36</f>
        <v>0</v>
      </c>
      <c r="I34" s="122">
        <f>②当月数据及门店毛利!I36</f>
        <v>0</v>
      </c>
      <c r="J34" s="122">
        <f>②当月数据及门店毛利!J36</f>
        <v>0</v>
      </c>
      <c r="K34" s="122">
        <f>②当月数据及门店毛利!K36</f>
        <v>0</v>
      </c>
      <c r="L34" s="122">
        <f>②当月数据及门店毛利!L36</f>
        <v>0</v>
      </c>
      <c r="M34" s="122">
        <f>②当月数据及门店毛利!N36</f>
        <v>0</v>
      </c>
      <c r="N34" s="76">
        <f>_xlfn.XLOOKUP(B34,'总经理核算-门店口径核算'!B:B,'总经理核算-门店口径核算'!Q:Q,0)</f>
        <v>0</v>
      </c>
      <c r="O34" s="76">
        <f>_xlfn.XLOOKUP(C34,'①考勤-B-a-26考勤汇总表'!D:D,'①考勤-B-a-26考勤汇总表'!U:U,0)</f>
        <v>0</v>
      </c>
      <c r="Q34" s="122">
        <f>_xlfn.XLOOKUP(B34,'总经理核算-门店口径核算'!B:B,'总经理核算-门店口径核算'!AA:AA,0)</f>
        <v>0</v>
      </c>
    </row>
  </sheetData>
  <phoneticPr fontId="4" type="noConversion"/>
  <conditionalFormatting sqref="A1">
    <cfRule type="duplicateValues" dxfId="10" priority="1"/>
  </conditionalFormatting>
  <conditionalFormatting sqref="B1:C1">
    <cfRule type="duplicateValues" dxfId="9" priority="2"/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W40"/>
  <sheetViews>
    <sheetView topLeftCell="D1" workbookViewId="0">
      <selection activeCell="A10" sqref="A10:XFD10"/>
    </sheetView>
  </sheetViews>
  <sheetFormatPr defaultColWidth="9" defaultRowHeight="13.5" x14ac:dyDescent="0.15"/>
  <cols>
    <col min="1" max="2" width="13.25" customWidth="1"/>
    <col min="3" max="4" width="10.875" customWidth="1"/>
    <col min="5" max="6" width="8.875" customWidth="1"/>
    <col min="7" max="10" width="10.875" customWidth="1"/>
    <col min="11" max="11" width="10.375" customWidth="1"/>
    <col min="12" max="12" width="11.5" customWidth="1"/>
    <col min="13" max="13" width="12.625" customWidth="1"/>
    <col min="14" max="14" width="8.875" customWidth="1"/>
    <col min="15" max="15" width="15.125" customWidth="1"/>
    <col min="16" max="16" width="12.875" customWidth="1"/>
    <col min="17" max="17" width="12" customWidth="1"/>
    <col min="18" max="18" width="14.25" customWidth="1"/>
    <col min="19" max="19" width="9.75" customWidth="1"/>
    <col min="20" max="20" width="8.875" customWidth="1"/>
    <col min="21" max="21" width="15.25" customWidth="1"/>
    <col min="22" max="22" width="13.25" style="65" customWidth="1"/>
    <col min="23" max="23" width="21.625" style="3" customWidth="1"/>
    <col min="24" max="24" width="9.375"/>
  </cols>
  <sheetData>
    <row r="2" spans="1:23" x14ac:dyDescent="0.15">
      <c r="A2" t="s">
        <v>119</v>
      </c>
      <c r="B2" t="s">
        <v>122</v>
      </c>
      <c r="C2" t="s">
        <v>131</v>
      </c>
      <c r="D2" s="11">
        <v>4000</v>
      </c>
      <c r="E2" s="2">
        <v>1.4999999999999999E-2</v>
      </c>
      <c r="F2" s="2">
        <v>0.02</v>
      </c>
      <c r="G2" s="2">
        <v>2.5000000000000001E-2</v>
      </c>
      <c r="I2" s="2"/>
      <c r="J2" s="2"/>
      <c r="K2" s="2"/>
      <c r="Q2" t="s">
        <v>216</v>
      </c>
      <c r="R2" t="s">
        <v>235</v>
      </c>
      <c r="U2" s="6"/>
      <c r="V2" s="65">
        <v>1.4999999999999999E-2</v>
      </c>
      <c r="W2" s="3" t="s">
        <v>218</v>
      </c>
    </row>
    <row r="3" spans="1:23" x14ac:dyDescent="0.15">
      <c r="F3" s="6"/>
      <c r="G3" s="6"/>
      <c r="H3" s="6"/>
      <c r="I3" s="6"/>
      <c r="Q3" t="s">
        <v>219</v>
      </c>
      <c r="R3" t="s">
        <v>236</v>
      </c>
      <c r="U3" s="7" t="s">
        <v>363</v>
      </c>
      <c r="V3" s="65">
        <v>0.02</v>
      </c>
      <c r="W3" s="3" t="s">
        <v>221</v>
      </c>
    </row>
    <row r="4" spans="1:23" x14ac:dyDescent="0.15">
      <c r="U4" s="6"/>
      <c r="V4" s="65">
        <v>2.5000000000000001E-2</v>
      </c>
      <c r="W4" s="3" t="s">
        <v>222</v>
      </c>
    </row>
    <row r="5" spans="1:23" x14ac:dyDescent="0.15">
      <c r="A5" t="s">
        <v>168</v>
      </c>
      <c r="L5">
        <f t="shared" ref="L5:O5" si="0">SUM(L7:L36)</f>
        <v>5203942.28</v>
      </c>
      <c r="M5">
        <f t="shared" si="0"/>
        <v>4410379.4300000006</v>
      </c>
      <c r="N5">
        <f t="shared" si="0"/>
        <v>4692</v>
      </c>
      <c r="O5">
        <f t="shared" si="0"/>
        <v>920176.09000000008</v>
      </c>
      <c r="R5" t="s">
        <v>237</v>
      </c>
      <c r="U5" t="b">
        <f>AND(S7=1,T7=0)</f>
        <v>0</v>
      </c>
    </row>
    <row r="6" spans="1:23" x14ac:dyDescent="0.15">
      <c r="A6" t="s">
        <v>7</v>
      </c>
      <c r="C6" t="s">
        <v>170</v>
      </c>
      <c r="D6" t="s">
        <v>223</v>
      </c>
      <c r="E6" t="s">
        <v>171</v>
      </c>
      <c r="F6" t="s">
        <v>172</v>
      </c>
      <c r="G6" t="s">
        <v>173</v>
      </c>
      <c r="H6" t="s">
        <v>105</v>
      </c>
      <c r="I6" t="s">
        <v>106</v>
      </c>
      <c r="J6" t="s">
        <v>224</v>
      </c>
      <c r="K6" t="s">
        <v>225</v>
      </c>
      <c r="L6" s="9" t="s">
        <v>175</v>
      </c>
      <c r="M6" s="9" t="s">
        <v>176</v>
      </c>
      <c r="N6" s="9" t="s">
        <v>177</v>
      </c>
      <c r="O6" s="9" t="s">
        <v>178</v>
      </c>
      <c r="P6" s="11" t="s">
        <v>13</v>
      </c>
      <c r="Q6" t="s">
        <v>179</v>
      </c>
      <c r="R6" t="s">
        <v>226</v>
      </c>
      <c r="S6" t="s">
        <v>109</v>
      </c>
      <c r="T6" t="s">
        <v>110</v>
      </c>
      <c r="U6" t="s">
        <v>238</v>
      </c>
      <c r="V6" s="66" t="s">
        <v>364</v>
      </c>
    </row>
    <row r="7" spans="1:23" x14ac:dyDescent="0.15">
      <c r="A7" s="4" t="s">
        <v>116</v>
      </c>
      <c r="B7" s="4" t="s">
        <v>117</v>
      </c>
      <c r="C7" s="4" t="s">
        <v>96</v>
      </c>
      <c r="D7" s="4" t="str">
        <f>IFERROR(VLOOKUP(C7,③工资核算浮动条件设置①!P:Q,2,0),"")</f>
        <v/>
      </c>
      <c r="E7" s="4" t="s">
        <v>96</v>
      </c>
      <c r="F7" s="4" t="s">
        <v>96</v>
      </c>
      <c r="G7" s="4" t="s">
        <v>96</v>
      </c>
      <c r="H7" s="4">
        <f>IFERROR(VLOOKUP(B7,'④前置信息-大固定-包含了工资和总经理'!B:E,4,0),0)</f>
        <v>0</v>
      </c>
      <c r="I7" s="4">
        <f>IFERROR(VLOOKUP(B7,'④前置信息-大固定-包含了工资和总经理'!B:F,5,0),0)</f>
        <v>0</v>
      </c>
      <c r="J7" s="4">
        <f>IFERROR(VLOOKUP(B7,'④前置信息-大固定-包含了工资和总经理'!B:D,3,0),0)</f>
        <v>0</v>
      </c>
      <c r="K7" s="4">
        <f>IFERROR(VLOOKUP(B7,'④前置信息-大固定-包含了工资和总经理'!B:G,6,0),0)</f>
        <v>0</v>
      </c>
      <c r="L7" s="4">
        <f>IFERROR(VLOOKUP(B7,②当月数据及门店毛利!B:C,2,0),0)</f>
        <v>0</v>
      </c>
      <c r="M7" s="4">
        <f>IFERROR(VLOOKUP(B7,②当月数据及门店毛利!B:D,3,0),0)</f>
        <v>0</v>
      </c>
      <c r="N7" s="8">
        <f>IFERROR(VLOOKUP(B7,②当月数据及门店毛利!B:E,4,0),0)</f>
        <v>0</v>
      </c>
      <c r="O7" s="8">
        <f>IFERROR(IF(P7=0,0,VLOOKUP(B7,②当月数据及门店毛利!B:N,13,0)),0)</f>
        <v>0</v>
      </c>
      <c r="P7" s="8">
        <f>IFERROR(VLOOKUP(B7,'④前置信息-大固定-包含了工资和总经理'!B:V,21,0),0)</f>
        <v>0</v>
      </c>
      <c r="Q7" s="4">
        <f>IF(P7=0,0,$D$2)</f>
        <v>0</v>
      </c>
      <c r="R7" s="4">
        <f>IF(P7=0,0,IF(L7&gt;VLOOKUP(B7,'④前置信息-大固定-包含了工资和总经理'!B:W,22,0),"yes",0))</f>
        <v>0</v>
      </c>
      <c r="S7" s="4">
        <f>IF(O7=0,0,IF(O7&gt;=VLOOKUP(B7,'④前置信息-大固定-包含了工资和总经理'!B:W,22,0),1,0))</f>
        <v>0</v>
      </c>
      <c r="T7" s="4">
        <f>IF(O7=0,0,IF(O7&gt;=VLOOKUP(B7,'④前置信息-大固定-包含了工资和总经理'!B:X,23,0),1,0))</f>
        <v>0</v>
      </c>
      <c r="U7" s="3">
        <f>IF(AND(R7=0,S7=0),N7*$V$2,IF(Q7="yes",IF(AND(R7=1,S7=0),VLOOKUP(A7,'④前置信息-大固定-包含了工资和总经理'!A:W,22,0)*$V$2+(N7-VLOOKUP(A7,'④前置信息-大固定-包含了工资和总经理'!A:W,22,0))*$V$3,IF(Q7="yes",VLOOKUP(A7,'④前置信息-大固定-包含了工资和总经理'!A:W,22,0)*$V$2+((VLOOKUP(A7,'④前置信息-大固定-包含了工资和总经理'!A:W,23,0)-VLOOKUP(A7,'④前置信息-大固定-包含了工资和总经理'!A:W,22,0)))*$V$3+(N7-VLOOKUP(A7,'④前置信息-大固定-包含了工资和总经理'!A:W,23,0))*$V$4,2)),0))</f>
        <v>0</v>
      </c>
      <c r="V7" s="56">
        <f>IF(R7="yes",IF(AND(S7=0,T7=0),O7*$V$2,IF(R7="yes",IF(AND(S7=1,T7=0),VLOOKUP(B7,'④前置信息-大固定-包含了工资和总经理'!B:X,22,0)*$V$2+(O7-VLOOKUP(B7,'④前置信息-大固定-包含了工资和总经理'!B:X,22,0))*$V$3,IF(R7="yes",VLOOKUP(B7,'④前置信息-大固定-包含了工资和总经理'!B:X,22,0)*$V$2+((VLOOKUP(B7,'④前置信息-大固定-包含了工资和总经理'!B:X,23,0)-VLOOKUP(B7,'④前置信息-大固定-包含了工资和总经理'!B:X,22,0)))*$V$3+(O7-VLOOKUP(B7,'④前置信息-大固定-包含了工资和总经理'!B:X,23,0))*$V$4,2)),0)),0)</f>
        <v>0</v>
      </c>
    </row>
    <row r="8" spans="1:23" x14ac:dyDescent="0.15">
      <c r="A8" s="4" t="s">
        <v>118</v>
      </c>
      <c r="B8" s="4" t="s">
        <v>40</v>
      </c>
      <c r="C8" s="4" t="s">
        <v>22</v>
      </c>
      <c r="D8" s="4" t="str">
        <f>IFERROR(VLOOKUP(C8,③工资核算浮动条件设置①!P:Q,2,0),"")</f>
        <v>方案一</v>
      </c>
      <c r="E8" s="4" t="s">
        <v>188</v>
      </c>
      <c r="F8" s="4" t="s">
        <v>90</v>
      </c>
      <c r="G8" s="4" t="s">
        <v>189</v>
      </c>
      <c r="H8" s="4">
        <f>IFERROR(VLOOKUP(B8,'④前置信息-大固定-包含了工资和总经理'!B:E,4,0),0)</f>
        <v>0</v>
      </c>
      <c r="I8" s="4">
        <f>IFERROR(VLOOKUP(B8,'④前置信息-大固定-包含了工资和总经理'!B:F,5,0),0)</f>
        <v>0</v>
      </c>
      <c r="J8" s="4" t="str">
        <f>IFERROR(VLOOKUP(B8,'④前置信息-大固定-包含了工资和总经理'!B:D,3,0),0)</f>
        <v>A类</v>
      </c>
      <c r="K8" s="4">
        <f>IFERROR(VLOOKUP(B8,'④前置信息-大固定-包含了工资和总经理'!B:G,6,0),0)</f>
        <v>350000</v>
      </c>
      <c r="L8" s="4">
        <f>IFERROR(VLOOKUP(B8,②当月数据及门店毛利!B:C,2,0),0)</f>
        <v>522756</v>
      </c>
      <c r="M8" s="4">
        <f>IFERROR(VLOOKUP(B8,②当月数据及门店毛利!B:D,3,0),0)</f>
        <v>368762.45</v>
      </c>
      <c r="N8" s="8">
        <f>IFERROR(VLOOKUP(B8,②当月数据及门店毛利!B:E,4,0),0)</f>
        <v>210</v>
      </c>
      <c r="O8" s="8">
        <f>IFERROR(IF(P8=0,0,VLOOKUP(B8,②当月数据及门店毛利!B:N,13,0)),0)</f>
        <v>0</v>
      </c>
      <c r="P8" s="8">
        <f>IFERROR(VLOOKUP(B8,'④前置信息-大固定-包含了工资和总经理'!B:V,21,0),0)</f>
        <v>0</v>
      </c>
      <c r="Q8" s="4">
        <f t="shared" ref="Q8:Q39" si="1">IF(P8=0,0,$D$2)</f>
        <v>0</v>
      </c>
      <c r="R8" s="4">
        <f>IF(P8=0,0,IF(L8&gt;VLOOKUP(B8,'④前置信息-大固定-包含了工资和总经理'!B:W,22,0),"yes",0))</f>
        <v>0</v>
      </c>
      <c r="S8" s="4">
        <f>IF(O8=0,0,IF(O8&gt;=VLOOKUP(B8,'④前置信息-大固定-包含了工资和总经理'!B:W,22,0),1,0))</f>
        <v>0</v>
      </c>
      <c r="T8" s="4">
        <f>IF(O8=0,0,IF(O8&gt;=VLOOKUP(B8,'④前置信息-大固定-包含了工资和总经理'!B:X,23,0),1,0))</f>
        <v>0</v>
      </c>
      <c r="U8" s="13">
        <f>IF(R8="yes",IF(AND(S8=1,T8=0),VLOOKUP(B8,'④前置信息-大固定-包含了工资和总经理'!B:X,22,0)*$V$2+(O8-VLOOKUP(B8,'④前置信息-大固定-包含了工资和总经理'!B:X,22,0))*$V$3,IF(R8="yes",VLOOKUP(B8,'④前置信息-大固定-包含了工资和总经理'!B:X,22,0)*$V$2+((VLOOKUP(B8,'④前置信息-大固定-包含了工资和总经理'!B:X,23,0)-VLOOKUP(B8,'④前置信息-大固定-包含了工资和总经理'!B:X,22,0)))*$V$3+(O8-VLOOKUP(B8,'④前置信息-大固定-包含了工资和总经理'!B:X,23,0))*$V$4,2)),0)</f>
        <v>0</v>
      </c>
      <c r="V8" s="56">
        <f>IF(R8="yes",IF(AND(S8=0,T8=0),O8*$V$2,IF(R8="yes",IF(AND(S8=1,T8=0),VLOOKUP(B8,'④前置信息-大固定-包含了工资和总经理'!B:X,22,0)*$V$2+(O8-VLOOKUP(B8,'④前置信息-大固定-包含了工资和总经理'!B:X,22,0))*$V$3,IF(R8="yes",VLOOKUP(B8,'④前置信息-大固定-包含了工资和总经理'!B:X,22,0)*$V$2+((VLOOKUP(B8,'④前置信息-大固定-包含了工资和总经理'!B:X,23,0)-VLOOKUP(B8,'④前置信息-大固定-包含了工资和总经理'!B:X,22,0)))*$V$3+(O8-VLOOKUP(B8,'④前置信息-大固定-包含了工资和总经理'!B:X,23,0))*$V$4,2)),0)),0)</f>
        <v>0</v>
      </c>
    </row>
    <row r="9" spans="1:23" x14ac:dyDescent="0.15">
      <c r="A9" s="4" t="s">
        <v>120</v>
      </c>
      <c r="B9" s="4" t="s">
        <v>42</v>
      </c>
      <c r="C9" s="4" t="s">
        <v>22</v>
      </c>
      <c r="D9" s="4" t="str">
        <f>IFERROR(VLOOKUP(C9,③工资核算浮动条件设置①!P:Q,2,0),"")</f>
        <v>方案一</v>
      </c>
      <c r="E9" s="4" t="s">
        <v>190</v>
      </c>
      <c r="F9" s="4" t="s">
        <v>81</v>
      </c>
      <c r="G9" s="4" t="s">
        <v>191</v>
      </c>
      <c r="H9" s="4">
        <f>IFERROR(VLOOKUP(B9,'④前置信息-大固定-包含了工资和总经理'!B:E,4,0),0)</f>
        <v>0</v>
      </c>
      <c r="I9" s="4">
        <f>IFERROR(VLOOKUP(B9,'④前置信息-大固定-包含了工资和总经理'!B:F,5,0),0)</f>
        <v>0</v>
      </c>
      <c r="J9" s="4" t="str">
        <f>IFERROR(VLOOKUP(B9,'④前置信息-大固定-包含了工资和总经理'!B:D,3,0),0)</f>
        <v>A类</v>
      </c>
      <c r="K9" s="4">
        <f>IFERROR(VLOOKUP(B9,'④前置信息-大固定-包含了工资和总经理'!B:G,6,0),0)</f>
        <v>300000</v>
      </c>
      <c r="L9" s="4">
        <f>IFERROR(VLOOKUP(B9,②当月数据及门店毛利!B:C,2,0),0)</f>
        <v>220223</v>
      </c>
      <c r="M9" s="4">
        <f>IFERROR(VLOOKUP(B9,②当月数据及门店毛利!B:D,3,0),0)</f>
        <v>210203.02</v>
      </c>
      <c r="N9" s="8">
        <f>IFERROR(VLOOKUP(B9,②当月数据及门店毛利!B:E,4,0),0)</f>
        <v>205</v>
      </c>
      <c r="O9" s="8">
        <f>IFERROR(IF(P9=0,0,VLOOKUP(B9,②当月数据及门店毛利!B:N,13,0)),0)</f>
        <v>0</v>
      </c>
      <c r="P9" s="8">
        <f>IFERROR(VLOOKUP(B9,'④前置信息-大固定-包含了工资和总经理'!B:V,21,0),0)</f>
        <v>0</v>
      </c>
      <c r="Q9" s="4">
        <f t="shared" si="1"/>
        <v>0</v>
      </c>
      <c r="R9" s="4">
        <f>IF(P9=0,0,IF(L9&gt;VLOOKUP(B9,'④前置信息-大固定-包含了工资和总经理'!B:W,22,0),"yes",0))</f>
        <v>0</v>
      </c>
      <c r="S9" s="4">
        <f>IF(O9=0,0,IF(O9&gt;=VLOOKUP(B9,'④前置信息-大固定-包含了工资和总经理'!B:W,22,0),1,0))</f>
        <v>0</v>
      </c>
      <c r="T9" s="4">
        <f>IF(O9=0,0,IF(O9&gt;=VLOOKUP(B9,'④前置信息-大固定-包含了工资和总经理'!B:X,23,0),1,0))</f>
        <v>0</v>
      </c>
      <c r="U9" s="13">
        <f>IF(R9="yes",IF(AND(S9=1,T9=0),VLOOKUP(B9,'④前置信息-大固定-包含了工资和总经理'!B:X,22,0)*$V$2+(O9-VLOOKUP(B9,'④前置信息-大固定-包含了工资和总经理'!B:X,22,0))*$V$3,IF(R9="yes",VLOOKUP(B9,'④前置信息-大固定-包含了工资和总经理'!B:X,22,0)*$V$2+((VLOOKUP(B9,'④前置信息-大固定-包含了工资和总经理'!B:X,23,0)-VLOOKUP(B9,'④前置信息-大固定-包含了工资和总经理'!B:X,22,0)))*$V$3+(O9-VLOOKUP(B9,'④前置信息-大固定-包含了工资和总经理'!B:X,23,0))*$V$4,2)),0)</f>
        <v>0</v>
      </c>
      <c r="V9" s="56">
        <f>IF(R9="yes",IF(AND(S9=0,T9=0),O9*$V$2,IF(R9="yes",IF(AND(S9=1,T9=0),VLOOKUP(B9,'④前置信息-大固定-包含了工资和总经理'!B:X,22,0)*$V$2+(O9-VLOOKUP(B9,'④前置信息-大固定-包含了工资和总经理'!B:X,22,0))*$V$3,IF(R9="yes",VLOOKUP(B9,'④前置信息-大固定-包含了工资和总经理'!B:X,22,0)*$V$2+((VLOOKUP(B9,'④前置信息-大固定-包含了工资和总经理'!B:X,23,0)-VLOOKUP(B9,'④前置信息-大固定-包含了工资和总经理'!B:X,22,0)))*$V$3+(O9-VLOOKUP(B9,'④前置信息-大固定-包含了工资和总经理'!B:X,23,0))*$V$4,2)),0)),0)</f>
        <v>0</v>
      </c>
    </row>
    <row r="10" spans="1:23" x14ac:dyDescent="0.15">
      <c r="A10" s="4" t="s">
        <v>121</v>
      </c>
      <c r="B10" s="4" t="s">
        <v>35</v>
      </c>
      <c r="C10" s="4" t="s">
        <v>21</v>
      </c>
      <c r="D10" s="4" t="str">
        <f>IFERROR(VLOOKUP(C10,③工资核算浮动条件设置①!P:Q,2,0),"")</f>
        <v>方案一</v>
      </c>
      <c r="E10" s="4" t="s">
        <v>190</v>
      </c>
      <c r="F10" s="4" t="s">
        <v>90</v>
      </c>
      <c r="G10" s="4" t="s">
        <v>191</v>
      </c>
      <c r="H10" s="4">
        <f>IFERROR(VLOOKUP(B10,'④前置信息-大固定-包含了工资和总经理'!B:E,4,0),0)</f>
        <v>0</v>
      </c>
      <c r="I10" s="4">
        <f>IFERROR(VLOOKUP(B10,'④前置信息-大固定-包含了工资和总经理'!B:F,5,0),0)</f>
        <v>0</v>
      </c>
      <c r="J10" s="4" t="str">
        <f>IFERROR(VLOOKUP(B10,'④前置信息-大固定-包含了工资和总经理'!B:D,3,0),0)</f>
        <v>B类</v>
      </c>
      <c r="K10" s="4">
        <f>IFERROR(VLOOKUP(B10,'④前置信息-大固定-包含了工资和总经理'!B:G,6,0),0)</f>
        <v>150000</v>
      </c>
      <c r="L10" s="4">
        <f>IFERROR(VLOOKUP(B10,②当月数据及门店毛利!B:C,2,0),0)</f>
        <v>150694</v>
      </c>
      <c r="M10" s="4">
        <f>IFERROR(VLOOKUP(B10,②当月数据及门店毛利!B:D,3,0),0)</f>
        <v>142453.84</v>
      </c>
      <c r="N10" s="8">
        <f>IFERROR(VLOOKUP(B10,②当月数据及门店毛利!B:E,4,0),0)</f>
        <v>160</v>
      </c>
      <c r="O10" s="8">
        <f>IFERROR(IF(P10=0,0,VLOOKUP(B10,②当月数据及门店毛利!B:N,13,0)),0)</f>
        <v>0</v>
      </c>
      <c r="P10" s="8">
        <f>IFERROR(VLOOKUP(B10,'④前置信息-大固定-包含了工资和总经理'!B:V,21,0),0)</f>
        <v>0</v>
      </c>
      <c r="Q10" s="4">
        <f t="shared" si="1"/>
        <v>0</v>
      </c>
      <c r="R10" s="4">
        <f>IF(P10=0,0,IF(L10&gt;VLOOKUP(B10,'④前置信息-大固定-包含了工资和总经理'!B:W,22,0),"yes",0))</f>
        <v>0</v>
      </c>
      <c r="S10" s="4">
        <f>IF(O10=0,0,IF(O10&gt;=VLOOKUP(B10,'④前置信息-大固定-包含了工资和总经理'!B:W,22,0),1,0))</f>
        <v>0</v>
      </c>
      <c r="T10" s="4">
        <f>IF(O10=0,0,IF(O10&gt;=VLOOKUP(B10,'④前置信息-大固定-包含了工资和总经理'!B:X,23,0),1,0))</f>
        <v>0</v>
      </c>
      <c r="U10" s="13">
        <f>IF(R10="yes",IF(AND(S10=1,T10=0),VLOOKUP(B10,'④前置信息-大固定-包含了工资和总经理'!B:X,22,0)*$V$2+(O10-VLOOKUP(B10,'④前置信息-大固定-包含了工资和总经理'!B:X,22,0))*$V$3,IF(R10="yes",VLOOKUP(B10,'④前置信息-大固定-包含了工资和总经理'!B:X,22,0)*$V$2+((VLOOKUP(B10,'④前置信息-大固定-包含了工资和总经理'!B:X,23,0)-VLOOKUP(B10,'④前置信息-大固定-包含了工资和总经理'!B:X,22,0)))*$V$3+(O10-VLOOKUP(B10,'④前置信息-大固定-包含了工资和总经理'!B:X,23,0))*$V$4,2)),0)</f>
        <v>0</v>
      </c>
      <c r="V10" s="56">
        <f>IF(R10="yes",IF(AND(S10=0,T10=0),O10*$V$2,IF(R10="yes",IF(AND(S10=1,T10=0),VLOOKUP(B10,'④前置信息-大固定-包含了工资和总经理'!B:X,22,0)*$V$2+(O10-VLOOKUP(B10,'④前置信息-大固定-包含了工资和总经理'!B:X,22,0))*$V$3,IF(R10="yes",VLOOKUP(B10,'④前置信息-大固定-包含了工资和总经理'!B:X,22,0)*$V$2+((VLOOKUP(B10,'④前置信息-大固定-包含了工资和总经理'!B:X,23,0)-VLOOKUP(B10,'④前置信息-大固定-包含了工资和总经理'!B:X,22,0)))*$V$3+(O10-VLOOKUP(B10,'④前置信息-大固定-包含了工资和总经理'!B:X,23,0))*$V$4,2)),0)),0)</f>
        <v>0</v>
      </c>
    </row>
    <row r="11" spans="1:23" x14ac:dyDescent="0.15">
      <c r="A11" s="4" t="s">
        <v>123</v>
      </c>
      <c r="B11" s="4" t="s">
        <v>23</v>
      </c>
      <c r="C11" s="4" t="s">
        <v>4</v>
      </c>
      <c r="D11" s="4" t="str">
        <f>IFERROR(VLOOKUP(C11,③工资核算浮动条件设置①!P:Q,2,0),"")</f>
        <v>方案一</v>
      </c>
      <c r="E11" s="4" t="s">
        <v>190</v>
      </c>
      <c r="F11" s="4" t="s">
        <v>81</v>
      </c>
      <c r="G11" s="4" t="s">
        <v>189</v>
      </c>
      <c r="H11" s="4">
        <f>IFERROR(VLOOKUP(B11,'④前置信息-大固定-包含了工资和总经理'!B:E,4,0),0)</f>
        <v>0</v>
      </c>
      <c r="I11" s="4">
        <f>IFERROR(VLOOKUP(B11,'④前置信息-大固定-包含了工资和总经理'!B:F,5,0),0)</f>
        <v>0</v>
      </c>
      <c r="J11" s="4" t="str">
        <f>IFERROR(VLOOKUP(B11,'④前置信息-大固定-包含了工资和总经理'!B:D,3,0),0)</f>
        <v>A类</v>
      </c>
      <c r="K11" s="4">
        <f>IFERROR(VLOOKUP(B11,'④前置信息-大固定-包含了工资和总经理'!B:G,6,0),0)</f>
        <v>250000</v>
      </c>
      <c r="L11" s="4">
        <f>IFERROR(VLOOKUP(B11,②当月数据及门店毛利!B:C,2,0),0)</f>
        <v>201952.3</v>
      </c>
      <c r="M11" s="4">
        <f>IFERROR(VLOOKUP(B11,②当月数据及门店毛利!B:D,3,0),0)</f>
        <v>179433.01</v>
      </c>
      <c r="N11" s="8">
        <f>IFERROR(VLOOKUP(B11,②当月数据及门店毛利!B:E,4,0),0)</f>
        <v>195</v>
      </c>
      <c r="O11" s="8">
        <f>IFERROR(IF(P11=0,0,VLOOKUP(B11,②当月数据及门店毛利!B:N,13,0)),0)</f>
        <v>0</v>
      </c>
      <c r="P11" s="8">
        <f>IFERROR(VLOOKUP(B11,'④前置信息-大固定-包含了工资和总经理'!B:V,21,0),0)</f>
        <v>0</v>
      </c>
      <c r="Q11" s="4">
        <f t="shared" si="1"/>
        <v>0</v>
      </c>
      <c r="R11" s="4">
        <f>IF(P11=0,0,IF(L11&gt;VLOOKUP(B11,'④前置信息-大固定-包含了工资和总经理'!B:W,22,0),"yes",0))</f>
        <v>0</v>
      </c>
      <c r="S11" s="4">
        <f>IF(O11=0,0,IF(O11&gt;=VLOOKUP(B11,'④前置信息-大固定-包含了工资和总经理'!B:W,22,0),1,0))</f>
        <v>0</v>
      </c>
      <c r="T11" s="4">
        <f>IF(O11=0,0,IF(O11&gt;=VLOOKUP(B11,'④前置信息-大固定-包含了工资和总经理'!B:X,23,0),1,0))</f>
        <v>0</v>
      </c>
      <c r="U11" s="13">
        <f>IF(R11="yes",IF(AND(S11=1,T11=0),VLOOKUP(B11,'④前置信息-大固定-包含了工资和总经理'!B:X,22,0)*$V$2+(O11-VLOOKUP(B11,'④前置信息-大固定-包含了工资和总经理'!B:X,22,0))*$V$3,IF(R11="yes",VLOOKUP(B11,'④前置信息-大固定-包含了工资和总经理'!B:X,22,0)*$V$2+((VLOOKUP(B11,'④前置信息-大固定-包含了工资和总经理'!B:X,23,0)-VLOOKUP(B11,'④前置信息-大固定-包含了工资和总经理'!B:X,22,0)))*$V$3+(O11-VLOOKUP(B11,'④前置信息-大固定-包含了工资和总经理'!B:X,23,0))*$V$4,2)),0)</f>
        <v>0</v>
      </c>
      <c r="V11" s="56">
        <f>IF(R11="yes",IF(AND(S11=0,T11=0),O11*$V$2,IF(R11="yes",IF(AND(S11=1,T11=0),VLOOKUP(B11,'④前置信息-大固定-包含了工资和总经理'!B:X,22,0)*$V$2+(O11-VLOOKUP(B11,'④前置信息-大固定-包含了工资和总经理'!B:X,22,0))*$V$3,IF(R11="yes",VLOOKUP(B11,'④前置信息-大固定-包含了工资和总经理'!B:X,22,0)*$V$2+((VLOOKUP(B11,'④前置信息-大固定-包含了工资和总经理'!B:X,23,0)-VLOOKUP(B11,'④前置信息-大固定-包含了工资和总经理'!B:X,22,0)))*$V$3+(O11-VLOOKUP(B11,'④前置信息-大固定-包含了工资和总经理'!B:X,23,0))*$V$4,2)),0)),0)</f>
        <v>0</v>
      </c>
    </row>
    <row r="12" spans="1:23" x14ac:dyDescent="0.15">
      <c r="A12" s="4" t="s">
        <v>124</v>
      </c>
      <c r="B12" s="4" t="s">
        <v>19</v>
      </c>
      <c r="C12" s="4" t="s">
        <v>4</v>
      </c>
      <c r="D12" s="4" t="str">
        <f>IFERROR(VLOOKUP(C12,③工资核算浮动条件设置①!P:Q,2,0),"")</f>
        <v>方案一</v>
      </c>
      <c r="E12" s="4" t="s">
        <v>188</v>
      </c>
      <c r="F12" s="4" t="s">
        <v>81</v>
      </c>
      <c r="G12" s="4" t="s">
        <v>191</v>
      </c>
      <c r="H12" s="4">
        <f>IFERROR(VLOOKUP(B12,'④前置信息-大固定-包含了工资和总经理'!B:E,4,0),0)</f>
        <v>0</v>
      </c>
      <c r="I12" s="4">
        <f>IFERROR(VLOOKUP(B12,'④前置信息-大固定-包含了工资和总经理'!B:F,5,0),0)</f>
        <v>0</v>
      </c>
      <c r="J12" s="4" t="str">
        <f>IFERROR(VLOOKUP(B12,'④前置信息-大固定-包含了工资和总经理'!B:D,3,0),0)</f>
        <v>A类</v>
      </c>
      <c r="K12" s="4">
        <f>IFERROR(VLOOKUP(B12,'④前置信息-大固定-包含了工资和总经理'!B:G,6,0),0)</f>
        <v>320000</v>
      </c>
      <c r="L12" s="4">
        <f>IFERROR(VLOOKUP(B12,②当月数据及门店毛利!B:C,2,0),0)</f>
        <v>407490.19</v>
      </c>
      <c r="M12" s="4">
        <f>IFERROR(VLOOKUP(B12,②当月数据及门店毛利!B:D,3,0),0)</f>
        <v>518617.05</v>
      </c>
      <c r="N12" s="8">
        <f>IFERROR(VLOOKUP(B12,②当月数据及门店毛利!B:E,4,0),0)</f>
        <v>206</v>
      </c>
      <c r="O12" s="8">
        <f>IFERROR(IF(P12=0,0,VLOOKUP(B12,②当月数据及门店毛利!B:N,13,0)),0)</f>
        <v>0</v>
      </c>
      <c r="P12" s="8">
        <f>IFERROR(VLOOKUP(B12,'④前置信息-大固定-包含了工资和总经理'!B:V,21,0),0)</f>
        <v>0</v>
      </c>
      <c r="Q12" s="4">
        <f t="shared" si="1"/>
        <v>0</v>
      </c>
      <c r="R12" s="4">
        <f>IF(P12=0,0,IF(L12&gt;VLOOKUP(B12,'④前置信息-大固定-包含了工资和总经理'!B:W,22,0),"yes",0))</f>
        <v>0</v>
      </c>
      <c r="S12" s="4">
        <f>IF(O12=0,0,IF(O12&gt;=VLOOKUP(B12,'④前置信息-大固定-包含了工资和总经理'!B:W,22,0),1,0))</f>
        <v>0</v>
      </c>
      <c r="T12" s="4">
        <f>IF(O12=0,0,IF(O12&gt;=VLOOKUP(B12,'④前置信息-大固定-包含了工资和总经理'!B:X,23,0),1,0))</f>
        <v>0</v>
      </c>
      <c r="U12" s="13">
        <f>IF(R12="yes",IF(AND(S12=1,T12=0),VLOOKUP(B12,'④前置信息-大固定-包含了工资和总经理'!B:X,22,0)*$V$2+(O12-VLOOKUP(B12,'④前置信息-大固定-包含了工资和总经理'!B:X,22,0))*$V$3,IF(R12="yes",VLOOKUP(B12,'④前置信息-大固定-包含了工资和总经理'!B:X,22,0)*$V$2+((VLOOKUP(B12,'④前置信息-大固定-包含了工资和总经理'!B:X,23,0)-VLOOKUP(B12,'④前置信息-大固定-包含了工资和总经理'!B:X,22,0)))*$V$3+(O12-VLOOKUP(B12,'④前置信息-大固定-包含了工资和总经理'!B:X,23,0))*$V$4,2)),0)</f>
        <v>0</v>
      </c>
      <c r="V12" s="56">
        <f>IF(R12="yes",IF(AND(S12=0,T12=0),O12*$V$2,IF(R12="yes",IF(AND(S12=1,T12=0),VLOOKUP(B12,'④前置信息-大固定-包含了工资和总经理'!B:X,22,0)*$V$2+(O12-VLOOKUP(B12,'④前置信息-大固定-包含了工资和总经理'!B:X,22,0))*$V$3,IF(R12="yes",VLOOKUP(B12,'④前置信息-大固定-包含了工资和总经理'!B:X,22,0)*$V$2+((VLOOKUP(B12,'④前置信息-大固定-包含了工资和总经理'!B:X,23,0)-VLOOKUP(B12,'④前置信息-大固定-包含了工资和总经理'!B:X,22,0)))*$V$3+(O12-VLOOKUP(B12,'④前置信息-大固定-包含了工资和总经理'!B:X,23,0))*$V$4,2)),0)),0)</f>
        <v>0</v>
      </c>
    </row>
    <row r="13" spans="1:23" x14ac:dyDescent="0.15">
      <c r="A13" s="4" t="s">
        <v>125</v>
      </c>
      <c r="B13" s="4" t="s">
        <v>30</v>
      </c>
      <c r="C13" s="4" t="s">
        <v>17</v>
      </c>
      <c r="D13" s="4" t="str">
        <f>IFERROR(VLOOKUP(C13,③工资核算浮动条件设置①!P:Q,2,0),"")</f>
        <v>方案三</v>
      </c>
      <c r="E13" s="4" t="s">
        <v>190</v>
      </c>
      <c r="F13" s="4" t="s">
        <v>90</v>
      </c>
      <c r="G13" s="4" t="s">
        <v>191</v>
      </c>
      <c r="H13" s="4">
        <f>IFERROR(VLOOKUP(B13,'④前置信息-大固定-包含了工资和总经理'!B:E,4,0),0)</f>
        <v>0</v>
      </c>
      <c r="I13" s="4">
        <f>IFERROR(VLOOKUP(B13,'④前置信息-大固定-包含了工资和总经理'!B:F,5,0),0)</f>
        <v>0</v>
      </c>
      <c r="J13" s="4" t="str">
        <f>IFERROR(VLOOKUP(B13,'④前置信息-大固定-包含了工资和总经理'!B:D,3,0),0)</f>
        <v>B类</v>
      </c>
      <c r="K13" s="4">
        <f>IFERROR(VLOOKUP(B13,'④前置信息-大固定-包含了工资和总经理'!B:G,6,0),0)</f>
        <v>150000</v>
      </c>
      <c r="L13" s="4">
        <f>IFERROR(VLOOKUP(B13,②当月数据及门店毛利!B:C,2,0),0)</f>
        <v>160812</v>
      </c>
      <c r="M13" s="4">
        <f>IFERROR(VLOOKUP(B13,②当月数据及门店毛利!B:D,3,0),0)</f>
        <v>146778.57999999999</v>
      </c>
      <c r="N13" s="8">
        <f>IFERROR(VLOOKUP(B13,②当月数据及门店毛利!B:E,4,0),0)</f>
        <v>192</v>
      </c>
      <c r="O13" s="8">
        <f>IFERROR(IF(P13=0,0,VLOOKUP(B13,②当月数据及门店毛利!B:N,13,0)),0)</f>
        <v>0</v>
      </c>
      <c r="P13" s="8">
        <f>IFERROR(VLOOKUP(B13,'④前置信息-大固定-包含了工资和总经理'!B:V,21,0),0)</f>
        <v>0</v>
      </c>
      <c r="Q13" s="4">
        <f t="shared" si="1"/>
        <v>0</v>
      </c>
      <c r="R13" s="4">
        <f>IF(P13=0,0,IF(L13&gt;VLOOKUP(B13,'④前置信息-大固定-包含了工资和总经理'!B:W,22,0),"yes",0))</f>
        <v>0</v>
      </c>
      <c r="S13" s="4">
        <f>IF(O13=0,0,IF(O13&gt;=VLOOKUP(B13,'④前置信息-大固定-包含了工资和总经理'!B:W,22,0),1,0))</f>
        <v>0</v>
      </c>
      <c r="T13" s="4">
        <f>IF(O13=0,0,IF(O13&gt;=VLOOKUP(B13,'④前置信息-大固定-包含了工资和总经理'!B:X,23,0),1,0))</f>
        <v>0</v>
      </c>
      <c r="U13" s="13">
        <f>IF(R13="yes",IF(AND(S13=1,T13=0),VLOOKUP(B13,'④前置信息-大固定-包含了工资和总经理'!B:X,22,0)*$V$2+(O13-VLOOKUP(B13,'④前置信息-大固定-包含了工资和总经理'!B:X,22,0))*$V$3,IF(R13="yes",VLOOKUP(B13,'④前置信息-大固定-包含了工资和总经理'!B:X,22,0)*$V$2+((VLOOKUP(B13,'④前置信息-大固定-包含了工资和总经理'!B:X,23,0)-VLOOKUP(B13,'④前置信息-大固定-包含了工资和总经理'!B:X,22,0)))*$V$3+(O13-VLOOKUP(B13,'④前置信息-大固定-包含了工资和总经理'!B:X,23,0))*$V$4,2)),0)</f>
        <v>0</v>
      </c>
      <c r="V13" s="56">
        <f>IF(R13="yes",IF(AND(S13=0,T13=0),O13*$V$2,IF(R13="yes",IF(AND(S13=1,T13=0),VLOOKUP(B13,'④前置信息-大固定-包含了工资和总经理'!B:X,22,0)*$V$2+(O13-VLOOKUP(B13,'④前置信息-大固定-包含了工资和总经理'!B:X,22,0))*$V$3,IF(R13="yes",VLOOKUP(B13,'④前置信息-大固定-包含了工资和总经理'!B:X,22,0)*$V$2+((VLOOKUP(B13,'④前置信息-大固定-包含了工资和总经理'!B:X,23,0)-VLOOKUP(B13,'④前置信息-大固定-包含了工资和总经理'!B:X,22,0)))*$V$3+(O13-VLOOKUP(B13,'④前置信息-大固定-包含了工资和总经理'!B:X,23,0))*$V$4,2)),0)),0)</f>
        <v>0</v>
      </c>
    </row>
    <row r="14" spans="1:23" x14ac:dyDescent="0.15">
      <c r="A14" s="4" t="s">
        <v>126</v>
      </c>
      <c r="B14" s="4">
        <v>468</v>
      </c>
      <c r="C14" s="4" t="s">
        <v>4</v>
      </c>
      <c r="D14" s="4" t="str">
        <f>IFERROR(VLOOKUP(C14,③工资核算浮动条件设置①!P:Q,2,0),"")</f>
        <v>方案一</v>
      </c>
      <c r="E14" s="4" t="s">
        <v>190</v>
      </c>
      <c r="F14" s="4" t="s">
        <v>81</v>
      </c>
      <c r="G14" s="4" t="s">
        <v>191</v>
      </c>
      <c r="H14" s="4">
        <f>IFERROR(VLOOKUP(B14,'④前置信息-大固定-包含了工资和总经理'!B:E,4,0),0)</f>
        <v>0</v>
      </c>
      <c r="I14" s="4">
        <f>IFERROR(VLOOKUP(B14,'④前置信息-大固定-包含了工资和总经理'!B:F,5,0),0)</f>
        <v>0</v>
      </c>
      <c r="J14" s="4" t="str">
        <f>IFERROR(VLOOKUP(B14,'④前置信息-大固定-包含了工资和总经理'!B:D,3,0),0)</f>
        <v>A类</v>
      </c>
      <c r="K14" s="4">
        <f>IFERROR(VLOOKUP(B14,'④前置信息-大固定-包含了工资和总经理'!B:G,6,0),0)</f>
        <v>200000</v>
      </c>
      <c r="L14" s="4">
        <f>IFERROR(VLOOKUP(B14,②当月数据及门店毛利!B:C,2,0),0)</f>
        <v>140295</v>
      </c>
      <c r="M14" s="4">
        <f>IFERROR(VLOOKUP(B14,②当月数据及门店毛利!B:D,3,0),0)</f>
        <v>190782.77</v>
      </c>
      <c r="N14" s="8">
        <f>IFERROR(VLOOKUP(B14,②当月数据及门店毛利!B:E,4,0),0)</f>
        <v>217</v>
      </c>
      <c r="O14" s="8">
        <f>IFERROR(IF(P14=0,0,VLOOKUP(B14,②当月数据及门店毛利!B:N,13,0)),0)</f>
        <v>0</v>
      </c>
      <c r="P14" s="8">
        <f>IFERROR(VLOOKUP(B14,'④前置信息-大固定-包含了工资和总经理'!B:V,21,0),0)</f>
        <v>0</v>
      </c>
      <c r="Q14" s="4">
        <f t="shared" si="1"/>
        <v>0</v>
      </c>
      <c r="R14" s="4">
        <f>IF(P14=0,0,IF(L14&gt;VLOOKUP(B14,'④前置信息-大固定-包含了工资和总经理'!B:W,22,0),"yes",0))</f>
        <v>0</v>
      </c>
      <c r="S14" s="4">
        <f>IF(O14=0,0,IF(O14&gt;=VLOOKUP(B14,'④前置信息-大固定-包含了工资和总经理'!B:W,22,0),1,0))</f>
        <v>0</v>
      </c>
      <c r="T14" s="4">
        <f>IF(O14=0,0,IF(O14&gt;=VLOOKUP(B14,'④前置信息-大固定-包含了工资和总经理'!B:X,23,0),1,0))</f>
        <v>0</v>
      </c>
      <c r="U14" s="13">
        <f>IF(R14="yes",IF(AND(S14=1,T14=0),VLOOKUP(B14,'④前置信息-大固定-包含了工资和总经理'!B:X,22,0)*$V$2+(O14-VLOOKUP(B14,'④前置信息-大固定-包含了工资和总经理'!B:X,22,0))*$V$3,IF(R14="yes",VLOOKUP(B14,'④前置信息-大固定-包含了工资和总经理'!B:X,22,0)*$V$2+((VLOOKUP(B14,'④前置信息-大固定-包含了工资和总经理'!B:X,23,0)-VLOOKUP(B14,'④前置信息-大固定-包含了工资和总经理'!B:X,22,0)))*$V$3+(O14-VLOOKUP(B14,'④前置信息-大固定-包含了工资和总经理'!B:X,23,0))*$V$4,2)),0)</f>
        <v>0</v>
      </c>
      <c r="V14" s="56">
        <f>IF(R14="yes",IF(AND(S14=0,T14=0),O14*$V$2,IF(R14="yes",IF(AND(S14=1,T14=0),VLOOKUP(B14,'④前置信息-大固定-包含了工资和总经理'!B:X,22,0)*$V$2+(O14-VLOOKUP(B14,'④前置信息-大固定-包含了工资和总经理'!B:X,22,0))*$V$3,IF(R14="yes",VLOOKUP(B14,'④前置信息-大固定-包含了工资和总经理'!B:X,22,0)*$V$2+((VLOOKUP(B14,'④前置信息-大固定-包含了工资和总经理'!B:X,23,0)-VLOOKUP(B14,'④前置信息-大固定-包含了工资和总经理'!B:X,22,0)))*$V$3+(O14-VLOOKUP(B14,'④前置信息-大固定-包含了工资和总经理'!B:X,23,0))*$V$4,2)),0)),0)</f>
        <v>0</v>
      </c>
    </row>
    <row r="15" spans="1:23" x14ac:dyDescent="0.15">
      <c r="A15" s="4" t="s">
        <v>127</v>
      </c>
      <c r="B15" s="4" t="s">
        <v>47</v>
      </c>
      <c r="C15" s="4" t="s">
        <v>22</v>
      </c>
      <c r="D15" s="4" t="str">
        <f>IFERROR(VLOOKUP(C15,③工资核算浮动条件设置①!P:Q,2,0),"")</f>
        <v>方案一</v>
      </c>
      <c r="E15" s="4" t="s">
        <v>188</v>
      </c>
      <c r="F15" s="4" t="s">
        <v>81</v>
      </c>
      <c r="G15" s="4" t="s">
        <v>191</v>
      </c>
      <c r="H15" s="4">
        <f>IFERROR(VLOOKUP(B15,'④前置信息-大固定-包含了工资和总经理'!B:E,4,0),0)</f>
        <v>0</v>
      </c>
      <c r="I15" s="4">
        <f>IFERROR(VLOOKUP(B15,'④前置信息-大固定-包含了工资和总经理'!B:F,5,0),0)</f>
        <v>0</v>
      </c>
      <c r="J15" s="4" t="str">
        <f>IFERROR(VLOOKUP(B15,'④前置信息-大固定-包含了工资和总经理'!B:D,3,0),0)</f>
        <v>B类</v>
      </c>
      <c r="K15" s="4">
        <f>IFERROR(VLOOKUP(B15,'④前置信息-大固定-包含了工资和总经理'!B:G,6,0),0)</f>
        <v>150000</v>
      </c>
      <c r="L15" s="4">
        <f>IFERROR(VLOOKUP(B15,②当月数据及门店毛利!B:C,2,0),0)</f>
        <v>135590</v>
      </c>
      <c r="M15" s="4">
        <f>IFERROR(VLOOKUP(B15,②当月数据及门店毛利!B:D,3,0),0)</f>
        <v>120657.22</v>
      </c>
      <c r="N15" s="8">
        <f>IFERROR(VLOOKUP(B15,②当月数据及门店毛利!B:E,4,0),0)</f>
        <v>150</v>
      </c>
      <c r="O15" s="8">
        <f>IFERROR(IF(P15=0,0,VLOOKUP(B15,②当月数据及门店毛利!B:N,13,0)),0)</f>
        <v>0</v>
      </c>
      <c r="P15" s="8">
        <f>IFERROR(VLOOKUP(B15,'④前置信息-大固定-包含了工资和总经理'!B:V,21,0),0)</f>
        <v>0</v>
      </c>
      <c r="Q15" s="4">
        <f t="shared" si="1"/>
        <v>0</v>
      </c>
      <c r="R15" s="4">
        <f>IF(P15=0,0,IF(L15&gt;VLOOKUP(B15,'④前置信息-大固定-包含了工资和总经理'!B:W,22,0),"yes",0))</f>
        <v>0</v>
      </c>
      <c r="S15" s="4">
        <f>IF(O15=0,0,IF(O15&gt;=VLOOKUP(B15,'④前置信息-大固定-包含了工资和总经理'!B:W,22,0),1,0))</f>
        <v>0</v>
      </c>
      <c r="T15" s="4">
        <f>IF(O15=0,0,IF(O15&gt;=VLOOKUP(B15,'④前置信息-大固定-包含了工资和总经理'!B:X,23,0),1,0))</f>
        <v>0</v>
      </c>
      <c r="U15" s="13">
        <f>IF(R15="yes",IF(AND(S15=1,T15=0),VLOOKUP(B15,'④前置信息-大固定-包含了工资和总经理'!B:X,22,0)*$V$2+(O15-VLOOKUP(B15,'④前置信息-大固定-包含了工资和总经理'!B:X,22,0))*$V$3,IF(R15="yes",VLOOKUP(B15,'④前置信息-大固定-包含了工资和总经理'!B:X,22,0)*$V$2+((VLOOKUP(B15,'④前置信息-大固定-包含了工资和总经理'!B:X,23,0)-VLOOKUP(B15,'④前置信息-大固定-包含了工资和总经理'!B:X,22,0)))*$V$3+(O15-VLOOKUP(B15,'④前置信息-大固定-包含了工资和总经理'!B:X,23,0))*$V$4,2)),0)</f>
        <v>0</v>
      </c>
      <c r="V15" s="56">
        <f>IF(R15="yes",IF(AND(S15=0,T15=0),O15*$V$2,IF(R15="yes",IF(AND(S15=1,T15=0),VLOOKUP(B15,'④前置信息-大固定-包含了工资和总经理'!B:X,22,0)*$V$2+(O15-VLOOKUP(B15,'④前置信息-大固定-包含了工资和总经理'!B:X,22,0))*$V$3,IF(R15="yes",VLOOKUP(B15,'④前置信息-大固定-包含了工资和总经理'!B:X,22,0)*$V$2+((VLOOKUP(B15,'④前置信息-大固定-包含了工资和总经理'!B:X,23,0)-VLOOKUP(B15,'④前置信息-大固定-包含了工资和总经理'!B:X,22,0)))*$V$3+(O15-VLOOKUP(B15,'④前置信息-大固定-包含了工资和总经理'!B:X,23,0))*$V$4,2)),0)),0)</f>
        <v>0</v>
      </c>
    </row>
    <row r="16" spans="1:23" x14ac:dyDescent="0.15">
      <c r="A16" s="4" t="s">
        <v>128</v>
      </c>
      <c r="B16" s="4" t="s">
        <v>37</v>
      </c>
      <c r="C16" s="4" t="s">
        <v>21</v>
      </c>
      <c r="D16" s="4" t="str">
        <f>IFERROR(VLOOKUP(C16,③工资核算浮动条件设置①!P:Q,2,0),"")</f>
        <v>方案一</v>
      </c>
      <c r="E16" s="4" t="s">
        <v>190</v>
      </c>
      <c r="F16" s="4" t="s">
        <v>81</v>
      </c>
      <c r="G16" s="4" t="s">
        <v>189</v>
      </c>
      <c r="H16" s="4">
        <f>IFERROR(VLOOKUP(B16,'④前置信息-大固定-包含了工资和总经理'!B:E,4,0),0)</f>
        <v>0</v>
      </c>
      <c r="I16" s="4">
        <f>IFERROR(VLOOKUP(B16,'④前置信息-大固定-包含了工资和总经理'!B:F,5,0),0)</f>
        <v>0</v>
      </c>
      <c r="J16" s="4" t="str">
        <f>IFERROR(VLOOKUP(B16,'④前置信息-大固定-包含了工资和总经理'!B:D,3,0),0)</f>
        <v>B类</v>
      </c>
      <c r="K16" s="4">
        <f>IFERROR(VLOOKUP(B16,'④前置信息-大固定-包含了工资和总经理'!B:G,6,0),0)</f>
        <v>150000</v>
      </c>
      <c r="L16" s="4">
        <f>IFERROR(VLOOKUP(B16,②当月数据及门店毛利!B:C,2,0),0)</f>
        <v>152421</v>
      </c>
      <c r="M16" s="4">
        <f>IFERROR(VLOOKUP(B16,②当月数据及门店毛利!B:D,3,0),0)</f>
        <v>117167.22</v>
      </c>
      <c r="N16" s="8">
        <f>IFERROR(VLOOKUP(B16,②当月数据及门店毛利!B:E,4,0),0)</f>
        <v>138</v>
      </c>
      <c r="O16" s="8">
        <f>IFERROR(IF(P16=0,0,VLOOKUP(B16,②当月数据及门店毛利!B:N,13,0)),0)</f>
        <v>145914.04999999999</v>
      </c>
      <c r="P16" s="8" t="str">
        <f>IFERROR(VLOOKUP(B16,'④前置信息-大固定-包含了工资和总经理'!B:V,21,0),0)</f>
        <v>曾雨晴</v>
      </c>
      <c r="Q16" s="4">
        <f t="shared" si="1"/>
        <v>4000</v>
      </c>
      <c r="R16" s="4" t="str">
        <f>IF(P16=0,0,IF(L16&gt;VLOOKUP(B16,'④前置信息-大固定-包含了工资和总经理'!B:W,22,0),"yes",0))</f>
        <v>yes</v>
      </c>
      <c r="S16" s="4">
        <f>IF(O16=0,0,IF(O16&gt;=VLOOKUP(B16,'④前置信息-大固定-包含了工资和总经理'!B:W,22,0),1,0))</f>
        <v>0</v>
      </c>
      <c r="T16" s="4">
        <f>IF(O16=0,0,IF(O16&gt;=VLOOKUP(B16,'④前置信息-大固定-包含了工资和总经理'!B:X,23,0),1,0))</f>
        <v>0</v>
      </c>
      <c r="U16" s="13">
        <f>IF(R16="yes",IF(AND(S16=1,T16=0),VLOOKUP(B16,'④前置信息-大固定-包含了工资和总经理'!B:X,22,0)*$V$2+(O16-VLOOKUP(B16,'④前置信息-大固定-包含了工资和总经理'!B:X,22,0))*$V$3,IF(R16="yes",VLOOKUP(B16,'④前置信息-大固定-包含了工资和总经理'!B:X,22,0)*$V$2+((VLOOKUP(B16,'④前置信息-大固定-包含了工资和总经理'!B:X,23,0)-VLOOKUP(B16,'④前置信息-大固定-包含了工资和总经理'!B:X,22,0)))*$V$3+(O16-VLOOKUP(B16,'④前置信息-大固定-包含了工资和总经理'!B:X,23,0))*$V$4,2)),0)</f>
        <v>1797.8512499999997</v>
      </c>
      <c r="V16" s="56">
        <f>IF(R16="yes",IF(AND(S16=0,T16=0),O16*$V$2,IF(R16="yes",IF(AND(S16=1,T16=0),VLOOKUP(B16,'④前置信息-大固定-包含了工资和总经理'!B:X,22,0)*$V$2+(O16-VLOOKUP(B16,'④前置信息-大固定-包含了工资和总经理'!B:X,22,0))*$V$3,IF(R16="yes",VLOOKUP(B16,'④前置信息-大固定-包含了工资和总经理'!B:X,22,0)*$V$2+((VLOOKUP(B16,'④前置信息-大固定-包含了工资和总经理'!B:X,23,0)-VLOOKUP(B16,'④前置信息-大固定-包含了工资和总经理'!B:X,22,0)))*$V$3+(O16-VLOOKUP(B16,'④前置信息-大固定-包含了工资和总经理'!B:X,23,0))*$V$4,2)),0)),0)</f>
        <v>2188.7107499999997</v>
      </c>
    </row>
    <row r="17" spans="1:22" x14ac:dyDescent="0.15">
      <c r="A17" s="4" t="s">
        <v>129</v>
      </c>
      <c r="B17" s="4" t="s">
        <v>49</v>
      </c>
      <c r="C17" s="4" t="s">
        <v>24</v>
      </c>
      <c r="D17" s="4" t="str">
        <f>IFERROR(VLOOKUP(C17,③工资核算浮动条件设置①!P:Q,2,0),"")</f>
        <v>方案二</v>
      </c>
      <c r="E17" s="4" t="s">
        <v>190</v>
      </c>
      <c r="F17" s="4" t="s">
        <v>90</v>
      </c>
      <c r="G17" s="4" t="s">
        <v>189</v>
      </c>
      <c r="H17" s="4">
        <f>IFERROR(VLOOKUP(B17,'④前置信息-大固定-包含了工资和总经理'!B:E,4,0),0)</f>
        <v>0</v>
      </c>
      <c r="I17" s="4">
        <f>IFERROR(VLOOKUP(B17,'④前置信息-大固定-包含了工资和总经理'!B:F,5,0),0)</f>
        <v>0</v>
      </c>
      <c r="J17" s="4" t="str">
        <f>IFERROR(VLOOKUP(B17,'④前置信息-大固定-包含了工资和总经理'!B:D,3,0),0)</f>
        <v>A类</v>
      </c>
      <c r="K17" s="4">
        <f>IFERROR(VLOOKUP(B17,'④前置信息-大固定-包含了工资和总经理'!B:G,6,0),0)</f>
        <v>200000</v>
      </c>
      <c r="L17" s="4">
        <f>IFERROR(VLOOKUP(B17,②当月数据及门店毛利!B:C,2,0),0)</f>
        <v>205041</v>
      </c>
      <c r="M17" s="4">
        <f>IFERROR(VLOOKUP(B17,②当月数据及门店毛利!B:D,3,0),0)</f>
        <v>194741.48</v>
      </c>
      <c r="N17" s="8">
        <f>IFERROR(VLOOKUP(B17,②当月数据及门店毛利!B:E,4,0),0)</f>
        <v>157</v>
      </c>
      <c r="O17" s="8">
        <f>IFERROR(IF(P17=0,0,VLOOKUP(B17,②当月数据及门店毛利!B:N,13,0)),0)</f>
        <v>0</v>
      </c>
      <c r="P17" s="8">
        <f>IFERROR(VLOOKUP(B17,'④前置信息-大固定-包含了工资和总经理'!B:V,21,0),0)</f>
        <v>0</v>
      </c>
      <c r="Q17" s="4">
        <f t="shared" si="1"/>
        <v>0</v>
      </c>
      <c r="R17" s="4">
        <f>IF(P17=0,0,IF(L17&gt;VLOOKUP(B17,'④前置信息-大固定-包含了工资和总经理'!B:W,22,0),"yes",0))</f>
        <v>0</v>
      </c>
      <c r="S17" s="4">
        <f>IF(O17=0,0,IF(O17&gt;=VLOOKUP(B17,'④前置信息-大固定-包含了工资和总经理'!B:W,22,0),1,0))</f>
        <v>0</v>
      </c>
      <c r="T17" s="4">
        <f>IF(O17=0,0,IF(O17&gt;=VLOOKUP(B17,'④前置信息-大固定-包含了工资和总经理'!B:X,23,0),1,0))</f>
        <v>0</v>
      </c>
      <c r="U17" s="13">
        <f>IF(R17="yes",IF(AND(S17=1,T17=0),VLOOKUP(B17,'④前置信息-大固定-包含了工资和总经理'!B:X,22,0)*$V$2+(O17-VLOOKUP(B17,'④前置信息-大固定-包含了工资和总经理'!B:X,22,0))*$V$3,IF(R17="yes",VLOOKUP(B17,'④前置信息-大固定-包含了工资和总经理'!B:X,22,0)*$V$2+((VLOOKUP(B17,'④前置信息-大固定-包含了工资和总经理'!B:X,23,0)-VLOOKUP(B17,'④前置信息-大固定-包含了工资和总经理'!B:X,22,0)))*$V$3+(O17-VLOOKUP(B17,'④前置信息-大固定-包含了工资和总经理'!B:X,23,0))*$V$4,2)),0)</f>
        <v>0</v>
      </c>
      <c r="V17" s="56">
        <f>IF(R17="yes",IF(AND(S17=0,T17=0),O17*$V$2,IF(R17="yes",IF(AND(S17=1,T17=0),VLOOKUP(B17,'④前置信息-大固定-包含了工资和总经理'!B:X,22,0)*$V$2+(O17-VLOOKUP(B17,'④前置信息-大固定-包含了工资和总经理'!B:X,22,0))*$V$3,IF(R17="yes",VLOOKUP(B17,'④前置信息-大固定-包含了工资和总经理'!B:X,22,0)*$V$2+((VLOOKUP(B17,'④前置信息-大固定-包含了工资和总经理'!B:X,23,0)-VLOOKUP(B17,'④前置信息-大固定-包含了工资和总经理'!B:X,22,0)))*$V$3+(O17-VLOOKUP(B17,'④前置信息-大固定-包含了工资和总经理'!B:X,23,0))*$V$4,2)),0)),0)</f>
        <v>0</v>
      </c>
    </row>
    <row r="18" spans="1:22" x14ac:dyDescent="0.15">
      <c r="A18" s="4" t="s">
        <v>130</v>
      </c>
      <c r="B18" s="4" t="s">
        <v>46</v>
      </c>
      <c r="C18" s="4" t="s">
        <v>22</v>
      </c>
      <c r="D18" s="4" t="str">
        <f>IFERROR(VLOOKUP(C18,③工资核算浮动条件设置①!P:Q,2,0),"")</f>
        <v>方案一</v>
      </c>
      <c r="E18" s="4" t="s">
        <v>190</v>
      </c>
      <c r="F18" s="4" t="s">
        <v>90</v>
      </c>
      <c r="G18" s="4" t="s">
        <v>189</v>
      </c>
      <c r="H18" s="4">
        <f>IFERROR(VLOOKUP(B18,'④前置信息-大固定-包含了工资和总经理'!B:E,4,0),0)</f>
        <v>0</v>
      </c>
      <c r="I18" s="4">
        <f>IFERROR(VLOOKUP(B18,'④前置信息-大固定-包含了工资和总经理'!B:F,5,0),0)</f>
        <v>0</v>
      </c>
      <c r="J18" s="4" t="str">
        <f>IFERROR(VLOOKUP(B18,'④前置信息-大固定-包含了工资和总经理'!B:D,3,0),0)</f>
        <v>C类</v>
      </c>
      <c r="K18" s="4">
        <f>IFERROR(VLOOKUP(B18,'④前置信息-大固定-包含了工资和总经理'!B:G,6,0),0)</f>
        <v>120000</v>
      </c>
      <c r="L18" s="4">
        <f>IFERROR(VLOOKUP(B18,②当月数据及门店毛利!B:C,2,0),0)</f>
        <v>111267</v>
      </c>
      <c r="M18" s="4">
        <f>IFERROR(VLOOKUP(B18,②当月数据及门店毛利!B:D,3,0),0)</f>
        <v>87745.89</v>
      </c>
      <c r="N18" s="8">
        <f>IFERROR(VLOOKUP(B18,②当月数据及门店毛利!B:E,4,0),0)</f>
        <v>142</v>
      </c>
      <c r="O18" s="8">
        <f>IFERROR(IF(P18=0,0,VLOOKUP(B18,②当月数据及门店毛利!B:N,13,0)),0)</f>
        <v>0</v>
      </c>
      <c r="P18" s="8">
        <f>IFERROR(VLOOKUP(B18,'④前置信息-大固定-包含了工资和总经理'!B:V,21,0),0)</f>
        <v>0</v>
      </c>
      <c r="Q18" s="4">
        <f t="shared" si="1"/>
        <v>0</v>
      </c>
      <c r="R18" s="4">
        <f>IF(P18=0,0,IF(L18&gt;VLOOKUP(B18,'④前置信息-大固定-包含了工资和总经理'!B:W,22,0),"yes",0))</f>
        <v>0</v>
      </c>
      <c r="S18" s="4">
        <f>IF(O18=0,0,IF(O18&gt;=VLOOKUP(B18,'④前置信息-大固定-包含了工资和总经理'!B:W,22,0),1,0))</f>
        <v>0</v>
      </c>
      <c r="T18" s="4">
        <f>IF(O18=0,0,IF(O18&gt;=VLOOKUP(B18,'④前置信息-大固定-包含了工资和总经理'!B:X,23,0),1,0))</f>
        <v>0</v>
      </c>
      <c r="U18" s="13">
        <f>IF(R18="yes",IF(AND(S18=1,T18=0),VLOOKUP(B18,'④前置信息-大固定-包含了工资和总经理'!B:X,22,0)*$V$2+(O18-VLOOKUP(B18,'④前置信息-大固定-包含了工资和总经理'!B:X,22,0))*$V$3,IF(R18="yes",VLOOKUP(B18,'④前置信息-大固定-包含了工资和总经理'!B:X,22,0)*$V$2+((VLOOKUP(B18,'④前置信息-大固定-包含了工资和总经理'!B:X,23,0)-VLOOKUP(B18,'④前置信息-大固定-包含了工资和总经理'!B:X,22,0)))*$V$3+(O18-VLOOKUP(B18,'④前置信息-大固定-包含了工资和总经理'!B:X,23,0))*$V$4,2)),0)</f>
        <v>0</v>
      </c>
      <c r="V18" s="56">
        <f>IF(R18="yes",IF(AND(S18=0,T18=0),O18*$V$2,IF(R18="yes",IF(AND(S18=1,T18=0),VLOOKUP(B18,'④前置信息-大固定-包含了工资和总经理'!B:X,22,0)*$V$2+(O18-VLOOKUP(B18,'④前置信息-大固定-包含了工资和总经理'!B:X,22,0))*$V$3,IF(R18="yes",VLOOKUP(B18,'④前置信息-大固定-包含了工资和总经理'!B:X,22,0)*$V$2+((VLOOKUP(B18,'④前置信息-大固定-包含了工资和总经理'!B:X,23,0)-VLOOKUP(B18,'④前置信息-大固定-包含了工资和总经理'!B:X,22,0)))*$V$3+(O18-VLOOKUP(B18,'④前置信息-大固定-包含了工资和总经理'!B:X,23,0))*$V$4,2)),0)),0)</f>
        <v>0</v>
      </c>
    </row>
    <row r="19" spans="1:22" x14ac:dyDescent="0.15">
      <c r="A19" s="4" t="s">
        <v>132</v>
      </c>
      <c r="B19" s="4" t="s">
        <v>36</v>
      </c>
      <c r="C19" s="4" t="s">
        <v>21</v>
      </c>
      <c r="D19" s="4" t="str">
        <f>IFERROR(VLOOKUP(C19,③工资核算浮动条件设置①!P:Q,2,0),"")</f>
        <v>方案一</v>
      </c>
      <c r="E19" s="4" t="s">
        <v>188</v>
      </c>
      <c r="F19" s="4" t="s">
        <v>90</v>
      </c>
      <c r="G19" s="4" t="s">
        <v>189</v>
      </c>
      <c r="H19" s="4">
        <f>IFERROR(VLOOKUP(B19,'④前置信息-大固定-包含了工资和总经理'!B:E,4,0),0)</f>
        <v>0</v>
      </c>
      <c r="I19" s="4">
        <f>IFERROR(VLOOKUP(B19,'④前置信息-大固定-包含了工资和总经理'!B:F,5,0),0)</f>
        <v>0</v>
      </c>
      <c r="J19" s="4" t="str">
        <f>IFERROR(VLOOKUP(B19,'④前置信息-大固定-包含了工资和总经理'!B:D,3,0),0)</f>
        <v>B类</v>
      </c>
      <c r="K19" s="4">
        <f>IFERROR(VLOOKUP(B19,'④前置信息-大固定-包含了工资和总经理'!B:G,6,0),0)</f>
        <v>150000</v>
      </c>
      <c r="L19" s="4">
        <f>IFERROR(VLOOKUP(B19,②当月数据及门店毛利!B:C,2,0),0)</f>
        <v>180024</v>
      </c>
      <c r="M19" s="4">
        <f>IFERROR(VLOOKUP(B19,②当月数据及门店毛利!B:D,3,0),0)</f>
        <v>87671.5</v>
      </c>
      <c r="N19" s="8">
        <f>IFERROR(VLOOKUP(B19,②当月数据及门店毛利!B:E,4,0),0)</f>
        <v>140</v>
      </c>
      <c r="O19" s="8">
        <f>IFERROR(IF(P19=0,0,VLOOKUP(B19,②当月数据及门店毛利!B:N,13,0)),0)</f>
        <v>0</v>
      </c>
      <c r="P19" s="8">
        <f>IFERROR(VLOOKUP(B19,'④前置信息-大固定-包含了工资和总经理'!B:V,21,0),0)</f>
        <v>0</v>
      </c>
      <c r="Q19" s="4">
        <f t="shared" si="1"/>
        <v>0</v>
      </c>
      <c r="R19" s="4">
        <f>IF(P19=0,0,IF(L19&gt;VLOOKUP(B19,'④前置信息-大固定-包含了工资和总经理'!B:W,22,0),"yes",0))</f>
        <v>0</v>
      </c>
      <c r="S19" s="4">
        <f>IF(O19=0,0,IF(O19&gt;=VLOOKUP(B19,'④前置信息-大固定-包含了工资和总经理'!B:W,22,0),1,0))</f>
        <v>0</v>
      </c>
      <c r="T19" s="4">
        <f>IF(O19=0,0,IF(O19&gt;=VLOOKUP(B19,'④前置信息-大固定-包含了工资和总经理'!B:X,23,0),1,0))</f>
        <v>0</v>
      </c>
      <c r="U19" s="13">
        <f>IF(R19="yes",IF(AND(S19=1,T19=0),VLOOKUP(B19,'④前置信息-大固定-包含了工资和总经理'!B:X,22,0)*$V$2+(O19-VLOOKUP(B19,'④前置信息-大固定-包含了工资和总经理'!B:X,22,0))*$V$3,IF(R19="yes",VLOOKUP(B19,'④前置信息-大固定-包含了工资和总经理'!B:X,22,0)*$V$2+((VLOOKUP(B19,'④前置信息-大固定-包含了工资和总经理'!B:X,23,0)-VLOOKUP(B19,'④前置信息-大固定-包含了工资和总经理'!B:X,22,0)))*$V$3+(O19-VLOOKUP(B19,'④前置信息-大固定-包含了工资和总经理'!B:X,23,0))*$V$4,2)),0)</f>
        <v>0</v>
      </c>
      <c r="V19" s="56">
        <f>IF(R19="yes",IF(AND(S19=0,T19=0),O19*$V$2,IF(R19="yes",IF(AND(S19=1,T19=0),VLOOKUP(B19,'④前置信息-大固定-包含了工资和总经理'!B:X,22,0)*$V$2+(O19-VLOOKUP(B19,'④前置信息-大固定-包含了工资和总经理'!B:X,22,0))*$V$3,IF(R19="yes",VLOOKUP(B19,'④前置信息-大固定-包含了工资和总经理'!B:X,22,0)*$V$2+((VLOOKUP(B19,'④前置信息-大固定-包含了工资和总经理'!B:X,23,0)-VLOOKUP(B19,'④前置信息-大固定-包含了工资和总经理'!B:X,22,0)))*$V$3+(O19-VLOOKUP(B19,'④前置信息-大固定-包含了工资和总经理'!B:X,23,0))*$V$4,2)),0)),0)</f>
        <v>0</v>
      </c>
    </row>
    <row r="20" spans="1:22" x14ac:dyDescent="0.15">
      <c r="A20" s="4" t="s">
        <v>133</v>
      </c>
      <c r="B20" s="4" t="s">
        <v>48</v>
      </c>
      <c r="C20" s="4" t="s">
        <v>22</v>
      </c>
      <c r="D20" s="4" t="str">
        <f>IFERROR(VLOOKUP(C20,③工资核算浮动条件设置①!P:Q,2,0),"")</f>
        <v>方案一</v>
      </c>
      <c r="E20" s="4" t="s">
        <v>190</v>
      </c>
      <c r="F20" s="4" t="s">
        <v>90</v>
      </c>
      <c r="G20" s="4" t="s">
        <v>191</v>
      </c>
      <c r="H20" s="4">
        <f>IFERROR(VLOOKUP(B20,'④前置信息-大固定-包含了工资和总经理'!B:E,4,0),0)</f>
        <v>0</v>
      </c>
      <c r="I20" s="4">
        <f>IFERROR(VLOOKUP(B20,'④前置信息-大固定-包含了工资和总经理'!B:F,5,0),0)</f>
        <v>0</v>
      </c>
      <c r="J20" s="4" t="str">
        <f>IFERROR(VLOOKUP(B20,'④前置信息-大固定-包含了工资和总经理'!B:D,3,0),0)</f>
        <v>B类</v>
      </c>
      <c r="K20" s="4">
        <f>IFERROR(VLOOKUP(B20,'④前置信息-大固定-包含了工资和总经理'!B:G,6,0),0)</f>
        <v>150000</v>
      </c>
      <c r="L20" s="4">
        <f>IFERROR(VLOOKUP(B20,②当月数据及门店毛利!B:C,2,0),0)</f>
        <v>153950.6</v>
      </c>
      <c r="M20" s="4">
        <f>IFERROR(VLOOKUP(B20,②当月数据及门店毛利!B:D,3,0),0)</f>
        <v>140812.54</v>
      </c>
      <c r="N20" s="8">
        <f>IFERROR(VLOOKUP(B20,②当月数据及门店毛利!B:E,4,0),0)</f>
        <v>153</v>
      </c>
      <c r="O20" s="8">
        <f>IFERROR(IF(P20=0,0,VLOOKUP(B20,②当月数据及门店毛利!B:N,13,0)),0)</f>
        <v>0</v>
      </c>
      <c r="P20" s="8">
        <f>IFERROR(VLOOKUP(B20,'④前置信息-大固定-包含了工资和总经理'!B:V,21,0),0)</f>
        <v>0</v>
      </c>
      <c r="Q20" s="4">
        <f t="shared" si="1"/>
        <v>0</v>
      </c>
      <c r="R20" s="4">
        <f>IF(P20=0,0,IF(L20&gt;VLOOKUP(B20,'④前置信息-大固定-包含了工资和总经理'!B:W,22,0),"yes",0))</f>
        <v>0</v>
      </c>
      <c r="S20" s="4">
        <f>IF(O20=0,0,IF(O20&gt;=VLOOKUP(B20,'④前置信息-大固定-包含了工资和总经理'!B:W,22,0),1,0))</f>
        <v>0</v>
      </c>
      <c r="T20" s="4">
        <f>IF(O20=0,0,IF(O20&gt;=VLOOKUP(B20,'④前置信息-大固定-包含了工资和总经理'!B:X,23,0),1,0))</f>
        <v>0</v>
      </c>
      <c r="U20" s="13">
        <f>IF(R20="yes",IF(AND(S20=1,T20=0),VLOOKUP(B20,'④前置信息-大固定-包含了工资和总经理'!B:X,22,0)*$V$2+(O20-VLOOKUP(B20,'④前置信息-大固定-包含了工资和总经理'!B:X,22,0))*$V$3,IF(R20="yes",VLOOKUP(B20,'④前置信息-大固定-包含了工资和总经理'!B:X,22,0)*$V$2+((VLOOKUP(B20,'④前置信息-大固定-包含了工资和总经理'!B:X,23,0)-VLOOKUP(B20,'④前置信息-大固定-包含了工资和总经理'!B:X,22,0)))*$V$3+(O20-VLOOKUP(B20,'④前置信息-大固定-包含了工资和总经理'!B:X,23,0))*$V$4,2)),0)</f>
        <v>0</v>
      </c>
      <c r="V20" s="56">
        <f>IF(R20="yes",IF(AND(S20=0,T20=0),O20*$V$2,IF(R20="yes",IF(AND(S20=1,T20=0),VLOOKUP(B20,'④前置信息-大固定-包含了工资和总经理'!B:X,22,0)*$V$2+(O20-VLOOKUP(B20,'④前置信息-大固定-包含了工资和总经理'!B:X,22,0))*$V$3,IF(R20="yes",VLOOKUP(B20,'④前置信息-大固定-包含了工资和总经理'!B:X,22,0)*$V$2+((VLOOKUP(B20,'④前置信息-大固定-包含了工资和总经理'!B:X,23,0)-VLOOKUP(B20,'④前置信息-大固定-包含了工资和总经理'!B:X,22,0)))*$V$3+(O20-VLOOKUP(B20,'④前置信息-大固定-包含了工资和总经理'!B:X,23,0))*$V$4,2)),0)),0)</f>
        <v>0</v>
      </c>
    </row>
    <row r="21" spans="1:22" x14ac:dyDescent="0.15">
      <c r="A21" s="4" t="s">
        <v>134</v>
      </c>
      <c r="B21" s="4" t="s">
        <v>39</v>
      </c>
      <c r="C21" s="4" t="s">
        <v>21</v>
      </c>
      <c r="D21" s="4" t="str">
        <f>IFERROR(VLOOKUP(C21,③工资核算浮动条件设置①!P:Q,2,0),"")</f>
        <v>方案一</v>
      </c>
      <c r="E21" s="4" t="s">
        <v>188</v>
      </c>
      <c r="F21" s="4" t="s">
        <v>81</v>
      </c>
      <c r="G21" s="4" t="s">
        <v>189</v>
      </c>
      <c r="H21" s="4">
        <f>IFERROR(VLOOKUP(B21,'④前置信息-大固定-包含了工资和总经理'!B:E,4,0),0)</f>
        <v>0</v>
      </c>
      <c r="I21" s="4">
        <f>IFERROR(VLOOKUP(B21,'④前置信息-大固定-包含了工资和总经理'!B:F,5,0),0)</f>
        <v>0</v>
      </c>
      <c r="J21" s="4" t="str">
        <f>IFERROR(VLOOKUP(B21,'④前置信息-大固定-包含了工资和总经理'!B:D,3,0),0)</f>
        <v>B类</v>
      </c>
      <c r="K21" s="4">
        <f>IFERROR(VLOOKUP(B21,'④前置信息-大固定-包含了工资和总经理'!B:G,6,0),0)</f>
        <v>150000</v>
      </c>
      <c r="L21" s="4">
        <f>IFERROR(VLOOKUP(B21,②当月数据及门店毛利!B:C,2,0),0)</f>
        <v>169632</v>
      </c>
      <c r="M21" s="4">
        <f>IFERROR(VLOOKUP(B21,②当月数据及门店毛利!B:D,3,0),0)</f>
        <v>139162.62</v>
      </c>
      <c r="N21" s="8">
        <f>IFERROR(VLOOKUP(B21,②当月数据及门店毛利!B:E,4,0),0)</f>
        <v>180</v>
      </c>
      <c r="O21" s="8">
        <f>IFERROR(IF(P21=0,0,VLOOKUP(B21,②当月数据及门店毛利!B:N,13,0)),0)</f>
        <v>0</v>
      </c>
      <c r="P21" s="8">
        <f>IFERROR(VLOOKUP(B21,'④前置信息-大固定-包含了工资和总经理'!B:V,21,0),0)</f>
        <v>0</v>
      </c>
      <c r="Q21" s="4">
        <f t="shared" si="1"/>
        <v>0</v>
      </c>
      <c r="R21" s="4">
        <f>IF(P21=0,0,IF(L21&gt;VLOOKUP(B21,'④前置信息-大固定-包含了工资和总经理'!B:W,22,0),"yes",0))</f>
        <v>0</v>
      </c>
      <c r="S21" s="4">
        <f>IF(O21=0,0,IF(O21&gt;=VLOOKUP(B21,'④前置信息-大固定-包含了工资和总经理'!B:W,22,0),1,0))</f>
        <v>0</v>
      </c>
      <c r="T21" s="4">
        <f>IF(O21=0,0,IF(O21&gt;=VLOOKUP(B21,'④前置信息-大固定-包含了工资和总经理'!B:X,23,0),1,0))</f>
        <v>0</v>
      </c>
      <c r="U21" s="13">
        <f>IF(R21="yes",IF(AND(S21=1,T21=0),VLOOKUP(B21,'④前置信息-大固定-包含了工资和总经理'!B:X,22,0)*$V$2+(O21-VLOOKUP(B21,'④前置信息-大固定-包含了工资和总经理'!B:X,22,0))*$V$3,IF(R21="yes",VLOOKUP(B21,'④前置信息-大固定-包含了工资和总经理'!B:X,22,0)*$V$2+((VLOOKUP(B21,'④前置信息-大固定-包含了工资和总经理'!B:X,23,0)-VLOOKUP(B21,'④前置信息-大固定-包含了工资和总经理'!B:X,22,0)))*$V$3+(O21-VLOOKUP(B21,'④前置信息-大固定-包含了工资和总经理'!B:X,23,0))*$V$4,2)),0)</f>
        <v>0</v>
      </c>
      <c r="V21" s="56">
        <f>IF(R21="yes",IF(AND(S21=0,T21=0),O21*$V$2,IF(R21="yes",IF(AND(S21=1,T21=0),VLOOKUP(B21,'④前置信息-大固定-包含了工资和总经理'!B:X,22,0)*$V$2+(O21-VLOOKUP(B21,'④前置信息-大固定-包含了工资和总经理'!B:X,22,0))*$V$3,IF(R21="yes",VLOOKUP(B21,'④前置信息-大固定-包含了工资和总经理'!B:X,22,0)*$V$2+((VLOOKUP(B21,'④前置信息-大固定-包含了工资和总经理'!B:X,23,0)-VLOOKUP(B21,'④前置信息-大固定-包含了工资和总经理'!B:X,22,0)))*$V$3+(O21-VLOOKUP(B21,'④前置信息-大固定-包含了工资和总经理'!B:X,23,0))*$V$4,2)),0)),0)</f>
        <v>0</v>
      </c>
    </row>
    <row r="22" spans="1:22" x14ac:dyDescent="0.15">
      <c r="A22" s="4" t="s">
        <v>135</v>
      </c>
      <c r="B22" s="4" t="s">
        <v>53</v>
      </c>
      <c r="C22" s="4" t="s">
        <v>28</v>
      </c>
      <c r="D22" s="4" t="str">
        <f>IFERROR(VLOOKUP(C22,③工资核算浮动条件设置①!P:Q,2,0),"")</f>
        <v>方案二</v>
      </c>
      <c r="E22" s="4" t="s">
        <v>190</v>
      </c>
      <c r="F22" s="4" t="s">
        <v>81</v>
      </c>
      <c r="G22" s="4" t="s">
        <v>191</v>
      </c>
      <c r="H22" s="4">
        <f>IFERROR(VLOOKUP(B22,'④前置信息-大固定-包含了工资和总经理'!B:E,4,0),0)</f>
        <v>0</v>
      </c>
      <c r="I22" s="4">
        <f>IFERROR(VLOOKUP(B22,'④前置信息-大固定-包含了工资和总经理'!B:F,5,0),0)</f>
        <v>0</v>
      </c>
      <c r="J22" s="4" t="str">
        <f>IFERROR(VLOOKUP(B22,'④前置信息-大固定-包含了工资和总经理'!B:D,3,0),0)</f>
        <v>A类</v>
      </c>
      <c r="K22" s="4">
        <f>IFERROR(VLOOKUP(B22,'④前置信息-大固定-包含了工资和总经理'!B:G,6,0),0)</f>
        <v>200000</v>
      </c>
      <c r="L22" s="4">
        <f>IFERROR(VLOOKUP(B22,②当月数据及门店毛利!B:C,2,0),0)</f>
        <v>200049.7</v>
      </c>
      <c r="M22" s="4">
        <f>IFERROR(VLOOKUP(B22,②当月数据及门店毛利!B:D,3,0),0)</f>
        <v>192405.22</v>
      </c>
      <c r="N22" s="8">
        <f>IFERROR(VLOOKUP(B22,②当月数据及门店毛利!B:E,4,0),0)</f>
        <v>172</v>
      </c>
      <c r="O22" s="8">
        <f>IFERROR(IF(P22=0,0,VLOOKUP(B22,②当月数据及门店毛利!B:N,13,0)),0)</f>
        <v>0</v>
      </c>
      <c r="P22" s="8">
        <f>IFERROR(VLOOKUP(B22,'④前置信息-大固定-包含了工资和总经理'!B:V,21,0),0)</f>
        <v>0</v>
      </c>
      <c r="Q22" s="4">
        <f t="shared" si="1"/>
        <v>0</v>
      </c>
      <c r="R22" s="4">
        <f>IF(P22=0,0,IF(L22&gt;VLOOKUP(B22,'④前置信息-大固定-包含了工资和总经理'!B:W,22,0),"yes",0))</f>
        <v>0</v>
      </c>
      <c r="S22" s="4">
        <f>IF(O22=0,0,IF(O22&gt;=VLOOKUP(B22,'④前置信息-大固定-包含了工资和总经理'!B:W,22,0),1,0))</f>
        <v>0</v>
      </c>
      <c r="T22" s="4">
        <f>IF(O22=0,0,IF(O22&gt;=VLOOKUP(B22,'④前置信息-大固定-包含了工资和总经理'!B:X,23,0),1,0))</f>
        <v>0</v>
      </c>
      <c r="U22" s="13">
        <f>IF(R22="yes",IF(AND(S22=1,T22=0),VLOOKUP(B22,'④前置信息-大固定-包含了工资和总经理'!B:X,22,0)*$V$2+(O22-VLOOKUP(B22,'④前置信息-大固定-包含了工资和总经理'!B:X,22,0))*$V$3,IF(R22="yes",VLOOKUP(B22,'④前置信息-大固定-包含了工资和总经理'!B:X,22,0)*$V$2+((VLOOKUP(B22,'④前置信息-大固定-包含了工资和总经理'!B:X,23,0)-VLOOKUP(B22,'④前置信息-大固定-包含了工资和总经理'!B:X,22,0)))*$V$3+(O22-VLOOKUP(B22,'④前置信息-大固定-包含了工资和总经理'!B:X,23,0))*$V$4,2)),0)</f>
        <v>0</v>
      </c>
      <c r="V22" s="56">
        <f>IF(R22="yes",IF(AND(S22=0,T22=0),O22*$V$2,IF(R22="yes",IF(AND(S22=1,T22=0),VLOOKUP(B22,'④前置信息-大固定-包含了工资和总经理'!B:X,22,0)*$V$2+(O22-VLOOKUP(B22,'④前置信息-大固定-包含了工资和总经理'!B:X,22,0))*$V$3,IF(R22="yes",VLOOKUP(B22,'④前置信息-大固定-包含了工资和总经理'!B:X,22,0)*$V$2+((VLOOKUP(B22,'④前置信息-大固定-包含了工资和总经理'!B:X,23,0)-VLOOKUP(B22,'④前置信息-大固定-包含了工资和总经理'!B:X,22,0)))*$V$3+(O22-VLOOKUP(B22,'④前置信息-大固定-包含了工资和总经理'!B:X,23,0))*$V$4,2)),0)),0)</f>
        <v>0</v>
      </c>
    </row>
    <row r="23" spans="1:22" x14ac:dyDescent="0.15">
      <c r="A23" s="4" t="s">
        <v>136</v>
      </c>
      <c r="B23" s="4" t="s">
        <v>43</v>
      </c>
      <c r="C23" s="4" t="s">
        <v>22</v>
      </c>
      <c r="D23" s="4" t="str">
        <f>IFERROR(VLOOKUP(C23,③工资核算浮动条件设置①!P:Q,2,0),"")</f>
        <v>方案一</v>
      </c>
      <c r="E23" s="4" t="s">
        <v>188</v>
      </c>
      <c r="F23" s="4" t="s">
        <v>90</v>
      </c>
      <c r="G23" s="4" t="s">
        <v>189</v>
      </c>
      <c r="H23" s="4">
        <f>IFERROR(VLOOKUP(B23,'④前置信息-大固定-包含了工资和总经理'!B:E,4,0),0)</f>
        <v>0</v>
      </c>
      <c r="I23" s="4">
        <f>IFERROR(VLOOKUP(B23,'④前置信息-大固定-包含了工资和总经理'!B:F,5,0),0)</f>
        <v>0</v>
      </c>
      <c r="J23" s="4" t="str">
        <f>IFERROR(VLOOKUP(B23,'④前置信息-大固定-包含了工资和总经理'!B:D,3,0),0)</f>
        <v>B类</v>
      </c>
      <c r="K23" s="4">
        <f>IFERROR(VLOOKUP(B23,'④前置信息-大固定-包含了工资和总经理'!B:G,6,0),0)</f>
        <v>150000</v>
      </c>
      <c r="L23" s="4">
        <f>IFERROR(VLOOKUP(B23,②当月数据及门店毛利!B:C,2,0),0)</f>
        <v>311108</v>
      </c>
      <c r="M23" s="4">
        <f>IFERROR(VLOOKUP(B23,②当月数据及门店毛利!B:D,3,0),0)</f>
        <v>291471.05</v>
      </c>
      <c r="N23" s="8">
        <f>IFERROR(VLOOKUP(B23,②当月数据及门店毛利!B:E,4,0),0)</f>
        <v>163</v>
      </c>
      <c r="O23" s="8">
        <f>IFERROR(IF(P23=0,0,VLOOKUP(B23,②当月数据及门店毛利!B:N,13,0)),0)</f>
        <v>237015.77000000002</v>
      </c>
      <c r="P23" s="8" t="str">
        <f>IFERROR(VLOOKUP(B23,'④前置信息-大固定-包含了工资和总经理'!B:V,21,0),0)</f>
        <v>肖静梅</v>
      </c>
      <c r="Q23" s="4">
        <f t="shared" si="1"/>
        <v>4000</v>
      </c>
      <c r="R23" s="4" t="str">
        <f>IF(P23=0,0,IF(L23&gt;VLOOKUP(B23,'④前置信息-大固定-包含了工资和总经理'!B:W,22,0),"yes",0))</f>
        <v>yes</v>
      </c>
      <c r="S23" s="4">
        <f>IF(O23=0,0,IF(O23&gt;=VLOOKUP(B23,'④前置信息-大固定-包含了工资和总经理'!B:W,22,0),1,0))</f>
        <v>1</v>
      </c>
      <c r="T23" s="4">
        <f>IF(O23=0,0,IF(O23&gt;=VLOOKUP(B23,'④前置信息-大固定-包含了工资和总经理'!B:X,23,0),1,0))</f>
        <v>1</v>
      </c>
      <c r="U23" s="13">
        <f>IF(R23="yes",IF(AND(S23=1,T23=0),VLOOKUP(B23,'④前置信息-大固定-包含了工资和总经理'!B:X,22,0)*$V$2+(O23-VLOOKUP(B23,'④前置信息-大固定-包含了工资和总经理'!B:X,22,0))*$V$3,IF(R23="yes",VLOOKUP(B23,'④前置信息-大固定-包含了工资和总经理'!B:X,22,0)*$V$2+((VLOOKUP(B23,'④前置信息-大固定-包含了工资和总经理'!B:X,23,0)-VLOOKUP(B23,'④前置信息-大固定-包含了工资和总经理'!B:X,22,0)))*$V$3+(O23-VLOOKUP(B23,'④前置信息-大固定-包含了工资和总经理'!B:X,23,0))*$V$4,2)),0)</f>
        <v>4175.3942500000003</v>
      </c>
      <c r="V23" s="56">
        <f>IF(R23="yes",IF(AND(S23=0,T23=0),O23*$V$2,IF(R23="yes",IF(AND(S23=1,T23=0),VLOOKUP(B23,'④前置信息-大固定-包含了工资和总经理'!B:X,22,0)*$V$2+(O23-VLOOKUP(B23,'④前置信息-大固定-包含了工资和总经理'!B:X,22,0))*$V$3,IF(R23="yes",VLOOKUP(B23,'④前置信息-大固定-包含了工资和总经理'!B:X,22,0)*$V$2+((VLOOKUP(B23,'④前置信息-大固定-包含了工资和总经理'!B:X,23,0)-VLOOKUP(B23,'④前置信息-大固定-包含了工资和总经理'!B:X,22,0)))*$V$3+(O23-VLOOKUP(B23,'④前置信息-大固定-包含了工资和总经理'!B:X,23,0))*$V$4,2)),0)),0)</f>
        <v>4175.3942500000003</v>
      </c>
    </row>
    <row r="24" spans="1:22" x14ac:dyDescent="0.15">
      <c r="A24" s="4" t="s">
        <v>137</v>
      </c>
      <c r="B24" s="4" t="s">
        <v>33</v>
      </c>
      <c r="C24" s="4" t="s">
        <v>21</v>
      </c>
      <c r="D24" s="4" t="str">
        <f>IFERROR(VLOOKUP(C24,③工资核算浮动条件设置①!P:Q,2,0),"")</f>
        <v>方案一</v>
      </c>
      <c r="E24" s="4" t="s">
        <v>188</v>
      </c>
      <c r="F24" s="4" t="s">
        <v>90</v>
      </c>
      <c r="G24" s="4" t="s">
        <v>189</v>
      </c>
      <c r="H24" s="4">
        <f>IFERROR(VLOOKUP(B24,'④前置信息-大固定-包含了工资和总经理'!B:E,4,0),0)</f>
        <v>0</v>
      </c>
      <c r="I24" s="4">
        <f>IFERROR(VLOOKUP(B24,'④前置信息-大固定-包含了工资和总经理'!B:F,5,0),0)</f>
        <v>0</v>
      </c>
      <c r="J24" s="4" t="str">
        <f>IFERROR(VLOOKUP(B24,'④前置信息-大固定-包含了工资和总经理'!B:D,3,0),0)</f>
        <v>A类</v>
      </c>
      <c r="K24" s="4">
        <f>IFERROR(VLOOKUP(B24,'④前置信息-大固定-包含了工资和总经理'!B:G,6,0),0)</f>
        <v>200000</v>
      </c>
      <c r="L24" s="4">
        <f>IFERROR(VLOOKUP(B24,②当月数据及门店毛利!B:C,2,0),0)</f>
        <v>158633</v>
      </c>
      <c r="M24" s="4">
        <f>IFERROR(VLOOKUP(B24,②当月数据及门店毛利!B:D,3,0),0)</f>
        <v>123760.98</v>
      </c>
      <c r="N24" s="8">
        <f>IFERROR(VLOOKUP(B24,②当月数据及门店毛利!B:E,4,0),0)</f>
        <v>177</v>
      </c>
      <c r="O24" s="8">
        <f>IFERROR(IF(P24=0,0,VLOOKUP(B24,②当月数据及门店毛利!B:N,13,0)),0)</f>
        <v>0</v>
      </c>
      <c r="P24" s="8">
        <f>IFERROR(VLOOKUP(B24,'④前置信息-大固定-包含了工资和总经理'!B:V,21,0),0)</f>
        <v>0</v>
      </c>
      <c r="Q24" s="4">
        <f t="shared" si="1"/>
        <v>0</v>
      </c>
      <c r="R24" s="4">
        <f>IF(P24=0,0,IF(L24&gt;VLOOKUP(B24,'④前置信息-大固定-包含了工资和总经理'!B:W,22,0),"yes",0))</f>
        <v>0</v>
      </c>
      <c r="S24" s="4">
        <f>IF(O24=0,0,IF(O24&gt;=VLOOKUP(B24,'④前置信息-大固定-包含了工资和总经理'!B:W,22,0),1,0))</f>
        <v>0</v>
      </c>
      <c r="T24" s="4">
        <f>IF(O24=0,0,IF(O24&gt;=VLOOKUP(B24,'④前置信息-大固定-包含了工资和总经理'!B:X,23,0),1,0))</f>
        <v>0</v>
      </c>
      <c r="U24" s="13">
        <f>IF(R24="yes",IF(AND(S24=1,T24=0),VLOOKUP(B24,'④前置信息-大固定-包含了工资和总经理'!B:X,22,0)*$V$2+(O24-VLOOKUP(B24,'④前置信息-大固定-包含了工资和总经理'!B:X,22,0))*$V$3,IF(R24="yes",VLOOKUP(B24,'④前置信息-大固定-包含了工资和总经理'!B:X,22,0)*$V$2+((VLOOKUP(B24,'④前置信息-大固定-包含了工资和总经理'!B:X,23,0)-VLOOKUP(B24,'④前置信息-大固定-包含了工资和总经理'!B:X,22,0)))*$V$3+(O24-VLOOKUP(B24,'④前置信息-大固定-包含了工资和总经理'!B:X,23,0))*$V$4,2)),0)</f>
        <v>0</v>
      </c>
      <c r="V24" s="56">
        <f>IF(R24="yes",IF(AND(S24=0,T24=0),O24*$V$2,IF(R24="yes",IF(AND(S24=1,T24=0),VLOOKUP(B24,'④前置信息-大固定-包含了工资和总经理'!B:X,22,0)*$V$2+(O24-VLOOKUP(B24,'④前置信息-大固定-包含了工资和总经理'!B:X,22,0))*$V$3,IF(R24="yes",VLOOKUP(B24,'④前置信息-大固定-包含了工资和总经理'!B:X,22,0)*$V$2+((VLOOKUP(B24,'④前置信息-大固定-包含了工资和总经理'!B:X,23,0)-VLOOKUP(B24,'④前置信息-大固定-包含了工资和总经理'!B:X,22,0)))*$V$3+(O24-VLOOKUP(B24,'④前置信息-大固定-包含了工资和总经理'!B:X,23,0))*$V$4,2)),0)),0)</f>
        <v>0</v>
      </c>
    </row>
    <row r="25" spans="1:22" x14ac:dyDescent="0.15">
      <c r="A25" s="4" t="s">
        <v>138</v>
      </c>
      <c r="B25" s="4" t="s">
        <v>51</v>
      </c>
      <c r="C25" s="4" t="s">
        <v>24</v>
      </c>
      <c r="D25" s="4" t="str">
        <f>IFERROR(VLOOKUP(C25,③工资核算浮动条件设置①!P:Q,2,0),"")</f>
        <v>方案二</v>
      </c>
      <c r="E25" s="4" t="s">
        <v>190</v>
      </c>
      <c r="F25" s="4" t="s">
        <v>81</v>
      </c>
      <c r="G25" s="4" t="s">
        <v>191</v>
      </c>
      <c r="H25" s="4">
        <f>IFERROR(VLOOKUP(B25,'④前置信息-大固定-包含了工资和总经理'!B:E,4,0),0)</f>
        <v>0</v>
      </c>
      <c r="I25" s="4">
        <f>IFERROR(VLOOKUP(B25,'④前置信息-大固定-包含了工资和总经理'!B:F,5,0),0)</f>
        <v>0</v>
      </c>
      <c r="J25" s="4" t="str">
        <f>IFERROR(VLOOKUP(B25,'④前置信息-大固定-包含了工资和总经理'!B:D,3,0),0)</f>
        <v>C类</v>
      </c>
      <c r="K25" s="4">
        <f>IFERROR(VLOOKUP(B25,'④前置信息-大固定-包含了工资和总经理'!B:G,6,0),0)</f>
        <v>120000</v>
      </c>
      <c r="L25" s="4">
        <f>IFERROR(VLOOKUP(B25,②当月数据及门店毛利!B:C,2,0),0)</f>
        <v>92371</v>
      </c>
      <c r="M25" s="4">
        <f>IFERROR(VLOOKUP(B25,②当月数据及门店毛利!B:D,3,0),0)</f>
        <v>58105.8</v>
      </c>
      <c r="N25" s="8">
        <f>IFERROR(VLOOKUP(B25,②当月数据及门店毛利!B:E,4,0),0)</f>
        <v>169</v>
      </c>
      <c r="O25" s="8">
        <f>IFERROR(IF(P25=0,0,VLOOKUP(B25,②当月数据及门店毛利!B:N,13,0)),0)</f>
        <v>0</v>
      </c>
      <c r="P25" s="8">
        <f>IFERROR(VLOOKUP(B25,'④前置信息-大固定-包含了工资和总经理'!B:V,21,0),0)</f>
        <v>0</v>
      </c>
      <c r="Q25" s="4">
        <f t="shared" si="1"/>
        <v>0</v>
      </c>
      <c r="R25" s="4">
        <f>IF(P25=0,0,IF(L25&gt;VLOOKUP(B25,'④前置信息-大固定-包含了工资和总经理'!B:W,22,0),"yes",0))</f>
        <v>0</v>
      </c>
      <c r="S25" s="4">
        <f>IF(O25=0,0,IF(O25&gt;=VLOOKUP(B25,'④前置信息-大固定-包含了工资和总经理'!B:W,22,0),1,0))</f>
        <v>0</v>
      </c>
      <c r="T25" s="4">
        <f>IF(O25=0,0,IF(O25&gt;=VLOOKUP(B25,'④前置信息-大固定-包含了工资和总经理'!B:X,23,0),1,0))</f>
        <v>0</v>
      </c>
      <c r="U25" s="13">
        <f>IF(R25="yes",IF(AND(S25=1,T25=0),VLOOKUP(B25,'④前置信息-大固定-包含了工资和总经理'!B:X,22,0)*$V$2+(O25-VLOOKUP(B25,'④前置信息-大固定-包含了工资和总经理'!B:X,22,0))*$V$3,IF(R25="yes",VLOOKUP(B25,'④前置信息-大固定-包含了工资和总经理'!B:X,22,0)*$V$2+((VLOOKUP(B25,'④前置信息-大固定-包含了工资和总经理'!B:X,23,0)-VLOOKUP(B25,'④前置信息-大固定-包含了工资和总经理'!B:X,22,0)))*$V$3+(O25-VLOOKUP(B25,'④前置信息-大固定-包含了工资和总经理'!B:X,23,0))*$V$4,2)),0)</f>
        <v>0</v>
      </c>
      <c r="V25" s="56">
        <f>IF(R25="yes",IF(AND(S25=0,T25=0),O25*$V$2,IF(R25="yes",IF(AND(S25=1,T25=0),VLOOKUP(B25,'④前置信息-大固定-包含了工资和总经理'!B:X,22,0)*$V$2+(O25-VLOOKUP(B25,'④前置信息-大固定-包含了工资和总经理'!B:X,22,0))*$V$3,IF(R25="yes",VLOOKUP(B25,'④前置信息-大固定-包含了工资和总经理'!B:X,22,0)*$V$2+((VLOOKUP(B25,'④前置信息-大固定-包含了工资和总经理'!B:X,23,0)-VLOOKUP(B25,'④前置信息-大固定-包含了工资和总经理'!B:X,22,0)))*$V$3+(O25-VLOOKUP(B25,'④前置信息-大固定-包含了工资和总经理'!B:X,23,0))*$V$4,2)),0)),0)</f>
        <v>0</v>
      </c>
    </row>
    <row r="26" spans="1:22" x14ac:dyDescent="0.15">
      <c r="A26" s="4" t="s">
        <v>139</v>
      </c>
      <c r="B26" s="4" t="s">
        <v>26</v>
      </c>
      <c r="C26" s="4" t="s">
        <v>4</v>
      </c>
      <c r="D26" s="12" t="s">
        <v>291</v>
      </c>
      <c r="E26" s="4" t="s">
        <v>188</v>
      </c>
      <c r="F26" s="4" t="s">
        <v>81</v>
      </c>
      <c r="G26" s="4" t="s">
        <v>189</v>
      </c>
      <c r="H26" s="4">
        <f>IFERROR(VLOOKUP(B26,'④前置信息-大固定-包含了工资和总经理'!B:E,4,0),0)</f>
        <v>0</v>
      </c>
      <c r="I26" s="4">
        <f>IFERROR(VLOOKUP(B26,'④前置信息-大固定-包含了工资和总经理'!B:F,5,0),0)</f>
        <v>0</v>
      </c>
      <c r="J26" s="4" t="str">
        <f>IFERROR(VLOOKUP(B26,'④前置信息-大固定-包含了工资和总经理'!B:D,3,0),0)</f>
        <v>B类</v>
      </c>
      <c r="K26" s="4">
        <f>IFERROR(VLOOKUP(B26,'④前置信息-大固定-包含了工资和总经理'!B:G,6,0),0)</f>
        <v>150000</v>
      </c>
      <c r="L26" s="4">
        <f>IFERROR(VLOOKUP(B26,②当月数据及门店毛利!B:C,2,0),0)</f>
        <v>100934</v>
      </c>
      <c r="M26" s="4">
        <f>IFERROR(VLOOKUP(B26,②当月数据及门店毛利!B:D,3,0),0)</f>
        <v>120573.32</v>
      </c>
      <c r="N26" s="8">
        <f>IFERROR(VLOOKUP(B26,②当月数据及门店毛利!B:E,4,0),0)</f>
        <v>183</v>
      </c>
      <c r="O26" s="8">
        <f>IFERROR(IF(P26=0,0,VLOOKUP(B26,②当月数据及门店毛利!B:N,13,0)),0)</f>
        <v>89096.790000000008</v>
      </c>
      <c r="P26" s="8" t="str">
        <f>IFERROR(VLOOKUP(B26,'④前置信息-大固定-包含了工资和总经理'!B:V,21,0),0)</f>
        <v>王桂明</v>
      </c>
      <c r="Q26" s="4">
        <f t="shared" si="1"/>
        <v>4000</v>
      </c>
      <c r="R26" s="4">
        <f>IF(P26=0,0,IF(L26&gt;VLOOKUP(B26,'④前置信息-大固定-包含了工资和总经理'!B:W,22,0),"yes",0))</f>
        <v>0</v>
      </c>
      <c r="S26" s="4">
        <f>IF(O26=0,0,IF(O26&gt;=VLOOKUP(B26,'④前置信息-大固定-包含了工资和总经理'!B:W,22,0),1,0))</f>
        <v>0</v>
      </c>
      <c r="T26" s="4">
        <f>IF(O26=0,0,IF(O26&gt;=VLOOKUP(B26,'④前置信息-大固定-包含了工资和总经理'!B:X,23,0),1,0))</f>
        <v>0</v>
      </c>
      <c r="U26" s="13">
        <f>IF(R26="yes",IF(AND(S26=1,T26=0),VLOOKUP(B26,'④前置信息-大固定-包含了工资和总经理'!B:X,22,0)*$V$2+(O26-VLOOKUP(B26,'④前置信息-大固定-包含了工资和总经理'!B:X,22,0))*$V$3,IF(R26="yes",VLOOKUP(B26,'④前置信息-大固定-包含了工资和总经理'!B:X,22,0)*$V$2+((VLOOKUP(B26,'④前置信息-大固定-包含了工资和总经理'!B:X,23,0)-VLOOKUP(B26,'④前置信息-大固定-包含了工资和总经理'!B:X,22,0)))*$V$3+(O26-VLOOKUP(B26,'④前置信息-大固定-包含了工资和总经理'!B:X,23,0))*$V$4,2)),0)</f>
        <v>0</v>
      </c>
      <c r="V26" s="56">
        <f>IF(R26="yes",IF(AND(S26=0,T26=0),O26*$V$2,IF(R26="yes",IF(AND(S26=1,T26=0),VLOOKUP(B26,'④前置信息-大固定-包含了工资和总经理'!B:X,22,0)*$V$2+(O26-VLOOKUP(B26,'④前置信息-大固定-包含了工资和总经理'!B:X,22,0))*$V$3,IF(R26="yes",VLOOKUP(B26,'④前置信息-大固定-包含了工资和总经理'!B:X,22,0)*$V$2+((VLOOKUP(B26,'④前置信息-大固定-包含了工资和总经理'!B:X,23,0)-VLOOKUP(B26,'④前置信息-大固定-包含了工资和总经理'!B:X,22,0)))*$V$3+(O26-VLOOKUP(B26,'④前置信息-大固定-包含了工资和总经理'!B:X,23,0))*$V$4,2)),0)),0)</f>
        <v>0</v>
      </c>
    </row>
    <row r="27" spans="1:22" x14ac:dyDescent="0.15">
      <c r="A27" s="4" t="s">
        <v>140</v>
      </c>
      <c r="B27" s="4" t="s">
        <v>56</v>
      </c>
      <c r="C27" s="4" t="s">
        <v>28</v>
      </c>
      <c r="D27" s="4" t="str">
        <f>IFERROR(VLOOKUP(C27,③工资核算浮动条件设置①!P:Q,2,0),"")</f>
        <v>方案二</v>
      </c>
      <c r="E27" s="4" t="s">
        <v>190</v>
      </c>
      <c r="F27" s="4" t="s">
        <v>81</v>
      </c>
      <c r="G27" s="4" t="s">
        <v>191</v>
      </c>
      <c r="H27" s="4">
        <f>IFERROR(VLOOKUP(B27,'④前置信息-大固定-包含了工资和总经理'!B:E,4,0),0)</f>
        <v>0</v>
      </c>
      <c r="I27" s="4">
        <f>IFERROR(VLOOKUP(B27,'④前置信息-大固定-包含了工资和总经理'!B:F,5,0),0)</f>
        <v>0</v>
      </c>
      <c r="J27" s="4" t="str">
        <f>IFERROR(VLOOKUP(B27,'④前置信息-大固定-包含了工资和总经理'!B:D,3,0),0)</f>
        <v>B类</v>
      </c>
      <c r="K27" s="4">
        <f>IFERROR(VLOOKUP(B27,'④前置信息-大固定-包含了工资和总经理'!B:G,6,0),0)</f>
        <v>150000</v>
      </c>
      <c r="L27" s="4">
        <f>IFERROR(VLOOKUP(B27,②当月数据及门店毛利!B:C,2,0),0)</f>
        <v>151129</v>
      </c>
      <c r="M27" s="4">
        <f>IFERROR(VLOOKUP(B27,②当月数据及门店毛利!B:D,3,0),0)</f>
        <v>112580.75</v>
      </c>
      <c r="N27" s="8">
        <f>IFERROR(VLOOKUP(B27,②当月数据及门店毛利!B:E,4,0),0)</f>
        <v>164</v>
      </c>
      <c r="O27" s="8">
        <f>IFERROR(IF(P27=0,0,VLOOKUP(B27,②当月数据及门店毛利!B:N,13,0)),0)</f>
        <v>0</v>
      </c>
      <c r="P27" s="8">
        <f>IFERROR(VLOOKUP(B27,'④前置信息-大固定-包含了工资和总经理'!B:V,21,0),0)</f>
        <v>0</v>
      </c>
      <c r="Q27" s="4">
        <f t="shared" si="1"/>
        <v>0</v>
      </c>
      <c r="R27" s="4">
        <f>IF(P27=0,0,IF(L27&gt;VLOOKUP(B27,'④前置信息-大固定-包含了工资和总经理'!B:W,22,0),"yes",0))</f>
        <v>0</v>
      </c>
      <c r="S27" s="4">
        <f>IF(O27=0,0,IF(O27&gt;=VLOOKUP(B27,'④前置信息-大固定-包含了工资和总经理'!B:W,22,0),1,0))</f>
        <v>0</v>
      </c>
      <c r="T27" s="4">
        <f>IF(O27=0,0,IF(O27&gt;=VLOOKUP(B27,'④前置信息-大固定-包含了工资和总经理'!B:X,23,0),1,0))</f>
        <v>0</v>
      </c>
      <c r="U27" s="13">
        <f>IF(R27="yes",IF(AND(S27=1,T27=0),VLOOKUP(B27,'④前置信息-大固定-包含了工资和总经理'!B:X,22,0)*$V$2+(O27-VLOOKUP(B27,'④前置信息-大固定-包含了工资和总经理'!B:X,22,0))*$V$3,IF(R27="yes",VLOOKUP(B27,'④前置信息-大固定-包含了工资和总经理'!B:X,22,0)*$V$2+((VLOOKUP(B27,'④前置信息-大固定-包含了工资和总经理'!B:X,23,0)-VLOOKUP(B27,'④前置信息-大固定-包含了工资和总经理'!B:X,22,0)))*$V$3+(O27-VLOOKUP(B27,'④前置信息-大固定-包含了工资和总经理'!B:X,23,0))*$V$4,2)),0)</f>
        <v>0</v>
      </c>
      <c r="V27" s="56">
        <f>IF(R27="yes",IF(AND(S27=0,T27=0),O27*$V$2,IF(R27="yes",IF(AND(S27=1,T27=0),VLOOKUP(B27,'④前置信息-大固定-包含了工资和总经理'!B:X,22,0)*$V$2+(O27-VLOOKUP(B27,'④前置信息-大固定-包含了工资和总经理'!B:X,22,0))*$V$3,IF(R27="yes",VLOOKUP(B27,'④前置信息-大固定-包含了工资和总经理'!B:X,22,0)*$V$2+((VLOOKUP(B27,'④前置信息-大固定-包含了工资和总经理'!B:X,23,0)-VLOOKUP(B27,'④前置信息-大固定-包含了工资和总经理'!B:X,22,0)))*$V$3+(O27-VLOOKUP(B27,'④前置信息-大固定-包含了工资和总经理'!B:X,23,0))*$V$4,2)),0)),0)</f>
        <v>0</v>
      </c>
    </row>
    <row r="28" spans="1:22" x14ac:dyDescent="0.15">
      <c r="A28" s="4" t="s">
        <v>141</v>
      </c>
      <c r="B28" s="4" t="s">
        <v>52</v>
      </c>
      <c r="C28" s="4" t="s">
        <v>24</v>
      </c>
      <c r="D28" s="4" t="str">
        <f>IFERROR(VLOOKUP(C28,③工资核算浮动条件设置①!P:Q,2,0),"")</f>
        <v>方案二</v>
      </c>
      <c r="E28" s="4" t="s">
        <v>188</v>
      </c>
      <c r="F28" s="4" t="s">
        <v>81</v>
      </c>
      <c r="G28" s="4" t="s">
        <v>191</v>
      </c>
      <c r="H28" s="4">
        <f>IFERROR(VLOOKUP(B28,'④前置信息-大固定-包含了工资和总经理'!B:E,4,0),0)</f>
        <v>0</v>
      </c>
      <c r="I28" s="4">
        <f>IFERROR(VLOOKUP(B28,'④前置信息-大固定-包含了工资和总经理'!B:F,5,0),0)</f>
        <v>0</v>
      </c>
      <c r="J28" s="4" t="str">
        <f>IFERROR(VLOOKUP(B28,'④前置信息-大固定-包含了工资和总经理'!B:D,3,0),0)</f>
        <v>C类</v>
      </c>
      <c r="K28" s="4">
        <f>IFERROR(VLOOKUP(B28,'④前置信息-大固定-包含了工资和总经理'!B:G,6,0),0)</f>
        <v>120000</v>
      </c>
      <c r="L28" s="4">
        <f>IFERROR(VLOOKUP(B28,②当月数据及门店毛利!B:C,2,0),0)</f>
        <v>143757</v>
      </c>
      <c r="M28" s="4">
        <f>IFERROR(VLOOKUP(B28,②当月数据及门店毛利!B:D,3,0),0)</f>
        <v>100865.33</v>
      </c>
      <c r="N28" s="8">
        <f>IFERROR(VLOOKUP(B28,②当月数据及门店毛利!B:E,4,0),0)</f>
        <v>156</v>
      </c>
      <c r="O28" s="8">
        <f>IFERROR(IF(P28=0,0,VLOOKUP(B28,②当月数据及门店毛利!B:N,13,0)),0)</f>
        <v>0</v>
      </c>
      <c r="P28" s="8">
        <f>IFERROR(VLOOKUP(B28,'④前置信息-大固定-包含了工资和总经理'!B:V,21,0),0)</f>
        <v>0</v>
      </c>
      <c r="Q28" s="4">
        <f t="shared" si="1"/>
        <v>0</v>
      </c>
      <c r="R28" s="4">
        <f>IF(P28=0,0,IF(L28&gt;VLOOKUP(B28,'④前置信息-大固定-包含了工资和总经理'!B:W,22,0),"yes",0))</f>
        <v>0</v>
      </c>
      <c r="S28" s="4">
        <f>IF(O28=0,0,IF(O28&gt;=VLOOKUP(B28,'④前置信息-大固定-包含了工资和总经理'!B:W,22,0),1,0))</f>
        <v>0</v>
      </c>
      <c r="T28" s="4">
        <f>IF(O28=0,0,IF(O28&gt;=VLOOKUP(B28,'④前置信息-大固定-包含了工资和总经理'!B:X,23,0),1,0))</f>
        <v>0</v>
      </c>
      <c r="U28" s="13">
        <f>IF(R28="yes",IF(AND(S28=1,T28=0),VLOOKUP(B28,'④前置信息-大固定-包含了工资和总经理'!B:X,22,0)*$V$2+(O28-VLOOKUP(B28,'④前置信息-大固定-包含了工资和总经理'!B:X,22,0))*$V$3,IF(R28="yes",VLOOKUP(B28,'④前置信息-大固定-包含了工资和总经理'!B:X,22,0)*$V$2+((VLOOKUP(B28,'④前置信息-大固定-包含了工资和总经理'!B:X,23,0)-VLOOKUP(B28,'④前置信息-大固定-包含了工资和总经理'!B:X,22,0)))*$V$3+(O28-VLOOKUP(B28,'④前置信息-大固定-包含了工资和总经理'!B:X,23,0))*$V$4,2)),0)</f>
        <v>0</v>
      </c>
      <c r="V28" s="56">
        <f>IF(R28="yes",IF(AND(S28=0,T28=0),O28*$V$2,IF(R28="yes",IF(AND(S28=1,T28=0),VLOOKUP(B28,'④前置信息-大固定-包含了工资和总经理'!B:X,22,0)*$V$2+(O28-VLOOKUP(B28,'④前置信息-大固定-包含了工资和总经理'!B:X,22,0))*$V$3,IF(R28="yes",VLOOKUP(B28,'④前置信息-大固定-包含了工资和总经理'!B:X,22,0)*$V$2+((VLOOKUP(B28,'④前置信息-大固定-包含了工资和总经理'!B:X,23,0)-VLOOKUP(B28,'④前置信息-大固定-包含了工资和总经理'!B:X,22,0)))*$V$3+(O28-VLOOKUP(B28,'④前置信息-大固定-包含了工资和总经理'!B:X,23,0))*$V$4,2)),0)),0)</f>
        <v>0</v>
      </c>
    </row>
    <row r="29" spans="1:22" x14ac:dyDescent="0.15">
      <c r="A29" s="4" t="s">
        <v>142</v>
      </c>
      <c r="B29" s="4" t="s">
        <v>38</v>
      </c>
      <c r="C29" s="4" t="s">
        <v>21</v>
      </c>
      <c r="D29" s="4" t="str">
        <f>IFERROR(VLOOKUP(C29,③工资核算浮动条件设置①!P:Q,2,0),"")</f>
        <v>方案一</v>
      </c>
      <c r="E29" s="4" t="s">
        <v>188</v>
      </c>
      <c r="F29" s="4" t="s">
        <v>90</v>
      </c>
      <c r="G29" s="4" t="s">
        <v>189</v>
      </c>
      <c r="H29" s="4">
        <f>IFERROR(VLOOKUP(B29,'④前置信息-大固定-包含了工资和总经理'!B:E,4,0),0)</f>
        <v>0</v>
      </c>
      <c r="I29" s="4">
        <f>IFERROR(VLOOKUP(B29,'④前置信息-大固定-包含了工资和总经理'!B:F,5,0),0)</f>
        <v>0</v>
      </c>
      <c r="J29" s="4" t="str">
        <f>IFERROR(VLOOKUP(B29,'④前置信息-大固定-包含了工资和总经理'!B:D,3,0),0)</f>
        <v>B类</v>
      </c>
      <c r="K29" s="4">
        <f>IFERROR(VLOOKUP(B29,'④前置信息-大固定-包含了工资和总经理'!B:G,6,0),0)</f>
        <v>150000</v>
      </c>
      <c r="L29" s="4">
        <f>IFERROR(VLOOKUP(B29,②当月数据及门店毛利!B:C,2,0),0)</f>
        <v>150422</v>
      </c>
      <c r="M29" s="4">
        <f>IFERROR(VLOOKUP(B29,②当月数据及门店毛利!B:D,3,0),0)</f>
        <v>103361.72</v>
      </c>
      <c r="N29" s="8">
        <f>IFERROR(VLOOKUP(B29,②当月数据及门店毛利!B:E,4,0),0)</f>
        <v>111</v>
      </c>
      <c r="O29" s="8">
        <f>IFERROR(IF(P29=0,0,VLOOKUP(B29,②当月数据及门店毛利!B:N,13,0)),0)</f>
        <v>0</v>
      </c>
      <c r="P29" s="8">
        <f>IFERROR(VLOOKUP(B29,'④前置信息-大固定-包含了工资和总经理'!B:V,21,0),0)</f>
        <v>0</v>
      </c>
      <c r="Q29" s="4">
        <f t="shared" si="1"/>
        <v>0</v>
      </c>
      <c r="R29" s="4">
        <f>IF(P29=0,0,IF(L29&gt;VLOOKUP(B29,'④前置信息-大固定-包含了工资和总经理'!B:W,22,0),"yes",0))</f>
        <v>0</v>
      </c>
      <c r="S29" s="4">
        <f>IF(O29=0,0,IF(O29&gt;=VLOOKUP(B29,'④前置信息-大固定-包含了工资和总经理'!B:W,22,0),1,0))</f>
        <v>0</v>
      </c>
      <c r="T29" s="4">
        <f>IF(O29=0,0,IF(O29&gt;=VLOOKUP(B29,'④前置信息-大固定-包含了工资和总经理'!B:X,23,0),1,0))</f>
        <v>0</v>
      </c>
      <c r="U29" s="13">
        <f>IF(R29="yes",IF(AND(S29=1,T29=0),VLOOKUP(B29,'④前置信息-大固定-包含了工资和总经理'!B:X,22,0)*$V$2+(O29-VLOOKUP(B29,'④前置信息-大固定-包含了工资和总经理'!B:X,22,0))*$V$3,IF(R29="yes",VLOOKUP(B29,'④前置信息-大固定-包含了工资和总经理'!B:X,22,0)*$V$2+((VLOOKUP(B29,'④前置信息-大固定-包含了工资和总经理'!B:X,23,0)-VLOOKUP(B29,'④前置信息-大固定-包含了工资和总经理'!B:X,22,0)))*$V$3+(O29-VLOOKUP(B29,'④前置信息-大固定-包含了工资和总经理'!B:X,23,0))*$V$4,2)),0)</f>
        <v>0</v>
      </c>
      <c r="V29" s="56">
        <f>IF(R29="yes",IF(AND(S29=0,T29=0),O29*$V$2,IF(R29="yes",IF(AND(S29=1,T29=0),VLOOKUP(B29,'④前置信息-大固定-包含了工资和总经理'!B:X,22,0)*$V$2+(O29-VLOOKUP(B29,'④前置信息-大固定-包含了工资和总经理'!B:X,22,0))*$V$3,IF(R29="yes",VLOOKUP(B29,'④前置信息-大固定-包含了工资和总经理'!B:X,22,0)*$V$2+((VLOOKUP(B29,'④前置信息-大固定-包含了工资和总经理'!B:X,23,0)-VLOOKUP(B29,'④前置信息-大固定-包含了工资和总经理'!B:X,22,0)))*$V$3+(O29-VLOOKUP(B29,'④前置信息-大固定-包含了工资和总经理'!B:X,23,0))*$V$4,2)),0)),0)</f>
        <v>0</v>
      </c>
    </row>
    <row r="30" spans="1:22" x14ac:dyDescent="0.15">
      <c r="A30" s="4" t="s">
        <v>143</v>
      </c>
      <c r="B30" s="4" t="s">
        <v>55</v>
      </c>
      <c r="C30" s="4" t="s">
        <v>28</v>
      </c>
      <c r="D30" s="4" t="str">
        <f>IFERROR(VLOOKUP(C30,③工资核算浮动条件设置①!P:Q,2,0),"")</f>
        <v>方案二</v>
      </c>
      <c r="E30" s="4" t="s">
        <v>190</v>
      </c>
      <c r="F30" s="4" t="s">
        <v>81</v>
      </c>
      <c r="G30" s="4" t="s">
        <v>191</v>
      </c>
      <c r="H30" s="4">
        <f>IFERROR(VLOOKUP(B30,'④前置信息-大固定-包含了工资和总经理'!B:E,4,0),0)</f>
        <v>0</v>
      </c>
      <c r="I30" s="4">
        <f>IFERROR(VLOOKUP(B30,'④前置信息-大固定-包含了工资和总经理'!B:F,5,0),0)</f>
        <v>0</v>
      </c>
      <c r="J30" s="4" t="str">
        <f>IFERROR(VLOOKUP(B30,'④前置信息-大固定-包含了工资和总经理'!B:D,3,0),0)</f>
        <v>A类</v>
      </c>
      <c r="K30" s="4">
        <f>IFERROR(VLOOKUP(B30,'④前置信息-大固定-包含了工资和总经理'!B:G,6,0),0)</f>
        <v>180000</v>
      </c>
      <c r="L30" s="4">
        <f>IFERROR(VLOOKUP(B30,②当月数据及门店毛利!B:C,2,0),0)</f>
        <v>180307.8</v>
      </c>
      <c r="M30" s="4">
        <f>IFERROR(VLOOKUP(B30,②当月数据及门店毛利!B:D,3,0),0)</f>
        <v>89092.800000000003</v>
      </c>
      <c r="N30" s="8">
        <f>IFERROR(VLOOKUP(B30,②当月数据及门店毛利!B:E,4,0),0)</f>
        <v>154</v>
      </c>
      <c r="O30" s="8">
        <f>IFERROR(IF(P30=0,0,VLOOKUP(B30,②当月数据及门店毛利!B:N,13,0)),0)</f>
        <v>0</v>
      </c>
      <c r="P30" s="8">
        <f>IFERROR(VLOOKUP(B30,'④前置信息-大固定-包含了工资和总经理'!B:V,21,0),0)</f>
        <v>0</v>
      </c>
      <c r="Q30" s="4">
        <f t="shared" si="1"/>
        <v>0</v>
      </c>
      <c r="R30" s="4">
        <f>IF(P30=0,0,IF(L30&gt;VLOOKUP(B30,'④前置信息-大固定-包含了工资和总经理'!B:W,22,0),"yes",0))</f>
        <v>0</v>
      </c>
      <c r="S30" s="4">
        <f>IF(O30=0,0,IF(O30&gt;=VLOOKUP(B30,'④前置信息-大固定-包含了工资和总经理'!B:W,22,0),1,0))</f>
        <v>0</v>
      </c>
      <c r="T30" s="4">
        <f>IF(O30=0,0,IF(O30&gt;=VLOOKUP(B30,'④前置信息-大固定-包含了工资和总经理'!B:X,23,0),1,0))</f>
        <v>0</v>
      </c>
      <c r="U30" s="13">
        <f>IF(R30="yes",IF(AND(S30=1,T30=0),VLOOKUP(B30,'④前置信息-大固定-包含了工资和总经理'!B:X,22,0)*$V$2+(O30-VLOOKUP(B30,'④前置信息-大固定-包含了工资和总经理'!B:X,22,0))*$V$3,IF(R30="yes",VLOOKUP(B30,'④前置信息-大固定-包含了工资和总经理'!B:X,22,0)*$V$2+((VLOOKUP(B30,'④前置信息-大固定-包含了工资和总经理'!B:X,23,0)-VLOOKUP(B30,'④前置信息-大固定-包含了工资和总经理'!B:X,22,0)))*$V$3+(O30-VLOOKUP(B30,'④前置信息-大固定-包含了工资和总经理'!B:X,23,0))*$V$4,2)),0)</f>
        <v>0</v>
      </c>
      <c r="V30" s="56">
        <f>IF(R30="yes",IF(AND(S30=0,T30=0),O30*$V$2,IF(R30="yes",IF(AND(S30=1,T30=0),VLOOKUP(B30,'④前置信息-大固定-包含了工资和总经理'!B:X,22,0)*$V$2+(O30-VLOOKUP(B30,'④前置信息-大固定-包含了工资和总经理'!B:X,22,0))*$V$3,IF(R30="yes",VLOOKUP(B30,'④前置信息-大固定-包含了工资和总经理'!B:X,22,0)*$V$2+((VLOOKUP(B30,'④前置信息-大固定-包含了工资和总经理'!B:X,23,0)-VLOOKUP(B30,'④前置信息-大固定-包含了工资和总经理'!B:X,22,0)))*$V$3+(O30-VLOOKUP(B30,'④前置信息-大固定-包含了工资和总经理'!B:X,23,0))*$V$4,2)),0)),0)</f>
        <v>0</v>
      </c>
    </row>
    <row r="31" spans="1:22" x14ac:dyDescent="0.15">
      <c r="A31" s="4" t="s">
        <v>144</v>
      </c>
      <c r="B31" s="4" t="s">
        <v>45</v>
      </c>
      <c r="C31" s="4" t="s">
        <v>22</v>
      </c>
      <c r="D31" s="4" t="str">
        <f>IFERROR(VLOOKUP(C31,③工资核算浮动条件设置①!P:Q,2,0),"")</f>
        <v>方案一</v>
      </c>
      <c r="E31" s="4" t="s">
        <v>188</v>
      </c>
      <c r="F31" s="4" t="s">
        <v>90</v>
      </c>
      <c r="G31" s="4" t="s">
        <v>189</v>
      </c>
      <c r="H31" s="4">
        <f>IFERROR(VLOOKUP(B31,'④前置信息-大固定-包含了工资和总经理'!B:E,4,0),0)</f>
        <v>0</v>
      </c>
      <c r="I31" s="4">
        <f>IFERROR(VLOOKUP(B31,'④前置信息-大固定-包含了工资和总经理'!B:F,5,0),0)</f>
        <v>0</v>
      </c>
      <c r="J31" s="4" t="str">
        <f>IFERROR(VLOOKUP(B31,'④前置信息-大固定-包含了工资和总经理'!B:D,3,0),0)</f>
        <v>A类</v>
      </c>
      <c r="K31" s="4">
        <f>IFERROR(VLOOKUP(B31,'④前置信息-大固定-包含了工资和总经理'!B:G,6,0),0)</f>
        <v>180000</v>
      </c>
      <c r="L31" s="4">
        <f>IFERROR(VLOOKUP(B31,②当月数据及门店毛利!B:C,2,0),0)</f>
        <v>139022</v>
      </c>
      <c r="M31" s="4">
        <f>IFERROR(VLOOKUP(B31,②当月数据及门店毛利!B:D,3,0),0)</f>
        <v>127157.72</v>
      </c>
      <c r="N31" s="8">
        <f>IFERROR(VLOOKUP(B31,②当月数据及门店毛利!B:E,4,0),0)</f>
        <v>191</v>
      </c>
      <c r="O31" s="8">
        <f>IFERROR(IF(P31=0,0,VLOOKUP(B31,②当月数据及门店毛利!B:N,13,0)),0)</f>
        <v>119475.67</v>
      </c>
      <c r="P31" s="8" t="str">
        <f>IFERROR(VLOOKUP(B31,'④前置信息-大固定-包含了工资和总经理'!B:V,21,0),0)</f>
        <v>肖静梅</v>
      </c>
      <c r="Q31" s="4">
        <v>0</v>
      </c>
      <c r="R31" s="4">
        <f>IF(P31=0,0,IF(L31&gt;VLOOKUP(B31,'④前置信息-大固定-包含了工资和总经理'!B:W,22,0),"yes",0))</f>
        <v>0</v>
      </c>
      <c r="S31" s="4">
        <f>IF(O31=0,0,IF(O31&gt;=VLOOKUP(B31,'④前置信息-大固定-包含了工资和总经理'!B:W,22,0),1,0))</f>
        <v>0</v>
      </c>
      <c r="T31" s="4">
        <f>IF(O31=0,0,IF(O31&gt;=VLOOKUP(B31,'④前置信息-大固定-包含了工资和总经理'!B:X,23,0),1,0))</f>
        <v>0</v>
      </c>
      <c r="U31" s="13">
        <f>IF(R31="yes",IF(AND(S31=1,T31=0),VLOOKUP(B31,'④前置信息-大固定-包含了工资和总经理'!B:X,22,0)*$V$2+(O31-VLOOKUP(B31,'④前置信息-大固定-包含了工资和总经理'!B:X,22,0))*$V$3,IF(R31="yes",VLOOKUP(B31,'④前置信息-大固定-包含了工资和总经理'!B:X,22,0)*$V$2+((VLOOKUP(B31,'④前置信息-大固定-包含了工资和总经理'!B:X,23,0)-VLOOKUP(B31,'④前置信息-大固定-包含了工资和总经理'!B:X,22,0)))*$V$3+(O31-VLOOKUP(B31,'④前置信息-大固定-包含了工资和总经理'!B:X,23,0))*$V$4,2)),0)</f>
        <v>0</v>
      </c>
      <c r="V31" s="56">
        <f>IF(R31="yes",IF(AND(S31=0,T31=0),O31*$V$2,IF(R31="yes",IF(AND(S31=1,T31=0),VLOOKUP(B31,'④前置信息-大固定-包含了工资和总经理'!B:X,22,0)*$V$2+(O31-VLOOKUP(B31,'④前置信息-大固定-包含了工资和总经理'!B:X,22,0))*$V$3,IF(R31="yes",VLOOKUP(B31,'④前置信息-大固定-包含了工资和总经理'!B:X,22,0)*$V$2+((VLOOKUP(B31,'④前置信息-大固定-包含了工资和总经理'!B:X,23,0)-VLOOKUP(B31,'④前置信息-大固定-包含了工资和总经理'!B:X,22,0)))*$V$3+(O31-VLOOKUP(B31,'④前置信息-大固定-包含了工资和总经理'!B:X,23,0))*$V$4,2)),0)),0)</f>
        <v>0</v>
      </c>
    </row>
    <row r="32" spans="1:22" x14ac:dyDescent="0.15">
      <c r="A32" s="4" t="s">
        <v>145</v>
      </c>
      <c r="B32" s="4" t="s">
        <v>32</v>
      </c>
      <c r="C32" s="4" t="s">
        <v>17</v>
      </c>
      <c r="D32" s="4" t="str">
        <f>IFERROR(VLOOKUP(C32,③工资核算浮动条件设置①!P:Q,2,0),"")</f>
        <v>方案三</v>
      </c>
      <c r="E32" s="4" t="s">
        <v>190</v>
      </c>
      <c r="F32" s="4" t="s">
        <v>90</v>
      </c>
      <c r="G32" s="4" t="s">
        <v>191</v>
      </c>
      <c r="H32" s="4">
        <f>IFERROR(VLOOKUP(B32,'④前置信息-大固定-包含了工资和总经理'!B:E,4,0),0)</f>
        <v>0</v>
      </c>
      <c r="I32" s="4">
        <f>IFERROR(VLOOKUP(B32,'④前置信息-大固定-包含了工资和总经理'!B:F,5,0),0)</f>
        <v>0</v>
      </c>
      <c r="J32" s="4" t="str">
        <f>IFERROR(VLOOKUP(B32,'④前置信息-大固定-包含了工资和总经理'!B:D,3,0),0)</f>
        <v>C类</v>
      </c>
      <c r="K32" s="4">
        <f>IFERROR(VLOOKUP(B32,'④前置信息-大固定-包含了工资和总经理'!B:G,6,0),0)</f>
        <v>120000</v>
      </c>
      <c r="L32" s="4">
        <f>IFERROR(VLOOKUP(B32,②当月数据及门店毛利!B:C,2,0),0)</f>
        <v>120949.6</v>
      </c>
      <c r="M32" s="4">
        <f>IFERROR(VLOOKUP(B32,②当月数据及门店毛利!B:D,3,0),0)</f>
        <v>82307.44</v>
      </c>
      <c r="N32" s="8">
        <f>IFERROR(VLOOKUP(B32,②当月数据及门店毛利!B:E,4,0),0)</f>
        <v>149</v>
      </c>
      <c r="O32" s="8">
        <f>IFERROR(IF(P32=0,0,VLOOKUP(B32,②当月数据及门店毛利!B:N,13,0)),0)</f>
        <v>0</v>
      </c>
      <c r="P32" s="8">
        <f>IFERROR(VLOOKUP(B32,'④前置信息-大固定-包含了工资和总经理'!B:V,21,0),0)</f>
        <v>0</v>
      </c>
      <c r="Q32" s="4">
        <f t="shared" si="1"/>
        <v>0</v>
      </c>
      <c r="R32" s="4">
        <f>IF(P32=0,0,IF(L32&gt;VLOOKUP(B32,'④前置信息-大固定-包含了工资和总经理'!B:W,22,0),"yes",0))</f>
        <v>0</v>
      </c>
      <c r="S32" s="4">
        <f>IF(O32=0,0,IF(O32&gt;=VLOOKUP(B32,'④前置信息-大固定-包含了工资和总经理'!B:W,22,0),1,0))</f>
        <v>0</v>
      </c>
      <c r="T32" s="4">
        <f>IF(O32=0,0,IF(O32&gt;=VLOOKUP(B32,'④前置信息-大固定-包含了工资和总经理'!B:X,23,0),1,0))</f>
        <v>0</v>
      </c>
      <c r="U32" s="13">
        <f>IF(R32="yes",IF(AND(S32=1,T32=0),VLOOKUP(B32,'④前置信息-大固定-包含了工资和总经理'!B:X,22,0)*$V$2+(O32-VLOOKUP(B32,'④前置信息-大固定-包含了工资和总经理'!B:X,22,0))*$V$3,IF(R32="yes",VLOOKUP(B32,'④前置信息-大固定-包含了工资和总经理'!B:X,22,0)*$V$2+((VLOOKUP(B32,'④前置信息-大固定-包含了工资和总经理'!B:X,23,0)-VLOOKUP(B32,'④前置信息-大固定-包含了工资和总经理'!B:X,22,0)))*$V$3+(O32-VLOOKUP(B32,'④前置信息-大固定-包含了工资和总经理'!B:X,23,0))*$V$4,2)),0)</f>
        <v>0</v>
      </c>
      <c r="V32" s="56">
        <f>IF(R32="yes",IF(AND(S32=0,T32=0),O32*$V$2,IF(R32="yes",IF(AND(S32=1,T32=0),VLOOKUP(B32,'④前置信息-大固定-包含了工资和总经理'!B:X,22,0)*$V$2+(O32-VLOOKUP(B32,'④前置信息-大固定-包含了工资和总经理'!B:X,22,0))*$V$3,IF(R32="yes",VLOOKUP(B32,'④前置信息-大固定-包含了工资和总经理'!B:X,22,0)*$V$2+((VLOOKUP(B32,'④前置信息-大固定-包含了工资和总经理'!B:X,23,0)-VLOOKUP(B32,'④前置信息-大固定-包含了工资和总经理'!B:X,22,0)))*$V$3+(O32-VLOOKUP(B32,'④前置信息-大固定-包含了工资和总经理'!B:X,23,0))*$V$4,2)),0)),0)</f>
        <v>0</v>
      </c>
    </row>
    <row r="33" spans="1:22" x14ac:dyDescent="0.15">
      <c r="A33" s="4" t="s">
        <v>146</v>
      </c>
      <c r="B33" s="4" t="s">
        <v>29</v>
      </c>
      <c r="C33" s="4" t="s">
        <v>4</v>
      </c>
      <c r="D33" s="4" t="str">
        <f>IFERROR(VLOOKUP(C33,③工资核算浮动条件设置①!P:Q,2,0),"")</f>
        <v>方案一</v>
      </c>
      <c r="E33" s="4" t="s">
        <v>188</v>
      </c>
      <c r="F33" s="4" t="s">
        <v>81</v>
      </c>
      <c r="G33" s="4" t="s">
        <v>189</v>
      </c>
      <c r="H33" s="4" t="str">
        <f>IFERROR(VLOOKUP(B33,'④前置信息-大固定-包含了工资和总经理'!B:E,4,0),0)</f>
        <v>新店</v>
      </c>
      <c r="I33" s="4" t="str">
        <f>IFERROR(VLOOKUP(B33,'④前置信息-大固定-包含了工资和总经理'!B:F,5,0),0)</f>
        <v>C类</v>
      </c>
      <c r="J33" s="4" t="str">
        <f>IFERROR(VLOOKUP(B33,'④前置信息-大固定-包含了工资和总经理'!B:D,3,0),0)</f>
        <v>C类</v>
      </c>
      <c r="K33" s="4">
        <f>IFERROR(VLOOKUP(B33,'④前置信息-大固定-包含了工资和总经理'!B:G,6,0),0)</f>
        <v>120000</v>
      </c>
      <c r="L33" s="4">
        <f>IFERROR(VLOOKUP(B33,②当月数据及门店毛利!B:C,2,0),0)</f>
        <v>259744.88</v>
      </c>
      <c r="M33" s="4">
        <f>IFERROR(VLOOKUP(B33,②当月数据及门店毛利!B:D,3,0),0)</f>
        <v>180406.1</v>
      </c>
      <c r="N33" s="8">
        <f>IFERROR(VLOOKUP(B33,②当月数据及门店毛利!B:E,4,0),0)</f>
        <v>155</v>
      </c>
      <c r="O33" s="8">
        <f>IFERROR(IF(P33=0,0,VLOOKUP(B33,②当月数据及门店毛利!B:N,13,0)),0)</f>
        <v>214268.52000000002</v>
      </c>
      <c r="P33" s="8" t="str">
        <f>IFERROR(VLOOKUP(B33,'④前置信息-大固定-包含了工资和总经理'!B:V,21,0),0)</f>
        <v>王桂明</v>
      </c>
      <c r="Q33" s="4">
        <v>0</v>
      </c>
      <c r="R33" s="4" t="str">
        <f>IF(P33=0,0,IF(L33&gt;VLOOKUP(B33,'④前置信息-大固定-包含了工资和总经理'!B:W,22,0),"yes",0))</f>
        <v>yes</v>
      </c>
      <c r="S33" s="4">
        <f>IF(O33=0,0,IF(O33&gt;=VLOOKUP(B33,'④前置信息-大固定-包含了工资和总经理'!B:W,22,0),1,0))</f>
        <v>1</v>
      </c>
      <c r="T33" s="4">
        <f>IF(O33=0,0,IF(O33&gt;=VLOOKUP(B33,'④前置信息-大固定-包含了工资和总经理'!B:X,23,0),1,0))</f>
        <v>1</v>
      </c>
      <c r="U33" s="13">
        <f>IF(R33="yes",IF(AND(S33=1,T33=0),VLOOKUP(B33,'④前置信息-大固定-包含了工资和总经理'!B:X,22,0)*$V$2+(O33-VLOOKUP(B33,'④前置信息-大固定-包含了工资和总经理'!B:X,22,0))*$V$3,IF(R33="yes",VLOOKUP(B33,'④前置信息-大固定-包含了工资和总经理'!B:X,22,0)*$V$2+((VLOOKUP(B33,'④前置信息-大固定-包含了工资和总经理'!B:X,23,0)-VLOOKUP(B33,'④前置信息-大固定-包含了工资和总经理'!B:X,22,0)))*$V$3+(O33-VLOOKUP(B33,'④前置信息-大固定-包含了工资和总经理'!B:X,23,0))*$V$4,2)),0)</f>
        <v>3906.7130000000006</v>
      </c>
      <c r="V33" s="56">
        <f>IF(R33="yes",IF(AND(S33=0,T33=0),O33*$V$2,IF(R33="yes",IF(AND(S33=1,T33=0),VLOOKUP(B33,'④前置信息-大固定-包含了工资和总经理'!B:X,22,0)*$V$2+(O33-VLOOKUP(B33,'④前置信息-大固定-包含了工资和总经理'!B:X,22,0))*$V$3,IF(R33="yes",VLOOKUP(B33,'④前置信息-大固定-包含了工资和总经理'!B:X,22,0)*$V$2+((VLOOKUP(B33,'④前置信息-大固定-包含了工资和总经理'!B:X,23,0)-VLOOKUP(B33,'④前置信息-大固定-包含了工资和总经理'!B:X,22,0)))*$V$3+(O33-VLOOKUP(B33,'④前置信息-大固定-包含了工资和总经理'!B:X,23,0))*$V$4,2)),0)),0)</f>
        <v>3906.7130000000006</v>
      </c>
    </row>
    <row r="34" spans="1:22" x14ac:dyDescent="0.15">
      <c r="A34" s="4" t="s">
        <v>148</v>
      </c>
      <c r="B34" s="4" t="s">
        <v>59</v>
      </c>
      <c r="C34" s="4" t="s">
        <v>17</v>
      </c>
      <c r="D34" s="4" t="s">
        <v>25</v>
      </c>
      <c r="E34" s="4" t="s">
        <v>190</v>
      </c>
      <c r="F34" s="4" t="s">
        <v>90</v>
      </c>
      <c r="G34" s="4" t="s">
        <v>191</v>
      </c>
      <c r="H34" s="4" t="str">
        <f>IFERROR(VLOOKUP(B34,'④前置信息-大固定-包含了工资和总经理'!B:E,4,0),0)</f>
        <v>新店</v>
      </c>
      <c r="I34" s="4">
        <f>IFERROR(VLOOKUP(B34,'④前置信息-大固定-包含了工资和总经理'!B:F,5,0),0)</f>
        <v>0</v>
      </c>
      <c r="J34" s="4" t="str">
        <f>IFERROR(VLOOKUP(B34,'④前置信息-大固定-包含了工资和总经理'!B:D,3,0),0)</f>
        <v>B类</v>
      </c>
      <c r="K34" s="4">
        <f>IFERROR(VLOOKUP(B34,'④前置信息-大固定-包含了工资和总经理'!B:G,6,0),0)</f>
        <v>150000</v>
      </c>
      <c r="L34" s="4">
        <f>IFERROR(VLOOKUP(B34,②当月数据及门店毛利!B:C,2,0),0)</f>
        <v>150031.32999999999</v>
      </c>
      <c r="M34" s="4">
        <f>IFERROR(VLOOKUP(B34,②当月数据及门店毛利!B:D,3,0),0)</f>
        <v>65878.570000000007</v>
      </c>
      <c r="N34" s="8">
        <f>IFERROR(VLOOKUP(B34,②当月数据及门店毛利!B:E,4,0),0)</f>
        <v>186</v>
      </c>
      <c r="O34" s="8">
        <f>IFERROR(IF(P34=0,0,VLOOKUP(B34,②当月数据及门店毛利!B:N,13,0)),0)</f>
        <v>0</v>
      </c>
      <c r="P34" s="8">
        <f>IFERROR(VLOOKUP(B34,'④前置信息-大固定-包含了工资和总经理'!B:V,21,0),0)</f>
        <v>0</v>
      </c>
      <c r="Q34" s="4">
        <f t="shared" si="1"/>
        <v>0</v>
      </c>
      <c r="R34" s="4">
        <f>IF(P34=0,0,IF(L34&gt;VLOOKUP(B34,'④前置信息-大固定-包含了工资和总经理'!B:W,22,0),"yes",0))</f>
        <v>0</v>
      </c>
      <c r="S34" s="4">
        <f>IF(O34=0,0,IF(O34&gt;=VLOOKUP(B34,'④前置信息-大固定-包含了工资和总经理'!B:W,22,0),1,0))</f>
        <v>0</v>
      </c>
      <c r="T34" s="4">
        <f>IF(O34=0,0,IF(O34&gt;=VLOOKUP(B34,'④前置信息-大固定-包含了工资和总经理'!B:X,23,0),1,0))</f>
        <v>0</v>
      </c>
      <c r="U34" s="13">
        <f>IF(R34="yes",IF(AND(S34=1,T34=0),VLOOKUP(B34,'④前置信息-大固定-包含了工资和总经理'!B:X,22,0)*$V$2+(O34-VLOOKUP(B34,'④前置信息-大固定-包含了工资和总经理'!B:X,22,0))*$V$3,IF(R34="yes",VLOOKUP(B34,'④前置信息-大固定-包含了工资和总经理'!B:X,22,0)*$V$2+((VLOOKUP(B34,'④前置信息-大固定-包含了工资和总经理'!B:X,23,0)-VLOOKUP(B34,'④前置信息-大固定-包含了工资和总经理'!B:X,22,0)))*$V$3+(O34-VLOOKUP(B34,'④前置信息-大固定-包含了工资和总经理'!B:X,23,0))*$V$4,2)),0)</f>
        <v>0</v>
      </c>
      <c r="V34" s="56">
        <f>IF(R34="yes",IF(AND(S34=0,T34=0),O34*$V$2,IF(R34="yes",IF(AND(S34=1,T34=0),VLOOKUP(B34,'④前置信息-大固定-包含了工资和总经理'!B:X,22,0)*$V$2+(O34-VLOOKUP(B34,'④前置信息-大固定-包含了工资和总经理'!B:X,22,0))*$V$3,IF(R34="yes",VLOOKUP(B34,'④前置信息-大固定-包含了工资和总经理'!B:X,22,0)*$V$2+((VLOOKUP(B34,'④前置信息-大固定-包含了工资和总经理'!B:X,23,0)-VLOOKUP(B34,'④前置信息-大固定-包含了工资和总经理'!B:X,22,0)))*$V$3+(O34-VLOOKUP(B34,'④前置信息-大固定-包含了工资和总经理'!B:X,23,0))*$V$4,2)),0)),0)</f>
        <v>0</v>
      </c>
    </row>
    <row r="35" spans="1:22" x14ac:dyDescent="0.15">
      <c r="A35" s="4" t="s">
        <v>149</v>
      </c>
      <c r="B35" s="4" t="s">
        <v>150</v>
      </c>
      <c r="C35" s="4" t="s">
        <v>4</v>
      </c>
      <c r="D35" s="4" t="str">
        <f>IFERROR(VLOOKUP(C35,③工资核算浮动条件设置①!P:Q,2,0),"")</f>
        <v>方案一</v>
      </c>
      <c r="E35" s="4" t="s">
        <v>188</v>
      </c>
      <c r="F35" s="4" t="s">
        <v>81</v>
      </c>
      <c r="G35" s="4" t="s">
        <v>189</v>
      </c>
      <c r="H35" s="4">
        <f>IFERROR(VLOOKUP(B35,'④前置信息-大固定-包含了工资和总经理'!B:E,4,0),0)</f>
        <v>0</v>
      </c>
      <c r="I35" s="4">
        <f>IFERROR(VLOOKUP(B35,'④前置信息-大固定-包含了工资和总经理'!B:F,5,0),0)</f>
        <v>0</v>
      </c>
      <c r="J35" s="4" t="str">
        <f>IFERROR(VLOOKUP(B35,'④前置信息-大固定-包含了工资和总经理'!B:D,3,0),0)</f>
        <v>C类</v>
      </c>
      <c r="K35" s="4">
        <f>IFERROR(VLOOKUP(B35,'④前置信息-大固定-包含了工资和总经理'!B:G,6,0),0)</f>
        <v>0</v>
      </c>
      <c r="L35" s="4">
        <f>IFERROR(VLOOKUP(B35,②当月数据及门店毛利!B:C,2,0),0)</f>
        <v>0</v>
      </c>
      <c r="M35" s="4">
        <f>IFERROR(VLOOKUP(B35,②当月数据及门店毛利!B:D,3,0),0)</f>
        <v>0</v>
      </c>
      <c r="N35" s="8">
        <f>IFERROR(VLOOKUP(B35,②当月数据及门店毛利!B:E,4,0),0)</f>
        <v>0</v>
      </c>
      <c r="O35" s="8">
        <f>IFERROR(IF(P35=0,0,VLOOKUP(B35,②当月数据及门店毛利!B:N,13,0)),0)</f>
        <v>0</v>
      </c>
      <c r="P35" s="8">
        <f>IFERROR(VLOOKUP(B35,'④前置信息-大固定-包含了工资和总经理'!B:V,21,0),0)</f>
        <v>0</v>
      </c>
      <c r="Q35" s="4">
        <f t="shared" si="1"/>
        <v>0</v>
      </c>
      <c r="R35" s="4">
        <f>IF(P35=0,0,IF(L35&gt;VLOOKUP(B35,'④前置信息-大固定-包含了工资和总经理'!B:W,22,0),"yes",0))</f>
        <v>0</v>
      </c>
      <c r="S35" s="4">
        <f>IF(O35=0,0,IF(O35&gt;=VLOOKUP(B35,'④前置信息-大固定-包含了工资和总经理'!B:W,22,0),1,0))</f>
        <v>0</v>
      </c>
      <c r="T35" s="4">
        <f>IF(O35=0,0,IF(O35&gt;=VLOOKUP(B35,'④前置信息-大固定-包含了工资和总经理'!B:X,23,0),1,0))</f>
        <v>0</v>
      </c>
      <c r="U35" s="13">
        <f>IF(R35="yes",IF(AND(S35=1,T35=0),VLOOKUP(B35,'④前置信息-大固定-包含了工资和总经理'!B:X,22,0)*$V$2+(O35-VLOOKUP(B35,'④前置信息-大固定-包含了工资和总经理'!B:X,22,0))*$V$3,IF(R35="yes",VLOOKUP(B35,'④前置信息-大固定-包含了工资和总经理'!B:X,22,0)*$V$2+((VLOOKUP(B35,'④前置信息-大固定-包含了工资和总经理'!B:X,23,0)-VLOOKUP(B35,'④前置信息-大固定-包含了工资和总经理'!B:X,22,0)))*$V$3+(O35-VLOOKUP(B35,'④前置信息-大固定-包含了工资和总经理'!B:X,23,0))*$V$4,2)),0)</f>
        <v>0</v>
      </c>
      <c r="V35" s="56">
        <f>IF(R35="yes",IF(AND(S35=0,T35=0),O35*$V$2,IF(R35="yes",IF(AND(S35=1,T35=0),VLOOKUP(B35,'④前置信息-大固定-包含了工资和总经理'!B:X,22,0)*$V$2+(O35-VLOOKUP(B35,'④前置信息-大固定-包含了工资和总经理'!B:X,22,0))*$V$3,IF(R35="yes",VLOOKUP(B35,'④前置信息-大固定-包含了工资和总经理'!B:X,22,0)*$V$2+((VLOOKUP(B35,'④前置信息-大固定-包含了工资和总经理'!B:X,23,0)-VLOOKUP(B35,'④前置信息-大固定-包含了工资和总经理'!B:X,22,0)))*$V$3+(O35-VLOOKUP(B35,'④前置信息-大固定-包含了工资和总经理'!B:X,23,0))*$V$4,2)),0)),0)</f>
        <v>0</v>
      </c>
    </row>
    <row r="36" spans="1:22" x14ac:dyDescent="0.15">
      <c r="A36" s="12" t="s">
        <v>166</v>
      </c>
      <c r="B36" s="12" t="s">
        <v>57</v>
      </c>
      <c r="C36" s="12" t="s">
        <v>21</v>
      </c>
      <c r="D36" s="4" t="str">
        <f>IFERROR(VLOOKUP(C36,③工资核算浮动条件设置①!P:Q,2,0),"")</f>
        <v>方案一</v>
      </c>
      <c r="E36" s="4"/>
      <c r="F36" s="4" t="s">
        <v>81</v>
      </c>
      <c r="G36" s="4"/>
      <c r="H36" s="4" t="str">
        <f>IFERROR(VLOOKUP(B36,'④前置信息-大固定-包含了工资和总经理'!B:E,4,0),0)</f>
        <v>新店</v>
      </c>
      <c r="I36" s="4">
        <f>IFERROR(VLOOKUP(B36,'④前置信息-大固定-包含了工资和总经理'!B:F,5,0),0)</f>
        <v>0</v>
      </c>
      <c r="J36" s="4" t="str">
        <f>IFERROR(VLOOKUP(B36,'④前置信息-大固定-包含了工资和总经理'!B:D,3,0),0)</f>
        <v>C类</v>
      </c>
      <c r="K36" s="4">
        <f>IFERROR(VLOOKUP(B36,'④前置信息-大固定-包含了工资和总经理'!B:G,6,0),0)</f>
        <v>120000</v>
      </c>
      <c r="L36" s="4">
        <f>IFERROR(VLOOKUP(B36,②当月数据及门店毛利!B:C,2,0),0)</f>
        <v>133334.88</v>
      </c>
      <c r="M36" s="4">
        <f>IFERROR(VLOOKUP(B36,②当月数据及门店毛利!B:D,3,0),0)</f>
        <v>117423.44</v>
      </c>
      <c r="N36" s="8">
        <f>IFERROR(VLOOKUP(B36,②当月数据及门店毛利!B:E,4,0),0)</f>
        <v>117</v>
      </c>
      <c r="O36" s="8">
        <f>IFERROR(IF(P36=0,0,VLOOKUP(B36,②当月数据及门店毛利!B:N,13,0)),0)</f>
        <v>114405.29000000001</v>
      </c>
      <c r="P36" s="8" t="str">
        <f>IFERROR(VLOOKUP(B36,'④前置信息-大固定-包含了工资和总经理'!B:V,21,0),0)</f>
        <v>王桂明</v>
      </c>
      <c r="Q36" s="4">
        <v>0</v>
      </c>
      <c r="R36" s="4" t="str">
        <f>IF(P36=0,0,IF(L36&gt;VLOOKUP(B36,'④前置信息-大固定-包含了工资和总经理'!B:W,22,0),"yes",0))</f>
        <v>yes</v>
      </c>
      <c r="S36" s="4">
        <f>IF(O36=0,0,IF(O36&gt;=VLOOKUP(B36,'④前置信息-大固定-包含了工资和总经理'!B:W,22,0),1,0))</f>
        <v>0</v>
      </c>
      <c r="T36" s="4">
        <f>IF(O36=0,0,IF(O36&gt;=VLOOKUP(B36,'④前置信息-大固定-包含了工资和总经理'!B:X,23,0),1,0))</f>
        <v>0</v>
      </c>
      <c r="U36" s="13">
        <f>IF(R36="yes",IF(AND(S36=1,T36=0),VLOOKUP(B36,'④前置信息-大固定-包含了工资和总经理'!B:X,22,0)*$V$2+(O36-VLOOKUP(B36,'④前置信息-大固定-包含了工资和总经理'!B:X,22,0))*$V$3,IF(R36="yes",VLOOKUP(B36,'④前置信息-大固定-包含了工资和总经理'!B:X,22,0)*$V$2+((VLOOKUP(B36,'④前置信息-大固定-包含了工资和总经理'!B:X,23,0)-VLOOKUP(B36,'④前置信息-大固定-包含了工资和总经理'!B:X,22,0)))*$V$3+(O36-VLOOKUP(B36,'④前置信息-大固定-包含了工资和总经理'!B:X,23,0))*$V$4,2)),0)</f>
        <v>1410.1322500000001</v>
      </c>
      <c r="V36" s="56">
        <f>IF(R36="yes",IF(AND(S36=0,T36=0),O36*$V$2,IF(R36="yes",IF(AND(S36=1,T36=0),VLOOKUP(B36,'④前置信息-大固定-包含了工资和总经理'!B:X,22,0)*$V$2+(O36-VLOOKUP(B36,'④前置信息-大固定-包含了工资和总经理'!B:X,22,0))*$V$3,IF(R36="yes",VLOOKUP(B36,'④前置信息-大固定-包含了工资和总经理'!B:X,22,0)*$V$2+((VLOOKUP(B36,'④前置信息-大固定-包含了工资和总经理'!B:X,23,0)-VLOOKUP(B36,'④前置信息-大固定-包含了工资和总经理'!B:X,22,0)))*$V$3+(O36-VLOOKUP(B36,'④前置信息-大固定-包含了工资和总经理'!B:X,23,0))*$V$4,2)),0)),0)</f>
        <v>1716.07935</v>
      </c>
    </row>
    <row r="37" spans="1:22" x14ac:dyDescent="0.15">
      <c r="A37" s="12" t="s">
        <v>152</v>
      </c>
      <c r="B37" s="12" t="s">
        <v>60</v>
      </c>
      <c r="C37" s="12" t="s">
        <v>21</v>
      </c>
      <c r="D37" s="4" t="str">
        <f>IFERROR(VLOOKUP(C37,③工资核算浮动条件设置①!P:Q,2,0),"")</f>
        <v>方案一</v>
      </c>
      <c r="E37" s="4"/>
      <c r="F37" s="4"/>
      <c r="G37" s="4"/>
      <c r="H37" s="4" t="str">
        <f>IFERROR(VLOOKUP(B37,'④前置信息-大固定-包含了工资和总经理'!B:E,4,0),0)</f>
        <v>新店</v>
      </c>
      <c r="I37" s="4">
        <f>IFERROR(VLOOKUP(B37,'④前置信息-大固定-包含了工资和总经理'!B:F,5,0),0)</f>
        <v>0</v>
      </c>
      <c r="J37" s="4" t="str">
        <f>IFERROR(VLOOKUP(B37,'④前置信息-大固定-包含了工资和总经理'!B:D,3,0),0)</f>
        <v>B类</v>
      </c>
      <c r="K37" s="4">
        <f>IFERROR(VLOOKUP(B37,'④前置信息-大固定-包含了工资和总经理'!B:G,6,0),0)</f>
        <v>150000</v>
      </c>
      <c r="L37" s="4">
        <f>IFERROR(VLOOKUP(B37,②当月数据及门店毛利!B:C,2,0),0)</f>
        <v>173290.6</v>
      </c>
      <c r="M37" s="4">
        <f>IFERROR(VLOOKUP(B37,②当月数据及门店毛利!B:D,3,0),0)</f>
        <v>115560.6</v>
      </c>
      <c r="N37" s="8">
        <f>IFERROR(VLOOKUP(B37,②当月数据及门店毛利!B:E,4,0),0)</f>
        <v>169</v>
      </c>
      <c r="O37" s="8">
        <f>IFERROR(IF(P37=0,0,VLOOKUP(B37,②当月数据及门店毛利!B:N,13,0)),0)</f>
        <v>132190.74</v>
      </c>
      <c r="P37" s="8" t="str">
        <f>IFERROR(VLOOKUP(B37,'④前置信息-大固定-包含了工资和总经理'!B:V,21,0),0)</f>
        <v>曾雨晴</v>
      </c>
      <c r="Q37" s="4">
        <v>0</v>
      </c>
      <c r="R37" s="4" t="str">
        <f>IF(P37=0,0,IF(L37&gt;VLOOKUP(B37,'④前置信息-大固定-包含了工资和总经理'!B:W,22,0),"yes",0))</f>
        <v>yes</v>
      </c>
      <c r="S37" s="4">
        <f>IF(O37=0,0,IF(O37&gt;=VLOOKUP(B37,'④前置信息-大固定-包含了工资和总经理'!B:W,22,0),1,0))</f>
        <v>0</v>
      </c>
      <c r="T37" s="4">
        <f>IF(O37=0,0,IF(O37&gt;=VLOOKUP(B37,'④前置信息-大固定-包含了工资和总经理'!B:X,23,0),1,0))</f>
        <v>0</v>
      </c>
      <c r="U37" s="13">
        <f>IF(R37="yes",IF(AND(S37=1,T37=0),VLOOKUP(B37,'④前置信息-大固定-包含了工资和总经理'!B:X,22,0)*$V$2+(O37-VLOOKUP(B37,'④前置信息-大固定-包含了工资和总经理'!B:X,22,0))*$V$3,IF(R37="yes",VLOOKUP(B37,'④前置信息-大固定-包含了工资和总经理'!B:X,22,0)*$V$2+((VLOOKUP(B37,'④前置信息-大固定-包含了工资和总经理'!B:X,23,0)-VLOOKUP(B37,'④前置信息-大固定-包含了工资和总经理'!B:X,22,0)))*$V$3+(O37-VLOOKUP(B37,'④前置信息-大固定-包含了工资和总经理'!B:X,23,0))*$V$4,2)),0)</f>
        <v>1554.7684999999997</v>
      </c>
      <c r="V37" s="56">
        <f>IF(R37="yes",IF(AND(S37=0,T37=0),O37*$V$2,IF(R37="yes",IF(AND(S37=1,T37=0),VLOOKUP(B37,'④前置信息-大固定-包含了工资和总经理'!B:X,22,0)*$V$2+(O37-VLOOKUP(B37,'④前置信息-大固定-包含了工资和总经理'!B:X,22,0))*$V$3,IF(R37="yes",VLOOKUP(B37,'④前置信息-大固定-包含了工资和总经理'!B:X,22,0)*$V$2+((VLOOKUP(B37,'④前置信息-大固定-包含了工资和总经理'!B:X,23,0)-VLOOKUP(B37,'④前置信息-大固定-包含了工资和总经理'!B:X,22,0)))*$V$3+(O37-VLOOKUP(B37,'④前置信息-大固定-包含了工资和总经理'!B:X,23,0))*$V$4,2)),0)),0)</f>
        <v>1982.8610999999999</v>
      </c>
    </row>
    <row r="38" spans="1:22" x14ac:dyDescent="0.15">
      <c r="A38" s="4"/>
      <c r="B38" s="4"/>
      <c r="C38" s="4"/>
      <c r="D38" s="4"/>
      <c r="E38" s="4"/>
      <c r="F38" s="4"/>
      <c r="G38" s="4"/>
      <c r="H38" s="4">
        <f>IFERROR(VLOOKUP(B38,'④前置信息-大固定-包含了工资和总经理'!B:E,4,0),0)</f>
        <v>0</v>
      </c>
      <c r="I38" s="4">
        <f>IFERROR(VLOOKUP(B38,'④前置信息-大固定-包含了工资和总经理'!B:F,5,0),0)</f>
        <v>0</v>
      </c>
      <c r="J38" s="4">
        <f>IFERROR(VLOOKUP(B38,'④前置信息-大固定-包含了工资和总经理'!B:D,3,0),0)</f>
        <v>0</v>
      </c>
      <c r="K38" s="4">
        <f>IFERROR(VLOOKUP(B38,'④前置信息-大固定-包含了工资和总经理'!B:G,6,0),0)</f>
        <v>0</v>
      </c>
      <c r="L38" s="4">
        <f>IFERROR(VLOOKUP(B38,②当月数据及门店毛利!B:C,2,0),0)</f>
        <v>0</v>
      </c>
      <c r="M38" s="4">
        <f>IFERROR(VLOOKUP(B38,②当月数据及门店毛利!B:D,3,0),0)</f>
        <v>0</v>
      </c>
      <c r="N38" s="8">
        <f>IFERROR(VLOOKUP(B38,②当月数据及门店毛利!B:E,4,0),0)</f>
        <v>0</v>
      </c>
      <c r="O38" s="8">
        <f>IFERROR(IF(P38=0,0,VLOOKUP(B38,②当月数据及门店毛利!B:N,13,0)),0)</f>
        <v>0</v>
      </c>
      <c r="P38" s="8">
        <f>IFERROR(VLOOKUP(B38,'④前置信息-大固定-包含了工资和总经理'!B:V,21,0),0)</f>
        <v>0</v>
      </c>
      <c r="Q38" s="4">
        <f t="shared" si="1"/>
        <v>0</v>
      </c>
      <c r="R38" s="4">
        <f>IF(P38=0,0,IF(L38&gt;VLOOKUP(B38,'④前置信息-大固定-包含了工资和总经理'!B:W,22,0),"yes",0))</f>
        <v>0</v>
      </c>
      <c r="S38" s="4">
        <f>IF(O38=0,0,IF(O38&gt;=VLOOKUP(B38,'④前置信息-大固定-包含了工资和总经理'!B:W,22,0),1,0))</f>
        <v>0</v>
      </c>
      <c r="T38" s="4">
        <f>IF(O38=0,0,IF(O38&gt;=VLOOKUP(B38,'④前置信息-大固定-包含了工资和总经理'!B:X,23,0),1,0))</f>
        <v>0</v>
      </c>
      <c r="U38" s="13">
        <f>IF(R38="yes",IF(AND(S38=1,T38=0),VLOOKUP(B38,'④前置信息-大固定-包含了工资和总经理'!B:X,22,0)*$V$2+(O38-VLOOKUP(B38,'④前置信息-大固定-包含了工资和总经理'!B:X,22,0))*$V$3,IF(R38="yes",VLOOKUP(B38,'④前置信息-大固定-包含了工资和总经理'!B:X,22,0)*$V$2+((VLOOKUP(B38,'④前置信息-大固定-包含了工资和总经理'!B:X,23,0)-VLOOKUP(B38,'④前置信息-大固定-包含了工资和总经理'!B:X,22,0)))*$V$3+(O38-VLOOKUP(B38,'④前置信息-大固定-包含了工资和总经理'!B:X,23,0))*$V$4,2)),0)</f>
        <v>0</v>
      </c>
      <c r="V38" s="56">
        <f>IF(R38="yes",IF(AND(S38=0,T38=0),O38*$V$2,IF(R38="yes",IF(AND(S38=1,T38=0),VLOOKUP(B38,'④前置信息-大固定-包含了工资和总经理'!B:X,22,0)*$V$2+(O38-VLOOKUP(B38,'④前置信息-大固定-包含了工资和总经理'!B:X,22,0))*$V$3,IF(R38="yes",VLOOKUP(B38,'④前置信息-大固定-包含了工资和总经理'!B:X,22,0)*$V$2+((VLOOKUP(B38,'④前置信息-大固定-包含了工资和总经理'!B:X,23,0)-VLOOKUP(B38,'④前置信息-大固定-包含了工资和总经理'!B:X,22,0)))*$V$3+(O38-VLOOKUP(B38,'④前置信息-大固定-包含了工资和总经理'!B:X,23,0))*$V$4,2)),0)),0)</f>
        <v>0</v>
      </c>
    </row>
    <row r="39" spans="1:22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>
        <f>IFERROR(VLOOKUP(B39,②当月数据及门店毛利!B:C,2,0),0)</f>
        <v>0</v>
      </c>
      <c r="M39" s="4">
        <f>IFERROR(VLOOKUP(B39,②当月数据及门店毛利!B:D,3,0),0)</f>
        <v>0</v>
      </c>
      <c r="N39" s="8">
        <f>IFERROR(VLOOKUP(B39,②当月数据及门店毛利!B:E,4,0),0)</f>
        <v>0</v>
      </c>
      <c r="O39" s="8">
        <f>IFERROR(IF(P39=0,0,VLOOKUP(B39,②当月数据及门店毛利!B:N,13,0)),0)</f>
        <v>0</v>
      </c>
      <c r="P39" s="8">
        <f>IFERROR(VLOOKUP(B39,'④前置信息-大固定-包含了工资和总经理'!B:V,21,0),0)</f>
        <v>0</v>
      </c>
      <c r="Q39" s="4">
        <f t="shared" si="1"/>
        <v>0</v>
      </c>
      <c r="R39" s="4">
        <f>IF(P39=0,0,IF(L39&gt;VLOOKUP(B39,'④前置信息-大固定-包含了工资和总经理'!B:W,22,0),"yes",0))</f>
        <v>0</v>
      </c>
      <c r="S39" s="4">
        <f>IF(O39=0,0,IF(O39&gt;=VLOOKUP(B39,'④前置信息-大固定-包含了工资和总经理'!B:W,22,0),1,0))</f>
        <v>0</v>
      </c>
      <c r="T39" s="4">
        <f>IF(O39=0,0,IF(O39&gt;=VLOOKUP(B39,'④前置信息-大固定-包含了工资和总经理'!B:X,23,0),1,0))</f>
        <v>0</v>
      </c>
      <c r="U39" s="13">
        <f>IF(R39="yes",IF(AND(S39=1,T39=0),VLOOKUP(B39,'④前置信息-大固定-包含了工资和总经理'!B:X,22,0)*$V$2+(O39-VLOOKUP(B39,'④前置信息-大固定-包含了工资和总经理'!B:X,22,0))*$V$3,IF(R39="yes",VLOOKUP(B39,'④前置信息-大固定-包含了工资和总经理'!B:X,22,0)*$V$2+((VLOOKUP(B39,'④前置信息-大固定-包含了工资和总经理'!B:X,23,0)-VLOOKUP(B39,'④前置信息-大固定-包含了工资和总经理'!B:X,22,0)))*$V$3+(O39-VLOOKUP(B39,'④前置信息-大固定-包含了工资和总经理'!B:X,23,0))*$V$4,2)),0)</f>
        <v>0</v>
      </c>
      <c r="V39" s="56">
        <f>IF(R39="yes",IF(AND(S39=0,T39=0),O39*$V$2,IF(R39="yes",IF(AND(S39=1,T39=0),VLOOKUP(B39,'④前置信息-大固定-包含了工资和总经理'!B:X,22,0)*$V$2+(O39-VLOOKUP(B39,'④前置信息-大固定-包含了工资和总经理'!B:X,22,0))*$V$3,IF(R39="yes",VLOOKUP(B39,'④前置信息-大固定-包含了工资和总经理'!B:X,22,0)*$V$2+((VLOOKUP(B39,'④前置信息-大固定-包含了工资和总经理'!B:X,23,0)-VLOOKUP(B39,'④前置信息-大固定-包含了工资和总经理'!B:X,22,0)))*$V$3+(O39-VLOOKUP(B39,'④前置信息-大固定-包含了工资和总经理'!B:X,23,0))*$V$4,2)),0)),0)</f>
        <v>0</v>
      </c>
    </row>
    <row r="40" spans="1:22" x14ac:dyDescent="0.15">
      <c r="V40" s="56"/>
    </row>
  </sheetData>
  <autoFilter ref="A6:W39" xr:uid="{00000000-0001-0000-0F00-000000000000}"/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Q326"/>
  <sheetViews>
    <sheetView workbookViewId="0">
      <selection activeCell="D37" sqref="D37"/>
    </sheetView>
  </sheetViews>
  <sheetFormatPr defaultColWidth="9" defaultRowHeight="13.5" x14ac:dyDescent="0.15"/>
  <cols>
    <col min="1" max="1" width="8.25" style="37" bestFit="1" customWidth="1"/>
    <col min="2" max="2" width="9.75" style="37" bestFit="1" customWidth="1"/>
    <col min="3" max="3" width="11" style="37" bestFit="1" customWidth="1"/>
    <col min="4" max="4" width="8.25" style="37" customWidth="1"/>
    <col min="5" max="5" width="11" style="37" customWidth="1"/>
    <col min="6" max="6" width="12.375" style="37" customWidth="1"/>
    <col min="7" max="7" width="11" style="37" customWidth="1"/>
    <col min="8" max="8" width="16.75" style="37" customWidth="1"/>
    <col min="9" max="9" width="9.625" style="41" customWidth="1"/>
    <col min="10" max="14" width="8.25" style="41" customWidth="1"/>
    <col min="15" max="15" width="8.25" style="39" customWidth="1"/>
    <col min="16" max="16" width="12" style="39" customWidth="1"/>
    <col min="17" max="18" width="8.25" style="39" customWidth="1"/>
    <col min="19" max="22" width="11" style="39" customWidth="1"/>
    <col min="23" max="23" width="8.25" style="41" customWidth="1"/>
    <col min="24" max="24" width="8.875" style="41" customWidth="1"/>
    <col min="25" max="25" width="8.25" style="41" customWidth="1"/>
    <col min="26" max="26" width="11" style="41" customWidth="1"/>
    <col min="27" max="27" width="12.375" style="42" customWidth="1"/>
    <col min="28" max="28" width="8.25" style="42" customWidth="1"/>
    <col min="29" max="29" width="9.625" style="42" customWidth="1"/>
    <col min="30" max="31" width="11" style="42" customWidth="1"/>
    <col min="32" max="32" width="15.875" style="40" customWidth="1"/>
    <col min="33" max="33" width="8.25" style="39" customWidth="1"/>
    <col min="34" max="36" width="11" style="39" customWidth="1"/>
    <col min="37" max="37" width="8.5" style="39" customWidth="1"/>
    <col min="38" max="38" width="15" style="39" customWidth="1"/>
    <col min="39" max="41" width="9" style="42"/>
    <col min="42" max="42" width="15.375" style="42" bestFit="1" customWidth="1"/>
    <col min="43" max="16384" width="9" style="42"/>
  </cols>
  <sheetData>
    <row r="1" spans="1:43" s="37" customFormat="1" x14ac:dyDescent="0.15">
      <c r="A1" s="37" t="s">
        <v>390</v>
      </c>
      <c r="B1" s="37">
        <v>2025</v>
      </c>
      <c r="C1" s="37">
        <v>7</v>
      </c>
      <c r="D1" s="38"/>
      <c r="G1" s="37" t="s">
        <v>391</v>
      </c>
      <c r="I1" s="39"/>
      <c r="J1" s="39"/>
      <c r="K1" s="39"/>
      <c r="L1" s="39"/>
      <c r="M1" s="39"/>
      <c r="N1" s="39"/>
      <c r="O1" s="39"/>
      <c r="P1" s="39" t="s">
        <v>293</v>
      </c>
      <c r="Q1" s="39" t="s">
        <v>294</v>
      </c>
      <c r="R1" s="64"/>
      <c r="S1" s="39"/>
      <c r="T1" s="39"/>
      <c r="U1" s="39" t="s">
        <v>295</v>
      </c>
      <c r="V1" s="39" t="s">
        <v>296</v>
      </c>
      <c r="AF1" s="40"/>
      <c r="AG1" s="39"/>
      <c r="AH1" s="39"/>
      <c r="AI1" s="39"/>
      <c r="AJ1" s="39"/>
      <c r="AK1" s="39"/>
      <c r="AL1" s="39"/>
      <c r="AM1" s="37" t="s">
        <v>391</v>
      </c>
      <c r="AN1" s="37" t="s">
        <v>391</v>
      </c>
      <c r="AO1" s="37" t="s">
        <v>391</v>
      </c>
      <c r="AP1" s="37" t="s">
        <v>392</v>
      </c>
    </row>
    <row r="2" spans="1:43" x14ac:dyDescent="0.15">
      <c r="J2" s="41" t="s">
        <v>1</v>
      </c>
      <c r="K2" s="41" t="s">
        <v>0</v>
      </c>
      <c r="P2" s="39" t="s">
        <v>297</v>
      </c>
      <c r="Q2" s="39" t="s">
        <v>2</v>
      </c>
      <c r="R2" s="64"/>
      <c r="V2" s="39" t="b">
        <v>0</v>
      </c>
      <c r="W2" s="42"/>
      <c r="X2" s="42"/>
      <c r="Y2" s="42"/>
      <c r="Z2" s="42"/>
      <c r="AI2" s="39" t="s">
        <v>390</v>
      </c>
      <c r="AJ2" s="39" t="s">
        <v>390</v>
      </c>
      <c r="AK2" s="39" t="s">
        <v>292</v>
      </c>
      <c r="AL2" s="39" t="s">
        <v>393</v>
      </c>
      <c r="AM2" s="42" t="s">
        <v>292</v>
      </c>
      <c r="AN2" s="42" t="s">
        <v>292</v>
      </c>
      <c r="AO2" s="42" t="s">
        <v>292</v>
      </c>
      <c r="AP2" s="42" t="s">
        <v>390</v>
      </c>
    </row>
    <row r="3" spans="1:43" s="47" customFormat="1" x14ac:dyDescent="0.15">
      <c r="A3" s="43" t="s">
        <v>394</v>
      </c>
      <c r="B3" s="43" t="s">
        <v>395</v>
      </c>
      <c r="C3" s="43" t="s">
        <v>396</v>
      </c>
      <c r="D3" s="43" t="s">
        <v>63</v>
      </c>
      <c r="E3" s="43" t="s">
        <v>397</v>
      </c>
      <c r="F3" s="43" t="s">
        <v>398</v>
      </c>
      <c r="G3" s="43" t="s">
        <v>399</v>
      </c>
      <c r="H3" s="43" t="s">
        <v>298</v>
      </c>
      <c r="I3" s="44" t="s">
        <v>65</v>
      </c>
      <c r="J3" s="45" t="s">
        <v>299</v>
      </c>
      <c r="K3" s="45" t="s">
        <v>66</v>
      </c>
      <c r="L3" s="45" t="s">
        <v>67</v>
      </c>
      <c r="M3" s="45" t="s">
        <v>400</v>
      </c>
      <c r="N3" s="45" t="s">
        <v>68</v>
      </c>
      <c r="O3" s="44" t="s">
        <v>69</v>
      </c>
      <c r="P3" s="44" t="s">
        <v>300</v>
      </c>
      <c r="Q3" s="44" t="s">
        <v>301</v>
      </c>
      <c r="R3" s="44" t="s">
        <v>302</v>
      </c>
      <c r="S3" s="44" t="s">
        <v>401</v>
      </c>
      <c r="T3" s="44" t="s">
        <v>303</v>
      </c>
      <c r="U3" s="44" t="s">
        <v>304</v>
      </c>
      <c r="V3" s="44" t="s">
        <v>70</v>
      </c>
      <c r="W3" s="45" t="s">
        <v>402</v>
      </c>
      <c r="X3" s="45" t="s">
        <v>73</v>
      </c>
      <c r="Y3" s="45" t="s">
        <v>74</v>
      </c>
      <c r="Z3" s="45" t="s">
        <v>201</v>
      </c>
      <c r="AA3" s="45" t="s">
        <v>72</v>
      </c>
      <c r="AB3" s="45" t="s">
        <v>75</v>
      </c>
      <c r="AC3" s="45" t="s">
        <v>76</v>
      </c>
      <c r="AD3" s="45" t="s">
        <v>77</v>
      </c>
      <c r="AE3" s="45" t="s">
        <v>78</v>
      </c>
      <c r="AF3" s="46" t="s">
        <v>79</v>
      </c>
      <c r="AG3" s="44" t="s">
        <v>403</v>
      </c>
      <c r="AH3" s="44" t="s">
        <v>404</v>
      </c>
      <c r="AI3" s="44" t="s">
        <v>405</v>
      </c>
      <c r="AJ3" s="44" t="s">
        <v>406</v>
      </c>
      <c r="AK3" s="44" t="s">
        <v>407</v>
      </c>
      <c r="AL3" s="44" t="s">
        <v>408</v>
      </c>
      <c r="AM3" s="47" t="s">
        <v>409</v>
      </c>
      <c r="AN3" s="47" t="s">
        <v>410</v>
      </c>
      <c r="AO3" s="47" t="s">
        <v>411</v>
      </c>
      <c r="AP3" s="47" t="s">
        <v>412</v>
      </c>
      <c r="AQ3" s="47" t="s">
        <v>728</v>
      </c>
    </row>
    <row r="4" spans="1:43" x14ac:dyDescent="0.15">
      <c r="A4" s="37" t="s">
        <v>23</v>
      </c>
      <c r="B4" s="37" t="s">
        <v>14</v>
      </c>
      <c r="C4" s="37" t="s">
        <v>413</v>
      </c>
      <c r="D4" s="37" t="s">
        <v>414</v>
      </c>
      <c r="E4" s="37" t="s">
        <v>415</v>
      </c>
      <c r="F4" s="37" t="s">
        <v>6</v>
      </c>
      <c r="G4" s="37">
        <v>0</v>
      </c>
      <c r="H4" s="37">
        <v>31</v>
      </c>
      <c r="I4" s="41">
        <v>4</v>
      </c>
      <c r="J4" s="48">
        <v>5</v>
      </c>
      <c r="K4" s="48">
        <v>4</v>
      </c>
      <c r="L4" s="48"/>
      <c r="M4" s="48">
        <v>1</v>
      </c>
      <c r="N4" s="48"/>
      <c r="P4" s="39">
        <v>26</v>
      </c>
      <c r="Q4" s="39">
        <v>31</v>
      </c>
      <c r="R4" s="39">
        <v>4</v>
      </c>
      <c r="S4" s="39">
        <v>31</v>
      </c>
      <c r="T4" s="39">
        <v>0</v>
      </c>
      <c r="U4" s="39">
        <v>0</v>
      </c>
      <c r="V4" s="39">
        <v>0</v>
      </c>
      <c r="W4" s="49">
        <v>0</v>
      </c>
      <c r="X4" s="49">
        <v>20</v>
      </c>
      <c r="Y4" s="49"/>
      <c r="Z4" s="49"/>
      <c r="AA4" s="50"/>
      <c r="AB4" s="50"/>
      <c r="AC4" s="50"/>
      <c r="AD4" s="50"/>
      <c r="AE4" s="50"/>
      <c r="AH4" s="39">
        <v>0</v>
      </c>
      <c r="AI4" s="39">
        <v>0</v>
      </c>
      <c r="AJ4" s="39">
        <v>0</v>
      </c>
      <c r="AK4" s="39">
        <v>0</v>
      </c>
      <c r="AL4" s="39">
        <v>0</v>
      </c>
      <c r="AM4" s="42">
        <v>0</v>
      </c>
      <c r="AN4" s="42">
        <v>0</v>
      </c>
      <c r="AO4" s="42" t="s">
        <v>416</v>
      </c>
      <c r="AP4" s="42">
        <v>31</v>
      </c>
      <c r="AQ4" s="42">
        <v>0</v>
      </c>
    </row>
    <row r="5" spans="1:43" x14ac:dyDescent="0.15">
      <c r="A5" s="37" t="s">
        <v>23</v>
      </c>
      <c r="B5" s="37" t="s">
        <v>15</v>
      </c>
      <c r="C5" s="37" t="s">
        <v>417</v>
      </c>
      <c r="D5" s="37" t="s">
        <v>418</v>
      </c>
      <c r="E5" s="37" t="s">
        <v>415</v>
      </c>
      <c r="F5" s="37" t="s">
        <v>6</v>
      </c>
      <c r="G5" s="37">
        <v>0</v>
      </c>
      <c r="H5" s="37">
        <v>31</v>
      </c>
      <c r="I5" s="41">
        <v>4</v>
      </c>
      <c r="J5" s="45">
        <v>5</v>
      </c>
      <c r="K5" s="45">
        <v>4</v>
      </c>
      <c r="L5" s="45"/>
      <c r="M5" s="45">
        <v>1</v>
      </c>
      <c r="N5" s="45"/>
      <c r="P5" s="39">
        <v>26</v>
      </c>
      <c r="Q5" s="39">
        <v>31</v>
      </c>
      <c r="R5" s="39">
        <v>4</v>
      </c>
      <c r="S5" s="39">
        <v>31</v>
      </c>
      <c r="T5" s="39">
        <v>0</v>
      </c>
      <c r="U5" s="39">
        <v>0</v>
      </c>
      <c r="V5" s="39">
        <v>0</v>
      </c>
      <c r="W5" s="49">
        <v>0</v>
      </c>
      <c r="X5" s="49">
        <v>10</v>
      </c>
      <c r="Y5" s="49"/>
      <c r="Z5" s="49"/>
      <c r="AA5" s="50"/>
      <c r="AB5" s="50"/>
      <c r="AC5" s="50"/>
      <c r="AD5" s="50"/>
      <c r="AE5" s="50"/>
      <c r="AH5" s="39">
        <v>0</v>
      </c>
      <c r="AI5" s="39">
        <v>0</v>
      </c>
      <c r="AJ5" s="39">
        <v>0</v>
      </c>
      <c r="AK5" s="39">
        <v>0</v>
      </c>
      <c r="AL5" s="39">
        <v>0</v>
      </c>
      <c r="AM5" s="42">
        <v>0</v>
      </c>
      <c r="AN5" s="42">
        <v>0</v>
      </c>
      <c r="AO5" s="42" t="s">
        <v>416</v>
      </c>
      <c r="AP5" s="42">
        <v>31</v>
      </c>
      <c r="AQ5" s="42">
        <v>0</v>
      </c>
    </row>
    <row r="6" spans="1:43" x14ac:dyDescent="0.15">
      <c r="A6" s="37" t="s">
        <v>23</v>
      </c>
      <c r="B6" s="37" t="s">
        <v>419</v>
      </c>
      <c r="C6" s="37" t="s">
        <v>417</v>
      </c>
      <c r="D6" s="37" t="s">
        <v>420</v>
      </c>
      <c r="E6" s="37" t="s">
        <v>415</v>
      </c>
      <c r="F6" s="37" t="s">
        <v>6</v>
      </c>
      <c r="G6" s="37">
        <v>0</v>
      </c>
      <c r="H6" s="37">
        <v>31</v>
      </c>
      <c r="I6" s="41">
        <v>4</v>
      </c>
      <c r="J6" s="45">
        <v>5</v>
      </c>
      <c r="K6" s="45">
        <v>4</v>
      </c>
      <c r="L6" s="45"/>
      <c r="M6" s="45">
        <v>1</v>
      </c>
      <c r="N6" s="45"/>
      <c r="P6" s="39">
        <v>26</v>
      </c>
      <c r="Q6" s="39">
        <v>31</v>
      </c>
      <c r="R6" s="39">
        <v>4</v>
      </c>
      <c r="S6" s="39">
        <v>31</v>
      </c>
      <c r="T6" s="39">
        <v>0</v>
      </c>
      <c r="U6" s="39">
        <v>0</v>
      </c>
      <c r="V6" s="39">
        <v>0</v>
      </c>
      <c r="W6" s="49">
        <v>0</v>
      </c>
      <c r="X6" s="49">
        <v>20</v>
      </c>
      <c r="Y6" s="49"/>
      <c r="Z6" s="49"/>
      <c r="AA6" s="50"/>
      <c r="AB6" s="50"/>
      <c r="AC6" s="50"/>
      <c r="AD6" s="50"/>
      <c r="AE6" s="50"/>
      <c r="AH6" s="39">
        <v>0</v>
      </c>
      <c r="AI6" s="39">
        <v>0</v>
      </c>
      <c r="AJ6" s="39">
        <v>0</v>
      </c>
      <c r="AK6" s="39">
        <v>0</v>
      </c>
      <c r="AL6" s="39">
        <v>0</v>
      </c>
      <c r="AM6" s="42">
        <v>0</v>
      </c>
      <c r="AN6" s="42">
        <v>0</v>
      </c>
      <c r="AO6" s="42" t="s">
        <v>416</v>
      </c>
      <c r="AP6" s="42">
        <v>31</v>
      </c>
      <c r="AQ6" s="42">
        <v>0</v>
      </c>
    </row>
    <row r="7" spans="1:43" x14ac:dyDescent="0.15">
      <c r="A7" s="37" t="s">
        <v>23</v>
      </c>
      <c r="B7" s="37" t="s">
        <v>419</v>
      </c>
      <c r="C7" s="37" t="s">
        <v>417</v>
      </c>
      <c r="D7" s="37" t="s">
        <v>421</v>
      </c>
      <c r="E7" s="37" t="s">
        <v>415</v>
      </c>
      <c r="F7" s="37" t="s">
        <v>6</v>
      </c>
      <c r="G7" s="37">
        <v>0</v>
      </c>
      <c r="H7" s="37">
        <v>31</v>
      </c>
      <c r="I7" s="41">
        <v>4</v>
      </c>
      <c r="J7" s="45">
        <v>4</v>
      </c>
      <c r="K7" s="45">
        <v>4</v>
      </c>
      <c r="L7" s="45"/>
      <c r="M7" s="45"/>
      <c r="N7" s="45"/>
      <c r="P7" s="39">
        <v>27</v>
      </c>
      <c r="Q7" s="39">
        <v>31</v>
      </c>
      <c r="R7" s="39">
        <v>4</v>
      </c>
      <c r="S7" s="39">
        <v>31</v>
      </c>
      <c r="T7" s="39">
        <v>0</v>
      </c>
      <c r="U7" s="39">
        <v>0</v>
      </c>
      <c r="V7" s="39">
        <v>0</v>
      </c>
      <c r="W7" s="49">
        <v>0</v>
      </c>
      <c r="X7" s="49"/>
      <c r="Y7" s="49"/>
      <c r="Z7" s="49">
        <v>50</v>
      </c>
      <c r="AA7" s="50"/>
      <c r="AB7" s="50"/>
      <c r="AC7" s="50"/>
      <c r="AD7" s="50"/>
      <c r="AE7" s="50"/>
      <c r="AH7" s="39">
        <v>0</v>
      </c>
      <c r="AI7" s="39">
        <v>0</v>
      </c>
      <c r="AJ7" s="39">
        <v>0</v>
      </c>
      <c r="AK7" s="39">
        <v>0</v>
      </c>
      <c r="AL7" s="39">
        <v>0</v>
      </c>
      <c r="AM7" s="42">
        <v>0</v>
      </c>
      <c r="AN7" s="42">
        <v>0</v>
      </c>
      <c r="AO7" s="42" t="s">
        <v>416</v>
      </c>
      <c r="AP7" s="42">
        <v>31</v>
      </c>
      <c r="AQ7" s="42">
        <v>0</v>
      </c>
    </row>
    <row r="8" spans="1:43" x14ac:dyDescent="0.15">
      <c r="A8" s="37" t="s">
        <v>23</v>
      </c>
      <c r="B8" s="37" t="s">
        <v>419</v>
      </c>
      <c r="C8" s="37" t="s">
        <v>417</v>
      </c>
      <c r="D8" s="37" t="s">
        <v>422</v>
      </c>
      <c r="E8" s="37" t="s">
        <v>415</v>
      </c>
      <c r="F8" s="37" t="s">
        <v>6</v>
      </c>
      <c r="G8" s="37">
        <v>0</v>
      </c>
      <c r="H8" s="37">
        <v>31</v>
      </c>
      <c r="I8" s="41">
        <v>4</v>
      </c>
      <c r="J8" s="45">
        <v>5</v>
      </c>
      <c r="K8" s="45">
        <v>4</v>
      </c>
      <c r="L8" s="45"/>
      <c r="M8" s="45">
        <v>1</v>
      </c>
      <c r="N8" s="45"/>
      <c r="P8" s="39">
        <v>26</v>
      </c>
      <c r="Q8" s="39">
        <v>31</v>
      </c>
      <c r="R8" s="39">
        <v>4</v>
      </c>
      <c r="S8" s="39">
        <v>31</v>
      </c>
      <c r="T8" s="39">
        <v>0</v>
      </c>
      <c r="U8" s="39">
        <v>0</v>
      </c>
      <c r="V8" s="39">
        <v>0</v>
      </c>
      <c r="W8" s="49">
        <v>0</v>
      </c>
      <c r="X8" s="49"/>
      <c r="Y8" s="49"/>
      <c r="Z8" s="49"/>
      <c r="AA8" s="50"/>
      <c r="AB8" s="50"/>
      <c r="AC8" s="50"/>
      <c r="AD8" s="50"/>
      <c r="AE8" s="50"/>
      <c r="AH8" s="39">
        <v>0</v>
      </c>
      <c r="AI8" s="39">
        <v>0</v>
      </c>
      <c r="AJ8" s="39">
        <v>0</v>
      </c>
      <c r="AK8" s="39">
        <v>0</v>
      </c>
      <c r="AL8" s="39">
        <v>0</v>
      </c>
      <c r="AM8" s="42">
        <v>0</v>
      </c>
      <c r="AN8" s="42">
        <v>0</v>
      </c>
      <c r="AO8" s="42" t="s">
        <v>416</v>
      </c>
      <c r="AP8" s="42">
        <v>31</v>
      </c>
      <c r="AQ8" s="42">
        <v>0</v>
      </c>
    </row>
    <row r="9" spans="1:43" x14ac:dyDescent="0.15">
      <c r="A9" s="37" t="s">
        <v>23</v>
      </c>
      <c r="B9" s="37" t="s">
        <v>419</v>
      </c>
      <c r="C9" s="37" t="s">
        <v>417</v>
      </c>
      <c r="D9" s="37" t="s">
        <v>423</v>
      </c>
      <c r="E9" s="37" t="s">
        <v>415</v>
      </c>
      <c r="F9" s="37" t="s">
        <v>6</v>
      </c>
      <c r="G9" s="37">
        <v>0</v>
      </c>
      <c r="H9" s="37">
        <v>31</v>
      </c>
      <c r="I9" s="41">
        <v>4</v>
      </c>
      <c r="J9" s="45">
        <v>4</v>
      </c>
      <c r="K9" s="45">
        <v>4</v>
      </c>
      <c r="L9" s="45"/>
      <c r="M9" s="45"/>
      <c r="N9" s="45"/>
      <c r="P9" s="39">
        <v>27</v>
      </c>
      <c r="Q9" s="39">
        <v>31</v>
      </c>
      <c r="R9" s="39">
        <v>4</v>
      </c>
      <c r="S9" s="39">
        <v>31</v>
      </c>
      <c r="T9" s="39">
        <v>0</v>
      </c>
      <c r="U9" s="39">
        <v>0</v>
      </c>
      <c r="V9" s="39">
        <v>0</v>
      </c>
      <c r="W9" s="49">
        <v>0</v>
      </c>
      <c r="X9" s="49"/>
      <c r="Y9" s="49"/>
      <c r="Z9" s="49"/>
      <c r="AA9" s="50"/>
      <c r="AB9" s="50"/>
      <c r="AC9" s="50">
        <v>100</v>
      </c>
      <c r="AD9" s="50"/>
      <c r="AE9" s="50"/>
      <c r="AH9" s="39">
        <v>4000</v>
      </c>
      <c r="AI9" s="39">
        <v>0</v>
      </c>
      <c r="AJ9" s="39">
        <v>0</v>
      </c>
      <c r="AK9" s="39">
        <v>0</v>
      </c>
      <c r="AL9" s="39">
        <v>0</v>
      </c>
      <c r="AM9" s="42">
        <v>0</v>
      </c>
      <c r="AN9" s="42">
        <v>0</v>
      </c>
      <c r="AO9" s="42" t="s">
        <v>416</v>
      </c>
      <c r="AP9" s="42">
        <v>31</v>
      </c>
      <c r="AQ9" s="42">
        <v>0</v>
      </c>
    </row>
    <row r="10" spans="1:43" x14ac:dyDescent="0.15">
      <c r="A10" s="37" t="s">
        <v>23</v>
      </c>
      <c r="B10" s="37" t="s">
        <v>419</v>
      </c>
      <c r="C10" s="37" t="s">
        <v>417</v>
      </c>
      <c r="D10" s="37" t="s">
        <v>424</v>
      </c>
      <c r="E10" s="37" t="s">
        <v>415</v>
      </c>
      <c r="F10" s="37" t="s">
        <v>6</v>
      </c>
      <c r="G10" s="37">
        <v>0</v>
      </c>
      <c r="H10" s="37">
        <v>31</v>
      </c>
      <c r="I10" s="41">
        <v>4</v>
      </c>
      <c r="J10" s="45">
        <v>4</v>
      </c>
      <c r="K10" s="45">
        <v>4</v>
      </c>
      <c r="L10" s="45"/>
      <c r="M10" s="45"/>
      <c r="N10" s="45"/>
      <c r="P10" s="39">
        <v>27</v>
      </c>
      <c r="Q10" s="39">
        <v>31</v>
      </c>
      <c r="R10" s="39">
        <v>4</v>
      </c>
      <c r="S10" s="39">
        <v>31</v>
      </c>
      <c r="T10" s="39">
        <v>0</v>
      </c>
      <c r="U10" s="39">
        <v>0</v>
      </c>
      <c r="V10" s="39">
        <v>0</v>
      </c>
      <c r="W10" s="49">
        <v>0</v>
      </c>
      <c r="X10" s="49"/>
      <c r="Y10" s="49"/>
      <c r="Z10" s="49"/>
      <c r="AA10" s="50"/>
      <c r="AB10" s="50"/>
      <c r="AC10" s="50"/>
      <c r="AD10" s="50">
        <v>130</v>
      </c>
      <c r="AE10" s="50"/>
      <c r="AH10" s="39">
        <v>5000</v>
      </c>
      <c r="AI10" s="39">
        <v>0</v>
      </c>
      <c r="AJ10" s="39">
        <v>0</v>
      </c>
      <c r="AK10" s="39">
        <v>778</v>
      </c>
      <c r="AL10" s="39">
        <v>0</v>
      </c>
      <c r="AM10" s="42">
        <v>0</v>
      </c>
      <c r="AN10" s="42">
        <v>0</v>
      </c>
      <c r="AO10" s="42" t="s">
        <v>416</v>
      </c>
      <c r="AP10" s="42">
        <v>31</v>
      </c>
      <c r="AQ10" s="42">
        <v>0</v>
      </c>
    </row>
    <row r="11" spans="1:43" x14ac:dyDescent="0.15">
      <c r="A11" s="37" t="s">
        <v>22</v>
      </c>
      <c r="B11" s="37" t="s">
        <v>12</v>
      </c>
      <c r="C11" s="37" t="s">
        <v>413</v>
      </c>
      <c r="D11" s="37" t="s">
        <v>41</v>
      </c>
      <c r="E11" s="37" t="s">
        <v>415</v>
      </c>
      <c r="F11" s="37" t="s">
        <v>6</v>
      </c>
      <c r="G11" s="37">
        <v>0</v>
      </c>
      <c r="H11" s="37">
        <v>31</v>
      </c>
      <c r="I11" s="41">
        <v>4</v>
      </c>
      <c r="J11" s="45">
        <v>6</v>
      </c>
      <c r="K11" s="45">
        <v>4</v>
      </c>
      <c r="L11" s="45"/>
      <c r="M11" s="45">
        <v>1</v>
      </c>
      <c r="N11" s="45"/>
      <c r="O11" s="39">
        <v>1</v>
      </c>
      <c r="P11" s="39">
        <v>25</v>
      </c>
      <c r="Q11" s="39">
        <v>31</v>
      </c>
      <c r="R11" s="39">
        <v>4</v>
      </c>
      <c r="S11" s="39">
        <v>31</v>
      </c>
      <c r="T11" s="39">
        <v>0</v>
      </c>
      <c r="U11" s="39">
        <v>0</v>
      </c>
      <c r="V11" s="39">
        <v>0</v>
      </c>
      <c r="W11" s="49">
        <v>0</v>
      </c>
      <c r="X11" s="49">
        <v>10</v>
      </c>
      <c r="Y11" s="49"/>
      <c r="Z11" s="49"/>
      <c r="AA11" s="50"/>
      <c r="AB11" s="50"/>
      <c r="AC11" s="50"/>
      <c r="AD11" s="50"/>
      <c r="AE11" s="50"/>
      <c r="AH11" s="39">
        <v>0</v>
      </c>
      <c r="AI11" s="39">
        <v>0</v>
      </c>
      <c r="AJ11" s="39">
        <v>0</v>
      </c>
      <c r="AK11" s="39">
        <v>0</v>
      </c>
      <c r="AL11" s="39">
        <v>0</v>
      </c>
      <c r="AM11" s="42">
        <v>0</v>
      </c>
      <c r="AN11" s="42">
        <v>0</v>
      </c>
      <c r="AO11" s="42" t="s">
        <v>416</v>
      </c>
      <c r="AP11" s="42">
        <v>31</v>
      </c>
      <c r="AQ11" s="42">
        <v>0</v>
      </c>
    </row>
    <row r="12" spans="1:43" x14ac:dyDescent="0.15">
      <c r="A12" s="37" t="s">
        <v>40</v>
      </c>
      <c r="B12" s="37" t="s">
        <v>14</v>
      </c>
      <c r="C12" s="37" t="s">
        <v>413</v>
      </c>
      <c r="D12" s="37" t="s">
        <v>425</v>
      </c>
      <c r="E12" s="37" t="s">
        <v>415</v>
      </c>
      <c r="F12" s="37" t="s">
        <v>6</v>
      </c>
      <c r="G12" s="37">
        <v>0</v>
      </c>
      <c r="H12" s="37">
        <v>31</v>
      </c>
      <c r="I12" s="41">
        <v>4</v>
      </c>
      <c r="J12" s="45">
        <v>4</v>
      </c>
      <c r="K12" s="45">
        <v>4</v>
      </c>
      <c r="L12" s="45"/>
      <c r="M12" s="45"/>
      <c r="N12" s="45"/>
      <c r="P12" s="39">
        <v>27</v>
      </c>
      <c r="Q12" s="39">
        <v>31</v>
      </c>
      <c r="R12" s="39">
        <v>4</v>
      </c>
      <c r="S12" s="39">
        <v>31</v>
      </c>
      <c r="T12" s="39">
        <v>0</v>
      </c>
      <c r="U12" s="39">
        <v>0</v>
      </c>
      <c r="V12" s="39">
        <v>0</v>
      </c>
      <c r="W12" s="49">
        <v>0</v>
      </c>
      <c r="X12" s="49"/>
      <c r="Y12" s="49"/>
      <c r="Z12" s="49"/>
      <c r="AA12" s="50"/>
      <c r="AB12" s="50"/>
      <c r="AC12" s="50"/>
      <c r="AD12" s="50"/>
      <c r="AE12" s="50"/>
      <c r="AH12" s="39">
        <v>0</v>
      </c>
      <c r="AI12" s="39">
        <v>0</v>
      </c>
      <c r="AJ12" s="39">
        <v>0</v>
      </c>
      <c r="AK12" s="39">
        <v>0</v>
      </c>
      <c r="AL12" s="39">
        <v>0</v>
      </c>
      <c r="AM12" s="42">
        <v>0</v>
      </c>
      <c r="AN12" s="42">
        <v>0</v>
      </c>
      <c r="AO12" s="42" t="s">
        <v>416</v>
      </c>
      <c r="AP12" s="42">
        <v>31</v>
      </c>
      <c r="AQ12" s="42">
        <v>0</v>
      </c>
    </row>
    <row r="13" spans="1:43" x14ac:dyDescent="0.15">
      <c r="A13" s="37" t="s">
        <v>40</v>
      </c>
      <c r="B13" s="37" t="s">
        <v>419</v>
      </c>
      <c r="C13" s="37" t="s">
        <v>417</v>
      </c>
      <c r="D13" s="37" t="s">
        <v>426</v>
      </c>
      <c r="E13" s="37" t="s">
        <v>415</v>
      </c>
      <c r="F13" s="37" t="s">
        <v>6</v>
      </c>
      <c r="G13" s="37">
        <v>0</v>
      </c>
      <c r="H13" s="37">
        <v>31</v>
      </c>
      <c r="I13" s="41">
        <v>4</v>
      </c>
      <c r="J13" s="45">
        <v>4</v>
      </c>
      <c r="K13" s="45">
        <v>4</v>
      </c>
      <c r="L13" s="45"/>
      <c r="M13" s="45"/>
      <c r="N13" s="45"/>
      <c r="P13" s="39">
        <v>27</v>
      </c>
      <c r="Q13" s="39">
        <v>31</v>
      </c>
      <c r="R13" s="39">
        <v>4</v>
      </c>
      <c r="S13" s="39">
        <v>31</v>
      </c>
      <c r="T13" s="39">
        <v>0</v>
      </c>
      <c r="U13" s="39">
        <v>0</v>
      </c>
      <c r="V13" s="39">
        <v>0</v>
      </c>
      <c r="W13" s="49">
        <v>0</v>
      </c>
      <c r="X13" s="49"/>
      <c r="Y13" s="49"/>
      <c r="Z13" s="49"/>
      <c r="AA13" s="50"/>
      <c r="AB13" s="50"/>
      <c r="AC13" s="50"/>
      <c r="AD13" s="50"/>
      <c r="AE13" s="50"/>
      <c r="AH13" s="39">
        <v>0</v>
      </c>
      <c r="AI13" s="39">
        <v>0</v>
      </c>
      <c r="AJ13" s="39">
        <v>0</v>
      </c>
      <c r="AK13" s="39">
        <v>0</v>
      </c>
      <c r="AL13" s="39">
        <v>0</v>
      </c>
      <c r="AM13" s="42">
        <v>0</v>
      </c>
      <c r="AN13" s="42">
        <v>0</v>
      </c>
      <c r="AO13" s="42" t="s">
        <v>416</v>
      </c>
      <c r="AP13" s="42">
        <v>31</v>
      </c>
      <c r="AQ13" s="42">
        <v>0</v>
      </c>
    </row>
    <row r="14" spans="1:43" x14ac:dyDescent="0.15">
      <c r="A14" s="37" t="s">
        <v>40</v>
      </c>
      <c r="B14" s="37" t="s">
        <v>419</v>
      </c>
      <c r="C14" s="37" t="s">
        <v>417</v>
      </c>
      <c r="D14" s="37" t="s">
        <v>427</v>
      </c>
      <c r="E14" s="37" t="s">
        <v>415</v>
      </c>
      <c r="F14" s="37" t="s">
        <v>6</v>
      </c>
      <c r="G14" s="37">
        <v>0</v>
      </c>
      <c r="H14" s="37">
        <v>31</v>
      </c>
      <c r="I14" s="41">
        <v>4</v>
      </c>
      <c r="J14" s="45">
        <v>4</v>
      </c>
      <c r="K14" s="45">
        <v>4</v>
      </c>
      <c r="L14" s="45"/>
      <c r="M14" s="45"/>
      <c r="N14" s="45"/>
      <c r="P14" s="39">
        <v>27</v>
      </c>
      <c r="Q14" s="39">
        <v>31</v>
      </c>
      <c r="R14" s="39">
        <v>4</v>
      </c>
      <c r="S14" s="39">
        <v>31</v>
      </c>
      <c r="T14" s="39">
        <v>0</v>
      </c>
      <c r="U14" s="39">
        <v>0</v>
      </c>
      <c r="V14" s="39">
        <v>0</v>
      </c>
      <c r="W14" s="49">
        <v>0</v>
      </c>
      <c r="X14" s="49"/>
      <c r="Y14" s="49">
        <v>10</v>
      </c>
      <c r="Z14" s="49"/>
      <c r="AA14" s="50"/>
      <c r="AB14" s="50"/>
      <c r="AC14" s="50"/>
      <c r="AD14" s="50"/>
      <c r="AE14" s="50"/>
      <c r="AH14" s="39">
        <v>0</v>
      </c>
      <c r="AI14" s="39">
        <v>0</v>
      </c>
      <c r="AJ14" s="39">
        <v>0</v>
      </c>
      <c r="AK14" s="39">
        <v>0</v>
      </c>
      <c r="AL14" s="39">
        <v>0</v>
      </c>
      <c r="AM14" s="42">
        <v>0</v>
      </c>
      <c r="AN14" s="42">
        <v>0</v>
      </c>
      <c r="AO14" s="42" t="s">
        <v>416</v>
      </c>
      <c r="AP14" s="42">
        <v>31</v>
      </c>
      <c r="AQ14" s="42">
        <v>0</v>
      </c>
    </row>
    <row r="15" spans="1:43" x14ac:dyDescent="0.15">
      <c r="A15" s="37" t="s">
        <v>40</v>
      </c>
      <c r="B15" s="37" t="s">
        <v>419</v>
      </c>
      <c r="C15" s="37" t="s">
        <v>417</v>
      </c>
      <c r="D15" s="37" t="s">
        <v>428</v>
      </c>
      <c r="E15" s="37" t="s">
        <v>415</v>
      </c>
      <c r="F15" s="37" t="s">
        <v>6</v>
      </c>
      <c r="G15" s="37">
        <v>0</v>
      </c>
      <c r="H15" s="37">
        <v>31</v>
      </c>
      <c r="I15" s="41">
        <v>4</v>
      </c>
      <c r="J15" s="45">
        <v>5</v>
      </c>
      <c r="K15" s="45">
        <v>4</v>
      </c>
      <c r="L15" s="45"/>
      <c r="M15" s="45">
        <v>1</v>
      </c>
      <c r="N15" s="45"/>
      <c r="P15" s="39">
        <v>26</v>
      </c>
      <c r="Q15" s="39">
        <v>31</v>
      </c>
      <c r="R15" s="39">
        <v>4</v>
      </c>
      <c r="S15" s="39">
        <v>31</v>
      </c>
      <c r="T15" s="39">
        <v>0</v>
      </c>
      <c r="U15" s="39">
        <v>0</v>
      </c>
      <c r="V15" s="39">
        <v>0</v>
      </c>
      <c r="W15" s="49">
        <v>0</v>
      </c>
      <c r="X15" s="49"/>
      <c r="Y15" s="49">
        <v>10</v>
      </c>
      <c r="Z15" s="49"/>
      <c r="AA15" s="50"/>
      <c r="AB15" s="50"/>
      <c r="AC15" s="50"/>
      <c r="AD15" s="50"/>
      <c r="AE15" s="50"/>
      <c r="AH15" s="39">
        <v>0</v>
      </c>
      <c r="AI15" s="39">
        <v>0</v>
      </c>
      <c r="AJ15" s="39">
        <v>0</v>
      </c>
      <c r="AK15" s="39">
        <v>0</v>
      </c>
      <c r="AL15" s="39">
        <v>0</v>
      </c>
      <c r="AM15" s="42">
        <v>0</v>
      </c>
      <c r="AN15" s="42">
        <v>0</v>
      </c>
      <c r="AO15" s="42" t="s">
        <v>416</v>
      </c>
      <c r="AP15" s="42">
        <v>31</v>
      </c>
      <c r="AQ15" s="42">
        <v>0</v>
      </c>
    </row>
    <row r="16" spans="1:43" x14ac:dyDescent="0.15">
      <c r="A16" s="37" t="s">
        <v>40</v>
      </c>
      <c r="B16" s="37" t="s">
        <v>419</v>
      </c>
      <c r="C16" s="37" t="s">
        <v>417</v>
      </c>
      <c r="D16" s="37" t="s">
        <v>429</v>
      </c>
      <c r="E16" s="37" t="s">
        <v>415</v>
      </c>
      <c r="F16" s="37" t="s">
        <v>6</v>
      </c>
      <c r="G16" s="37">
        <v>0</v>
      </c>
      <c r="H16" s="37">
        <v>31</v>
      </c>
      <c r="I16" s="41">
        <v>4</v>
      </c>
      <c r="J16" s="45">
        <v>4</v>
      </c>
      <c r="K16" s="45">
        <v>4</v>
      </c>
      <c r="L16" s="45"/>
      <c r="M16" s="45"/>
      <c r="N16" s="45"/>
      <c r="P16" s="39">
        <v>27</v>
      </c>
      <c r="Q16" s="39">
        <v>31</v>
      </c>
      <c r="R16" s="39">
        <v>4</v>
      </c>
      <c r="S16" s="39">
        <v>31</v>
      </c>
      <c r="T16" s="39">
        <v>0</v>
      </c>
      <c r="U16" s="39">
        <v>0</v>
      </c>
      <c r="V16" s="39">
        <v>0</v>
      </c>
      <c r="W16" s="49">
        <v>0</v>
      </c>
      <c r="X16" s="49">
        <v>10</v>
      </c>
      <c r="Y16" s="49">
        <v>10</v>
      </c>
      <c r="Z16" s="49"/>
      <c r="AA16" s="50"/>
      <c r="AB16" s="50"/>
      <c r="AC16" s="50"/>
      <c r="AD16" s="50"/>
      <c r="AE16" s="50"/>
      <c r="AH16" s="39">
        <v>0</v>
      </c>
      <c r="AI16" s="39">
        <v>0</v>
      </c>
      <c r="AJ16" s="39">
        <v>0</v>
      </c>
      <c r="AK16" s="39">
        <v>0</v>
      </c>
      <c r="AL16" s="39">
        <v>0</v>
      </c>
      <c r="AM16" s="42">
        <v>0</v>
      </c>
      <c r="AN16" s="42">
        <v>0</v>
      </c>
      <c r="AO16" s="42" t="s">
        <v>416</v>
      </c>
      <c r="AP16" s="42">
        <v>31</v>
      </c>
      <c r="AQ16" s="42">
        <v>0</v>
      </c>
    </row>
    <row r="17" spans="1:43" x14ac:dyDescent="0.15">
      <c r="A17" s="37" t="s">
        <v>40</v>
      </c>
      <c r="B17" s="37" t="s">
        <v>419</v>
      </c>
      <c r="C17" s="37" t="s">
        <v>417</v>
      </c>
      <c r="D17" s="37" t="s">
        <v>430</v>
      </c>
      <c r="E17" s="37" t="s">
        <v>415</v>
      </c>
      <c r="F17" s="37" t="s">
        <v>6</v>
      </c>
      <c r="G17" s="37">
        <v>0</v>
      </c>
      <c r="H17" s="37">
        <v>31</v>
      </c>
      <c r="I17" s="41">
        <v>4</v>
      </c>
      <c r="J17" s="45">
        <v>4</v>
      </c>
      <c r="K17" s="45">
        <v>4</v>
      </c>
      <c r="L17" s="45"/>
      <c r="M17" s="45"/>
      <c r="N17" s="45"/>
      <c r="P17" s="39">
        <v>27</v>
      </c>
      <c r="Q17" s="39">
        <v>31</v>
      </c>
      <c r="R17" s="39">
        <v>4</v>
      </c>
      <c r="S17" s="39">
        <v>31</v>
      </c>
      <c r="T17" s="39">
        <v>0</v>
      </c>
      <c r="U17" s="39">
        <v>0</v>
      </c>
      <c r="V17" s="39">
        <v>0</v>
      </c>
      <c r="W17" s="49">
        <v>0</v>
      </c>
      <c r="X17" s="49"/>
      <c r="Y17" s="49"/>
      <c r="Z17" s="49">
        <v>50</v>
      </c>
      <c r="AA17" s="50"/>
      <c r="AB17" s="50"/>
      <c r="AC17" s="50"/>
      <c r="AD17" s="50"/>
      <c r="AE17" s="50"/>
      <c r="AH17" s="39">
        <v>0</v>
      </c>
      <c r="AI17" s="39">
        <v>0</v>
      </c>
      <c r="AJ17" s="39">
        <v>0</v>
      </c>
      <c r="AK17" s="39">
        <v>0</v>
      </c>
      <c r="AL17" s="39">
        <v>0</v>
      </c>
      <c r="AM17" s="42">
        <v>0</v>
      </c>
      <c r="AN17" s="42">
        <v>0</v>
      </c>
      <c r="AO17" s="42" t="s">
        <v>416</v>
      </c>
      <c r="AP17" s="42">
        <v>31</v>
      </c>
      <c r="AQ17" s="42">
        <v>0</v>
      </c>
    </row>
    <row r="18" spans="1:43" x14ac:dyDescent="0.15">
      <c r="A18" s="37" t="s">
        <v>40</v>
      </c>
      <c r="B18" s="37" t="s">
        <v>419</v>
      </c>
      <c r="C18" s="37" t="s">
        <v>417</v>
      </c>
      <c r="D18" s="37" t="s">
        <v>431</v>
      </c>
      <c r="E18" s="37" t="s">
        <v>415</v>
      </c>
      <c r="F18" s="37" t="s">
        <v>6</v>
      </c>
      <c r="G18" s="37">
        <v>0</v>
      </c>
      <c r="H18" s="37">
        <v>31</v>
      </c>
      <c r="I18" s="41">
        <v>4</v>
      </c>
      <c r="J18" s="45">
        <v>5</v>
      </c>
      <c r="K18" s="45">
        <v>4</v>
      </c>
      <c r="L18" s="45"/>
      <c r="M18" s="45">
        <v>1</v>
      </c>
      <c r="N18" s="45"/>
      <c r="P18" s="39">
        <v>26</v>
      </c>
      <c r="Q18" s="39">
        <v>31</v>
      </c>
      <c r="R18" s="39">
        <v>4</v>
      </c>
      <c r="S18" s="39">
        <v>31</v>
      </c>
      <c r="T18" s="39">
        <v>0</v>
      </c>
      <c r="U18" s="39">
        <v>0</v>
      </c>
      <c r="V18" s="39">
        <v>0</v>
      </c>
      <c r="W18" s="49">
        <v>0</v>
      </c>
      <c r="X18" s="49"/>
      <c r="Y18" s="49">
        <v>10</v>
      </c>
      <c r="Z18" s="49"/>
      <c r="AA18" s="50"/>
      <c r="AB18" s="50"/>
      <c r="AC18" s="50">
        <v>100</v>
      </c>
      <c r="AD18" s="50"/>
      <c r="AE18" s="50"/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42">
        <v>0</v>
      </c>
      <c r="AN18" s="42">
        <v>0</v>
      </c>
      <c r="AO18" s="42" t="s">
        <v>416</v>
      </c>
      <c r="AP18" s="42">
        <v>31</v>
      </c>
      <c r="AQ18" s="42">
        <v>0</v>
      </c>
    </row>
    <row r="19" spans="1:43" x14ac:dyDescent="0.15">
      <c r="A19" s="37" t="s">
        <v>40</v>
      </c>
      <c r="B19" s="37" t="s">
        <v>15</v>
      </c>
      <c r="C19" s="37" t="s">
        <v>417</v>
      </c>
      <c r="D19" s="37" t="s">
        <v>432</v>
      </c>
      <c r="E19" s="37" t="s">
        <v>415</v>
      </c>
      <c r="F19" s="37" t="s">
        <v>6</v>
      </c>
      <c r="G19" s="37">
        <v>0</v>
      </c>
      <c r="H19" s="37">
        <v>31</v>
      </c>
      <c r="I19" s="41">
        <v>4</v>
      </c>
      <c r="J19" s="45">
        <v>5</v>
      </c>
      <c r="K19" s="45">
        <v>4</v>
      </c>
      <c r="L19" s="45"/>
      <c r="M19" s="45">
        <v>1</v>
      </c>
      <c r="N19" s="45"/>
      <c r="P19" s="39">
        <v>26</v>
      </c>
      <c r="Q19" s="39">
        <v>31</v>
      </c>
      <c r="R19" s="39">
        <v>4</v>
      </c>
      <c r="S19" s="39">
        <v>31</v>
      </c>
      <c r="T19" s="39">
        <v>0</v>
      </c>
      <c r="U19" s="39">
        <v>0</v>
      </c>
      <c r="V19" s="39">
        <v>0</v>
      </c>
      <c r="W19" s="49">
        <v>0</v>
      </c>
      <c r="X19" s="49"/>
      <c r="Y19" s="49"/>
      <c r="Z19" s="49"/>
      <c r="AA19" s="50"/>
      <c r="AB19" s="50"/>
      <c r="AC19" s="50"/>
      <c r="AD19" s="50"/>
      <c r="AE19" s="50"/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42">
        <v>0</v>
      </c>
      <c r="AN19" s="42">
        <v>0</v>
      </c>
      <c r="AO19" s="42" t="s">
        <v>416</v>
      </c>
      <c r="AP19" s="42">
        <v>31</v>
      </c>
      <c r="AQ19" s="42">
        <v>0</v>
      </c>
    </row>
    <row r="20" spans="1:43" x14ac:dyDescent="0.15">
      <c r="A20" s="37" t="s">
        <v>40</v>
      </c>
      <c r="B20" s="37" t="s">
        <v>419</v>
      </c>
      <c r="C20" s="37" t="s">
        <v>417</v>
      </c>
      <c r="D20" s="37" t="s">
        <v>433</v>
      </c>
      <c r="E20" s="37" t="s">
        <v>415</v>
      </c>
      <c r="F20" s="37" t="s">
        <v>6</v>
      </c>
      <c r="G20" s="37">
        <v>0</v>
      </c>
      <c r="H20" s="37">
        <v>31</v>
      </c>
      <c r="I20" s="41">
        <v>4</v>
      </c>
      <c r="J20" s="45">
        <v>4</v>
      </c>
      <c r="K20" s="45">
        <v>4</v>
      </c>
      <c r="L20" s="45"/>
      <c r="M20" s="45"/>
      <c r="N20" s="45"/>
      <c r="P20" s="39">
        <v>27</v>
      </c>
      <c r="Q20" s="39">
        <v>31</v>
      </c>
      <c r="R20" s="39">
        <v>4</v>
      </c>
      <c r="S20" s="39">
        <v>31</v>
      </c>
      <c r="T20" s="39">
        <v>0</v>
      </c>
      <c r="U20" s="39">
        <v>0</v>
      </c>
      <c r="V20" s="39">
        <v>0</v>
      </c>
      <c r="W20" s="49">
        <v>0</v>
      </c>
      <c r="X20" s="49"/>
      <c r="Y20" s="49">
        <v>10</v>
      </c>
      <c r="Z20" s="49"/>
      <c r="AA20" s="50"/>
      <c r="AB20" s="50"/>
      <c r="AC20" s="50"/>
      <c r="AD20" s="50"/>
      <c r="AE20" s="50"/>
      <c r="AH20" s="39">
        <v>0</v>
      </c>
      <c r="AI20" s="39">
        <v>0</v>
      </c>
      <c r="AJ20" s="39">
        <v>0</v>
      </c>
      <c r="AK20" s="39">
        <v>0</v>
      </c>
      <c r="AL20" s="39">
        <v>0</v>
      </c>
      <c r="AM20" s="42">
        <v>0</v>
      </c>
      <c r="AN20" s="42">
        <v>0</v>
      </c>
      <c r="AO20" s="42" t="s">
        <v>416</v>
      </c>
      <c r="AP20" s="42">
        <v>31</v>
      </c>
      <c r="AQ20" s="42">
        <v>0</v>
      </c>
    </row>
    <row r="21" spans="1:43" x14ac:dyDescent="0.15">
      <c r="A21" s="37" t="s">
        <v>40</v>
      </c>
      <c r="B21" s="37" t="s">
        <v>419</v>
      </c>
      <c r="C21" s="37" t="s">
        <v>417</v>
      </c>
      <c r="D21" s="37" t="s">
        <v>434</v>
      </c>
      <c r="E21" s="37" t="s">
        <v>80</v>
      </c>
      <c r="F21" s="37" t="s">
        <v>6</v>
      </c>
      <c r="G21" s="37">
        <v>0</v>
      </c>
      <c r="H21" s="37">
        <v>26</v>
      </c>
      <c r="I21" s="41">
        <v>3</v>
      </c>
      <c r="J21" s="45">
        <v>3</v>
      </c>
      <c r="K21" s="45">
        <v>3</v>
      </c>
      <c r="L21" s="45"/>
      <c r="M21" s="45"/>
      <c r="N21" s="45"/>
      <c r="P21" s="39">
        <v>23</v>
      </c>
      <c r="Q21" s="39">
        <v>26</v>
      </c>
      <c r="R21" s="39">
        <v>3</v>
      </c>
      <c r="S21" s="39">
        <v>26</v>
      </c>
      <c r="T21" s="39">
        <v>0</v>
      </c>
      <c r="U21" s="39">
        <v>0</v>
      </c>
      <c r="V21" s="39">
        <v>0</v>
      </c>
      <c r="W21" s="49">
        <v>0</v>
      </c>
      <c r="X21" s="49"/>
      <c r="Y21" s="49"/>
      <c r="Z21" s="49"/>
      <c r="AA21" s="50"/>
      <c r="AB21" s="50">
        <v>1211</v>
      </c>
      <c r="AC21" s="50"/>
      <c r="AD21" s="50"/>
      <c r="AE21" s="50">
        <v>300</v>
      </c>
      <c r="AH21" s="39">
        <v>0</v>
      </c>
      <c r="AI21" s="39">
        <v>0</v>
      </c>
      <c r="AJ21" s="39">
        <v>0</v>
      </c>
      <c r="AK21" s="39">
        <v>0</v>
      </c>
      <c r="AL21" s="39">
        <v>0</v>
      </c>
      <c r="AM21" s="42">
        <v>0</v>
      </c>
      <c r="AN21" s="42">
        <v>0</v>
      </c>
      <c r="AO21" s="42" t="s">
        <v>416</v>
      </c>
      <c r="AP21" s="42">
        <v>26</v>
      </c>
      <c r="AQ21" s="42">
        <v>0</v>
      </c>
    </row>
    <row r="22" spans="1:43" x14ac:dyDescent="0.15">
      <c r="A22" s="37" t="s">
        <v>40</v>
      </c>
      <c r="B22" s="37" t="s">
        <v>16</v>
      </c>
      <c r="C22" s="37" t="s">
        <v>413</v>
      </c>
      <c r="D22" s="37" t="s">
        <v>435</v>
      </c>
      <c r="E22" s="37" t="s">
        <v>415</v>
      </c>
      <c r="F22" s="37" t="s">
        <v>6</v>
      </c>
      <c r="G22" s="37">
        <v>0</v>
      </c>
      <c r="H22" s="37">
        <v>31</v>
      </c>
      <c r="I22" s="41">
        <v>4</v>
      </c>
      <c r="J22" s="45">
        <v>4</v>
      </c>
      <c r="K22" s="45">
        <v>4</v>
      </c>
      <c r="L22" s="45"/>
      <c r="M22" s="45"/>
      <c r="N22" s="45"/>
      <c r="P22" s="39">
        <v>27</v>
      </c>
      <c r="Q22" s="39">
        <v>31</v>
      </c>
      <c r="R22" s="39">
        <v>4</v>
      </c>
      <c r="S22" s="39">
        <v>31</v>
      </c>
      <c r="T22" s="39">
        <v>0</v>
      </c>
      <c r="U22" s="39">
        <v>0</v>
      </c>
      <c r="V22" s="39">
        <v>0</v>
      </c>
      <c r="W22" s="49">
        <v>0</v>
      </c>
      <c r="X22" s="49"/>
      <c r="Y22" s="49"/>
      <c r="Z22" s="49">
        <v>50</v>
      </c>
      <c r="AA22" s="50"/>
      <c r="AB22" s="50"/>
      <c r="AC22" s="50"/>
      <c r="AD22" s="50"/>
      <c r="AE22" s="50"/>
      <c r="AH22" s="39">
        <v>0</v>
      </c>
      <c r="AI22" s="39">
        <v>0</v>
      </c>
      <c r="AJ22" s="39">
        <v>0</v>
      </c>
      <c r="AK22" s="39">
        <v>0</v>
      </c>
      <c r="AL22" s="39">
        <v>0</v>
      </c>
      <c r="AM22" s="42">
        <v>0</v>
      </c>
      <c r="AN22" s="42">
        <v>0</v>
      </c>
      <c r="AO22" s="42" t="s">
        <v>416</v>
      </c>
      <c r="AP22" s="42">
        <v>31</v>
      </c>
      <c r="AQ22" s="42">
        <v>0</v>
      </c>
    </row>
    <row r="23" spans="1:43" x14ac:dyDescent="0.15">
      <c r="A23" s="37" t="s">
        <v>42</v>
      </c>
      <c r="B23" s="37" t="s">
        <v>419</v>
      </c>
      <c r="C23" s="37" t="s">
        <v>417</v>
      </c>
      <c r="D23" s="37" t="s">
        <v>436</v>
      </c>
      <c r="E23" s="37" t="s">
        <v>415</v>
      </c>
      <c r="F23" s="37" t="s">
        <v>6</v>
      </c>
      <c r="G23" s="37">
        <v>0</v>
      </c>
      <c r="H23" s="37">
        <v>31</v>
      </c>
      <c r="I23" s="39">
        <v>4</v>
      </c>
      <c r="J23" s="45">
        <v>4</v>
      </c>
      <c r="K23" s="45">
        <v>4</v>
      </c>
      <c r="L23" s="45"/>
      <c r="M23" s="45"/>
      <c r="N23" s="45"/>
      <c r="P23" s="39">
        <v>27</v>
      </c>
      <c r="Q23" s="39">
        <v>31</v>
      </c>
      <c r="R23" s="39">
        <v>4</v>
      </c>
      <c r="S23" s="39">
        <v>31</v>
      </c>
      <c r="T23" s="39">
        <v>0</v>
      </c>
      <c r="U23" s="39">
        <v>0</v>
      </c>
      <c r="V23" s="39">
        <v>0</v>
      </c>
      <c r="W23" s="49">
        <v>0</v>
      </c>
      <c r="X23" s="49"/>
      <c r="Y23" s="49"/>
      <c r="Z23" s="49">
        <v>50</v>
      </c>
      <c r="AA23" s="51"/>
      <c r="AB23" s="51"/>
      <c r="AC23" s="51"/>
      <c r="AD23" s="51"/>
      <c r="AE23" s="51"/>
      <c r="AH23" s="39">
        <v>0</v>
      </c>
      <c r="AI23" s="39">
        <v>0</v>
      </c>
      <c r="AJ23" s="39">
        <v>0</v>
      </c>
      <c r="AK23" s="39">
        <v>0</v>
      </c>
      <c r="AL23" s="39">
        <v>0</v>
      </c>
      <c r="AM23" s="42">
        <v>0</v>
      </c>
      <c r="AN23" s="42">
        <v>0</v>
      </c>
      <c r="AO23" s="42" t="s">
        <v>416</v>
      </c>
      <c r="AP23" s="42">
        <v>31</v>
      </c>
      <c r="AQ23" s="42">
        <v>0</v>
      </c>
    </row>
    <row r="24" spans="1:43" x14ac:dyDescent="0.15">
      <c r="A24" s="37" t="s">
        <v>42</v>
      </c>
      <c r="B24" s="37" t="s">
        <v>15</v>
      </c>
      <c r="C24" s="37" t="s">
        <v>417</v>
      </c>
      <c r="D24" s="37" t="s">
        <v>437</v>
      </c>
      <c r="E24" s="37" t="s">
        <v>415</v>
      </c>
      <c r="F24" s="37" t="s">
        <v>6</v>
      </c>
      <c r="G24" s="37">
        <v>0</v>
      </c>
      <c r="H24" s="37">
        <v>31</v>
      </c>
      <c r="I24" s="41">
        <v>4</v>
      </c>
      <c r="J24" s="45">
        <v>5</v>
      </c>
      <c r="K24" s="45">
        <v>4</v>
      </c>
      <c r="L24" s="45"/>
      <c r="M24" s="45">
        <v>1</v>
      </c>
      <c r="N24" s="45"/>
      <c r="P24" s="39">
        <v>26</v>
      </c>
      <c r="Q24" s="39">
        <v>31</v>
      </c>
      <c r="R24" s="39">
        <v>4</v>
      </c>
      <c r="S24" s="39">
        <v>31</v>
      </c>
      <c r="T24" s="39">
        <v>0</v>
      </c>
      <c r="U24" s="39">
        <v>0</v>
      </c>
      <c r="V24" s="39">
        <v>0</v>
      </c>
      <c r="W24" s="49">
        <v>0</v>
      </c>
      <c r="X24" s="49">
        <v>10</v>
      </c>
      <c r="Y24" s="49"/>
      <c r="Z24" s="49"/>
      <c r="AA24" s="50"/>
      <c r="AB24" s="50"/>
      <c r="AC24" s="50"/>
      <c r="AD24" s="50"/>
      <c r="AE24" s="50"/>
      <c r="AH24" s="39">
        <v>0</v>
      </c>
      <c r="AI24" s="39">
        <v>0</v>
      </c>
      <c r="AJ24" s="39">
        <v>0</v>
      </c>
      <c r="AK24" s="39">
        <v>0</v>
      </c>
      <c r="AL24" s="39">
        <v>0</v>
      </c>
      <c r="AM24" s="42">
        <v>0</v>
      </c>
      <c r="AN24" s="42">
        <v>0</v>
      </c>
      <c r="AO24" s="42" t="s">
        <v>416</v>
      </c>
      <c r="AP24" s="42">
        <v>31</v>
      </c>
      <c r="AQ24" s="42">
        <v>0</v>
      </c>
    </row>
    <row r="25" spans="1:43" x14ac:dyDescent="0.15">
      <c r="A25" s="37" t="s">
        <v>42</v>
      </c>
      <c r="B25" s="37" t="s">
        <v>14</v>
      </c>
      <c r="C25" s="37" t="s">
        <v>413</v>
      </c>
      <c r="D25" s="37" t="s">
        <v>438</v>
      </c>
      <c r="E25" s="37" t="s">
        <v>415</v>
      </c>
      <c r="F25" s="37" t="s">
        <v>6</v>
      </c>
      <c r="G25" s="37">
        <v>0</v>
      </c>
      <c r="H25" s="37">
        <v>31</v>
      </c>
      <c r="I25" s="41">
        <v>4</v>
      </c>
      <c r="J25" s="45">
        <v>4</v>
      </c>
      <c r="K25" s="45">
        <v>4</v>
      </c>
      <c r="L25" s="45"/>
      <c r="M25" s="45"/>
      <c r="N25" s="45"/>
      <c r="P25" s="39">
        <v>27</v>
      </c>
      <c r="Q25" s="39">
        <v>31</v>
      </c>
      <c r="R25" s="39">
        <v>4</v>
      </c>
      <c r="S25" s="39">
        <v>31</v>
      </c>
      <c r="T25" s="39">
        <v>0</v>
      </c>
      <c r="U25" s="39">
        <v>0</v>
      </c>
      <c r="V25" s="39">
        <v>0</v>
      </c>
      <c r="W25" s="49">
        <v>0</v>
      </c>
      <c r="X25" s="49"/>
      <c r="Y25" s="49"/>
      <c r="Z25" s="49"/>
      <c r="AA25" s="50"/>
      <c r="AB25" s="50"/>
      <c r="AC25" s="50"/>
      <c r="AD25" s="50"/>
      <c r="AE25" s="50"/>
      <c r="AH25" s="39">
        <v>0</v>
      </c>
      <c r="AI25" s="39">
        <v>0</v>
      </c>
      <c r="AJ25" s="39">
        <v>0</v>
      </c>
      <c r="AK25" s="39">
        <v>0</v>
      </c>
      <c r="AL25" s="39">
        <v>0</v>
      </c>
      <c r="AM25" s="42">
        <v>0</v>
      </c>
      <c r="AN25" s="42">
        <v>0</v>
      </c>
      <c r="AO25" s="42" t="s">
        <v>416</v>
      </c>
      <c r="AP25" s="42">
        <v>31</v>
      </c>
      <c r="AQ25" s="42">
        <v>0</v>
      </c>
    </row>
    <row r="26" spans="1:43" x14ac:dyDescent="0.15">
      <c r="A26" s="37" t="s">
        <v>42</v>
      </c>
      <c r="B26" s="37" t="s">
        <v>419</v>
      </c>
      <c r="C26" s="37" t="s">
        <v>417</v>
      </c>
      <c r="D26" s="37" t="s">
        <v>439</v>
      </c>
      <c r="E26" s="37" t="s">
        <v>415</v>
      </c>
      <c r="F26" s="37" t="s">
        <v>6</v>
      </c>
      <c r="G26" s="37">
        <v>0</v>
      </c>
      <c r="H26" s="37">
        <v>31</v>
      </c>
      <c r="I26" s="41">
        <v>4</v>
      </c>
      <c r="J26" s="45">
        <v>5</v>
      </c>
      <c r="K26" s="45">
        <v>4</v>
      </c>
      <c r="L26" s="45"/>
      <c r="M26" s="45">
        <v>1</v>
      </c>
      <c r="N26" s="45"/>
      <c r="P26" s="39">
        <v>26</v>
      </c>
      <c r="Q26" s="39">
        <v>31</v>
      </c>
      <c r="R26" s="39">
        <v>4</v>
      </c>
      <c r="S26" s="39">
        <v>31</v>
      </c>
      <c r="T26" s="39">
        <v>0</v>
      </c>
      <c r="U26" s="39">
        <v>0</v>
      </c>
      <c r="V26" s="39">
        <v>0</v>
      </c>
      <c r="W26" s="49">
        <v>0</v>
      </c>
      <c r="X26" s="49"/>
      <c r="Y26" s="49"/>
      <c r="Z26" s="49"/>
      <c r="AA26" s="50"/>
      <c r="AB26" s="50"/>
      <c r="AC26" s="50"/>
      <c r="AD26" s="50"/>
      <c r="AE26" s="50"/>
      <c r="AH26" s="39">
        <v>0</v>
      </c>
      <c r="AI26" s="39">
        <v>0</v>
      </c>
      <c r="AJ26" s="39">
        <v>0</v>
      </c>
      <c r="AK26" s="39">
        <v>0</v>
      </c>
      <c r="AL26" s="39">
        <v>0</v>
      </c>
      <c r="AM26" s="42">
        <v>0</v>
      </c>
      <c r="AN26" s="42">
        <v>0</v>
      </c>
      <c r="AO26" s="42" t="s">
        <v>416</v>
      </c>
      <c r="AP26" s="42">
        <v>31</v>
      </c>
      <c r="AQ26" s="42">
        <v>0</v>
      </c>
    </row>
    <row r="27" spans="1:43" x14ac:dyDescent="0.15">
      <c r="A27" s="37" t="s">
        <v>42</v>
      </c>
      <c r="B27" s="37" t="s">
        <v>419</v>
      </c>
      <c r="C27" s="37" t="s">
        <v>417</v>
      </c>
      <c r="D27" s="37" t="s">
        <v>440</v>
      </c>
      <c r="E27" s="37" t="s">
        <v>415</v>
      </c>
      <c r="F27" s="37" t="s">
        <v>6</v>
      </c>
      <c r="G27" s="37">
        <v>0</v>
      </c>
      <c r="H27" s="37">
        <v>31</v>
      </c>
      <c r="I27" s="41">
        <v>4</v>
      </c>
      <c r="J27" s="45">
        <v>5</v>
      </c>
      <c r="K27" s="45">
        <v>4</v>
      </c>
      <c r="L27" s="45"/>
      <c r="M27" s="45">
        <v>1</v>
      </c>
      <c r="N27" s="45"/>
      <c r="P27" s="39">
        <v>26</v>
      </c>
      <c r="Q27" s="39">
        <v>31</v>
      </c>
      <c r="R27" s="39">
        <v>4</v>
      </c>
      <c r="S27" s="39">
        <v>31</v>
      </c>
      <c r="T27" s="39">
        <v>0</v>
      </c>
      <c r="U27" s="39">
        <v>0</v>
      </c>
      <c r="V27" s="39">
        <v>0</v>
      </c>
      <c r="W27" s="49">
        <v>0</v>
      </c>
      <c r="X27" s="49"/>
      <c r="Y27" s="49"/>
      <c r="Z27" s="49"/>
      <c r="AA27" s="50"/>
      <c r="AB27" s="50"/>
      <c r="AC27" s="50"/>
      <c r="AD27" s="50"/>
      <c r="AE27" s="50"/>
      <c r="AH27" s="39">
        <v>0</v>
      </c>
      <c r="AI27" s="39">
        <v>0</v>
      </c>
      <c r="AJ27" s="39">
        <v>0</v>
      </c>
      <c r="AK27" s="39">
        <v>0</v>
      </c>
      <c r="AL27" s="39">
        <v>0</v>
      </c>
      <c r="AM27" s="42">
        <v>0</v>
      </c>
      <c r="AN27" s="42">
        <v>0</v>
      </c>
      <c r="AO27" s="42" t="s">
        <v>416</v>
      </c>
      <c r="AP27" s="42">
        <v>31</v>
      </c>
      <c r="AQ27" s="42">
        <v>0</v>
      </c>
    </row>
    <row r="28" spans="1:43" x14ac:dyDescent="0.15">
      <c r="A28" s="37" t="s">
        <v>42</v>
      </c>
      <c r="B28" s="37" t="s">
        <v>419</v>
      </c>
      <c r="C28" s="37" t="s">
        <v>417</v>
      </c>
      <c r="D28" s="37" t="s">
        <v>441</v>
      </c>
      <c r="E28" s="37" t="s">
        <v>415</v>
      </c>
      <c r="F28" s="37" t="s">
        <v>6</v>
      </c>
      <c r="G28" s="37">
        <v>0</v>
      </c>
      <c r="H28" s="37">
        <v>31</v>
      </c>
      <c r="I28" s="41">
        <v>4</v>
      </c>
      <c r="J28" s="45">
        <v>4</v>
      </c>
      <c r="K28" s="45">
        <v>4</v>
      </c>
      <c r="L28" s="45"/>
      <c r="M28" s="45"/>
      <c r="N28" s="45"/>
      <c r="P28" s="39">
        <v>27</v>
      </c>
      <c r="Q28" s="39">
        <v>31</v>
      </c>
      <c r="R28" s="39">
        <v>4</v>
      </c>
      <c r="S28" s="39">
        <v>31</v>
      </c>
      <c r="T28" s="39">
        <v>0</v>
      </c>
      <c r="U28" s="39">
        <v>0</v>
      </c>
      <c r="V28" s="39">
        <v>0</v>
      </c>
      <c r="W28" s="49">
        <v>0</v>
      </c>
      <c r="X28" s="49">
        <v>10</v>
      </c>
      <c r="Y28" s="49"/>
      <c r="Z28" s="49"/>
      <c r="AA28" s="50"/>
      <c r="AB28" s="50"/>
      <c r="AC28" s="50"/>
      <c r="AD28" s="50"/>
      <c r="AE28" s="50"/>
      <c r="AH28" s="39">
        <v>0</v>
      </c>
      <c r="AI28" s="39">
        <v>0</v>
      </c>
      <c r="AJ28" s="39">
        <v>0</v>
      </c>
      <c r="AK28" s="39">
        <v>0</v>
      </c>
      <c r="AL28" s="39">
        <v>0</v>
      </c>
      <c r="AM28" s="42">
        <v>0</v>
      </c>
      <c r="AN28" s="42">
        <v>0</v>
      </c>
      <c r="AO28" s="42" t="s">
        <v>416</v>
      </c>
      <c r="AP28" s="42">
        <v>31</v>
      </c>
      <c r="AQ28" s="42">
        <v>0</v>
      </c>
    </row>
    <row r="29" spans="1:43" x14ac:dyDescent="0.15">
      <c r="A29" s="37" t="s">
        <v>42</v>
      </c>
      <c r="B29" s="37" t="s">
        <v>419</v>
      </c>
      <c r="C29" s="37" t="s">
        <v>417</v>
      </c>
      <c r="D29" s="37" t="s">
        <v>442</v>
      </c>
      <c r="E29" s="37" t="s">
        <v>415</v>
      </c>
      <c r="F29" s="37" t="s">
        <v>6</v>
      </c>
      <c r="G29" s="37">
        <v>0</v>
      </c>
      <c r="H29" s="37">
        <v>31</v>
      </c>
      <c r="I29" s="41">
        <v>4</v>
      </c>
      <c r="J29" s="45">
        <v>4</v>
      </c>
      <c r="K29" s="45">
        <v>4</v>
      </c>
      <c r="L29" s="45"/>
      <c r="M29" s="45"/>
      <c r="N29" s="45"/>
      <c r="P29" s="39">
        <v>27</v>
      </c>
      <c r="Q29" s="39">
        <v>31</v>
      </c>
      <c r="R29" s="39">
        <v>4</v>
      </c>
      <c r="S29" s="39">
        <v>31</v>
      </c>
      <c r="T29" s="39">
        <v>0</v>
      </c>
      <c r="U29" s="39">
        <v>0</v>
      </c>
      <c r="V29" s="39">
        <v>0</v>
      </c>
      <c r="W29" s="49">
        <v>0</v>
      </c>
      <c r="X29" s="49">
        <v>20</v>
      </c>
      <c r="Y29" s="49"/>
      <c r="Z29" s="49"/>
      <c r="AA29" s="50"/>
      <c r="AB29" s="50"/>
      <c r="AC29" s="50"/>
      <c r="AD29" s="50"/>
      <c r="AE29" s="50"/>
      <c r="AH29" s="39">
        <v>0</v>
      </c>
      <c r="AI29" s="39">
        <v>0</v>
      </c>
      <c r="AJ29" s="39">
        <v>0</v>
      </c>
      <c r="AK29" s="39">
        <v>0</v>
      </c>
      <c r="AL29" s="39">
        <v>0</v>
      </c>
      <c r="AM29" s="42">
        <v>0</v>
      </c>
      <c r="AN29" s="42">
        <v>0</v>
      </c>
      <c r="AO29" s="42" t="s">
        <v>416</v>
      </c>
      <c r="AP29" s="42">
        <v>31</v>
      </c>
      <c r="AQ29" s="42">
        <v>0</v>
      </c>
    </row>
    <row r="30" spans="1:43" x14ac:dyDescent="0.15">
      <c r="A30" s="37" t="s">
        <v>21</v>
      </c>
      <c r="B30" s="37" t="s">
        <v>12</v>
      </c>
      <c r="C30" s="37" t="s">
        <v>413</v>
      </c>
      <c r="D30" s="37" t="s">
        <v>34</v>
      </c>
      <c r="E30" s="37" t="s">
        <v>415</v>
      </c>
      <c r="F30" s="37" t="s">
        <v>6</v>
      </c>
      <c r="G30" s="37">
        <v>0</v>
      </c>
      <c r="H30" s="37">
        <v>31</v>
      </c>
      <c r="I30" s="41">
        <v>4</v>
      </c>
      <c r="J30" s="45">
        <v>6</v>
      </c>
      <c r="K30" s="45">
        <v>4</v>
      </c>
      <c r="L30" s="45"/>
      <c r="M30" s="45">
        <v>2</v>
      </c>
      <c r="N30" s="45"/>
      <c r="P30" s="39">
        <v>25</v>
      </c>
      <c r="Q30" s="39">
        <v>31</v>
      </c>
      <c r="R30" s="39">
        <v>4</v>
      </c>
      <c r="S30" s="39">
        <v>31</v>
      </c>
      <c r="T30" s="39">
        <v>0</v>
      </c>
      <c r="U30" s="39">
        <v>0</v>
      </c>
      <c r="V30" s="39">
        <v>0</v>
      </c>
      <c r="W30" s="49">
        <v>0</v>
      </c>
      <c r="X30" s="49">
        <v>20</v>
      </c>
      <c r="Y30" s="49"/>
      <c r="Z30" s="49"/>
      <c r="AA30" s="50"/>
      <c r="AB30" s="50"/>
      <c r="AC30" s="50"/>
      <c r="AD30" s="50"/>
      <c r="AE30" s="50"/>
      <c r="AH30" s="39">
        <v>0</v>
      </c>
      <c r="AI30" s="39">
        <v>0</v>
      </c>
      <c r="AJ30" s="39">
        <v>0</v>
      </c>
      <c r="AK30" s="39">
        <v>0</v>
      </c>
      <c r="AL30" s="39">
        <v>0</v>
      </c>
      <c r="AM30" s="42">
        <v>0</v>
      </c>
      <c r="AN30" s="42">
        <v>0</v>
      </c>
      <c r="AO30" s="42" t="s">
        <v>416</v>
      </c>
      <c r="AP30" s="42">
        <v>31</v>
      </c>
      <c r="AQ30" s="42">
        <v>0</v>
      </c>
    </row>
    <row r="31" spans="1:43" x14ac:dyDescent="0.15">
      <c r="A31" s="37" t="s">
        <v>35</v>
      </c>
      <c r="B31" s="37" t="s">
        <v>15</v>
      </c>
      <c r="C31" s="37" t="s">
        <v>417</v>
      </c>
      <c r="D31" s="37" t="s">
        <v>443</v>
      </c>
      <c r="E31" s="37" t="s">
        <v>415</v>
      </c>
      <c r="F31" s="37" t="s">
        <v>6</v>
      </c>
      <c r="G31" s="37">
        <v>0</v>
      </c>
      <c r="H31" s="37">
        <v>31</v>
      </c>
      <c r="I31" s="41">
        <v>4</v>
      </c>
      <c r="J31" s="45">
        <v>4</v>
      </c>
      <c r="K31" s="45">
        <v>4</v>
      </c>
      <c r="L31" s="45"/>
      <c r="M31" s="45"/>
      <c r="N31" s="45"/>
      <c r="P31" s="39">
        <v>27</v>
      </c>
      <c r="Q31" s="39">
        <v>31</v>
      </c>
      <c r="R31" s="39">
        <v>4</v>
      </c>
      <c r="S31" s="39">
        <v>31</v>
      </c>
      <c r="T31" s="39">
        <v>0</v>
      </c>
      <c r="U31" s="39">
        <v>0</v>
      </c>
      <c r="V31" s="39">
        <v>0</v>
      </c>
      <c r="W31" s="49">
        <v>0</v>
      </c>
      <c r="X31" s="49"/>
      <c r="Y31" s="49"/>
      <c r="Z31" s="49">
        <v>50</v>
      </c>
      <c r="AA31" s="50"/>
      <c r="AB31" s="50"/>
      <c r="AC31" s="50"/>
      <c r="AD31" s="50"/>
      <c r="AE31" s="50"/>
      <c r="AH31" s="39">
        <v>0</v>
      </c>
      <c r="AI31" s="39">
        <v>0</v>
      </c>
      <c r="AJ31" s="39">
        <v>0</v>
      </c>
      <c r="AK31" s="39">
        <v>0</v>
      </c>
      <c r="AL31" s="39">
        <v>0</v>
      </c>
      <c r="AM31" s="42">
        <v>0</v>
      </c>
      <c r="AN31" s="42">
        <v>0</v>
      </c>
      <c r="AO31" s="42" t="s">
        <v>416</v>
      </c>
      <c r="AP31" s="42">
        <v>31</v>
      </c>
      <c r="AQ31" s="42">
        <v>0</v>
      </c>
    </row>
    <row r="32" spans="1:43" x14ac:dyDescent="0.15">
      <c r="A32" s="37" t="s">
        <v>35</v>
      </c>
      <c r="B32" s="37" t="s">
        <v>419</v>
      </c>
      <c r="C32" s="37" t="s">
        <v>417</v>
      </c>
      <c r="D32" s="37" t="s">
        <v>444</v>
      </c>
      <c r="E32" s="37" t="s">
        <v>415</v>
      </c>
      <c r="F32" s="37" t="s">
        <v>6</v>
      </c>
      <c r="G32" s="37">
        <v>0</v>
      </c>
      <c r="H32" s="37">
        <v>31</v>
      </c>
      <c r="I32" s="41">
        <v>4</v>
      </c>
      <c r="J32" s="45">
        <v>4</v>
      </c>
      <c r="K32" s="45">
        <v>4</v>
      </c>
      <c r="L32" s="45"/>
      <c r="M32" s="45"/>
      <c r="N32" s="45"/>
      <c r="P32" s="39">
        <v>27</v>
      </c>
      <c r="Q32" s="39">
        <v>31</v>
      </c>
      <c r="R32" s="39">
        <v>4</v>
      </c>
      <c r="S32" s="39">
        <v>31</v>
      </c>
      <c r="T32" s="39">
        <v>0</v>
      </c>
      <c r="U32" s="39">
        <v>0</v>
      </c>
      <c r="V32" s="39">
        <v>0</v>
      </c>
      <c r="W32" s="49">
        <v>0</v>
      </c>
      <c r="X32" s="49"/>
      <c r="Y32" s="49"/>
      <c r="Z32" s="49">
        <v>50</v>
      </c>
      <c r="AA32" s="50"/>
      <c r="AB32" s="50"/>
      <c r="AC32" s="50"/>
      <c r="AD32" s="50"/>
      <c r="AE32" s="50"/>
      <c r="AH32" s="39">
        <v>0</v>
      </c>
      <c r="AI32" s="39">
        <v>0</v>
      </c>
      <c r="AJ32" s="39">
        <v>0</v>
      </c>
      <c r="AK32" s="39">
        <v>0</v>
      </c>
      <c r="AL32" s="39">
        <v>0</v>
      </c>
      <c r="AM32" s="42">
        <v>0</v>
      </c>
      <c r="AN32" s="42">
        <v>0</v>
      </c>
      <c r="AO32" s="42" t="s">
        <v>416</v>
      </c>
      <c r="AP32" s="42">
        <v>31</v>
      </c>
      <c r="AQ32" s="42">
        <v>0</v>
      </c>
    </row>
    <row r="33" spans="1:43" x14ac:dyDescent="0.15">
      <c r="A33" s="37" t="s">
        <v>35</v>
      </c>
      <c r="B33" s="37" t="s">
        <v>419</v>
      </c>
      <c r="C33" s="37" t="s">
        <v>417</v>
      </c>
      <c r="D33" s="37" t="s">
        <v>445</v>
      </c>
      <c r="E33" s="37" t="s">
        <v>415</v>
      </c>
      <c r="F33" s="37" t="s">
        <v>6</v>
      </c>
      <c r="G33" s="37">
        <v>0</v>
      </c>
      <c r="H33" s="37">
        <v>31</v>
      </c>
      <c r="I33" s="41">
        <v>4</v>
      </c>
      <c r="J33" s="45">
        <v>4</v>
      </c>
      <c r="K33" s="45">
        <v>4</v>
      </c>
      <c r="L33" s="45"/>
      <c r="M33" s="45"/>
      <c r="N33" s="45"/>
      <c r="P33" s="39">
        <v>27</v>
      </c>
      <c r="Q33" s="39">
        <v>31</v>
      </c>
      <c r="R33" s="39">
        <v>4</v>
      </c>
      <c r="S33" s="39">
        <v>31</v>
      </c>
      <c r="T33" s="39">
        <v>0</v>
      </c>
      <c r="U33" s="39">
        <v>0</v>
      </c>
      <c r="V33" s="39">
        <v>0</v>
      </c>
      <c r="W33" s="49">
        <v>0</v>
      </c>
      <c r="X33" s="49"/>
      <c r="Y33" s="49"/>
      <c r="Z33" s="49">
        <v>50</v>
      </c>
      <c r="AA33" s="50"/>
      <c r="AB33" s="50"/>
      <c r="AC33" s="50"/>
      <c r="AD33" s="50"/>
      <c r="AE33" s="50"/>
      <c r="AH33" s="39">
        <v>0</v>
      </c>
      <c r="AI33" s="39">
        <v>0</v>
      </c>
      <c r="AJ33" s="39">
        <v>0</v>
      </c>
      <c r="AK33" s="39">
        <v>0</v>
      </c>
      <c r="AL33" s="39">
        <v>0</v>
      </c>
      <c r="AM33" s="42">
        <v>0</v>
      </c>
      <c r="AN33" s="42">
        <v>0</v>
      </c>
      <c r="AO33" s="42" t="s">
        <v>416</v>
      </c>
      <c r="AP33" s="42">
        <v>31</v>
      </c>
      <c r="AQ33" s="42">
        <v>0</v>
      </c>
    </row>
    <row r="34" spans="1:43" x14ac:dyDescent="0.15">
      <c r="A34" s="37" t="s">
        <v>35</v>
      </c>
      <c r="B34" s="37" t="s">
        <v>419</v>
      </c>
      <c r="C34" s="37" t="s">
        <v>417</v>
      </c>
      <c r="D34" s="37" t="s">
        <v>446</v>
      </c>
      <c r="E34" s="37" t="s">
        <v>80</v>
      </c>
      <c r="F34" s="37" t="s">
        <v>6</v>
      </c>
      <c r="G34" s="37">
        <v>0</v>
      </c>
      <c r="H34" s="37">
        <v>25</v>
      </c>
      <c r="I34" s="41">
        <v>3</v>
      </c>
      <c r="J34" s="45">
        <v>3</v>
      </c>
      <c r="K34" s="45">
        <v>3</v>
      </c>
      <c r="L34" s="45"/>
      <c r="M34" s="45"/>
      <c r="N34" s="45"/>
      <c r="P34" s="39">
        <v>22</v>
      </c>
      <c r="Q34" s="39">
        <v>25</v>
      </c>
      <c r="R34" s="39">
        <v>3</v>
      </c>
      <c r="S34" s="39">
        <v>25</v>
      </c>
      <c r="T34" s="39">
        <v>0</v>
      </c>
      <c r="U34" s="39">
        <v>0</v>
      </c>
      <c r="V34" s="39">
        <v>0</v>
      </c>
      <c r="W34" s="49">
        <v>0</v>
      </c>
      <c r="X34" s="49">
        <v>10</v>
      </c>
      <c r="Y34" s="49"/>
      <c r="Z34" s="49"/>
      <c r="AA34" s="50"/>
      <c r="AB34" s="50"/>
      <c r="AC34" s="50"/>
      <c r="AD34" s="50"/>
      <c r="AE34" s="50"/>
      <c r="AH34" s="39">
        <v>0</v>
      </c>
      <c r="AI34" s="39">
        <v>0</v>
      </c>
      <c r="AJ34" s="39">
        <v>0</v>
      </c>
      <c r="AK34" s="39">
        <v>0</v>
      </c>
      <c r="AL34" s="39">
        <v>0</v>
      </c>
      <c r="AM34" s="42">
        <v>0</v>
      </c>
      <c r="AN34" s="42">
        <v>0</v>
      </c>
      <c r="AO34" s="42" t="s">
        <v>416</v>
      </c>
      <c r="AP34" s="42">
        <v>25</v>
      </c>
      <c r="AQ34" s="42">
        <v>0</v>
      </c>
    </row>
    <row r="35" spans="1:43" x14ac:dyDescent="0.15">
      <c r="A35" s="37" t="s">
        <v>35</v>
      </c>
      <c r="B35" s="37" t="s">
        <v>14</v>
      </c>
      <c r="C35" s="37" t="s">
        <v>413</v>
      </c>
      <c r="D35" s="37" t="s">
        <v>447</v>
      </c>
      <c r="E35" s="37" t="s">
        <v>415</v>
      </c>
      <c r="F35" s="37" t="s">
        <v>6</v>
      </c>
      <c r="G35" s="37">
        <v>0</v>
      </c>
      <c r="H35" s="37">
        <v>31</v>
      </c>
      <c r="I35" s="41">
        <v>4</v>
      </c>
      <c r="J35" s="45">
        <v>4</v>
      </c>
      <c r="K35" s="45">
        <v>4</v>
      </c>
      <c r="L35" s="45"/>
      <c r="M35" s="45"/>
      <c r="N35" s="45"/>
      <c r="P35" s="39">
        <v>27</v>
      </c>
      <c r="Q35" s="39">
        <v>31</v>
      </c>
      <c r="R35" s="39">
        <v>4</v>
      </c>
      <c r="S35" s="39">
        <v>31</v>
      </c>
      <c r="T35" s="39">
        <v>0</v>
      </c>
      <c r="U35" s="39">
        <v>0</v>
      </c>
      <c r="V35" s="39">
        <v>0</v>
      </c>
      <c r="W35" s="49">
        <v>0</v>
      </c>
      <c r="X35" s="49">
        <v>120</v>
      </c>
      <c r="Y35" s="49"/>
      <c r="Z35" s="49"/>
      <c r="AA35" s="50"/>
      <c r="AB35" s="50"/>
      <c r="AC35" s="50"/>
      <c r="AD35" s="50"/>
      <c r="AE35" s="50"/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42">
        <v>0</v>
      </c>
      <c r="AN35" s="42">
        <v>0</v>
      </c>
      <c r="AO35" s="42" t="s">
        <v>416</v>
      </c>
      <c r="AP35" s="42">
        <v>31</v>
      </c>
      <c r="AQ35" s="42">
        <v>0</v>
      </c>
    </row>
    <row r="36" spans="1:43" x14ac:dyDescent="0.15">
      <c r="A36" s="37" t="s">
        <v>35</v>
      </c>
      <c r="B36" s="37" t="s">
        <v>419</v>
      </c>
      <c r="C36" s="37" t="s">
        <v>417</v>
      </c>
      <c r="D36" s="37" t="s">
        <v>448</v>
      </c>
      <c r="E36" s="37" t="s">
        <v>415</v>
      </c>
      <c r="F36" s="37" t="s">
        <v>6</v>
      </c>
      <c r="G36" s="37">
        <v>0</v>
      </c>
      <c r="H36" s="37">
        <v>31</v>
      </c>
      <c r="I36" s="41">
        <v>4</v>
      </c>
      <c r="J36" s="45">
        <v>4</v>
      </c>
      <c r="K36" s="45">
        <v>4</v>
      </c>
      <c r="L36" s="45"/>
      <c r="M36" s="45"/>
      <c r="N36" s="45"/>
      <c r="P36" s="39">
        <v>27</v>
      </c>
      <c r="Q36" s="39">
        <v>31</v>
      </c>
      <c r="R36" s="39">
        <v>4</v>
      </c>
      <c r="S36" s="39">
        <v>31</v>
      </c>
      <c r="T36" s="39">
        <v>0</v>
      </c>
      <c r="U36" s="39">
        <v>0</v>
      </c>
      <c r="V36" s="39">
        <v>0</v>
      </c>
      <c r="W36" s="49">
        <v>0</v>
      </c>
      <c r="X36" s="49"/>
      <c r="Y36" s="49"/>
      <c r="Z36" s="49"/>
      <c r="AA36" s="50"/>
      <c r="AB36" s="50"/>
      <c r="AC36" s="50"/>
      <c r="AD36" s="50"/>
      <c r="AE36" s="50"/>
      <c r="AH36" s="39">
        <v>0</v>
      </c>
      <c r="AI36" s="39">
        <v>0</v>
      </c>
      <c r="AJ36" s="39">
        <v>0</v>
      </c>
      <c r="AK36" s="39">
        <v>0</v>
      </c>
      <c r="AL36" s="39">
        <v>0</v>
      </c>
      <c r="AM36" s="42">
        <v>0</v>
      </c>
      <c r="AN36" s="42">
        <v>0</v>
      </c>
      <c r="AO36" s="42" t="s">
        <v>416</v>
      </c>
      <c r="AP36" s="42">
        <v>31</v>
      </c>
      <c r="AQ36" s="42">
        <v>0</v>
      </c>
    </row>
    <row r="37" spans="1:43" x14ac:dyDescent="0.15">
      <c r="A37" s="37" t="s">
        <v>35</v>
      </c>
      <c r="B37" s="37" t="s">
        <v>419</v>
      </c>
      <c r="C37" s="37" t="s">
        <v>417</v>
      </c>
      <c r="D37" s="37" t="s">
        <v>449</v>
      </c>
      <c r="E37" s="37" t="s">
        <v>415</v>
      </c>
      <c r="F37" s="37" t="s">
        <v>6</v>
      </c>
      <c r="G37" s="37">
        <v>0</v>
      </c>
      <c r="H37" s="37">
        <v>31</v>
      </c>
      <c r="I37" s="41">
        <v>4</v>
      </c>
      <c r="J37" s="45">
        <v>4</v>
      </c>
      <c r="K37" s="45">
        <v>4</v>
      </c>
      <c r="L37" s="45"/>
      <c r="M37" s="45"/>
      <c r="N37" s="45"/>
      <c r="P37" s="39">
        <v>27</v>
      </c>
      <c r="Q37" s="39">
        <v>31</v>
      </c>
      <c r="R37" s="39">
        <v>4</v>
      </c>
      <c r="S37" s="39">
        <v>31</v>
      </c>
      <c r="T37" s="39">
        <v>0</v>
      </c>
      <c r="U37" s="39">
        <v>0</v>
      </c>
      <c r="V37" s="39">
        <v>0</v>
      </c>
      <c r="W37" s="49">
        <v>0</v>
      </c>
      <c r="X37" s="49">
        <v>150</v>
      </c>
      <c r="Y37" s="49"/>
      <c r="Z37" s="49"/>
      <c r="AA37" s="50"/>
      <c r="AB37" s="50"/>
      <c r="AC37" s="50"/>
      <c r="AD37" s="50"/>
      <c r="AE37" s="50"/>
      <c r="AH37" s="39">
        <v>0</v>
      </c>
      <c r="AI37" s="39">
        <v>0</v>
      </c>
      <c r="AJ37" s="39">
        <v>0</v>
      </c>
      <c r="AK37" s="39">
        <v>0</v>
      </c>
      <c r="AL37" s="39">
        <v>0</v>
      </c>
      <c r="AM37" s="42">
        <v>0</v>
      </c>
      <c r="AN37" s="42">
        <v>0</v>
      </c>
      <c r="AO37" s="42" t="s">
        <v>416</v>
      </c>
      <c r="AP37" s="42">
        <v>31</v>
      </c>
      <c r="AQ37" s="42">
        <v>0</v>
      </c>
    </row>
    <row r="38" spans="1:43" x14ac:dyDescent="0.15">
      <c r="A38" s="37" t="s">
        <v>4</v>
      </c>
      <c r="B38" s="37" t="s">
        <v>12</v>
      </c>
      <c r="C38" s="37" t="s">
        <v>413</v>
      </c>
      <c r="D38" s="37" t="s">
        <v>20</v>
      </c>
      <c r="E38" s="37" t="s">
        <v>415</v>
      </c>
      <c r="F38" s="37" t="s">
        <v>6</v>
      </c>
      <c r="G38" s="37">
        <v>0</v>
      </c>
      <c r="H38" s="37">
        <v>31</v>
      </c>
      <c r="I38" s="41">
        <v>4</v>
      </c>
      <c r="J38" s="45">
        <v>4</v>
      </c>
      <c r="K38" s="45">
        <v>4</v>
      </c>
      <c r="L38" s="45"/>
      <c r="M38" s="45"/>
      <c r="N38" s="45"/>
      <c r="P38" s="39">
        <v>27</v>
      </c>
      <c r="Q38" s="39">
        <v>31</v>
      </c>
      <c r="R38" s="39">
        <v>4</v>
      </c>
      <c r="S38" s="39">
        <v>31</v>
      </c>
      <c r="T38" s="39">
        <v>0</v>
      </c>
      <c r="U38" s="39">
        <v>0</v>
      </c>
      <c r="V38" s="39">
        <v>0</v>
      </c>
      <c r="W38" s="49">
        <v>0</v>
      </c>
      <c r="X38" s="49">
        <v>10</v>
      </c>
      <c r="Y38" s="49"/>
      <c r="Z38" s="49"/>
      <c r="AA38" s="50"/>
      <c r="AB38" s="50"/>
      <c r="AC38" s="50"/>
      <c r="AD38" s="50"/>
      <c r="AE38" s="50"/>
      <c r="AH38" s="39">
        <v>0</v>
      </c>
      <c r="AI38" s="39">
        <v>0</v>
      </c>
      <c r="AJ38" s="39">
        <v>0</v>
      </c>
      <c r="AK38" s="39">
        <v>0</v>
      </c>
      <c r="AL38" s="39">
        <v>0</v>
      </c>
      <c r="AM38" s="42">
        <v>0</v>
      </c>
      <c r="AN38" s="42">
        <v>0</v>
      </c>
      <c r="AO38" s="42" t="s">
        <v>416</v>
      </c>
      <c r="AP38" s="42">
        <v>31</v>
      </c>
      <c r="AQ38" s="42">
        <v>0</v>
      </c>
    </row>
    <row r="39" spans="1:43" x14ac:dyDescent="0.15">
      <c r="A39" s="37" t="s">
        <v>19</v>
      </c>
      <c r="B39" s="37" t="s">
        <v>14</v>
      </c>
      <c r="C39" s="37" t="s">
        <v>413</v>
      </c>
      <c r="D39" s="37" t="s">
        <v>450</v>
      </c>
      <c r="E39" s="37" t="s">
        <v>415</v>
      </c>
      <c r="F39" s="37" t="s">
        <v>6</v>
      </c>
      <c r="G39" s="37">
        <v>0</v>
      </c>
      <c r="H39" s="37">
        <v>31</v>
      </c>
      <c r="I39" s="41">
        <v>4</v>
      </c>
      <c r="J39" s="45">
        <v>5</v>
      </c>
      <c r="K39" s="45">
        <v>4</v>
      </c>
      <c r="L39" s="45"/>
      <c r="M39" s="45">
        <v>1</v>
      </c>
      <c r="N39" s="45"/>
      <c r="P39" s="39">
        <v>26</v>
      </c>
      <c r="Q39" s="39">
        <v>31</v>
      </c>
      <c r="R39" s="39">
        <v>4</v>
      </c>
      <c r="S39" s="39">
        <v>31</v>
      </c>
      <c r="T39" s="39">
        <v>0</v>
      </c>
      <c r="U39" s="39">
        <v>0</v>
      </c>
      <c r="V39" s="39">
        <v>0</v>
      </c>
      <c r="W39" s="49">
        <v>0</v>
      </c>
      <c r="X39" s="49"/>
      <c r="Y39" s="49">
        <v>10</v>
      </c>
      <c r="Z39" s="49"/>
      <c r="AA39" s="50"/>
      <c r="AB39" s="50"/>
      <c r="AC39" s="50"/>
      <c r="AD39" s="50"/>
      <c r="AE39" s="50"/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42">
        <v>0</v>
      </c>
      <c r="AN39" s="42">
        <v>0</v>
      </c>
      <c r="AO39" s="42" t="s">
        <v>416</v>
      </c>
      <c r="AP39" s="42">
        <v>31</v>
      </c>
      <c r="AQ39" s="42">
        <v>0</v>
      </c>
    </row>
    <row r="40" spans="1:43" x14ac:dyDescent="0.15">
      <c r="A40" s="37" t="s">
        <v>19</v>
      </c>
      <c r="B40" s="37" t="s">
        <v>419</v>
      </c>
      <c r="C40" s="37" t="s">
        <v>417</v>
      </c>
      <c r="D40" s="37" t="s">
        <v>451</v>
      </c>
      <c r="E40" s="37" t="s">
        <v>415</v>
      </c>
      <c r="F40" s="37" t="s">
        <v>6</v>
      </c>
      <c r="G40" s="37">
        <v>0</v>
      </c>
      <c r="H40" s="37">
        <v>31</v>
      </c>
      <c r="I40" s="41">
        <v>4</v>
      </c>
      <c r="J40" s="45">
        <v>5</v>
      </c>
      <c r="K40" s="45">
        <v>4</v>
      </c>
      <c r="L40" s="45"/>
      <c r="M40" s="45">
        <v>1</v>
      </c>
      <c r="N40" s="45"/>
      <c r="P40" s="39">
        <v>26</v>
      </c>
      <c r="Q40" s="39">
        <v>31</v>
      </c>
      <c r="R40" s="39">
        <v>4</v>
      </c>
      <c r="S40" s="39">
        <v>31</v>
      </c>
      <c r="T40" s="39">
        <v>0</v>
      </c>
      <c r="U40" s="39">
        <v>0</v>
      </c>
      <c r="V40" s="39">
        <v>0</v>
      </c>
      <c r="W40" s="49">
        <v>0</v>
      </c>
      <c r="X40" s="49"/>
      <c r="Y40" s="49"/>
      <c r="Z40" s="49"/>
      <c r="AA40" s="50"/>
      <c r="AB40" s="50"/>
      <c r="AC40" s="50"/>
      <c r="AD40" s="50"/>
      <c r="AE40" s="50"/>
      <c r="AH40" s="39">
        <v>0</v>
      </c>
      <c r="AI40" s="39">
        <v>0</v>
      </c>
      <c r="AJ40" s="39">
        <v>0</v>
      </c>
      <c r="AK40" s="39">
        <v>0</v>
      </c>
      <c r="AL40" s="39">
        <v>0</v>
      </c>
      <c r="AM40" s="42">
        <v>0</v>
      </c>
      <c r="AN40" s="42">
        <v>0</v>
      </c>
      <c r="AO40" s="42" t="s">
        <v>416</v>
      </c>
      <c r="AP40" s="42">
        <v>31</v>
      </c>
      <c r="AQ40" s="42">
        <v>0</v>
      </c>
    </row>
    <row r="41" spans="1:43" x14ac:dyDescent="0.15">
      <c r="A41" s="37" t="s">
        <v>19</v>
      </c>
      <c r="B41" s="37" t="s">
        <v>419</v>
      </c>
      <c r="C41" s="37" t="s">
        <v>417</v>
      </c>
      <c r="D41" s="37" t="s">
        <v>452</v>
      </c>
      <c r="E41" s="37" t="s">
        <v>415</v>
      </c>
      <c r="F41" s="37" t="s">
        <v>6</v>
      </c>
      <c r="G41" s="37">
        <v>0</v>
      </c>
      <c r="H41" s="37">
        <v>31</v>
      </c>
      <c r="I41" s="41">
        <v>4</v>
      </c>
      <c r="J41" s="45">
        <v>4</v>
      </c>
      <c r="K41" s="45">
        <v>4</v>
      </c>
      <c r="L41" s="45"/>
      <c r="M41" s="45"/>
      <c r="N41" s="45"/>
      <c r="P41" s="39">
        <v>27</v>
      </c>
      <c r="Q41" s="39">
        <v>31</v>
      </c>
      <c r="R41" s="39">
        <v>4</v>
      </c>
      <c r="S41" s="39">
        <v>31</v>
      </c>
      <c r="T41" s="39">
        <v>0</v>
      </c>
      <c r="U41" s="39">
        <v>0</v>
      </c>
      <c r="V41" s="39">
        <v>0</v>
      </c>
      <c r="W41" s="49">
        <v>0</v>
      </c>
      <c r="X41" s="49"/>
      <c r="Y41" s="49"/>
      <c r="Z41" s="49">
        <v>50</v>
      </c>
      <c r="AA41" s="50"/>
      <c r="AB41" s="50"/>
      <c r="AC41" s="50"/>
      <c r="AD41" s="50"/>
      <c r="AE41" s="50"/>
      <c r="AH41" s="39">
        <v>0</v>
      </c>
      <c r="AI41" s="39">
        <v>0</v>
      </c>
      <c r="AJ41" s="39">
        <v>0</v>
      </c>
      <c r="AK41" s="39">
        <v>0</v>
      </c>
      <c r="AL41" s="39">
        <v>0</v>
      </c>
      <c r="AM41" s="42">
        <v>0</v>
      </c>
      <c r="AN41" s="42">
        <v>0</v>
      </c>
      <c r="AO41" s="42" t="s">
        <v>416</v>
      </c>
      <c r="AP41" s="42">
        <v>31</v>
      </c>
      <c r="AQ41" s="42">
        <v>0</v>
      </c>
    </row>
    <row r="42" spans="1:43" x14ac:dyDescent="0.15">
      <c r="A42" s="37" t="s">
        <v>19</v>
      </c>
      <c r="B42" s="37" t="s">
        <v>453</v>
      </c>
      <c r="C42" s="37" t="s">
        <v>413</v>
      </c>
      <c r="D42" s="37" t="s">
        <v>454</v>
      </c>
      <c r="E42" s="37" t="s">
        <v>415</v>
      </c>
      <c r="F42" s="37" t="s">
        <v>6</v>
      </c>
      <c r="G42" s="37">
        <v>0</v>
      </c>
      <c r="H42" s="37">
        <v>31</v>
      </c>
      <c r="I42" s="39">
        <v>4</v>
      </c>
      <c r="J42" s="45">
        <v>5</v>
      </c>
      <c r="K42" s="45">
        <v>4</v>
      </c>
      <c r="L42" s="45"/>
      <c r="M42" s="45">
        <v>1</v>
      </c>
      <c r="N42" s="45"/>
      <c r="P42" s="39">
        <v>26</v>
      </c>
      <c r="Q42" s="39">
        <v>31</v>
      </c>
      <c r="R42" s="39">
        <v>4</v>
      </c>
      <c r="S42" s="39">
        <v>31</v>
      </c>
      <c r="T42" s="39">
        <v>0</v>
      </c>
      <c r="U42" s="39">
        <v>0</v>
      </c>
      <c r="V42" s="39">
        <v>0</v>
      </c>
      <c r="W42" s="49">
        <v>0</v>
      </c>
      <c r="X42" s="49">
        <v>10</v>
      </c>
      <c r="Y42" s="49"/>
      <c r="Z42" s="49"/>
      <c r="AA42" s="51"/>
      <c r="AB42" s="51"/>
      <c r="AC42" s="51"/>
      <c r="AD42" s="51"/>
      <c r="AE42" s="51"/>
      <c r="AH42" s="39">
        <v>0</v>
      </c>
      <c r="AI42" s="39">
        <v>0</v>
      </c>
      <c r="AJ42" s="39">
        <v>0</v>
      </c>
      <c r="AK42" s="39">
        <v>0</v>
      </c>
      <c r="AL42" s="39">
        <v>0</v>
      </c>
      <c r="AM42" s="42">
        <v>0</v>
      </c>
      <c r="AN42" s="42">
        <v>0</v>
      </c>
      <c r="AO42" s="42" t="s">
        <v>416</v>
      </c>
      <c r="AP42" s="42">
        <v>31</v>
      </c>
      <c r="AQ42" s="42">
        <v>0</v>
      </c>
    </row>
    <row r="43" spans="1:43" x14ac:dyDescent="0.15">
      <c r="A43" s="37" t="s">
        <v>19</v>
      </c>
      <c r="B43" s="37" t="s">
        <v>419</v>
      </c>
      <c r="C43" s="37" t="s">
        <v>417</v>
      </c>
      <c r="D43" s="37" t="s">
        <v>455</v>
      </c>
      <c r="E43" s="37" t="s">
        <v>415</v>
      </c>
      <c r="F43" s="37" t="s">
        <v>6</v>
      </c>
      <c r="G43" s="37">
        <v>0</v>
      </c>
      <c r="H43" s="37">
        <v>31</v>
      </c>
      <c r="I43" s="41">
        <v>4</v>
      </c>
      <c r="J43" s="45">
        <v>5</v>
      </c>
      <c r="K43" s="45">
        <v>4</v>
      </c>
      <c r="L43" s="45"/>
      <c r="M43" s="45">
        <v>1</v>
      </c>
      <c r="N43" s="45"/>
      <c r="P43" s="39">
        <v>26</v>
      </c>
      <c r="Q43" s="39">
        <v>31</v>
      </c>
      <c r="R43" s="39">
        <v>4</v>
      </c>
      <c r="S43" s="39">
        <v>31</v>
      </c>
      <c r="T43" s="39">
        <v>0</v>
      </c>
      <c r="U43" s="39">
        <v>0</v>
      </c>
      <c r="V43" s="39">
        <v>0</v>
      </c>
      <c r="W43" s="49">
        <v>0</v>
      </c>
      <c r="X43" s="49">
        <v>10</v>
      </c>
      <c r="Y43" s="49"/>
      <c r="Z43" s="49"/>
      <c r="AA43" s="50"/>
      <c r="AB43" s="50"/>
      <c r="AC43" s="50"/>
      <c r="AD43" s="50"/>
      <c r="AE43" s="50"/>
      <c r="AH43" s="39">
        <v>0</v>
      </c>
      <c r="AI43" s="39">
        <v>0</v>
      </c>
      <c r="AJ43" s="39">
        <v>0</v>
      </c>
      <c r="AK43" s="39">
        <v>0</v>
      </c>
      <c r="AL43" s="39">
        <v>0</v>
      </c>
      <c r="AM43" s="42">
        <v>0</v>
      </c>
      <c r="AN43" s="42">
        <v>0</v>
      </c>
      <c r="AO43" s="42" t="s">
        <v>416</v>
      </c>
      <c r="AP43" s="42">
        <v>31</v>
      </c>
      <c r="AQ43" s="42">
        <v>0</v>
      </c>
    </row>
    <row r="44" spans="1:43" x14ac:dyDescent="0.15">
      <c r="A44" s="37" t="s">
        <v>19</v>
      </c>
      <c r="B44" s="37" t="s">
        <v>419</v>
      </c>
      <c r="C44" s="37" t="s">
        <v>417</v>
      </c>
      <c r="D44" s="37" t="s">
        <v>456</v>
      </c>
      <c r="E44" s="37" t="s">
        <v>415</v>
      </c>
      <c r="F44" s="37" t="s">
        <v>6</v>
      </c>
      <c r="G44" s="37">
        <v>0</v>
      </c>
      <c r="H44" s="37">
        <v>31</v>
      </c>
      <c r="I44" s="41">
        <v>4</v>
      </c>
      <c r="J44" s="45">
        <v>4</v>
      </c>
      <c r="K44" s="45">
        <v>4</v>
      </c>
      <c r="L44" s="45"/>
      <c r="M44" s="45"/>
      <c r="N44" s="45"/>
      <c r="P44" s="39">
        <v>27</v>
      </c>
      <c r="Q44" s="39">
        <v>31</v>
      </c>
      <c r="R44" s="39">
        <v>4</v>
      </c>
      <c r="S44" s="39">
        <v>31</v>
      </c>
      <c r="T44" s="39">
        <v>0</v>
      </c>
      <c r="U44" s="39">
        <v>0</v>
      </c>
      <c r="V44" s="39">
        <v>0</v>
      </c>
      <c r="W44" s="49">
        <v>0</v>
      </c>
      <c r="X44" s="49">
        <v>10</v>
      </c>
      <c r="Y44" s="49"/>
      <c r="Z44" s="49"/>
      <c r="AA44" s="50"/>
      <c r="AB44" s="50"/>
      <c r="AC44" s="50"/>
      <c r="AD44" s="50"/>
      <c r="AE44" s="50"/>
      <c r="AH44" s="39">
        <v>0</v>
      </c>
      <c r="AI44" s="39">
        <v>0</v>
      </c>
      <c r="AJ44" s="39">
        <v>0</v>
      </c>
      <c r="AK44" s="39">
        <v>0</v>
      </c>
      <c r="AL44" s="39">
        <v>0</v>
      </c>
      <c r="AM44" s="42">
        <v>0</v>
      </c>
      <c r="AN44" s="42">
        <v>0</v>
      </c>
      <c r="AO44" s="42" t="s">
        <v>416</v>
      </c>
      <c r="AP44" s="42">
        <v>31</v>
      </c>
      <c r="AQ44" s="42">
        <v>0</v>
      </c>
    </row>
    <row r="45" spans="1:43" x14ac:dyDescent="0.15">
      <c r="A45" s="37" t="s">
        <v>19</v>
      </c>
      <c r="B45" s="37" t="s">
        <v>419</v>
      </c>
      <c r="C45" s="37" t="s">
        <v>417</v>
      </c>
      <c r="D45" s="37" t="s">
        <v>457</v>
      </c>
      <c r="E45" s="37" t="s">
        <v>415</v>
      </c>
      <c r="F45" s="37" t="s">
        <v>6</v>
      </c>
      <c r="G45" s="37">
        <v>0</v>
      </c>
      <c r="H45" s="37">
        <v>31</v>
      </c>
      <c r="I45" s="41">
        <v>4</v>
      </c>
      <c r="J45" s="45">
        <v>4</v>
      </c>
      <c r="K45" s="45">
        <v>4</v>
      </c>
      <c r="L45" s="45"/>
      <c r="M45" s="45"/>
      <c r="N45" s="45"/>
      <c r="P45" s="39">
        <v>27</v>
      </c>
      <c r="Q45" s="39">
        <v>31</v>
      </c>
      <c r="R45" s="39">
        <v>4</v>
      </c>
      <c r="S45" s="39">
        <v>31</v>
      </c>
      <c r="T45" s="39">
        <v>0</v>
      </c>
      <c r="U45" s="39">
        <v>0</v>
      </c>
      <c r="V45" s="39">
        <v>0</v>
      </c>
      <c r="W45" s="49">
        <v>0</v>
      </c>
      <c r="X45" s="49"/>
      <c r="Y45" s="49"/>
      <c r="Z45" s="49">
        <v>50</v>
      </c>
      <c r="AA45" s="50"/>
      <c r="AB45" s="50"/>
      <c r="AC45" s="50">
        <v>100</v>
      </c>
      <c r="AD45" s="50"/>
      <c r="AE45" s="50"/>
      <c r="AH45" s="39">
        <v>0</v>
      </c>
      <c r="AI45" s="39">
        <v>0</v>
      </c>
      <c r="AJ45" s="39">
        <v>0</v>
      </c>
      <c r="AK45" s="39">
        <v>0</v>
      </c>
      <c r="AL45" s="39">
        <v>0</v>
      </c>
      <c r="AM45" s="42">
        <v>0</v>
      </c>
      <c r="AN45" s="42">
        <v>0</v>
      </c>
      <c r="AO45" s="42" t="s">
        <v>416</v>
      </c>
      <c r="AP45" s="42">
        <v>31</v>
      </c>
      <c r="AQ45" s="42">
        <v>0</v>
      </c>
    </row>
    <row r="46" spans="1:43" x14ac:dyDescent="0.15">
      <c r="A46" s="37" t="s">
        <v>19</v>
      </c>
      <c r="B46" s="37" t="s">
        <v>419</v>
      </c>
      <c r="C46" s="37" t="s">
        <v>417</v>
      </c>
      <c r="D46" s="37" t="s">
        <v>458</v>
      </c>
      <c r="E46" s="37" t="s">
        <v>415</v>
      </c>
      <c r="F46" s="37" t="s">
        <v>6</v>
      </c>
      <c r="G46" s="37">
        <v>0</v>
      </c>
      <c r="H46" s="37">
        <v>31</v>
      </c>
      <c r="I46" s="41">
        <v>4</v>
      </c>
      <c r="J46" s="45">
        <v>4</v>
      </c>
      <c r="K46" s="45">
        <v>4</v>
      </c>
      <c r="L46" s="45"/>
      <c r="M46" s="45"/>
      <c r="N46" s="45"/>
      <c r="P46" s="39">
        <v>27</v>
      </c>
      <c r="Q46" s="39">
        <v>31</v>
      </c>
      <c r="R46" s="39">
        <v>4</v>
      </c>
      <c r="S46" s="39">
        <v>31</v>
      </c>
      <c r="T46" s="39">
        <v>0</v>
      </c>
      <c r="U46" s="39">
        <v>0</v>
      </c>
      <c r="V46" s="39">
        <v>0</v>
      </c>
      <c r="W46" s="49">
        <v>0</v>
      </c>
      <c r="X46" s="49"/>
      <c r="Y46" s="49"/>
      <c r="Z46" s="49">
        <v>50</v>
      </c>
      <c r="AA46" s="50"/>
      <c r="AB46" s="50"/>
      <c r="AC46" s="50"/>
      <c r="AD46" s="50"/>
      <c r="AE46" s="50"/>
      <c r="AH46" s="39">
        <v>0</v>
      </c>
      <c r="AI46" s="39">
        <v>0</v>
      </c>
      <c r="AJ46" s="39">
        <v>0</v>
      </c>
      <c r="AK46" s="39">
        <v>0</v>
      </c>
      <c r="AL46" s="39">
        <v>0</v>
      </c>
      <c r="AM46" s="42">
        <v>0</v>
      </c>
      <c r="AN46" s="42">
        <v>0</v>
      </c>
      <c r="AO46" s="42" t="s">
        <v>416</v>
      </c>
      <c r="AP46" s="42">
        <v>31</v>
      </c>
      <c r="AQ46" s="42">
        <v>0</v>
      </c>
    </row>
    <row r="47" spans="1:43" x14ac:dyDescent="0.15">
      <c r="A47" s="37" t="s">
        <v>17</v>
      </c>
      <c r="B47" s="37" t="s">
        <v>12</v>
      </c>
      <c r="C47" s="37" t="s">
        <v>413</v>
      </c>
      <c r="D47" s="64" t="s">
        <v>31</v>
      </c>
      <c r="E47" s="37" t="s">
        <v>415</v>
      </c>
      <c r="F47" s="37" t="s">
        <v>6</v>
      </c>
      <c r="G47" s="37">
        <v>0</v>
      </c>
      <c r="H47" s="37">
        <v>31</v>
      </c>
      <c r="I47" s="41">
        <v>4</v>
      </c>
      <c r="J47" s="45">
        <v>3</v>
      </c>
      <c r="K47" s="45">
        <v>3</v>
      </c>
      <c r="L47" s="45"/>
      <c r="M47" s="45"/>
      <c r="N47" s="45"/>
      <c r="P47" s="39">
        <v>28</v>
      </c>
      <c r="Q47" s="39">
        <v>31</v>
      </c>
      <c r="R47" s="39">
        <v>4</v>
      </c>
      <c r="S47" s="39">
        <v>31</v>
      </c>
      <c r="T47" s="39">
        <v>0</v>
      </c>
      <c r="U47" s="39">
        <v>0</v>
      </c>
      <c r="V47" s="39">
        <v>0</v>
      </c>
      <c r="W47" s="49">
        <v>0</v>
      </c>
      <c r="X47" s="49">
        <v>120</v>
      </c>
      <c r="Y47" s="49">
        <v>30</v>
      </c>
      <c r="Z47" s="49"/>
      <c r="AA47" s="50"/>
      <c r="AB47" s="50"/>
      <c r="AC47" s="50"/>
      <c r="AD47" s="50"/>
      <c r="AE47" s="50"/>
      <c r="AH47" s="39">
        <v>0</v>
      </c>
      <c r="AI47" s="39">
        <v>0</v>
      </c>
      <c r="AJ47" s="39">
        <v>0</v>
      </c>
      <c r="AK47" s="39">
        <v>0</v>
      </c>
      <c r="AL47" s="39">
        <v>0</v>
      </c>
      <c r="AM47" s="42">
        <v>0</v>
      </c>
      <c r="AN47" s="42">
        <v>0</v>
      </c>
      <c r="AO47" s="42" t="s">
        <v>416</v>
      </c>
      <c r="AP47" s="42">
        <v>31</v>
      </c>
      <c r="AQ47" s="42">
        <v>0</v>
      </c>
    </row>
    <row r="48" spans="1:43" x14ac:dyDescent="0.15">
      <c r="A48" s="37">
        <v>468</v>
      </c>
      <c r="B48" s="37" t="s">
        <v>419</v>
      </c>
      <c r="C48" s="37" t="s">
        <v>417</v>
      </c>
      <c r="D48" s="37" t="s">
        <v>459</v>
      </c>
      <c r="E48" s="37" t="s">
        <v>415</v>
      </c>
      <c r="F48" s="37" t="s">
        <v>6</v>
      </c>
      <c r="G48" s="37">
        <v>0</v>
      </c>
      <c r="H48" s="37">
        <v>31</v>
      </c>
      <c r="I48" s="41">
        <v>4</v>
      </c>
      <c r="J48" s="45">
        <v>4</v>
      </c>
      <c r="K48" s="45">
        <v>4</v>
      </c>
      <c r="L48" s="45"/>
      <c r="M48" s="45"/>
      <c r="N48" s="45"/>
      <c r="P48" s="39">
        <v>27</v>
      </c>
      <c r="Q48" s="39">
        <v>31</v>
      </c>
      <c r="R48" s="39">
        <v>4</v>
      </c>
      <c r="S48" s="39">
        <v>31</v>
      </c>
      <c r="T48" s="39">
        <v>0</v>
      </c>
      <c r="U48" s="39">
        <v>0</v>
      </c>
      <c r="V48" s="39">
        <v>0</v>
      </c>
      <c r="W48" s="49">
        <v>0</v>
      </c>
      <c r="X48" s="49">
        <v>10</v>
      </c>
      <c r="Y48" s="49"/>
      <c r="Z48" s="49"/>
      <c r="AA48" s="50"/>
      <c r="AB48" s="50"/>
      <c r="AC48" s="50"/>
      <c r="AD48" s="50"/>
      <c r="AE48" s="50"/>
      <c r="AH48" s="39">
        <v>0</v>
      </c>
      <c r="AI48" s="39">
        <v>0</v>
      </c>
      <c r="AJ48" s="39">
        <v>0</v>
      </c>
      <c r="AK48" s="39">
        <v>0</v>
      </c>
      <c r="AL48" s="39">
        <v>0</v>
      </c>
      <c r="AM48" s="42">
        <v>0</v>
      </c>
      <c r="AN48" s="42">
        <v>0</v>
      </c>
      <c r="AO48" s="42" t="s">
        <v>416</v>
      </c>
      <c r="AP48" s="42">
        <v>31</v>
      </c>
      <c r="AQ48" s="42">
        <v>0</v>
      </c>
    </row>
    <row r="49" spans="1:43" x14ac:dyDescent="0.15">
      <c r="A49" s="37">
        <v>468</v>
      </c>
      <c r="B49" s="37" t="s">
        <v>419</v>
      </c>
      <c r="C49" s="37" t="s">
        <v>417</v>
      </c>
      <c r="D49" s="37" t="s">
        <v>460</v>
      </c>
      <c r="E49" s="37" t="s">
        <v>415</v>
      </c>
      <c r="F49" s="37" t="s">
        <v>6</v>
      </c>
      <c r="G49" s="37">
        <v>0</v>
      </c>
      <c r="H49" s="37">
        <v>31</v>
      </c>
      <c r="I49" s="41">
        <v>4</v>
      </c>
      <c r="J49" s="45">
        <v>4</v>
      </c>
      <c r="K49" s="45">
        <v>4</v>
      </c>
      <c r="L49" s="45"/>
      <c r="M49" s="45"/>
      <c r="N49" s="45"/>
      <c r="P49" s="39">
        <v>27</v>
      </c>
      <c r="Q49" s="39">
        <v>31</v>
      </c>
      <c r="R49" s="39">
        <v>4</v>
      </c>
      <c r="S49" s="39">
        <v>31</v>
      </c>
      <c r="T49" s="39">
        <v>0</v>
      </c>
      <c r="U49" s="39">
        <v>0</v>
      </c>
      <c r="V49" s="39">
        <v>0</v>
      </c>
      <c r="W49" s="49">
        <v>0</v>
      </c>
      <c r="X49" s="49"/>
      <c r="Y49" s="49"/>
      <c r="Z49" s="49"/>
      <c r="AA49" s="50"/>
      <c r="AB49" s="50"/>
      <c r="AC49" s="50"/>
      <c r="AD49" s="50"/>
      <c r="AE49" s="50"/>
      <c r="AH49" s="39">
        <v>0</v>
      </c>
      <c r="AI49" s="39">
        <v>0</v>
      </c>
      <c r="AJ49" s="39">
        <v>0</v>
      </c>
      <c r="AK49" s="39">
        <v>0</v>
      </c>
      <c r="AL49" s="39">
        <v>0</v>
      </c>
      <c r="AM49" s="42">
        <v>0</v>
      </c>
      <c r="AN49" s="42">
        <v>0</v>
      </c>
      <c r="AO49" s="42" t="s">
        <v>416</v>
      </c>
      <c r="AP49" s="42">
        <v>31</v>
      </c>
      <c r="AQ49" s="42">
        <v>0</v>
      </c>
    </row>
    <row r="50" spans="1:43" x14ac:dyDescent="0.15">
      <c r="A50" s="37">
        <v>468</v>
      </c>
      <c r="B50" s="37" t="s">
        <v>419</v>
      </c>
      <c r="C50" s="37" t="s">
        <v>417</v>
      </c>
      <c r="D50" s="37" t="s">
        <v>461</v>
      </c>
      <c r="E50" s="37" t="s">
        <v>415</v>
      </c>
      <c r="F50" s="37" t="s">
        <v>6</v>
      </c>
      <c r="G50" s="37">
        <v>0</v>
      </c>
      <c r="H50" s="37">
        <v>31</v>
      </c>
      <c r="I50" s="41">
        <v>4</v>
      </c>
      <c r="J50" s="45">
        <v>4</v>
      </c>
      <c r="K50" s="45">
        <v>4</v>
      </c>
      <c r="L50" s="45"/>
      <c r="M50" s="45"/>
      <c r="N50" s="45"/>
      <c r="P50" s="39">
        <v>27</v>
      </c>
      <c r="Q50" s="39">
        <v>31</v>
      </c>
      <c r="R50" s="39">
        <v>4</v>
      </c>
      <c r="S50" s="39">
        <v>31</v>
      </c>
      <c r="T50" s="39">
        <v>0</v>
      </c>
      <c r="U50" s="39">
        <v>0</v>
      </c>
      <c r="V50" s="39">
        <v>0</v>
      </c>
      <c r="W50" s="49">
        <v>0</v>
      </c>
      <c r="X50" s="49">
        <v>10</v>
      </c>
      <c r="Y50" s="49"/>
      <c r="Z50" s="49"/>
      <c r="AA50" s="50"/>
      <c r="AB50" s="50"/>
      <c r="AC50" s="50"/>
      <c r="AD50" s="50"/>
      <c r="AE50" s="50"/>
      <c r="AH50" s="39">
        <v>0</v>
      </c>
      <c r="AI50" s="39">
        <v>0</v>
      </c>
      <c r="AJ50" s="39">
        <v>0</v>
      </c>
      <c r="AK50" s="39">
        <v>0</v>
      </c>
      <c r="AL50" s="39">
        <v>0</v>
      </c>
      <c r="AM50" s="42">
        <v>0</v>
      </c>
      <c r="AN50" s="42">
        <v>0</v>
      </c>
      <c r="AO50" s="42" t="s">
        <v>416</v>
      </c>
      <c r="AP50" s="42">
        <v>31</v>
      </c>
      <c r="AQ50" s="42">
        <v>0</v>
      </c>
    </row>
    <row r="51" spans="1:43" x14ac:dyDescent="0.15">
      <c r="A51" s="37">
        <v>468</v>
      </c>
      <c r="B51" s="37" t="s">
        <v>419</v>
      </c>
      <c r="C51" s="37" t="s">
        <v>417</v>
      </c>
      <c r="D51" s="37" t="s">
        <v>462</v>
      </c>
      <c r="E51" s="37" t="s">
        <v>415</v>
      </c>
      <c r="F51" s="37" t="s">
        <v>6</v>
      </c>
      <c r="G51" s="37">
        <v>0</v>
      </c>
      <c r="H51" s="37">
        <v>31</v>
      </c>
      <c r="I51" s="41">
        <v>4</v>
      </c>
      <c r="J51" s="45">
        <v>4</v>
      </c>
      <c r="K51" s="45">
        <v>4</v>
      </c>
      <c r="L51" s="45"/>
      <c r="M51" s="45"/>
      <c r="N51" s="45"/>
      <c r="P51" s="39">
        <v>27</v>
      </c>
      <c r="Q51" s="39">
        <v>31</v>
      </c>
      <c r="R51" s="39">
        <v>4</v>
      </c>
      <c r="S51" s="39">
        <v>31</v>
      </c>
      <c r="T51" s="39">
        <v>0</v>
      </c>
      <c r="U51" s="39">
        <v>0</v>
      </c>
      <c r="V51" s="39">
        <v>0</v>
      </c>
      <c r="W51" s="49">
        <v>0</v>
      </c>
      <c r="X51" s="49"/>
      <c r="Y51" s="49"/>
      <c r="Z51" s="49">
        <v>50</v>
      </c>
      <c r="AA51" s="50"/>
      <c r="AB51" s="50"/>
      <c r="AC51" s="50"/>
      <c r="AD51" s="50"/>
      <c r="AE51" s="50"/>
      <c r="AH51" s="39">
        <v>0</v>
      </c>
      <c r="AI51" s="39">
        <v>0</v>
      </c>
      <c r="AJ51" s="39">
        <v>0</v>
      </c>
      <c r="AK51" s="39">
        <v>0</v>
      </c>
      <c r="AL51" s="39">
        <v>0</v>
      </c>
      <c r="AM51" s="42">
        <v>0</v>
      </c>
      <c r="AN51" s="42">
        <v>0</v>
      </c>
      <c r="AO51" s="42" t="s">
        <v>416</v>
      </c>
      <c r="AP51" s="42">
        <v>31</v>
      </c>
      <c r="AQ51" s="42">
        <v>0</v>
      </c>
    </row>
    <row r="52" spans="1:43" x14ac:dyDescent="0.15">
      <c r="A52" s="37">
        <v>468</v>
      </c>
      <c r="B52" s="37" t="s">
        <v>14</v>
      </c>
      <c r="C52" s="37" t="s">
        <v>413</v>
      </c>
      <c r="D52" s="37" t="s">
        <v>463</v>
      </c>
      <c r="E52" s="37" t="s">
        <v>415</v>
      </c>
      <c r="F52" s="37" t="s">
        <v>6</v>
      </c>
      <c r="G52" s="37">
        <v>0</v>
      </c>
      <c r="H52" s="37">
        <v>31</v>
      </c>
      <c r="I52" s="41">
        <v>4</v>
      </c>
      <c r="J52" s="45">
        <v>4</v>
      </c>
      <c r="K52" s="45">
        <v>4</v>
      </c>
      <c r="L52" s="45"/>
      <c r="M52" s="45"/>
      <c r="N52" s="45"/>
      <c r="P52" s="39">
        <v>27</v>
      </c>
      <c r="Q52" s="39">
        <v>31</v>
      </c>
      <c r="R52" s="39">
        <v>4</v>
      </c>
      <c r="S52" s="39">
        <v>31</v>
      </c>
      <c r="T52" s="39">
        <v>0</v>
      </c>
      <c r="U52" s="39">
        <v>0</v>
      </c>
      <c r="V52" s="39">
        <v>0</v>
      </c>
      <c r="W52" s="49">
        <v>0</v>
      </c>
      <c r="X52" s="49">
        <v>10</v>
      </c>
      <c r="Y52" s="49"/>
      <c r="Z52" s="49"/>
      <c r="AA52" s="50"/>
      <c r="AB52" s="50"/>
      <c r="AC52" s="50"/>
      <c r="AD52" s="50"/>
      <c r="AE52" s="50"/>
      <c r="AH52" s="39">
        <v>0</v>
      </c>
      <c r="AI52" s="39">
        <v>0</v>
      </c>
      <c r="AJ52" s="39">
        <v>0</v>
      </c>
      <c r="AK52" s="39">
        <v>0</v>
      </c>
      <c r="AL52" s="39">
        <v>0</v>
      </c>
      <c r="AM52" s="42">
        <v>0</v>
      </c>
      <c r="AN52" s="42">
        <v>0</v>
      </c>
      <c r="AO52" s="42" t="s">
        <v>416</v>
      </c>
      <c r="AP52" s="42">
        <v>31</v>
      </c>
      <c r="AQ52" s="42">
        <v>0</v>
      </c>
    </row>
    <row r="53" spans="1:43" x14ac:dyDescent="0.15">
      <c r="A53" s="37">
        <v>468</v>
      </c>
      <c r="B53" s="37" t="s">
        <v>15</v>
      </c>
      <c r="C53" s="37" t="s">
        <v>417</v>
      </c>
      <c r="D53" s="37" t="s">
        <v>464</v>
      </c>
      <c r="E53" s="37" t="s">
        <v>415</v>
      </c>
      <c r="F53" s="37" t="s">
        <v>6</v>
      </c>
      <c r="G53" s="37">
        <v>0</v>
      </c>
      <c r="H53" s="37">
        <v>31</v>
      </c>
      <c r="I53" s="41">
        <v>4</v>
      </c>
      <c r="J53" s="45">
        <v>4</v>
      </c>
      <c r="K53" s="45">
        <v>4</v>
      </c>
      <c r="L53" s="45"/>
      <c r="M53" s="45"/>
      <c r="N53" s="45"/>
      <c r="P53" s="39">
        <v>27</v>
      </c>
      <c r="Q53" s="39">
        <v>31</v>
      </c>
      <c r="R53" s="39">
        <v>4</v>
      </c>
      <c r="S53" s="39">
        <v>31</v>
      </c>
      <c r="T53" s="39">
        <v>0</v>
      </c>
      <c r="U53" s="39">
        <v>0</v>
      </c>
      <c r="V53" s="39">
        <v>0</v>
      </c>
      <c r="W53" s="49">
        <v>0</v>
      </c>
      <c r="X53" s="49"/>
      <c r="Y53" s="49"/>
      <c r="Z53" s="49"/>
      <c r="AA53" s="50"/>
      <c r="AB53" s="50"/>
      <c r="AC53" s="50"/>
      <c r="AD53" s="50"/>
      <c r="AE53" s="50"/>
      <c r="AH53" s="39">
        <v>0</v>
      </c>
      <c r="AI53" s="39">
        <v>0</v>
      </c>
      <c r="AJ53" s="39">
        <v>0</v>
      </c>
      <c r="AK53" s="39">
        <v>0</v>
      </c>
      <c r="AL53" s="39">
        <v>0</v>
      </c>
      <c r="AM53" s="42">
        <v>0</v>
      </c>
      <c r="AN53" s="42">
        <v>0</v>
      </c>
      <c r="AO53" s="42" t="s">
        <v>416</v>
      </c>
      <c r="AP53" s="42">
        <v>31</v>
      </c>
      <c r="AQ53" s="42">
        <v>0</v>
      </c>
    </row>
    <row r="54" spans="1:43" x14ac:dyDescent="0.15">
      <c r="A54" s="37">
        <v>468</v>
      </c>
      <c r="B54" s="37" t="s">
        <v>419</v>
      </c>
      <c r="C54" s="37" t="s">
        <v>417</v>
      </c>
      <c r="D54" s="37" t="s">
        <v>465</v>
      </c>
      <c r="E54" s="37" t="s">
        <v>415</v>
      </c>
      <c r="F54" s="37" t="s">
        <v>6</v>
      </c>
      <c r="G54" s="37">
        <v>0</v>
      </c>
      <c r="H54" s="37">
        <v>31</v>
      </c>
      <c r="I54" s="41">
        <v>4</v>
      </c>
      <c r="J54" s="45">
        <v>4</v>
      </c>
      <c r="K54" s="45">
        <v>4</v>
      </c>
      <c r="L54" s="45"/>
      <c r="M54" s="45"/>
      <c r="N54" s="45"/>
      <c r="P54" s="39">
        <v>27</v>
      </c>
      <c r="Q54" s="39">
        <v>31</v>
      </c>
      <c r="R54" s="39">
        <v>4</v>
      </c>
      <c r="S54" s="39">
        <v>31</v>
      </c>
      <c r="T54" s="39">
        <v>0</v>
      </c>
      <c r="U54" s="39">
        <v>0</v>
      </c>
      <c r="V54" s="39">
        <v>0</v>
      </c>
      <c r="W54" s="49">
        <v>0</v>
      </c>
      <c r="X54" s="49"/>
      <c r="Y54" s="49"/>
      <c r="Z54" s="49">
        <v>50</v>
      </c>
      <c r="AA54" s="50"/>
      <c r="AB54" s="50"/>
      <c r="AC54" s="50"/>
      <c r="AD54" s="50"/>
      <c r="AE54" s="50"/>
      <c r="AH54" s="39">
        <v>4000</v>
      </c>
      <c r="AI54" s="39">
        <v>0</v>
      </c>
      <c r="AJ54" s="39">
        <v>0</v>
      </c>
      <c r="AK54" s="39">
        <v>0</v>
      </c>
      <c r="AL54" s="39">
        <v>0</v>
      </c>
      <c r="AM54" s="42">
        <v>0</v>
      </c>
      <c r="AN54" s="42">
        <v>0</v>
      </c>
      <c r="AO54" s="42" t="s">
        <v>416</v>
      </c>
      <c r="AP54" s="42">
        <v>31</v>
      </c>
      <c r="AQ54" s="42">
        <v>0</v>
      </c>
    </row>
    <row r="55" spans="1:43" x14ac:dyDescent="0.15">
      <c r="A55" s="37">
        <v>468</v>
      </c>
      <c r="B55" s="37" t="s">
        <v>16</v>
      </c>
      <c r="C55" s="37" t="s">
        <v>413</v>
      </c>
      <c r="D55" s="37" t="s">
        <v>466</v>
      </c>
      <c r="E55" s="37" t="s">
        <v>415</v>
      </c>
      <c r="F55" s="37" t="s">
        <v>6</v>
      </c>
      <c r="G55" s="37">
        <v>0</v>
      </c>
      <c r="H55" s="37">
        <v>31</v>
      </c>
      <c r="I55" s="41">
        <v>4</v>
      </c>
      <c r="J55" s="45">
        <v>4</v>
      </c>
      <c r="K55" s="45">
        <v>4</v>
      </c>
      <c r="L55" s="45"/>
      <c r="M55" s="45"/>
      <c r="N55" s="45"/>
      <c r="P55" s="39">
        <v>27</v>
      </c>
      <c r="Q55" s="39">
        <v>31</v>
      </c>
      <c r="R55" s="39">
        <v>4</v>
      </c>
      <c r="S55" s="39">
        <v>31</v>
      </c>
      <c r="T55" s="39">
        <v>0</v>
      </c>
      <c r="U55" s="39">
        <v>0</v>
      </c>
      <c r="V55" s="39">
        <v>0</v>
      </c>
      <c r="W55" s="49">
        <v>0</v>
      </c>
      <c r="X55" s="49"/>
      <c r="Y55" s="49"/>
      <c r="Z55" s="49"/>
      <c r="AA55" s="50"/>
      <c r="AB55" s="50"/>
      <c r="AC55" s="50"/>
      <c r="AD55" s="50">
        <v>530</v>
      </c>
      <c r="AE55" s="50"/>
      <c r="AH55" s="39">
        <v>7000</v>
      </c>
      <c r="AI55" s="39">
        <v>0</v>
      </c>
      <c r="AJ55" s="39">
        <v>0</v>
      </c>
      <c r="AK55" s="39">
        <v>0</v>
      </c>
      <c r="AL55" s="39">
        <v>0</v>
      </c>
      <c r="AM55" s="42">
        <v>0</v>
      </c>
      <c r="AN55" s="42">
        <v>0</v>
      </c>
      <c r="AO55" s="42" t="s">
        <v>416</v>
      </c>
      <c r="AP55" s="42">
        <v>31</v>
      </c>
      <c r="AQ55" s="42">
        <v>0</v>
      </c>
    </row>
    <row r="56" spans="1:43" x14ac:dyDescent="0.15">
      <c r="A56" s="37" t="s">
        <v>47</v>
      </c>
      <c r="B56" s="37" t="s">
        <v>15</v>
      </c>
      <c r="C56" s="37" t="s">
        <v>417</v>
      </c>
      <c r="D56" s="37" t="s">
        <v>467</v>
      </c>
      <c r="E56" s="37" t="s">
        <v>415</v>
      </c>
      <c r="F56" s="37" t="s">
        <v>6</v>
      </c>
      <c r="G56" s="37">
        <v>0</v>
      </c>
      <c r="H56" s="37">
        <v>31</v>
      </c>
      <c r="I56" s="41">
        <v>4</v>
      </c>
      <c r="J56" s="45">
        <v>4</v>
      </c>
      <c r="K56" s="45">
        <v>4</v>
      </c>
      <c r="L56" s="45"/>
      <c r="M56" s="45"/>
      <c r="N56" s="45"/>
      <c r="P56" s="39">
        <v>27</v>
      </c>
      <c r="Q56" s="39">
        <v>31</v>
      </c>
      <c r="R56" s="39">
        <v>4</v>
      </c>
      <c r="S56" s="39">
        <v>31</v>
      </c>
      <c r="T56" s="39">
        <v>0</v>
      </c>
      <c r="U56" s="39">
        <v>0</v>
      </c>
      <c r="V56" s="39">
        <v>0</v>
      </c>
      <c r="W56" s="49">
        <v>0</v>
      </c>
      <c r="X56" s="49"/>
      <c r="Y56" s="49"/>
      <c r="Z56" s="49"/>
      <c r="AA56" s="50"/>
      <c r="AB56" s="50"/>
      <c r="AC56" s="50"/>
      <c r="AD56" s="50"/>
      <c r="AE56" s="50"/>
      <c r="AH56" s="39">
        <v>0</v>
      </c>
      <c r="AI56" s="39">
        <v>0</v>
      </c>
      <c r="AJ56" s="39">
        <v>0</v>
      </c>
      <c r="AK56" s="39">
        <v>0</v>
      </c>
      <c r="AL56" s="39">
        <v>0</v>
      </c>
      <c r="AM56" s="42">
        <v>0</v>
      </c>
      <c r="AN56" s="42">
        <v>0</v>
      </c>
      <c r="AO56" s="42" t="s">
        <v>416</v>
      </c>
      <c r="AP56" s="42">
        <v>31</v>
      </c>
      <c r="AQ56" s="42">
        <v>0</v>
      </c>
    </row>
    <row r="57" spans="1:43" x14ac:dyDescent="0.15">
      <c r="A57" s="37" t="s">
        <v>47</v>
      </c>
      <c r="B57" s="37" t="s">
        <v>419</v>
      </c>
      <c r="C57" s="37" t="s">
        <v>417</v>
      </c>
      <c r="D57" s="37" t="s">
        <v>468</v>
      </c>
      <c r="E57" s="37" t="s">
        <v>415</v>
      </c>
      <c r="F57" s="37" t="s">
        <v>6</v>
      </c>
      <c r="G57" s="37">
        <v>0</v>
      </c>
      <c r="H57" s="37">
        <v>31</v>
      </c>
      <c r="I57" s="41">
        <v>4</v>
      </c>
      <c r="J57" s="45">
        <v>4</v>
      </c>
      <c r="K57" s="45">
        <v>4</v>
      </c>
      <c r="L57" s="45"/>
      <c r="M57" s="45"/>
      <c r="N57" s="45"/>
      <c r="P57" s="39">
        <v>27</v>
      </c>
      <c r="Q57" s="39">
        <v>31</v>
      </c>
      <c r="R57" s="39">
        <v>4</v>
      </c>
      <c r="S57" s="39">
        <v>31</v>
      </c>
      <c r="T57" s="39">
        <v>0</v>
      </c>
      <c r="U57" s="39">
        <v>0</v>
      </c>
      <c r="V57" s="39">
        <v>0</v>
      </c>
      <c r="W57" s="49">
        <v>0</v>
      </c>
      <c r="X57" s="49">
        <v>20</v>
      </c>
      <c r="Y57" s="49"/>
      <c r="Z57" s="49"/>
      <c r="AA57" s="50"/>
      <c r="AB57" s="50"/>
      <c r="AC57" s="50"/>
      <c r="AD57" s="50"/>
      <c r="AE57" s="50"/>
      <c r="AH57" s="39">
        <v>0</v>
      </c>
      <c r="AI57" s="39">
        <v>0</v>
      </c>
      <c r="AJ57" s="39">
        <v>0</v>
      </c>
      <c r="AK57" s="39">
        <v>0</v>
      </c>
      <c r="AL57" s="39">
        <v>0</v>
      </c>
      <c r="AM57" s="42">
        <v>0</v>
      </c>
      <c r="AN57" s="42">
        <v>0</v>
      </c>
      <c r="AO57" s="42" t="s">
        <v>416</v>
      </c>
      <c r="AP57" s="42">
        <v>31</v>
      </c>
      <c r="AQ57" s="42">
        <v>0</v>
      </c>
    </row>
    <row r="58" spans="1:43" x14ac:dyDescent="0.15">
      <c r="A58" s="37" t="s">
        <v>47</v>
      </c>
      <c r="B58" s="37" t="s">
        <v>419</v>
      </c>
      <c r="C58" s="37" t="s">
        <v>417</v>
      </c>
      <c r="D58" s="37" t="s">
        <v>469</v>
      </c>
      <c r="E58" s="37" t="s">
        <v>415</v>
      </c>
      <c r="F58" s="37" t="s">
        <v>6</v>
      </c>
      <c r="G58" s="37">
        <v>0</v>
      </c>
      <c r="H58" s="37">
        <v>31</v>
      </c>
      <c r="I58" s="41">
        <v>4</v>
      </c>
      <c r="J58" s="45">
        <v>4</v>
      </c>
      <c r="K58" s="45">
        <v>4</v>
      </c>
      <c r="L58" s="45"/>
      <c r="M58" s="45"/>
      <c r="N58" s="45"/>
      <c r="P58" s="39">
        <v>27</v>
      </c>
      <c r="Q58" s="39">
        <v>31</v>
      </c>
      <c r="R58" s="39">
        <v>4</v>
      </c>
      <c r="S58" s="39">
        <v>31</v>
      </c>
      <c r="T58" s="39">
        <v>0</v>
      </c>
      <c r="U58" s="39">
        <v>0</v>
      </c>
      <c r="V58" s="39">
        <v>0</v>
      </c>
      <c r="W58" s="49">
        <v>0</v>
      </c>
      <c r="X58" s="49"/>
      <c r="Y58" s="49"/>
      <c r="Z58" s="49">
        <v>50</v>
      </c>
      <c r="AA58" s="50"/>
      <c r="AB58" s="50"/>
      <c r="AC58" s="50"/>
      <c r="AD58" s="50"/>
      <c r="AE58" s="50"/>
      <c r="AH58" s="39">
        <v>0</v>
      </c>
      <c r="AI58" s="39">
        <v>0</v>
      </c>
      <c r="AJ58" s="39">
        <v>0</v>
      </c>
      <c r="AK58" s="39">
        <v>0</v>
      </c>
      <c r="AL58" s="39">
        <v>0</v>
      </c>
      <c r="AM58" s="42">
        <v>0</v>
      </c>
      <c r="AN58" s="42">
        <v>0</v>
      </c>
      <c r="AO58" s="42" t="s">
        <v>416</v>
      </c>
      <c r="AP58" s="42">
        <v>31</v>
      </c>
      <c r="AQ58" s="42">
        <v>0</v>
      </c>
    </row>
    <row r="59" spans="1:43" x14ac:dyDescent="0.15">
      <c r="A59" s="37" t="s">
        <v>47</v>
      </c>
      <c r="B59" s="37" t="s">
        <v>419</v>
      </c>
      <c r="C59" s="37" t="s">
        <v>417</v>
      </c>
      <c r="D59" s="37" t="s">
        <v>470</v>
      </c>
      <c r="E59" s="37" t="s">
        <v>415</v>
      </c>
      <c r="F59" s="37" t="s">
        <v>6</v>
      </c>
      <c r="G59" s="37">
        <v>0</v>
      </c>
      <c r="H59" s="37">
        <v>31</v>
      </c>
      <c r="I59" s="39">
        <v>4</v>
      </c>
      <c r="J59" s="45">
        <v>4</v>
      </c>
      <c r="K59" s="45">
        <v>4</v>
      </c>
      <c r="L59" s="45"/>
      <c r="M59" s="45"/>
      <c r="N59" s="45"/>
      <c r="P59" s="39">
        <v>27</v>
      </c>
      <c r="Q59" s="39">
        <v>31</v>
      </c>
      <c r="R59" s="39">
        <v>4</v>
      </c>
      <c r="S59" s="39">
        <v>31</v>
      </c>
      <c r="T59" s="39">
        <v>0</v>
      </c>
      <c r="U59" s="39">
        <v>0</v>
      </c>
      <c r="V59" s="39">
        <v>0</v>
      </c>
      <c r="W59" s="49">
        <v>0</v>
      </c>
      <c r="X59" s="49"/>
      <c r="Y59" s="49"/>
      <c r="Z59" s="49">
        <v>50</v>
      </c>
      <c r="AA59" s="51"/>
      <c r="AB59" s="51"/>
      <c r="AC59" s="51"/>
      <c r="AD59" s="51"/>
      <c r="AE59" s="51"/>
      <c r="AH59" s="39">
        <v>0</v>
      </c>
      <c r="AI59" s="39">
        <v>0</v>
      </c>
      <c r="AJ59" s="39">
        <v>0</v>
      </c>
      <c r="AK59" s="39">
        <v>0</v>
      </c>
      <c r="AL59" s="39">
        <v>0</v>
      </c>
      <c r="AM59" s="42">
        <v>0</v>
      </c>
      <c r="AN59" s="42">
        <v>0</v>
      </c>
      <c r="AO59" s="42" t="s">
        <v>416</v>
      </c>
      <c r="AP59" s="42">
        <v>31</v>
      </c>
      <c r="AQ59" s="42">
        <v>0</v>
      </c>
    </row>
    <row r="60" spans="1:43" x14ac:dyDescent="0.15">
      <c r="A60" s="37" t="s">
        <v>47</v>
      </c>
      <c r="B60" s="37" t="s">
        <v>14</v>
      </c>
      <c r="C60" s="37" t="s">
        <v>413</v>
      </c>
      <c r="D60" s="37" t="s">
        <v>471</v>
      </c>
      <c r="E60" s="37" t="s">
        <v>415</v>
      </c>
      <c r="F60" s="37" t="s">
        <v>6</v>
      </c>
      <c r="G60" s="37">
        <v>0</v>
      </c>
      <c r="H60" s="37">
        <v>31</v>
      </c>
      <c r="I60" s="41">
        <v>4</v>
      </c>
      <c r="J60" s="45">
        <v>4</v>
      </c>
      <c r="K60" s="45">
        <v>4</v>
      </c>
      <c r="L60" s="45"/>
      <c r="M60" s="45"/>
      <c r="N60" s="45"/>
      <c r="P60" s="39">
        <v>27</v>
      </c>
      <c r="Q60" s="39">
        <v>31</v>
      </c>
      <c r="R60" s="39">
        <v>4</v>
      </c>
      <c r="S60" s="39">
        <v>31</v>
      </c>
      <c r="T60" s="39">
        <v>0</v>
      </c>
      <c r="U60" s="39">
        <v>0</v>
      </c>
      <c r="V60" s="39">
        <v>0</v>
      </c>
      <c r="W60" s="49">
        <v>0</v>
      </c>
      <c r="X60" s="49"/>
      <c r="Y60" s="49"/>
      <c r="Z60" s="49"/>
      <c r="AA60" s="50"/>
      <c r="AB60" s="50"/>
      <c r="AC60" s="50"/>
      <c r="AD60" s="50"/>
      <c r="AE60" s="50"/>
      <c r="AH60" s="39">
        <v>0</v>
      </c>
      <c r="AI60" s="39">
        <v>0</v>
      </c>
      <c r="AJ60" s="39">
        <v>0</v>
      </c>
      <c r="AK60" s="39">
        <v>0</v>
      </c>
      <c r="AL60" s="39">
        <v>200</v>
      </c>
      <c r="AM60" s="42">
        <v>0</v>
      </c>
      <c r="AN60" s="42">
        <v>0</v>
      </c>
      <c r="AO60" s="42" t="s">
        <v>416</v>
      </c>
      <c r="AP60" s="42">
        <v>31</v>
      </c>
      <c r="AQ60" s="42" t="s">
        <v>729</v>
      </c>
    </row>
    <row r="61" spans="1:43" x14ac:dyDescent="0.15">
      <c r="A61" s="37" t="s">
        <v>47</v>
      </c>
      <c r="B61" s="37" t="s">
        <v>419</v>
      </c>
      <c r="C61" s="37" t="s">
        <v>417</v>
      </c>
      <c r="D61" s="37" t="s">
        <v>472</v>
      </c>
      <c r="E61" s="37" t="s">
        <v>415</v>
      </c>
      <c r="F61" s="37" t="s">
        <v>6</v>
      </c>
      <c r="G61" s="37">
        <v>0</v>
      </c>
      <c r="H61" s="37">
        <v>31</v>
      </c>
      <c r="I61" s="41">
        <v>4</v>
      </c>
      <c r="J61" s="45">
        <v>6</v>
      </c>
      <c r="K61" s="45">
        <v>4</v>
      </c>
      <c r="L61" s="45">
        <v>2</v>
      </c>
      <c r="M61" s="45"/>
      <c r="N61" s="45"/>
      <c r="P61" s="39">
        <v>25</v>
      </c>
      <c r="Q61" s="39">
        <v>29</v>
      </c>
      <c r="R61" s="39">
        <v>4</v>
      </c>
      <c r="S61" s="39">
        <v>29</v>
      </c>
      <c r="T61" s="39">
        <v>0</v>
      </c>
      <c r="U61" s="39">
        <v>2</v>
      </c>
      <c r="V61" s="39">
        <v>0</v>
      </c>
      <c r="W61" s="49">
        <v>0</v>
      </c>
      <c r="X61" s="49"/>
      <c r="Y61" s="49"/>
      <c r="Z61" s="49"/>
      <c r="AA61" s="50"/>
      <c r="AB61" s="50"/>
      <c r="AC61" s="50"/>
      <c r="AD61" s="50"/>
      <c r="AE61" s="50"/>
      <c r="AH61" s="39">
        <v>0</v>
      </c>
      <c r="AI61" s="39">
        <v>0</v>
      </c>
      <c r="AJ61" s="39">
        <v>0</v>
      </c>
      <c r="AK61" s="39">
        <v>0</v>
      </c>
      <c r="AL61" s="39">
        <v>0</v>
      </c>
      <c r="AM61" s="42">
        <v>0</v>
      </c>
      <c r="AN61" s="42">
        <v>0</v>
      </c>
      <c r="AO61" s="42" t="s">
        <v>416</v>
      </c>
      <c r="AP61" s="42">
        <v>29</v>
      </c>
      <c r="AQ61" s="42">
        <v>0</v>
      </c>
    </row>
    <row r="62" spans="1:43" x14ac:dyDescent="0.15">
      <c r="A62" s="37" t="s">
        <v>21</v>
      </c>
      <c r="B62" s="37" t="s">
        <v>13</v>
      </c>
      <c r="C62" s="37" t="s">
        <v>413</v>
      </c>
      <c r="D62" s="37" t="s">
        <v>473</v>
      </c>
      <c r="E62" s="37" t="s">
        <v>415</v>
      </c>
      <c r="F62" s="37" t="s">
        <v>6</v>
      </c>
      <c r="G62" s="37">
        <v>0</v>
      </c>
      <c r="H62" s="37">
        <v>31</v>
      </c>
      <c r="I62" s="41">
        <v>4</v>
      </c>
      <c r="J62" s="45">
        <v>5</v>
      </c>
      <c r="K62" s="45">
        <v>4</v>
      </c>
      <c r="L62" s="45"/>
      <c r="M62" s="45">
        <v>1</v>
      </c>
      <c r="N62" s="45"/>
      <c r="P62" s="39">
        <v>26</v>
      </c>
      <c r="Q62" s="39">
        <v>31</v>
      </c>
      <c r="R62" s="39">
        <v>4</v>
      </c>
      <c r="S62" s="39">
        <v>31</v>
      </c>
      <c r="T62" s="39">
        <v>0</v>
      </c>
      <c r="U62" s="39">
        <v>0</v>
      </c>
      <c r="V62" s="39">
        <v>0</v>
      </c>
      <c r="W62" s="49">
        <v>0</v>
      </c>
      <c r="X62" s="49"/>
      <c r="Y62" s="49">
        <v>10</v>
      </c>
      <c r="Z62" s="49"/>
      <c r="AA62" s="50"/>
      <c r="AB62" s="50"/>
      <c r="AC62" s="50"/>
      <c r="AD62" s="50"/>
      <c r="AE62" s="50"/>
      <c r="AH62" s="39">
        <v>0</v>
      </c>
      <c r="AI62" s="39">
        <v>0</v>
      </c>
      <c r="AJ62" s="39">
        <v>0</v>
      </c>
      <c r="AK62" s="39">
        <v>0</v>
      </c>
      <c r="AL62" s="39">
        <v>0</v>
      </c>
      <c r="AM62" s="42">
        <v>0</v>
      </c>
      <c r="AN62" s="42">
        <v>0</v>
      </c>
      <c r="AO62" s="42" t="s">
        <v>416</v>
      </c>
      <c r="AP62" s="42">
        <v>31</v>
      </c>
      <c r="AQ62" s="42">
        <v>0</v>
      </c>
    </row>
    <row r="63" spans="1:43" x14ac:dyDescent="0.15">
      <c r="A63" s="37" t="s">
        <v>37</v>
      </c>
      <c r="B63" s="37" t="s">
        <v>15</v>
      </c>
      <c r="C63" s="37" t="s">
        <v>417</v>
      </c>
      <c r="D63" s="37" t="s">
        <v>474</v>
      </c>
      <c r="E63" s="37" t="s">
        <v>415</v>
      </c>
      <c r="F63" s="37" t="s">
        <v>6</v>
      </c>
      <c r="G63" s="37">
        <v>0</v>
      </c>
      <c r="H63" s="37">
        <v>31</v>
      </c>
      <c r="I63" s="41">
        <v>4</v>
      </c>
      <c r="J63" s="45">
        <v>4</v>
      </c>
      <c r="K63" s="45">
        <v>4</v>
      </c>
      <c r="L63" s="45"/>
      <c r="M63" s="45"/>
      <c r="N63" s="45"/>
      <c r="P63" s="39">
        <v>27</v>
      </c>
      <c r="Q63" s="39">
        <v>31</v>
      </c>
      <c r="R63" s="39">
        <v>4</v>
      </c>
      <c r="S63" s="39">
        <v>31</v>
      </c>
      <c r="T63" s="39">
        <v>0</v>
      </c>
      <c r="U63" s="39">
        <v>0</v>
      </c>
      <c r="V63" s="39">
        <v>0</v>
      </c>
      <c r="W63" s="49">
        <v>0</v>
      </c>
      <c r="X63" s="49"/>
      <c r="Y63" s="49"/>
      <c r="Z63" s="49"/>
      <c r="AA63" s="50"/>
      <c r="AB63" s="50"/>
      <c r="AC63" s="50"/>
      <c r="AD63" s="50"/>
      <c r="AE63" s="50"/>
      <c r="AH63" s="39">
        <v>0</v>
      </c>
      <c r="AI63" s="39">
        <v>0</v>
      </c>
      <c r="AJ63" s="39">
        <v>0</v>
      </c>
      <c r="AK63" s="39">
        <v>0</v>
      </c>
      <c r="AL63" s="39">
        <v>0</v>
      </c>
      <c r="AM63" s="42">
        <v>0</v>
      </c>
      <c r="AN63" s="42">
        <v>0</v>
      </c>
      <c r="AO63" s="42" t="s">
        <v>416</v>
      </c>
      <c r="AP63" s="42">
        <v>31</v>
      </c>
      <c r="AQ63" s="42">
        <v>0</v>
      </c>
    </row>
    <row r="64" spans="1:43" x14ac:dyDescent="0.15">
      <c r="A64" s="37" t="s">
        <v>37</v>
      </c>
      <c r="B64" s="37" t="s">
        <v>419</v>
      </c>
      <c r="C64" s="37" t="s">
        <v>417</v>
      </c>
      <c r="D64" s="37" t="s">
        <v>475</v>
      </c>
      <c r="E64" s="37" t="s">
        <v>415</v>
      </c>
      <c r="F64" s="37" t="s">
        <v>6</v>
      </c>
      <c r="G64" s="37">
        <v>0</v>
      </c>
      <c r="H64" s="37">
        <v>31</v>
      </c>
      <c r="I64" s="41">
        <v>4</v>
      </c>
      <c r="J64" s="45">
        <v>5</v>
      </c>
      <c r="K64" s="45">
        <v>4</v>
      </c>
      <c r="L64" s="45"/>
      <c r="M64" s="45">
        <v>1</v>
      </c>
      <c r="N64" s="45"/>
      <c r="P64" s="39">
        <v>26</v>
      </c>
      <c r="Q64" s="39">
        <v>31</v>
      </c>
      <c r="R64" s="39">
        <v>4</v>
      </c>
      <c r="S64" s="39">
        <v>31</v>
      </c>
      <c r="T64" s="39">
        <v>0</v>
      </c>
      <c r="U64" s="39">
        <v>0</v>
      </c>
      <c r="V64" s="39">
        <v>0</v>
      </c>
      <c r="W64" s="49">
        <v>0</v>
      </c>
      <c r="X64" s="49">
        <v>10</v>
      </c>
      <c r="Y64" s="49"/>
      <c r="Z64" s="49"/>
      <c r="AA64" s="50"/>
      <c r="AB64" s="50"/>
      <c r="AC64" s="50"/>
      <c r="AD64" s="50"/>
      <c r="AE64" s="50"/>
      <c r="AH64" s="39">
        <v>0</v>
      </c>
      <c r="AI64" s="39">
        <v>0</v>
      </c>
      <c r="AJ64" s="39">
        <v>0</v>
      </c>
      <c r="AK64" s="39">
        <v>0</v>
      </c>
      <c r="AL64" s="39">
        <v>0</v>
      </c>
      <c r="AM64" s="42">
        <v>0</v>
      </c>
      <c r="AN64" s="42">
        <v>0</v>
      </c>
      <c r="AO64" s="42" t="s">
        <v>416</v>
      </c>
      <c r="AP64" s="42">
        <v>31</v>
      </c>
      <c r="AQ64" s="42">
        <v>0</v>
      </c>
    </row>
    <row r="65" spans="1:43" x14ac:dyDescent="0.15">
      <c r="A65" s="37" t="s">
        <v>37</v>
      </c>
      <c r="B65" s="37" t="s">
        <v>16</v>
      </c>
      <c r="C65" s="37" t="s">
        <v>413</v>
      </c>
      <c r="D65" s="37" t="s">
        <v>476</v>
      </c>
      <c r="E65" s="37" t="s">
        <v>415</v>
      </c>
      <c r="F65" s="37" t="s">
        <v>6</v>
      </c>
      <c r="G65" s="37">
        <v>0</v>
      </c>
      <c r="H65" s="37">
        <v>31</v>
      </c>
      <c r="I65" s="41">
        <v>4</v>
      </c>
      <c r="J65" s="45">
        <v>4</v>
      </c>
      <c r="K65" s="45">
        <v>4</v>
      </c>
      <c r="L65" s="45"/>
      <c r="M65" s="45"/>
      <c r="N65" s="45"/>
      <c r="P65" s="39">
        <v>27</v>
      </c>
      <c r="Q65" s="39">
        <v>31</v>
      </c>
      <c r="R65" s="39">
        <v>4</v>
      </c>
      <c r="S65" s="39">
        <v>31</v>
      </c>
      <c r="T65" s="39">
        <v>0</v>
      </c>
      <c r="U65" s="39">
        <v>0</v>
      </c>
      <c r="V65" s="39">
        <v>0</v>
      </c>
      <c r="W65" s="49">
        <v>0</v>
      </c>
      <c r="X65" s="49"/>
      <c r="Y65" s="49"/>
      <c r="Z65" s="49"/>
      <c r="AA65" s="50"/>
      <c r="AB65" s="50"/>
      <c r="AC65" s="50"/>
      <c r="AD65" s="50"/>
      <c r="AE65" s="50"/>
      <c r="AH65" s="39">
        <v>0</v>
      </c>
      <c r="AI65" s="39">
        <v>0</v>
      </c>
      <c r="AJ65" s="39">
        <v>0</v>
      </c>
      <c r="AK65" s="39">
        <v>0</v>
      </c>
      <c r="AL65" s="39">
        <v>0</v>
      </c>
      <c r="AM65" s="42">
        <v>0</v>
      </c>
      <c r="AN65" s="42">
        <v>0</v>
      </c>
      <c r="AO65" s="42" t="s">
        <v>416</v>
      </c>
      <c r="AP65" s="42">
        <v>31</v>
      </c>
      <c r="AQ65" s="42">
        <v>0</v>
      </c>
    </row>
    <row r="66" spans="1:43" x14ac:dyDescent="0.15">
      <c r="A66" s="37" t="s">
        <v>37</v>
      </c>
      <c r="B66" s="37" t="s">
        <v>419</v>
      </c>
      <c r="C66" s="37" t="s">
        <v>417</v>
      </c>
      <c r="D66" s="37" t="s">
        <v>477</v>
      </c>
      <c r="E66" s="37" t="s">
        <v>415</v>
      </c>
      <c r="F66" s="37" t="s">
        <v>6</v>
      </c>
      <c r="G66" s="37">
        <v>0</v>
      </c>
      <c r="H66" s="37">
        <v>31</v>
      </c>
      <c r="I66" s="41">
        <v>4</v>
      </c>
      <c r="J66" s="45">
        <v>5</v>
      </c>
      <c r="K66" s="45">
        <v>4</v>
      </c>
      <c r="L66" s="45"/>
      <c r="M66" s="45">
        <v>1</v>
      </c>
      <c r="N66" s="45"/>
      <c r="P66" s="39">
        <v>26</v>
      </c>
      <c r="Q66" s="39">
        <v>31</v>
      </c>
      <c r="R66" s="39">
        <v>4</v>
      </c>
      <c r="S66" s="39">
        <v>31</v>
      </c>
      <c r="T66" s="39">
        <v>0</v>
      </c>
      <c r="U66" s="39">
        <v>0</v>
      </c>
      <c r="V66" s="39">
        <v>0</v>
      </c>
      <c r="W66" s="49">
        <v>0</v>
      </c>
      <c r="X66" s="49">
        <v>20</v>
      </c>
      <c r="Y66" s="49"/>
      <c r="Z66" s="49"/>
      <c r="AA66" s="50"/>
      <c r="AB66" s="50"/>
      <c r="AC66" s="50"/>
      <c r="AD66" s="50"/>
      <c r="AE66" s="50">
        <v>300</v>
      </c>
      <c r="AH66" s="39">
        <v>0</v>
      </c>
      <c r="AI66" s="39">
        <v>0</v>
      </c>
      <c r="AJ66" s="39">
        <v>0</v>
      </c>
      <c r="AK66" s="39">
        <v>0</v>
      </c>
      <c r="AL66" s="39">
        <v>0</v>
      </c>
      <c r="AM66" s="42">
        <v>0</v>
      </c>
      <c r="AN66" s="42">
        <v>0</v>
      </c>
      <c r="AO66" s="42" t="s">
        <v>416</v>
      </c>
      <c r="AP66" s="42">
        <v>31</v>
      </c>
      <c r="AQ66" s="42">
        <v>0</v>
      </c>
    </row>
    <row r="67" spans="1:43" x14ac:dyDescent="0.15">
      <c r="A67" s="37" t="s">
        <v>37</v>
      </c>
      <c r="B67" s="37" t="s">
        <v>419</v>
      </c>
      <c r="C67" s="37" t="s">
        <v>417</v>
      </c>
      <c r="D67" s="37" t="s">
        <v>478</v>
      </c>
      <c r="E67" s="37" t="s">
        <v>415</v>
      </c>
      <c r="F67" s="37" t="s">
        <v>6</v>
      </c>
      <c r="G67" s="37">
        <v>0</v>
      </c>
      <c r="H67" s="37">
        <v>31</v>
      </c>
      <c r="I67" s="41">
        <v>4</v>
      </c>
      <c r="J67" s="45">
        <v>5</v>
      </c>
      <c r="K67" s="45">
        <v>4</v>
      </c>
      <c r="L67" s="45"/>
      <c r="M67" s="45">
        <v>1</v>
      </c>
      <c r="N67" s="45"/>
      <c r="P67" s="39">
        <v>26</v>
      </c>
      <c r="Q67" s="39">
        <v>31</v>
      </c>
      <c r="R67" s="39">
        <v>4</v>
      </c>
      <c r="S67" s="39">
        <v>31</v>
      </c>
      <c r="T67" s="39">
        <v>0</v>
      </c>
      <c r="U67" s="39">
        <v>0</v>
      </c>
      <c r="V67" s="39">
        <v>0</v>
      </c>
      <c r="W67" s="49">
        <v>0</v>
      </c>
      <c r="X67" s="49"/>
      <c r="Y67" s="49"/>
      <c r="Z67" s="49"/>
      <c r="AA67" s="50"/>
      <c r="AB67" s="50"/>
      <c r="AC67" s="50"/>
      <c r="AD67" s="50"/>
      <c r="AE67" s="50"/>
      <c r="AH67" s="39">
        <v>0</v>
      </c>
      <c r="AI67" s="39">
        <v>0</v>
      </c>
      <c r="AJ67" s="39">
        <v>0</v>
      </c>
      <c r="AK67" s="39">
        <v>0</v>
      </c>
      <c r="AL67" s="39">
        <v>0</v>
      </c>
      <c r="AM67" s="42">
        <v>0</v>
      </c>
      <c r="AN67" s="42">
        <v>0</v>
      </c>
      <c r="AO67" s="42" t="s">
        <v>416</v>
      </c>
      <c r="AP67" s="42">
        <v>31</v>
      </c>
      <c r="AQ67" s="42">
        <v>0</v>
      </c>
    </row>
    <row r="68" spans="1:43" x14ac:dyDescent="0.15">
      <c r="A68" s="37" t="s">
        <v>37</v>
      </c>
      <c r="B68" s="37" t="s">
        <v>419</v>
      </c>
      <c r="C68" s="37" t="s">
        <v>417</v>
      </c>
      <c r="D68" s="64" t="s">
        <v>479</v>
      </c>
      <c r="E68" s="37" t="s">
        <v>415</v>
      </c>
      <c r="F68" s="37" t="s">
        <v>6</v>
      </c>
      <c r="G68" s="37">
        <v>0</v>
      </c>
      <c r="H68" s="37">
        <v>31</v>
      </c>
      <c r="I68" s="41">
        <v>4</v>
      </c>
      <c r="J68" s="45">
        <v>5</v>
      </c>
      <c r="K68" s="45">
        <v>4</v>
      </c>
      <c r="L68" s="45"/>
      <c r="M68" s="45">
        <v>1</v>
      </c>
      <c r="N68" s="45"/>
      <c r="P68" s="39">
        <v>26</v>
      </c>
      <c r="Q68" s="39">
        <v>31</v>
      </c>
      <c r="R68" s="39">
        <v>4</v>
      </c>
      <c r="S68" s="39">
        <v>31</v>
      </c>
      <c r="T68" s="39">
        <v>0</v>
      </c>
      <c r="U68" s="39">
        <v>0</v>
      </c>
      <c r="V68" s="39">
        <v>0</v>
      </c>
      <c r="W68" s="49">
        <v>0</v>
      </c>
      <c r="X68" s="49"/>
      <c r="Y68" s="49"/>
      <c r="Z68" s="49"/>
      <c r="AA68" s="50"/>
      <c r="AB68" s="50"/>
      <c r="AC68" s="50">
        <v>100</v>
      </c>
      <c r="AD68" s="50"/>
      <c r="AE68" s="50"/>
      <c r="AH68" s="39">
        <v>0</v>
      </c>
      <c r="AI68" s="39">
        <v>0</v>
      </c>
      <c r="AJ68" s="39">
        <v>0</v>
      </c>
      <c r="AK68" s="39">
        <v>0</v>
      </c>
      <c r="AL68" s="39">
        <v>0</v>
      </c>
      <c r="AM68" s="42">
        <v>0</v>
      </c>
      <c r="AN68" s="42">
        <v>0</v>
      </c>
      <c r="AO68" s="42" t="s">
        <v>416</v>
      </c>
      <c r="AP68" s="42">
        <v>31</v>
      </c>
      <c r="AQ68" s="42">
        <v>0</v>
      </c>
    </row>
    <row r="69" spans="1:43" x14ac:dyDescent="0.15">
      <c r="A69" s="37" t="s">
        <v>37</v>
      </c>
      <c r="B69" s="37" t="s">
        <v>419</v>
      </c>
      <c r="C69" s="37" t="s">
        <v>417</v>
      </c>
      <c r="D69" s="37" t="s">
        <v>480</v>
      </c>
      <c r="E69" s="37" t="s">
        <v>415</v>
      </c>
      <c r="F69" s="37" t="s">
        <v>6</v>
      </c>
      <c r="G69" s="37">
        <v>0</v>
      </c>
      <c r="H69" s="37">
        <v>31</v>
      </c>
      <c r="I69" s="41">
        <v>4</v>
      </c>
      <c r="J69" s="45">
        <v>5</v>
      </c>
      <c r="K69" s="45">
        <v>4</v>
      </c>
      <c r="L69" s="45"/>
      <c r="M69" s="45">
        <v>1</v>
      </c>
      <c r="N69" s="45"/>
      <c r="P69" s="39">
        <v>26</v>
      </c>
      <c r="Q69" s="39">
        <v>31</v>
      </c>
      <c r="R69" s="39">
        <v>4</v>
      </c>
      <c r="S69" s="39">
        <v>31</v>
      </c>
      <c r="T69" s="39">
        <v>0</v>
      </c>
      <c r="U69" s="39">
        <v>0</v>
      </c>
      <c r="V69" s="39">
        <v>0</v>
      </c>
      <c r="W69" s="49">
        <v>0</v>
      </c>
      <c r="X69" s="49"/>
      <c r="Y69" s="49"/>
      <c r="Z69" s="49"/>
      <c r="AA69" s="50"/>
      <c r="AB69" s="50"/>
      <c r="AC69" s="50">
        <v>100</v>
      </c>
      <c r="AD69" s="50"/>
      <c r="AE69" s="50"/>
      <c r="AH69" s="39">
        <v>3500</v>
      </c>
      <c r="AI69" s="39">
        <v>0</v>
      </c>
      <c r="AJ69" s="39">
        <v>0</v>
      </c>
      <c r="AK69" s="39">
        <v>0</v>
      </c>
      <c r="AL69" s="39">
        <v>0</v>
      </c>
      <c r="AM69" s="42">
        <v>0</v>
      </c>
      <c r="AN69" s="42">
        <v>0</v>
      </c>
      <c r="AO69" s="42" t="s">
        <v>416</v>
      </c>
      <c r="AP69" s="42">
        <v>31</v>
      </c>
      <c r="AQ69" s="42">
        <v>0</v>
      </c>
    </row>
    <row r="70" spans="1:43" x14ac:dyDescent="0.15">
      <c r="A70" s="37" t="s">
        <v>37</v>
      </c>
      <c r="B70" s="37" t="s">
        <v>419</v>
      </c>
      <c r="C70" s="37" t="s">
        <v>417</v>
      </c>
      <c r="D70" s="37" t="s">
        <v>481</v>
      </c>
      <c r="E70" s="37" t="s">
        <v>415</v>
      </c>
      <c r="F70" s="37" t="s">
        <v>6</v>
      </c>
      <c r="G70" s="37">
        <v>0</v>
      </c>
      <c r="H70" s="37">
        <v>31</v>
      </c>
      <c r="I70" s="41">
        <v>4</v>
      </c>
      <c r="J70" s="45">
        <v>5</v>
      </c>
      <c r="K70" s="45">
        <v>4</v>
      </c>
      <c r="L70" s="45"/>
      <c r="M70" s="45">
        <v>1</v>
      </c>
      <c r="N70" s="45"/>
      <c r="P70" s="39">
        <v>26</v>
      </c>
      <c r="Q70" s="39">
        <v>31</v>
      </c>
      <c r="R70" s="39">
        <v>4</v>
      </c>
      <c r="S70" s="39">
        <v>31</v>
      </c>
      <c r="T70" s="39">
        <v>0</v>
      </c>
      <c r="U70" s="39">
        <v>0</v>
      </c>
      <c r="V70" s="39">
        <v>0</v>
      </c>
      <c r="W70" s="49">
        <v>0</v>
      </c>
      <c r="X70" s="49">
        <v>10</v>
      </c>
      <c r="Y70" s="49"/>
      <c r="Z70" s="49"/>
      <c r="AA70" s="50"/>
      <c r="AB70" s="50"/>
      <c r="AC70" s="50"/>
      <c r="AD70" s="50"/>
      <c r="AE70" s="50"/>
      <c r="AH70" s="39">
        <v>4000</v>
      </c>
      <c r="AI70" s="39">
        <v>0</v>
      </c>
      <c r="AJ70" s="39">
        <v>0</v>
      </c>
      <c r="AK70" s="39">
        <v>0</v>
      </c>
      <c r="AL70" s="39">
        <v>0</v>
      </c>
      <c r="AM70" s="42">
        <v>0</v>
      </c>
      <c r="AN70" s="42">
        <v>0</v>
      </c>
      <c r="AO70" s="42" t="s">
        <v>416</v>
      </c>
      <c r="AP70" s="42">
        <v>31</v>
      </c>
      <c r="AQ70" s="42">
        <v>0</v>
      </c>
    </row>
    <row r="71" spans="1:43" x14ac:dyDescent="0.15">
      <c r="A71" s="37" t="s">
        <v>24</v>
      </c>
      <c r="B71" s="37" t="s">
        <v>12</v>
      </c>
      <c r="C71" s="37" t="s">
        <v>413</v>
      </c>
      <c r="D71" s="37" t="s">
        <v>50</v>
      </c>
      <c r="E71" s="37" t="s">
        <v>415</v>
      </c>
      <c r="F71" s="37" t="s">
        <v>6</v>
      </c>
      <c r="G71" s="37">
        <v>0</v>
      </c>
      <c r="H71" s="37">
        <v>31</v>
      </c>
      <c r="I71" s="41">
        <v>4</v>
      </c>
      <c r="J71" s="45">
        <v>4</v>
      </c>
      <c r="K71" s="45">
        <v>4</v>
      </c>
      <c r="L71" s="45"/>
      <c r="M71" s="45"/>
      <c r="N71" s="45"/>
      <c r="P71" s="39">
        <v>27</v>
      </c>
      <c r="Q71" s="39">
        <v>31</v>
      </c>
      <c r="R71" s="39">
        <v>4</v>
      </c>
      <c r="S71" s="39">
        <v>31</v>
      </c>
      <c r="T71" s="39">
        <v>0</v>
      </c>
      <c r="U71" s="39">
        <v>0</v>
      </c>
      <c r="V71" s="39">
        <v>0</v>
      </c>
      <c r="W71" s="49">
        <v>0</v>
      </c>
      <c r="X71" s="49">
        <v>10</v>
      </c>
      <c r="Y71" s="49"/>
      <c r="Z71" s="49"/>
      <c r="AA71" s="50"/>
      <c r="AB71" s="50"/>
      <c r="AC71" s="50"/>
      <c r="AD71" s="50"/>
      <c r="AE71" s="50"/>
      <c r="AH71" s="39">
        <v>0</v>
      </c>
      <c r="AI71" s="39">
        <v>0</v>
      </c>
      <c r="AJ71" s="39">
        <v>0</v>
      </c>
      <c r="AK71" s="39">
        <v>0</v>
      </c>
      <c r="AL71" s="39">
        <v>0</v>
      </c>
      <c r="AM71" s="42">
        <v>0</v>
      </c>
      <c r="AN71" s="42">
        <v>0</v>
      </c>
      <c r="AO71" s="42" t="s">
        <v>416</v>
      </c>
      <c r="AP71" s="42">
        <v>31</v>
      </c>
      <c r="AQ71" s="42">
        <v>0</v>
      </c>
    </row>
    <row r="72" spans="1:43" x14ac:dyDescent="0.15">
      <c r="A72" s="37" t="s">
        <v>49</v>
      </c>
      <c r="B72" s="37" t="s">
        <v>14</v>
      </c>
      <c r="C72" s="37" t="s">
        <v>413</v>
      </c>
      <c r="D72" s="37" t="s">
        <v>482</v>
      </c>
      <c r="E72" s="37" t="s">
        <v>415</v>
      </c>
      <c r="F72" s="37" t="s">
        <v>6</v>
      </c>
      <c r="G72" s="37">
        <v>0</v>
      </c>
      <c r="H72" s="37">
        <v>31</v>
      </c>
      <c r="I72" s="41">
        <v>4</v>
      </c>
      <c r="J72" s="45">
        <v>4</v>
      </c>
      <c r="K72" s="45">
        <v>4</v>
      </c>
      <c r="L72" s="45"/>
      <c r="M72" s="45"/>
      <c r="N72" s="45"/>
      <c r="P72" s="39">
        <v>27</v>
      </c>
      <c r="Q72" s="39">
        <v>31</v>
      </c>
      <c r="R72" s="39">
        <v>4</v>
      </c>
      <c r="S72" s="39">
        <v>31</v>
      </c>
      <c r="T72" s="39">
        <v>0</v>
      </c>
      <c r="U72" s="39">
        <v>0</v>
      </c>
      <c r="V72" s="39">
        <v>0</v>
      </c>
      <c r="W72" s="49">
        <v>0</v>
      </c>
      <c r="X72" s="49">
        <v>20</v>
      </c>
      <c r="Y72" s="49"/>
      <c r="Z72" s="49"/>
      <c r="AA72" s="50"/>
      <c r="AB72" s="50"/>
      <c r="AC72" s="50"/>
      <c r="AD72" s="50"/>
      <c r="AE72" s="50"/>
      <c r="AH72" s="39">
        <v>0</v>
      </c>
      <c r="AI72" s="39">
        <v>0</v>
      </c>
      <c r="AJ72" s="39">
        <v>0</v>
      </c>
      <c r="AK72" s="39">
        <v>0</v>
      </c>
      <c r="AL72" s="39">
        <v>0</v>
      </c>
      <c r="AM72" s="42">
        <v>0</v>
      </c>
      <c r="AN72" s="42">
        <v>0</v>
      </c>
      <c r="AO72" s="42" t="s">
        <v>416</v>
      </c>
      <c r="AP72" s="42">
        <v>31</v>
      </c>
      <c r="AQ72" s="42">
        <v>0</v>
      </c>
    </row>
    <row r="73" spans="1:43" x14ac:dyDescent="0.15">
      <c r="A73" s="37" t="s">
        <v>49</v>
      </c>
      <c r="B73" s="37" t="s">
        <v>16</v>
      </c>
      <c r="C73" s="37" t="s">
        <v>413</v>
      </c>
      <c r="D73" s="37" t="s">
        <v>483</v>
      </c>
      <c r="E73" s="37" t="s">
        <v>415</v>
      </c>
      <c r="F73" s="37" t="s">
        <v>6</v>
      </c>
      <c r="G73" s="37">
        <v>0</v>
      </c>
      <c r="H73" s="37">
        <v>31</v>
      </c>
      <c r="I73" s="41">
        <v>4</v>
      </c>
      <c r="J73" s="45">
        <v>4</v>
      </c>
      <c r="K73" s="45">
        <v>4</v>
      </c>
      <c r="L73" s="45"/>
      <c r="M73" s="45"/>
      <c r="N73" s="45"/>
      <c r="P73" s="39">
        <v>27</v>
      </c>
      <c r="Q73" s="39">
        <v>31</v>
      </c>
      <c r="R73" s="39">
        <v>4</v>
      </c>
      <c r="S73" s="39">
        <v>31</v>
      </c>
      <c r="T73" s="39">
        <v>0</v>
      </c>
      <c r="U73" s="39">
        <v>0</v>
      </c>
      <c r="V73" s="39">
        <v>0</v>
      </c>
      <c r="W73" s="49">
        <v>0</v>
      </c>
      <c r="X73" s="49"/>
      <c r="Y73" s="49">
        <v>30</v>
      </c>
      <c r="Z73" s="49"/>
      <c r="AA73" s="50"/>
      <c r="AB73" s="50"/>
      <c r="AC73" s="50"/>
      <c r="AD73" s="50">
        <v>530</v>
      </c>
      <c r="AE73" s="50"/>
      <c r="AH73" s="39">
        <v>5000</v>
      </c>
      <c r="AI73" s="39">
        <v>0</v>
      </c>
      <c r="AJ73" s="39">
        <v>0</v>
      </c>
      <c r="AK73" s="39">
        <v>0</v>
      </c>
      <c r="AL73" s="39">
        <v>0</v>
      </c>
      <c r="AM73" s="42">
        <v>0</v>
      </c>
      <c r="AN73" s="42">
        <v>0</v>
      </c>
      <c r="AO73" s="42" t="s">
        <v>416</v>
      </c>
      <c r="AP73" s="42">
        <v>31</v>
      </c>
      <c r="AQ73" s="42">
        <v>0</v>
      </c>
    </row>
    <row r="74" spans="1:43" x14ac:dyDescent="0.15">
      <c r="A74" s="37" t="s">
        <v>49</v>
      </c>
      <c r="B74" s="37" t="s">
        <v>419</v>
      </c>
      <c r="C74" s="37" t="s">
        <v>417</v>
      </c>
      <c r="D74" s="37" t="s">
        <v>484</v>
      </c>
      <c r="E74" s="37" t="s">
        <v>415</v>
      </c>
      <c r="F74" s="37" t="s">
        <v>6</v>
      </c>
      <c r="G74" s="37">
        <v>0</v>
      </c>
      <c r="H74" s="37">
        <v>31</v>
      </c>
      <c r="I74" s="41">
        <v>4</v>
      </c>
      <c r="J74" s="45">
        <v>3</v>
      </c>
      <c r="K74" s="45">
        <v>3</v>
      </c>
      <c r="L74" s="45"/>
      <c r="M74" s="45"/>
      <c r="N74" s="45"/>
      <c r="P74" s="39">
        <v>28</v>
      </c>
      <c r="Q74" s="39">
        <v>31</v>
      </c>
      <c r="R74" s="39">
        <v>4</v>
      </c>
      <c r="S74" s="39">
        <v>31</v>
      </c>
      <c r="T74" s="39">
        <v>0</v>
      </c>
      <c r="U74" s="39">
        <v>0</v>
      </c>
      <c r="V74" s="39">
        <v>1</v>
      </c>
      <c r="W74" s="49">
        <v>20</v>
      </c>
      <c r="X74" s="49"/>
      <c r="Y74" s="49"/>
      <c r="Z74" s="49"/>
      <c r="AA74" s="50"/>
      <c r="AB74" s="50"/>
      <c r="AC74" s="50"/>
      <c r="AD74" s="50"/>
      <c r="AE74" s="50"/>
      <c r="AH74" s="39">
        <v>0</v>
      </c>
      <c r="AI74" s="39">
        <v>0</v>
      </c>
      <c r="AJ74" s="39">
        <v>0</v>
      </c>
      <c r="AK74" s="39">
        <v>0</v>
      </c>
      <c r="AL74" s="39">
        <v>0</v>
      </c>
      <c r="AM74" s="42">
        <v>0</v>
      </c>
      <c r="AN74" s="42">
        <v>0</v>
      </c>
      <c r="AO74" s="42" t="s">
        <v>416</v>
      </c>
      <c r="AP74" s="42">
        <v>31</v>
      </c>
      <c r="AQ74" s="42">
        <v>0</v>
      </c>
    </row>
    <row r="75" spans="1:43" x14ac:dyDescent="0.15">
      <c r="A75" s="37" t="s">
        <v>49</v>
      </c>
      <c r="B75" s="37" t="s">
        <v>15</v>
      </c>
      <c r="C75" s="37" t="s">
        <v>417</v>
      </c>
      <c r="D75" s="37" t="s">
        <v>485</v>
      </c>
      <c r="E75" s="37" t="s">
        <v>415</v>
      </c>
      <c r="F75" s="37" t="s">
        <v>6</v>
      </c>
      <c r="G75" s="37">
        <v>0</v>
      </c>
      <c r="H75" s="37">
        <v>31</v>
      </c>
      <c r="I75" s="41">
        <v>4</v>
      </c>
      <c r="J75" s="45">
        <v>4</v>
      </c>
      <c r="K75" s="45">
        <v>4</v>
      </c>
      <c r="L75" s="45"/>
      <c r="M75" s="45"/>
      <c r="N75" s="45"/>
      <c r="P75" s="39">
        <v>27</v>
      </c>
      <c r="Q75" s="39">
        <v>31</v>
      </c>
      <c r="R75" s="39">
        <v>4</v>
      </c>
      <c r="S75" s="39">
        <v>31</v>
      </c>
      <c r="T75" s="39">
        <v>0</v>
      </c>
      <c r="U75" s="39">
        <v>0</v>
      </c>
      <c r="V75" s="39">
        <v>0</v>
      </c>
      <c r="W75" s="49">
        <v>0</v>
      </c>
      <c r="X75" s="49"/>
      <c r="Y75" s="49"/>
      <c r="Z75" s="49">
        <v>50</v>
      </c>
      <c r="AA75" s="50"/>
      <c r="AB75" s="50"/>
      <c r="AC75" s="50"/>
      <c r="AD75" s="50"/>
      <c r="AE75" s="50"/>
      <c r="AH75" s="39">
        <v>0</v>
      </c>
      <c r="AI75" s="39">
        <v>0</v>
      </c>
      <c r="AJ75" s="39">
        <v>0</v>
      </c>
      <c r="AK75" s="39">
        <v>0</v>
      </c>
      <c r="AL75" s="39">
        <v>0</v>
      </c>
      <c r="AM75" s="42">
        <v>0</v>
      </c>
      <c r="AN75" s="42">
        <v>0</v>
      </c>
      <c r="AO75" s="42" t="s">
        <v>416</v>
      </c>
      <c r="AP75" s="42">
        <v>31</v>
      </c>
      <c r="AQ75" s="42">
        <v>0</v>
      </c>
    </row>
    <row r="76" spans="1:43" x14ac:dyDescent="0.15">
      <c r="A76" s="37" t="s">
        <v>49</v>
      </c>
      <c r="B76" s="37" t="s">
        <v>419</v>
      </c>
      <c r="C76" s="37" t="s">
        <v>417</v>
      </c>
      <c r="D76" s="37" t="s">
        <v>486</v>
      </c>
      <c r="E76" s="37" t="s">
        <v>415</v>
      </c>
      <c r="F76" s="37" t="s">
        <v>6</v>
      </c>
      <c r="G76" s="37">
        <v>0</v>
      </c>
      <c r="H76" s="37">
        <v>31</v>
      </c>
      <c r="I76" s="41">
        <v>4</v>
      </c>
      <c r="J76" s="45">
        <v>2</v>
      </c>
      <c r="K76" s="45">
        <v>2</v>
      </c>
      <c r="L76" s="45"/>
      <c r="M76" s="45"/>
      <c r="N76" s="45"/>
      <c r="P76" s="39">
        <v>29</v>
      </c>
      <c r="Q76" s="39">
        <v>31</v>
      </c>
      <c r="R76" s="39">
        <v>4</v>
      </c>
      <c r="S76" s="39">
        <v>31</v>
      </c>
      <c r="T76" s="39">
        <v>0</v>
      </c>
      <c r="U76" s="39">
        <v>0</v>
      </c>
      <c r="V76" s="39">
        <v>0</v>
      </c>
      <c r="W76" s="49">
        <v>0</v>
      </c>
      <c r="X76" s="49">
        <v>90</v>
      </c>
      <c r="Y76" s="49">
        <v>40</v>
      </c>
      <c r="Z76" s="49"/>
      <c r="AA76" s="50"/>
      <c r="AB76" s="50"/>
      <c r="AC76" s="50"/>
      <c r="AD76" s="50"/>
      <c r="AE76" s="50">
        <v>300</v>
      </c>
      <c r="AH76" s="39">
        <v>0</v>
      </c>
      <c r="AI76" s="39">
        <v>0</v>
      </c>
      <c r="AJ76" s="39">
        <v>0</v>
      </c>
      <c r="AK76" s="39">
        <v>0</v>
      </c>
      <c r="AL76" s="39">
        <v>0</v>
      </c>
      <c r="AM76" s="42">
        <v>0</v>
      </c>
      <c r="AN76" s="42">
        <v>0</v>
      </c>
      <c r="AO76" s="42" t="s">
        <v>416</v>
      </c>
      <c r="AP76" s="42">
        <v>31</v>
      </c>
      <c r="AQ76" s="42">
        <v>0</v>
      </c>
    </row>
    <row r="77" spans="1:43" x14ac:dyDescent="0.15">
      <c r="A77" s="37" t="s">
        <v>49</v>
      </c>
      <c r="B77" s="37" t="s">
        <v>419</v>
      </c>
      <c r="C77" s="37" t="s">
        <v>417</v>
      </c>
      <c r="D77" s="37" t="s">
        <v>487</v>
      </c>
      <c r="E77" s="37" t="s">
        <v>415</v>
      </c>
      <c r="F77" s="37" t="s">
        <v>6</v>
      </c>
      <c r="G77" s="37">
        <v>0</v>
      </c>
      <c r="H77" s="37">
        <v>31</v>
      </c>
      <c r="I77" s="41">
        <v>4</v>
      </c>
      <c r="J77" s="45">
        <v>4</v>
      </c>
      <c r="K77" s="45">
        <v>4</v>
      </c>
      <c r="L77" s="45"/>
      <c r="M77" s="45"/>
      <c r="N77" s="45"/>
      <c r="P77" s="39">
        <v>27</v>
      </c>
      <c r="Q77" s="39">
        <v>31</v>
      </c>
      <c r="R77" s="39">
        <v>4</v>
      </c>
      <c r="S77" s="39">
        <v>31</v>
      </c>
      <c r="T77" s="39">
        <v>0</v>
      </c>
      <c r="U77" s="39">
        <v>0</v>
      </c>
      <c r="V77" s="39">
        <v>0</v>
      </c>
      <c r="W77" s="49">
        <v>0</v>
      </c>
      <c r="X77" s="49">
        <v>10</v>
      </c>
      <c r="Y77" s="49"/>
      <c r="Z77" s="49"/>
      <c r="AA77" s="50"/>
      <c r="AB77" s="50"/>
      <c r="AC77" s="50"/>
      <c r="AD77" s="50"/>
      <c r="AE77" s="50"/>
      <c r="AH77" s="39">
        <v>0</v>
      </c>
      <c r="AI77" s="39">
        <v>0</v>
      </c>
      <c r="AJ77" s="39">
        <v>0</v>
      </c>
      <c r="AK77" s="39">
        <v>0</v>
      </c>
      <c r="AL77" s="39">
        <v>0</v>
      </c>
      <c r="AM77" s="42">
        <v>0</v>
      </c>
      <c r="AN77" s="42">
        <v>0</v>
      </c>
      <c r="AO77" s="42" t="s">
        <v>416</v>
      </c>
      <c r="AP77" s="42">
        <v>31</v>
      </c>
      <c r="AQ77" s="42">
        <v>0</v>
      </c>
    </row>
    <row r="78" spans="1:43" x14ac:dyDescent="0.15">
      <c r="A78" s="37" t="s">
        <v>49</v>
      </c>
      <c r="B78" s="37" t="s">
        <v>419</v>
      </c>
      <c r="C78" s="37" t="s">
        <v>417</v>
      </c>
      <c r="D78" s="37" t="s">
        <v>488</v>
      </c>
      <c r="E78" s="37" t="s">
        <v>415</v>
      </c>
      <c r="F78" s="37" t="s">
        <v>6</v>
      </c>
      <c r="G78" s="37">
        <v>0</v>
      </c>
      <c r="H78" s="37">
        <v>31</v>
      </c>
      <c r="I78" s="41">
        <v>4</v>
      </c>
      <c r="J78" s="45">
        <v>5</v>
      </c>
      <c r="K78" s="45">
        <v>4</v>
      </c>
      <c r="L78" s="45"/>
      <c r="M78" s="45">
        <v>1</v>
      </c>
      <c r="N78" s="45"/>
      <c r="P78" s="39">
        <v>26</v>
      </c>
      <c r="Q78" s="39">
        <v>31</v>
      </c>
      <c r="R78" s="39">
        <v>4</v>
      </c>
      <c r="S78" s="39">
        <v>31</v>
      </c>
      <c r="T78" s="39">
        <v>0</v>
      </c>
      <c r="U78" s="39">
        <v>0</v>
      </c>
      <c r="V78" s="39">
        <v>0</v>
      </c>
      <c r="W78" s="49">
        <v>0</v>
      </c>
      <c r="X78" s="49">
        <v>90</v>
      </c>
      <c r="Y78" s="49"/>
      <c r="Z78" s="49"/>
      <c r="AA78" s="50"/>
      <c r="AB78" s="50"/>
      <c r="AC78" s="50">
        <v>100</v>
      </c>
      <c r="AD78" s="50"/>
      <c r="AE78" s="50"/>
      <c r="AH78" s="39">
        <v>0</v>
      </c>
      <c r="AI78" s="39">
        <v>0</v>
      </c>
      <c r="AJ78" s="39">
        <v>0</v>
      </c>
      <c r="AK78" s="39">
        <v>0</v>
      </c>
      <c r="AL78" s="39">
        <v>0</v>
      </c>
      <c r="AM78" s="42">
        <v>0</v>
      </c>
      <c r="AN78" s="42">
        <v>0</v>
      </c>
      <c r="AO78" s="42" t="s">
        <v>416</v>
      </c>
      <c r="AP78" s="42">
        <v>31</v>
      </c>
      <c r="AQ78" s="42">
        <v>0</v>
      </c>
    </row>
    <row r="79" spans="1:43" x14ac:dyDescent="0.15">
      <c r="A79" s="37" t="s">
        <v>23</v>
      </c>
      <c r="B79" s="37" t="s">
        <v>419</v>
      </c>
      <c r="C79" s="37" t="s">
        <v>417</v>
      </c>
      <c r="D79" s="37" t="s">
        <v>489</v>
      </c>
      <c r="E79" s="37" t="s">
        <v>415</v>
      </c>
      <c r="F79" s="37" t="s">
        <v>6</v>
      </c>
      <c r="G79" s="37">
        <v>0</v>
      </c>
      <c r="H79" s="37">
        <v>31</v>
      </c>
      <c r="I79" s="41">
        <v>4</v>
      </c>
      <c r="J79" s="45">
        <v>5</v>
      </c>
      <c r="K79" s="45">
        <v>4</v>
      </c>
      <c r="L79" s="45"/>
      <c r="M79" s="45">
        <v>1</v>
      </c>
      <c r="N79" s="45"/>
      <c r="P79" s="39">
        <v>26</v>
      </c>
      <c r="Q79" s="39">
        <v>31</v>
      </c>
      <c r="R79" s="39">
        <v>4</v>
      </c>
      <c r="S79" s="39">
        <v>31</v>
      </c>
      <c r="T79" s="39">
        <v>0</v>
      </c>
      <c r="U79" s="39">
        <v>0</v>
      </c>
      <c r="V79" s="39">
        <v>0</v>
      </c>
      <c r="W79" s="49">
        <v>0</v>
      </c>
      <c r="X79" s="49"/>
      <c r="Y79" s="49"/>
      <c r="Z79" s="49"/>
      <c r="AA79" s="50"/>
      <c r="AB79" s="50"/>
      <c r="AC79" s="50">
        <v>100</v>
      </c>
      <c r="AD79" s="50"/>
      <c r="AE79" s="50"/>
      <c r="AH79" s="39">
        <v>0</v>
      </c>
      <c r="AI79" s="39">
        <v>0</v>
      </c>
      <c r="AJ79" s="39">
        <v>0</v>
      </c>
      <c r="AK79" s="39">
        <v>0</v>
      </c>
      <c r="AL79" s="39">
        <v>0</v>
      </c>
      <c r="AM79" s="42">
        <v>0</v>
      </c>
      <c r="AN79" s="42">
        <v>0</v>
      </c>
      <c r="AO79" s="42" t="s">
        <v>416</v>
      </c>
      <c r="AP79" s="42">
        <v>31</v>
      </c>
      <c r="AQ79" s="42">
        <v>0</v>
      </c>
    </row>
    <row r="80" spans="1:43" x14ac:dyDescent="0.15">
      <c r="A80" s="37" t="s">
        <v>49</v>
      </c>
      <c r="B80" s="37" t="s">
        <v>419</v>
      </c>
      <c r="C80" s="37" t="s">
        <v>417</v>
      </c>
      <c r="D80" s="37" t="s">
        <v>490</v>
      </c>
      <c r="E80" s="37" t="s">
        <v>415</v>
      </c>
      <c r="F80" s="37" t="s">
        <v>6</v>
      </c>
      <c r="G80" s="37">
        <v>0</v>
      </c>
      <c r="H80" s="37">
        <v>31</v>
      </c>
      <c r="I80" s="41">
        <v>4</v>
      </c>
      <c r="J80" s="45">
        <v>4</v>
      </c>
      <c r="K80" s="45">
        <v>4</v>
      </c>
      <c r="L80" s="45"/>
      <c r="M80" s="45"/>
      <c r="N80" s="45"/>
      <c r="P80" s="39">
        <v>27</v>
      </c>
      <c r="Q80" s="39">
        <v>31</v>
      </c>
      <c r="R80" s="39">
        <v>4</v>
      </c>
      <c r="S80" s="39">
        <v>31</v>
      </c>
      <c r="T80" s="39">
        <v>0</v>
      </c>
      <c r="U80" s="39">
        <v>0</v>
      </c>
      <c r="V80" s="39">
        <v>0</v>
      </c>
      <c r="W80" s="49">
        <v>0</v>
      </c>
      <c r="X80" s="49"/>
      <c r="Y80" s="49"/>
      <c r="Z80" s="49">
        <v>50</v>
      </c>
      <c r="AA80" s="50"/>
      <c r="AB80" s="50"/>
      <c r="AC80" s="50"/>
      <c r="AD80" s="50"/>
      <c r="AE80" s="50"/>
      <c r="AH80" s="39">
        <v>0</v>
      </c>
      <c r="AI80" s="39">
        <v>0</v>
      </c>
      <c r="AJ80" s="39">
        <v>0</v>
      </c>
      <c r="AK80" s="39">
        <v>0</v>
      </c>
      <c r="AL80" s="39">
        <v>0</v>
      </c>
      <c r="AM80" s="42">
        <v>0</v>
      </c>
      <c r="AN80" s="42">
        <v>0</v>
      </c>
      <c r="AO80" s="42" t="s">
        <v>416</v>
      </c>
      <c r="AP80" s="42">
        <v>31</v>
      </c>
      <c r="AQ80" s="42">
        <v>0</v>
      </c>
    </row>
    <row r="81" spans="1:43" x14ac:dyDescent="0.15">
      <c r="A81" s="37" t="s">
        <v>46</v>
      </c>
      <c r="B81" s="37" t="s">
        <v>14</v>
      </c>
      <c r="C81" s="37" t="s">
        <v>413</v>
      </c>
      <c r="D81" s="37" t="s">
        <v>491</v>
      </c>
      <c r="E81" s="37" t="s">
        <v>415</v>
      </c>
      <c r="F81" s="37" t="s">
        <v>6</v>
      </c>
      <c r="G81" s="37">
        <v>0</v>
      </c>
      <c r="H81" s="37">
        <v>31</v>
      </c>
      <c r="I81" s="41">
        <v>4</v>
      </c>
      <c r="J81" s="45">
        <v>3</v>
      </c>
      <c r="K81" s="45">
        <v>3</v>
      </c>
      <c r="L81" s="45"/>
      <c r="M81" s="45"/>
      <c r="N81" s="45"/>
      <c r="P81" s="39">
        <v>28</v>
      </c>
      <c r="Q81" s="39">
        <v>31</v>
      </c>
      <c r="R81" s="39">
        <v>4</v>
      </c>
      <c r="S81" s="39">
        <v>31</v>
      </c>
      <c r="T81" s="39">
        <v>0</v>
      </c>
      <c r="U81" s="39">
        <v>0</v>
      </c>
      <c r="V81" s="39">
        <v>0</v>
      </c>
      <c r="W81" s="49">
        <v>0</v>
      </c>
      <c r="X81" s="49">
        <v>10</v>
      </c>
      <c r="Y81" s="49"/>
      <c r="Z81" s="49"/>
      <c r="AA81" s="50"/>
      <c r="AB81" s="50"/>
      <c r="AC81" s="50"/>
      <c r="AD81" s="50"/>
      <c r="AE81" s="50"/>
      <c r="AH81" s="39">
        <v>0</v>
      </c>
      <c r="AI81" s="39">
        <v>0</v>
      </c>
      <c r="AJ81" s="39">
        <v>0</v>
      </c>
      <c r="AK81" s="39">
        <v>0</v>
      </c>
      <c r="AL81" s="39">
        <v>0</v>
      </c>
      <c r="AM81" s="42">
        <v>0</v>
      </c>
      <c r="AN81" s="42">
        <v>0</v>
      </c>
      <c r="AO81" s="42" t="s">
        <v>416</v>
      </c>
      <c r="AP81" s="42">
        <v>31</v>
      </c>
      <c r="AQ81" s="42">
        <v>0</v>
      </c>
    </row>
    <row r="82" spans="1:43" x14ac:dyDescent="0.15">
      <c r="A82" s="37" t="s">
        <v>46</v>
      </c>
      <c r="B82" s="37" t="s">
        <v>15</v>
      </c>
      <c r="C82" s="37" t="s">
        <v>417</v>
      </c>
      <c r="D82" s="37" t="s">
        <v>492</v>
      </c>
      <c r="E82" s="37" t="s">
        <v>415</v>
      </c>
      <c r="F82" s="37" t="s">
        <v>6</v>
      </c>
      <c r="G82" s="37">
        <v>0</v>
      </c>
      <c r="H82" s="37">
        <v>31</v>
      </c>
      <c r="I82" s="41">
        <v>4</v>
      </c>
      <c r="J82" s="45">
        <v>4</v>
      </c>
      <c r="K82" s="45">
        <v>4</v>
      </c>
      <c r="L82" s="45"/>
      <c r="M82" s="45"/>
      <c r="N82" s="45"/>
      <c r="P82" s="39">
        <v>27</v>
      </c>
      <c r="Q82" s="39">
        <v>31</v>
      </c>
      <c r="R82" s="39">
        <v>4</v>
      </c>
      <c r="S82" s="39">
        <v>31</v>
      </c>
      <c r="T82" s="39">
        <v>0</v>
      </c>
      <c r="U82" s="39">
        <v>0</v>
      </c>
      <c r="V82" s="39">
        <v>0</v>
      </c>
      <c r="W82" s="49">
        <v>0</v>
      </c>
      <c r="X82" s="49"/>
      <c r="Y82" s="49"/>
      <c r="Z82" s="49"/>
      <c r="AA82" s="50"/>
      <c r="AB82" s="50"/>
      <c r="AC82" s="50"/>
      <c r="AD82" s="50"/>
      <c r="AE82" s="50"/>
      <c r="AH82" s="39">
        <v>0</v>
      </c>
      <c r="AI82" s="39">
        <v>0</v>
      </c>
      <c r="AJ82" s="39">
        <v>0</v>
      </c>
      <c r="AK82" s="39">
        <v>0</v>
      </c>
      <c r="AL82" s="39">
        <v>0</v>
      </c>
      <c r="AM82" s="42">
        <v>0</v>
      </c>
      <c r="AN82" s="42">
        <v>0</v>
      </c>
      <c r="AO82" s="42" t="s">
        <v>416</v>
      </c>
      <c r="AP82" s="42">
        <v>31</v>
      </c>
      <c r="AQ82" s="42">
        <v>0</v>
      </c>
    </row>
    <row r="83" spans="1:43" x14ac:dyDescent="0.15">
      <c r="A83" s="37" t="s">
        <v>46</v>
      </c>
      <c r="B83" s="37" t="s">
        <v>419</v>
      </c>
      <c r="C83" s="37" t="s">
        <v>417</v>
      </c>
      <c r="D83" s="37" t="s">
        <v>493</v>
      </c>
      <c r="E83" s="37" t="s">
        <v>415</v>
      </c>
      <c r="F83" s="37" t="s">
        <v>6</v>
      </c>
      <c r="G83" s="37">
        <v>0</v>
      </c>
      <c r="H83" s="37">
        <v>31</v>
      </c>
      <c r="I83" s="41">
        <v>4</v>
      </c>
      <c r="J83" s="45">
        <v>5</v>
      </c>
      <c r="K83" s="45">
        <v>4</v>
      </c>
      <c r="L83" s="45"/>
      <c r="M83" s="45">
        <v>1</v>
      </c>
      <c r="N83" s="45"/>
      <c r="P83" s="39">
        <v>26</v>
      </c>
      <c r="Q83" s="39">
        <v>31</v>
      </c>
      <c r="R83" s="39">
        <v>4</v>
      </c>
      <c r="S83" s="39">
        <v>31</v>
      </c>
      <c r="T83" s="39">
        <v>0</v>
      </c>
      <c r="U83" s="39">
        <v>0</v>
      </c>
      <c r="V83" s="39">
        <v>0</v>
      </c>
      <c r="W83" s="49">
        <v>0</v>
      </c>
      <c r="X83" s="49"/>
      <c r="Y83" s="49">
        <v>30</v>
      </c>
      <c r="Z83" s="49"/>
      <c r="AA83" s="50"/>
      <c r="AB83" s="50"/>
      <c r="AC83" s="50"/>
      <c r="AD83" s="50"/>
      <c r="AE83" s="50"/>
      <c r="AH83" s="39">
        <v>0</v>
      </c>
      <c r="AI83" s="39">
        <v>0</v>
      </c>
      <c r="AJ83" s="39">
        <v>0</v>
      </c>
      <c r="AK83" s="39">
        <v>0</v>
      </c>
      <c r="AL83" s="39">
        <v>0</v>
      </c>
      <c r="AM83" s="42">
        <v>0</v>
      </c>
      <c r="AN83" s="42">
        <v>0</v>
      </c>
      <c r="AO83" s="42" t="s">
        <v>416</v>
      </c>
      <c r="AP83" s="42">
        <v>31</v>
      </c>
      <c r="AQ83" s="42">
        <v>0</v>
      </c>
    </row>
    <row r="84" spans="1:43" x14ac:dyDescent="0.15">
      <c r="A84" s="37" t="s">
        <v>46</v>
      </c>
      <c r="B84" s="37" t="s">
        <v>419</v>
      </c>
      <c r="C84" s="37" t="s">
        <v>417</v>
      </c>
      <c r="D84" s="37" t="s">
        <v>494</v>
      </c>
      <c r="E84" s="37" t="s">
        <v>415</v>
      </c>
      <c r="F84" s="37" t="s">
        <v>6</v>
      </c>
      <c r="G84" s="37">
        <v>0</v>
      </c>
      <c r="H84" s="37">
        <v>31</v>
      </c>
      <c r="I84" s="41">
        <v>4</v>
      </c>
      <c r="J84" s="45">
        <v>4</v>
      </c>
      <c r="K84" s="45">
        <v>4</v>
      </c>
      <c r="L84" s="45"/>
      <c r="M84" s="45"/>
      <c r="N84" s="45"/>
      <c r="P84" s="39">
        <v>27</v>
      </c>
      <c r="Q84" s="39">
        <v>31</v>
      </c>
      <c r="R84" s="39">
        <v>4</v>
      </c>
      <c r="S84" s="39">
        <v>31</v>
      </c>
      <c r="T84" s="39">
        <v>0</v>
      </c>
      <c r="U84" s="39">
        <v>0</v>
      </c>
      <c r="V84" s="39">
        <v>0</v>
      </c>
      <c r="W84" s="49">
        <v>0</v>
      </c>
      <c r="X84" s="49"/>
      <c r="Y84" s="49"/>
      <c r="Z84" s="49">
        <v>50</v>
      </c>
      <c r="AA84" s="50"/>
      <c r="AB84" s="50"/>
      <c r="AC84" s="50"/>
      <c r="AD84" s="50"/>
      <c r="AE84" s="50"/>
      <c r="AH84" s="39">
        <v>0</v>
      </c>
      <c r="AI84" s="39">
        <v>0</v>
      </c>
      <c r="AJ84" s="39">
        <v>0</v>
      </c>
      <c r="AK84" s="39">
        <v>0</v>
      </c>
      <c r="AL84" s="39">
        <v>0</v>
      </c>
      <c r="AM84" s="42">
        <v>0</v>
      </c>
      <c r="AN84" s="42">
        <v>0</v>
      </c>
      <c r="AO84" s="42" t="s">
        <v>416</v>
      </c>
      <c r="AP84" s="42">
        <v>31</v>
      </c>
      <c r="AQ84" s="42">
        <v>0</v>
      </c>
    </row>
    <row r="85" spans="1:43" x14ac:dyDescent="0.15">
      <c r="A85" s="37" t="s">
        <v>46</v>
      </c>
      <c r="B85" s="37" t="s">
        <v>419</v>
      </c>
      <c r="C85" s="37" t="s">
        <v>417</v>
      </c>
      <c r="D85" s="37" t="s">
        <v>495</v>
      </c>
      <c r="E85" s="37" t="s">
        <v>415</v>
      </c>
      <c r="F85" s="37" t="s">
        <v>6</v>
      </c>
      <c r="G85" s="37">
        <v>0</v>
      </c>
      <c r="H85" s="37">
        <v>31</v>
      </c>
      <c r="I85" s="41">
        <v>4</v>
      </c>
      <c r="J85" s="45">
        <v>5</v>
      </c>
      <c r="K85" s="45">
        <v>4</v>
      </c>
      <c r="L85" s="45"/>
      <c r="M85" s="45">
        <v>1</v>
      </c>
      <c r="N85" s="45"/>
      <c r="P85" s="39">
        <v>26</v>
      </c>
      <c r="Q85" s="39">
        <v>31</v>
      </c>
      <c r="R85" s="39">
        <v>4</v>
      </c>
      <c r="S85" s="39">
        <v>31</v>
      </c>
      <c r="T85" s="39">
        <v>0</v>
      </c>
      <c r="U85" s="39">
        <v>0</v>
      </c>
      <c r="V85" s="39">
        <v>0</v>
      </c>
      <c r="W85" s="49">
        <v>0</v>
      </c>
      <c r="X85" s="49"/>
      <c r="Y85" s="49"/>
      <c r="Z85" s="49"/>
      <c r="AA85" s="50"/>
      <c r="AB85" s="50"/>
      <c r="AC85" s="50">
        <v>100</v>
      </c>
      <c r="AD85" s="50"/>
      <c r="AE85" s="50"/>
      <c r="AH85" s="39">
        <v>0</v>
      </c>
      <c r="AI85" s="39">
        <v>0</v>
      </c>
      <c r="AJ85" s="39">
        <v>0</v>
      </c>
      <c r="AK85" s="39">
        <v>0</v>
      </c>
      <c r="AL85" s="39">
        <v>0</v>
      </c>
      <c r="AM85" s="42">
        <v>0</v>
      </c>
      <c r="AN85" s="42">
        <v>0</v>
      </c>
      <c r="AO85" s="42" t="s">
        <v>416</v>
      </c>
      <c r="AP85" s="42">
        <v>31</v>
      </c>
      <c r="AQ85" s="42">
        <v>0</v>
      </c>
    </row>
    <row r="86" spans="1:43" x14ac:dyDescent="0.15">
      <c r="A86" s="37" t="s">
        <v>46</v>
      </c>
      <c r="B86" s="37" t="s">
        <v>419</v>
      </c>
      <c r="C86" s="37" t="s">
        <v>417</v>
      </c>
      <c r="D86" s="37" t="s">
        <v>496</v>
      </c>
      <c r="E86" s="37" t="s">
        <v>415</v>
      </c>
      <c r="F86" s="37" t="s">
        <v>6</v>
      </c>
      <c r="G86" s="37">
        <v>0</v>
      </c>
      <c r="H86" s="37">
        <v>31</v>
      </c>
      <c r="I86" s="41">
        <v>4</v>
      </c>
      <c r="J86" s="45">
        <v>5</v>
      </c>
      <c r="K86" s="45">
        <v>4</v>
      </c>
      <c r="L86" s="45"/>
      <c r="M86" s="45">
        <v>1</v>
      </c>
      <c r="N86" s="45"/>
      <c r="P86" s="39">
        <v>26</v>
      </c>
      <c r="Q86" s="39">
        <v>31</v>
      </c>
      <c r="R86" s="39">
        <v>4</v>
      </c>
      <c r="S86" s="39">
        <v>31</v>
      </c>
      <c r="T86" s="39">
        <v>0</v>
      </c>
      <c r="U86" s="39">
        <v>0</v>
      </c>
      <c r="V86" s="39">
        <v>0</v>
      </c>
      <c r="W86" s="49">
        <v>0</v>
      </c>
      <c r="X86" s="49"/>
      <c r="Y86" s="49"/>
      <c r="Z86" s="49"/>
      <c r="AA86" s="50"/>
      <c r="AB86" s="50"/>
      <c r="AC86" s="50"/>
      <c r="AD86" s="50"/>
      <c r="AE86" s="50"/>
      <c r="AH86" s="39">
        <v>0</v>
      </c>
      <c r="AI86" s="39">
        <v>0</v>
      </c>
      <c r="AJ86" s="39">
        <v>0</v>
      </c>
      <c r="AK86" s="39">
        <v>0</v>
      </c>
      <c r="AL86" s="39">
        <v>0</v>
      </c>
      <c r="AM86" s="42">
        <v>0</v>
      </c>
      <c r="AN86" s="42">
        <v>0</v>
      </c>
      <c r="AO86" s="42" t="s">
        <v>416</v>
      </c>
      <c r="AP86" s="42">
        <v>31</v>
      </c>
      <c r="AQ86" s="42">
        <v>0</v>
      </c>
    </row>
    <row r="87" spans="1:43" x14ac:dyDescent="0.15">
      <c r="A87" s="37" t="s">
        <v>46</v>
      </c>
      <c r="B87" s="37" t="s">
        <v>419</v>
      </c>
      <c r="C87" s="37" t="s">
        <v>417</v>
      </c>
      <c r="D87" s="37" t="s">
        <v>497</v>
      </c>
      <c r="E87" s="37" t="s">
        <v>80</v>
      </c>
      <c r="F87" s="37" t="s">
        <v>6</v>
      </c>
      <c r="G87" s="37">
        <v>0</v>
      </c>
      <c r="H87" s="37">
        <v>17</v>
      </c>
      <c r="I87" s="41">
        <v>2</v>
      </c>
      <c r="J87" s="45">
        <v>4</v>
      </c>
      <c r="K87" s="45">
        <v>2</v>
      </c>
      <c r="L87" s="45">
        <v>2</v>
      </c>
      <c r="M87" s="45"/>
      <c r="N87" s="45"/>
      <c r="P87" s="39">
        <v>13</v>
      </c>
      <c r="Q87" s="39">
        <v>15</v>
      </c>
      <c r="R87" s="39">
        <v>2</v>
      </c>
      <c r="S87" s="39">
        <v>15</v>
      </c>
      <c r="T87" s="39">
        <v>0</v>
      </c>
      <c r="U87" s="39">
        <v>2</v>
      </c>
      <c r="V87" s="39">
        <v>0</v>
      </c>
      <c r="W87" s="49">
        <v>0</v>
      </c>
      <c r="X87" s="49"/>
      <c r="Y87" s="49"/>
      <c r="Z87" s="49"/>
      <c r="AA87" s="50"/>
      <c r="AB87" s="50">
        <v>1000</v>
      </c>
      <c r="AC87" s="50"/>
      <c r="AD87" s="50"/>
      <c r="AE87" s="50">
        <v>300</v>
      </c>
      <c r="AH87" s="39">
        <v>0</v>
      </c>
      <c r="AI87" s="39">
        <v>0</v>
      </c>
      <c r="AJ87" s="39">
        <v>0</v>
      </c>
      <c r="AK87" s="39">
        <v>0</v>
      </c>
      <c r="AL87" s="39">
        <v>0</v>
      </c>
      <c r="AM87" s="42">
        <v>0</v>
      </c>
      <c r="AN87" s="42">
        <v>0</v>
      </c>
      <c r="AO87" s="42" t="s">
        <v>416</v>
      </c>
      <c r="AP87" s="42">
        <v>15</v>
      </c>
      <c r="AQ87" s="42">
        <v>0</v>
      </c>
    </row>
    <row r="88" spans="1:43" x14ac:dyDescent="0.15">
      <c r="A88" s="37" t="s">
        <v>48</v>
      </c>
      <c r="B88" s="37" t="s">
        <v>14</v>
      </c>
      <c r="C88" s="37" t="s">
        <v>413</v>
      </c>
      <c r="D88" s="37" t="s">
        <v>498</v>
      </c>
      <c r="E88" s="37" t="s">
        <v>415</v>
      </c>
      <c r="F88" s="37" t="s">
        <v>6</v>
      </c>
      <c r="G88" s="37">
        <v>0</v>
      </c>
      <c r="H88" s="37">
        <v>31</v>
      </c>
      <c r="I88" s="41">
        <v>4</v>
      </c>
      <c r="J88" s="45">
        <v>6</v>
      </c>
      <c r="K88" s="45">
        <v>4</v>
      </c>
      <c r="L88" s="45">
        <v>1</v>
      </c>
      <c r="M88" s="45">
        <v>1</v>
      </c>
      <c r="N88" s="45"/>
      <c r="P88" s="39">
        <v>25</v>
      </c>
      <c r="Q88" s="39">
        <v>30</v>
      </c>
      <c r="R88" s="39">
        <v>4</v>
      </c>
      <c r="S88" s="39">
        <v>30</v>
      </c>
      <c r="T88" s="39">
        <v>0</v>
      </c>
      <c r="U88" s="39">
        <v>1</v>
      </c>
      <c r="V88" s="39">
        <v>0</v>
      </c>
      <c r="W88" s="49">
        <v>0</v>
      </c>
      <c r="X88" s="49">
        <v>20</v>
      </c>
      <c r="Y88" s="49"/>
      <c r="Z88" s="49"/>
      <c r="AA88" s="50"/>
      <c r="AB88" s="50"/>
      <c r="AC88" s="50"/>
      <c r="AD88" s="50"/>
      <c r="AE88" s="50"/>
      <c r="AH88" s="39">
        <v>0</v>
      </c>
      <c r="AI88" s="39">
        <v>0</v>
      </c>
      <c r="AJ88" s="39">
        <v>0</v>
      </c>
      <c r="AK88" s="39">
        <v>0</v>
      </c>
      <c r="AL88" s="39">
        <v>0</v>
      </c>
      <c r="AM88" s="42">
        <v>0</v>
      </c>
      <c r="AN88" s="42">
        <v>0</v>
      </c>
      <c r="AO88" s="42" t="s">
        <v>416</v>
      </c>
      <c r="AP88" s="42">
        <v>30</v>
      </c>
      <c r="AQ88" s="42">
        <v>0</v>
      </c>
    </row>
    <row r="89" spans="1:43" x14ac:dyDescent="0.15">
      <c r="A89" s="37" t="s">
        <v>48</v>
      </c>
      <c r="B89" s="37" t="s">
        <v>453</v>
      </c>
      <c r="C89" s="37" t="s">
        <v>413</v>
      </c>
      <c r="D89" s="37" t="s">
        <v>499</v>
      </c>
      <c r="E89" s="37" t="s">
        <v>415</v>
      </c>
      <c r="F89" s="37" t="s">
        <v>6</v>
      </c>
      <c r="G89" s="37">
        <v>0</v>
      </c>
      <c r="H89" s="37">
        <v>31</v>
      </c>
      <c r="I89" s="41">
        <v>4</v>
      </c>
      <c r="J89" s="45">
        <v>4</v>
      </c>
      <c r="K89" s="45">
        <v>4</v>
      </c>
      <c r="L89" s="45"/>
      <c r="M89" s="45"/>
      <c r="N89" s="45"/>
      <c r="P89" s="39">
        <v>27</v>
      </c>
      <c r="Q89" s="39">
        <v>31</v>
      </c>
      <c r="R89" s="39">
        <v>4</v>
      </c>
      <c r="S89" s="39">
        <v>31</v>
      </c>
      <c r="T89" s="39">
        <v>0</v>
      </c>
      <c r="U89" s="39">
        <v>0</v>
      </c>
      <c r="V89" s="39">
        <v>0</v>
      </c>
      <c r="W89" s="49">
        <v>0</v>
      </c>
      <c r="X89" s="49">
        <v>90</v>
      </c>
      <c r="Y89" s="49"/>
      <c r="Z89" s="49"/>
      <c r="AA89" s="50"/>
      <c r="AB89" s="50"/>
      <c r="AC89" s="50"/>
      <c r="AD89" s="50"/>
      <c r="AE89" s="50"/>
      <c r="AH89" s="39">
        <v>0</v>
      </c>
      <c r="AI89" s="39">
        <v>0</v>
      </c>
      <c r="AJ89" s="39">
        <v>0</v>
      </c>
      <c r="AK89" s="39">
        <v>0</v>
      </c>
      <c r="AL89" s="39">
        <v>0</v>
      </c>
      <c r="AM89" s="42">
        <v>0</v>
      </c>
      <c r="AN89" s="42">
        <v>0</v>
      </c>
      <c r="AO89" s="42" t="s">
        <v>416</v>
      </c>
      <c r="AP89" s="42">
        <v>31</v>
      </c>
      <c r="AQ89" s="42">
        <v>0</v>
      </c>
    </row>
    <row r="90" spans="1:43" x14ac:dyDescent="0.15">
      <c r="A90" s="37" t="s">
        <v>48</v>
      </c>
      <c r="B90" s="37" t="s">
        <v>419</v>
      </c>
      <c r="C90" s="37" t="s">
        <v>417</v>
      </c>
      <c r="D90" s="37" t="s">
        <v>500</v>
      </c>
      <c r="E90" s="37" t="s">
        <v>415</v>
      </c>
      <c r="F90" s="37" t="s">
        <v>6</v>
      </c>
      <c r="G90" s="37">
        <v>0</v>
      </c>
      <c r="H90" s="37">
        <v>31</v>
      </c>
      <c r="I90" s="41">
        <v>4</v>
      </c>
      <c r="J90" s="45">
        <v>4</v>
      </c>
      <c r="K90" s="45">
        <v>4</v>
      </c>
      <c r="L90" s="45"/>
      <c r="M90" s="45"/>
      <c r="N90" s="45"/>
      <c r="P90" s="39">
        <v>27</v>
      </c>
      <c r="Q90" s="39">
        <v>31</v>
      </c>
      <c r="R90" s="39">
        <v>4</v>
      </c>
      <c r="S90" s="39">
        <v>31</v>
      </c>
      <c r="T90" s="39">
        <v>0</v>
      </c>
      <c r="U90" s="39">
        <v>0</v>
      </c>
      <c r="V90" s="39">
        <v>0</v>
      </c>
      <c r="W90" s="49">
        <v>0</v>
      </c>
      <c r="X90" s="49"/>
      <c r="Y90" s="49"/>
      <c r="Z90" s="49"/>
      <c r="AA90" s="50"/>
      <c r="AB90" s="50"/>
      <c r="AC90" s="50"/>
      <c r="AD90" s="50"/>
      <c r="AE90" s="50"/>
      <c r="AH90" s="39">
        <v>0</v>
      </c>
      <c r="AI90" s="39">
        <v>0</v>
      </c>
      <c r="AJ90" s="39">
        <v>0</v>
      </c>
      <c r="AK90" s="39">
        <v>0</v>
      </c>
      <c r="AL90" s="39">
        <v>0</v>
      </c>
      <c r="AM90" s="42">
        <v>0</v>
      </c>
      <c r="AN90" s="42">
        <v>0</v>
      </c>
      <c r="AO90" s="42" t="s">
        <v>416</v>
      </c>
      <c r="AP90" s="42">
        <v>31</v>
      </c>
      <c r="AQ90" s="42">
        <v>0</v>
      </c>
    </row>
    <row r="91" spans="1:43" x14ac:dyDescent="0.15">
      <c r="A91" s="37" t="s">
        <v>48</v>
      </c>
      <c r="B91" s="37" t="s">
        <v>419</v>
      </c>
      <c r="C91" s="37" t="s">
        <v>417</v>
      </c>
      <c r="D91" s="37" t="s">
        <v>501</v>
      </c>
      <c r="E91" s="37" t="s">
        <v>415</v>
      </c>
      <c r="F91" s="37" t="s">
        <v>6</v>
      </c>
      <c r="G91" s="37">
        <v>0</v>
      </c>
      <c r="H91" s="37">
        <v>31</v>
      </c>
      <c r="I91" s="41">
        <v>4</v>
      </c>
      <c r="J91" s="45">
        <v>5</v>
      </c>
      <c r="K91" s="45">
        <v>4</v>
      </c>
      <c r="L91" s="45"/>
      <c r="M91" s="45">
        <v>1</v>
      </c>
      <c r="N91" s="45"/>
      <c r="P91" s="39">
        <v>26</v>
      </c>
      <c r="Q91" s="39">
        <v>31</v>
      </c>
      <c r="R91" s="39">
        <v>4</v>
      </c>
      <c r="S91" s="39">
        <v>31</v>
      </c>
      <c r="T91" s="39">
        <v>0</v>
      </c>
      <c r="U91" s="39">
        <v>0</v>
      </c>
      <c r="V91" s="39">
        <v>0</v>
      </c>
      <c r="W91" s="49">
        <v>0</v>
      </c>
      <c r="X91" s="49"/>
      <c r="Y91" s="49"/>
      <c r="Z91" s="49"/>
      <c r="AA91" s="50"/>
      <c r="AB91" s="50"/>
      <c r="AC91" s="50">
        <v>100</v>
      </c>
      <c r="AD91" s="50"/>
      <c r="AE91" s="50"/>
      <c r="AH91" s="39">
        <v>0</v>
      </c>
      <c r="AI91" s="39">
        <v>0</v>
      </c>
      <c r="AJ91" s="39">
        <v>0</v>
      </c>
      <c r="AK91" s="39">
        <v>0</v>
      </c>
      <c r="AL91" s="39">
        <v>0</v>
      </c>
      <c r="AM91" s="42">
        <v>0</v>
      </c>
      <c r="AN91" s="42">
        <v>0</v>
      </c>
      <c r="AO91" s="42" t="s">
        <v>416</v>
      </c>
      <c r="AP91" s="42">
        <v>31</v>
      </c>
      <c r="AQ91" s="42">
        <v>0</v>
      </c>
    </row>
    <row r="92" spans="1:43" x14ac:dyDescent="0.15">
      <c r="A92" s="37" t="s">
        <v>48</v>
      </c>
      <c r="B92" s="37" t="s">
        <v>419</v>
      </c>
      <c r="C92" s="37" t="s">
        <v>417</v>
      </c>
      <c r="D92" s="37" t="s">
        <v>502</v>
      </c>
      <c r="E92" s="37" t="s">
        <v>415</v>
      </c>
      <c r="F92" s="37" t="s">
        <v>6</v>
      </c>
      <c r="G92" s="37">
        <v>0</v>
      </c>
      <c r="H92" s="37">
        <v>31</v>
      </c>
      <c r="I92" s="41">
        <v>4</v>
      </c>
      <c r="J92" s="45">
        <v>4</v>
      </c>
      <c r="K92" s="45">
        <v>4</v>
      </c>
      <c r="L92" s="45"/>
      <c r="M92" s="45"/>
      <c r="N92" s="45"/>
      <c r="P92" s="39">
        <v>27</v>
      </c>
      <c r="Q92" s="39">
        <v>31</v>
      </c>
      <c r="R92" s="39">
        <v>4</v>
      </c>
      <c r="S92" s="39">
        <v>31</v>
      </c>
      <c r="T92" s="39">
        <v>0</v>
      </c>
      <c r="U92" s="39">
        <v>0</v>
      </c>
      <c r="V92" s="39">
        <v>0</v>
      </c>
      <c r="W92" s="49">
        <v>0</v>
      </c>
      <c r="X92" s="49"/>
      <c r="Y92" s="49"/>
      <c r="Z92" s="49">
        <v>50</v>
      </c>
      <c r="AA92" s="50"/>
      <c r="AB92" s="50"/>
      <c r="AC92" s="50">
        <v>100</v>
      </c>
      <c r="AD92" s="50"/>
      <c r="AE92" s="50"/>
      <c r="AH92" s="39">
        <v>0</v>
      </c>
      <c r="AI92" s="39">
        <v>0</v>
      </c>
      <c r="AJ92" s="39">
        <v>0</v>
      </c>
      <c r="AK92" s="39">
        <v>0</v>
      </c>
      <c r="AL92" s="39">
        <v>0</v>
      </c>
      <c r="AM92" s="42">
        <v>0</v>
      </c>
      <c r="AN92" s="42">
        <v>0</v>
      </c>
      <c r="AO92" s="42" t="s">
        <v>416</v>
      </c>
      <c r="AP92" s="42">
        <v>31</v>
      </c>
      <c r="AQ92" s="42">
        <v>0</v>
      </c>
    </row>
    <row r="93" spans="1:43" x14ac:dyDescent="0.15">
      <c r="A93" s="37" t="s">
        <v>48</v>
      </c>
      <c r="B93" s="37" t="s">
        <v>419</v>
      </c>
      <c r="C93" s="37" t="s">
        <v>417</v>
      </c>
      <c r="D93" s="37" t="s">
        <v>503</v>
      </c>
      <c r="E93" s="37" t="s">
        <v>415</v>
      </c>
      <c r="F93" s="37" t="s">
        <v>6</v>
      </c>
      <c r="G93" s="37">
        <v>0</v>
      </c>
      <c r="H93" s="37">
        <v>31</v>
      </c>
      <c r="I93" s="39">
        <v>4</v>
      </c>
      <c r="J93" s="45">
        <v>4</v>
      </c>
      <c r="K93" s="45">
        <v>4</v>
      </c>
      <c r="L93" s="45"/>
      <c r="M93" s="45"/>
      <c r="N93" s="45"/>
      <c r="P93" s="39">
        <v>27</v>
      </c>
      <c r="Q93" s="39">
        <v>31</v>
      </c>
      <c r="R93" s="39">
        <v>4</v>
      </c>
      <c r="S93" s="39">
        <v>31</v>
      </c>
      <c r="T93" s="39">
        <v>0</v>
      </c>
      <c r="U93" s="39">
        <v>0</v>
      </c>
      <c r="V93" s="39">
        <v>0</v>
      </c>
      <c r="W93" s="49">
        <v>0</v>
      </c>
      <c r="X93" s="49">
        <v>10</v>
      </c>
      <c r="Y93" s="49"/>
      <c r="Z93" s="49"/>
      <c r="AA93" s="51"/>
      <c r="AB93" s="51"/>
      <c r="AC93" s="51">
        <v>100</v>
      </c>
      <c r="AD93" s="51"/>
      <c r="AE93" s="51"/>
      <c r="AH93" s="39">
        <v>0</v>
      </c>
      <c r="AI93" s="39">
        <v>0</v>
      </c>
      <c r="AJ93" s="39">
        <v>0</v>
      </c>
      <c r="AK93" s="39">
        <v>0</v>
      </c>
      <c r="AL93" s="39">
        <v>0</v>
      </c>
      <c r="AM93" s="42">
        <v>0</v>
      </c>
      <c r="AN93" s="42">
        <v>0</v>
      </c>
      <c r="AO93" s="42" t="s">
        <v>416</v>
      </c>
      <c r="AP93" s="42">
        <v>31</v>
      </c>
      <c r="AQ93" s="42">
        <v>0</v>
      </c>
    </row>
    <row r="94" spans="1:43" x14ac:dyDescent="0.15">
      <c r="A94" s="37" t="s">
        <v>48</v>
      </c>
      <c r="B94" s="37" t="s">
        <v>419</v>
      </c>
      <c r="C94" s="37" t="s">
        <v>417</v>
      </c>
      <c r="D94" s="37" t="s">
        <v>504</v>
      </c>
      <c r="E94" s="37" t="s">
        <v>415</v>
      </c>
      <c r="F94" s="37" t="s">
        <v>6</v>
      </c>
      <c r="G94" s="37">
        <v>0</v>
      </c>
      <c r="H94" s="37">
        <v>31</v>
      </c>
      <c r="I94" s="41">
        <v>4</v>
      </c>
      <c r="J94" s="45">
        <v>4</v>
      </c>
      <c r="K94" s="45">
        <v>4</v>
      </c>
      <c r="L94" s="45"/>
      <c r="M94" s="45"/>
      <c r="N94" s="45"/>
      <c r="P94" s="39">
        <v>27</v>
      </c>
      <c r="Q94" s="39">
        <v>31</v>
      </c>
      <c r="R94" s="39">
        <v>4</v>
      </c>
      <c r="S94" s="39">
        <v>31</v>
      </c>
      <c r="T94" s="39">
        <v>0</v>
      </c>
      <c r="U94" s="39">
        <v>0</v>
      </c>
      <c r="V94" s="39">
        <v>0</v>
      </c>
      <c r="W94" s="49">
        <v>0</v>
      </c>
      <c r="X94" s="49">
        <v>20</v>
      </c>
      <c r="Y94" s="49"/>
      <c r="Z94" s="49"/>
      <c r="AA94" s="50"/>
      <c r="AB94" s="50"/>
      <c r="AC94" s="50"/>
      <c r="AD94" s="50"/>
      <c r="AE94" s="50"/>
      <c r="AH94" s="39">
        <v>3500</v>
      </c>
      <c r="AI94" s="39">
        <v>0</v>
      </c>
      <c r="AJ94" s="39">
        <v>0</v>
      </c>
      <c r="AK94" s="39">
        <v>0</v>
      </c>
      <c r="AL94" s="39">
        <v>0</v>
      </c>
      <c r="AM94" s="42">
        <v>0</v>
      </c>
      <c r="AN94" s="42">
        <v>0</v>
      </c>
      <c r="AO94" s="42" t="s">
        <v>416</v>
      </c>
      <c r="AP94" s="42">
        <v>31</v>
      </c>
      <c r="AQ94" s="42">
        <v>0</v>
      </c>
    </row>
    <row r="95" spans="1:43" x14ac:dyDescent="0.15">
      <c r="A95" s="37" t="s">
        <v>36</v>
      </c>
      <c r="B95" s="37" t="s">
        <v>14</v>
      </c>
      <c r="C95" s="37" t="s">
        <v>413</v>
      </c>
      <c r="D95" s="37" t="s">
        <v>505</v>
      </c>
      <c r="E95" s="37" t="s">
        <v>415</v>
      </c>
      <c r="F95" s="37" t="s">
        <v>6</v>
      </c>
      <c r="G95" s="37">
        <v>0</v>
      </c>
      <c r="H95" s="37">
        <v>31</v>
      </c>
      <c r="I95" s="41">
        <v>4</v>
      </c>
      <c r="J95" s="45">
        <v>5</v>
      </c>
      <c r="K95" s="45">
        <v>4</v>
      </c>
      <c r="L95" s="45"/>
      <c r="M95" s="45">
        <v>1</v>
      </c>
      <c r="N95" s="45"/>
      <c r="P95" s="39">
        <v>26</v>
      </c>
      <c r="Q95" s="39">
        <v>31</v>
      </c>
      <c r="R95" s="39">
        <v>4</v>
      </c>
      <c r="S95" s="39">
        <v>31</v>
      </c>
      <c r="T95" s="39">
        <v>0</v>
      </c>
      <c r="U95" s="39">
        <v>0</v>
      </c>
      <c r="V95" s="39">
        <v>0</v>
      </c>
      <c r="W95" s="49">
        <v>0</v>
      </c>
      <c r="X95" s="49">
        <v>90</v>
      </c>
      <c r="Y95" s="49"/>
      <c r="Z95" s="49"/>
      <c r="AA95" s="50"/>
      <c r="AB95" s="50"/>
      <c r="AC95" s="50"/>
      <c r="AD95" s="50"/>
      <c r="AE95" s="50"/>
      <c r="AH95" s="39">
        <v>0</v>
      </c>
      <c r="AI95" s="39">
        <v>0</v>
      </c>
      <c r="AJ95" s="39">
        <v>0</v>
      </c>
      <c r="AK95" s="39">
        <v>0</v>
      </c>
      <c r="AL95" s="39">
        <v>0</v>
      </c>
      <c r="AM95" s="42">
        <v>0</v>
      </c>
      <c r="AN95" s="42">
        <v>0</v>
      </c>
      <c r="AO95" s="42" t="s">
        <v>416</v>
      </c>
      <c r="AP95" s="42">
        <v>31</v>
      </c>
      <c r="AQ95" s="42">
        <v>0</v>
      </c>
    </row>
    <row r="96" spans="1:43" x14ac:dyDescent="0.15">
      <c r="A96" s="37" t="s">
        <v>36</v>
      </c>
      <c r="B96" s="37" t="s">
        <v>15</v>
      </c>
      <c r="C96" s="37" t="s">
        <v>417</v>
      </c>
      <c r="D96" s="64" t="s">
        <v>506</v>
      </c>
      <c r="E96" s="37" t="s">
        <v>415</v>
      </c>
      <c r="F96" s="37" t="s">
        <v>6</v>
      </c>
      <c r="G96" s="37">
        <v>0</v>
      </c>
      <c r="H96" s="37">
        <v>31</v>
      </c>
      <c r="I96" s="41">
        <v>4</v>
      </c>
      <c r="J96" s="45">
        <v>4</v>
      </c>
      <c r="K96" s="45">
        <v>4</v>
      </c>
      <c r="L96" s="45"/>
      <c r="M96" s="45"/>
      <c r="N96" s="45"/>
      <c r="P96" s="39">
        <v>27</v>
      </c>
      <c r="Q96" s="39">
        <v>31</v>
      </c>
      <c r="R96" s="39">
        <v>4</v>
      </c>
      <c r="S96" s="39">
        <v>31</v>
      </c>
      <c r="T96" s="39">
        <v>0</v>
      </c>
      <c r="U96" s="39">
        <v>0</v>
      </c>
      <c r="V96" s="39">
        <v>0</v>
      </c>
      <c r="W96" s="49">
        <v>0</v>
      </c>
      <c r="X96" s="49"/>
      <c r="Y96" s="49"/>
      <c r="Z96" s="49"/>
      <c r="AA96" s="50"/>
      <c r="AB96" s="50"/>
      <c r="AC96" s="50"/>
      <c r="AD96" s="50"/>
      <c r="AE96" s="50"/>
      <c r="AH96" s="39">
        <v>0</v>
      </c>
      <c r="AI96" s="39">
        <v>0</v>
      </c>
      <c r="AJ96" s="39">
        <v>0</v>
      </c>
      <c r="AK96" s="39">
        <v>0</v>
      </c>
      <c r="AL96" s="39">
        <v>0</v>
      </c>
      <c r="AM96" s="42">
        <v>0</v>
      </c>
      <c r="AN96" s="42">
        <v>0</v>
      </c>
      <c r="AO96" s="42" t="s">
        <v>416</v>
      </c>
      <c r="AP96" s="42">
        <v>31</v>
      </c>
      <c r="AQ96" s="42">
        <v>0</v>
      </c>
    </row>
    <row r="97" spans="1:43" x14ac:dyDescent="0.15">
      <c r="A97" s="37" t="s">
        <v>36</v>
      </c>
      <c r="B97" s="37" t="s">
        <v>419</v>
      </c>
      <c r="C97" s="37" t="s">
        <v>417</v>
      </c>
      <c r="D97" s="37" t="s">
        <v>507</v>
      </c>
      <c r="E97" s="37" t="s">
        <v>415</v>
      </c>
      <c r="F97" s="37" t="s">
        <v>6</v>
      </c>
      <c r="G97" s="37">
        <v>0</v>
      </c>
      <c r="H97" s="37">
        <v>31</v>
      </c>
      <c r="I97" s="41">
        <v>4</v>
      </c>
      <c r="J97" s="45">
        <v>5</v>
      </c>
      <c r="K97" s="45">
        <v>4</v>
      </c>
      <c r="L97" s="45"/>
      <c r="M97" s="45">
        <v>1</v>
      </c>
      <c r="N97" s="45"/>
      <c r="P97" s="39">
        <v>26</v>
      </c>
      <c r="Q97" s="39">
        <v>31</v>
      </c>
      <c r="R97" s="39">
        <v>4</v>
      </c>
      <c r="S97" s="39">
        <v>31</v>
      </c>
      <c r="T97" s="39">
        <v>0</v>
      </c>
      <c r="U97" s="39">
        <v>0</v>
      </c>
      <c r="V97" s="39">
        <v>0</v>
      </c>
      <c r="W97" s="49">
        <v>0</v>
      </c>
      <c r="X97" s="49"/>
      <c r="Y97" s="49"/>
      <c r="Z97" s="49"/>
      <c r="AA97" s="50"/>
      <c r="AB97" s="50"/>
      <c r="AC97" s="50"/>
      <c r="AD97" s="50"/>
      <c r="AE97" s="50"/>
      <c r="AH97" s="39">
        <v>0</v>
      </c>
      <c r="AI97" s="39">
        <v>0</v>
      </c>
      <c r="AJ97" s="39">
        <v>0</v>
      </c>
      <c r="AK97" s="39">
        <v>0</v>
      </c>
      <c r="AL97" s="39">
        <v>0</v>
      </c>
      <c r="AM97" s="42">
        <v>0</v>
      </c>
      <c r="AN97" s="42">
        <v>0</v>
      </c>
      <c r="AO97" s="42" t="s">
        <v>416</v>
      </c>
      <c r="AP97" s="42">
        <v>31</v>
      </c>
      <c r="AQ97" s="42">
        <v>0</v>
      </c>
    </row>
    <row r="98" spans="1:43" x14ac:dyDescent="0.15">
      <c r="A98" s="37" t="s">
        <v>36</v>
      </c>
      <c r="B98" s="37" t="s">
        <v>419</v>
      </c>
      <c r="C98" s="37" t="s">
        <v>417</v>
      </c>
      <c r="D98" s="37" t="s">
        <v>508</v>
      </c>
      <c r="E98" s="37" t="s">
        <v>415</v>
      </c>
      <c r="F98" s="37" t="s">
        <v>6</v>
      </c>
      <c r="G98" s="37">
        <v>0</v>
      </c>
      <c r="H98" s="37">
        <v>31</v>
      </c>
      <c r="I98" s="41">
        <v>4</v>
      </c>
      <c r="J98" s="45">
        <v>5</v>
      </c>
      <c r="K98" s="45">
        <v>4</v>
      </c>
      <c r="L98" s="45"/>
      <c r="M98" s="45">
        <v>1</v>
      </c>
      <c r="N98" s="45"/>
      <c r="P98" s="39">
        <v>26</v>
      </c>
      <c r="Q98" s="39">
        <v>31</v>
      </c>
      <c r="R98" s="39">
        <v>4</v>
      </c>
      <c r="S98" s="39">
        <v>31</v>
      </c>
      <c r="T98" s="39">
        <v>0</v>
      </c>
      <c r="U98" s="39">
        <v>0</v>
      </c>
      <c r="V98" s="39">
        <v>0</v>
      </c>
      <c r="W98" s="49">
        <v>0</v>
      </c>
      <c r="X98" s="49">
        <v>10</v>
      </c>
      <c r="Y98" s="49"/>
      <c r="Z98" s="49"/>
      <c r="AA98" s="50"/>
      <c r="AB98" s="50"/>
      <c r="AC98" s="50"/>
      <c r="AD98" s="50"/>
      <c r="AE98" s="50"/>
      <c r="AH98" s="39">
        <v>0</v>
      </c>
      <c r="AI98" s="39">
        <v>0</v>
      </c>
      <c r="AJ98" s="39">
        <v>0</v>
      </c>
      <c r="AK98" s="39">
        <v>0</v>
      </c>
      <c r="AL98" s="39">
        <v>0</v>
      </c>
      <c r="AM98" s="42">
        <v>0</v>
      </c>
      <c r="AN98" s="42">
        <v>0</v>
      </c>
      <c r="AO98" s="42" t="s">
        <v>416</v>
      </c>
      <c r="AP98" s="42">
        <v>31</v>
      </c>
      <c r="AQ98" s="42">
        <v>0</v>
      </c>
    </row>
    <row r="99" spans="1:43" x14ac:dyDescent="0.15">
      <c r="A99" s="37" t="s">
        <v>36</v>
      </c>
      <c r="B99" s="37" t="s">
        <v>419</v>
      </c>
      <c r="C99" s="37" t="s">
        <v>417</v>
      </c>
      <c r="D99" s="37" t="s">
        <v>509</v>
      </c>
      <c r="E99" s="37" t="s">
        <v>415</v>
      </c>
      <c r="F99" s="37" t="s">
        <v>6</v>
      </c>
      <c r="G99" s="37">
        <v>0</v>
      </c>
      <c r="H99" s="37">
        <v>31</v>
      </c>
      <c r="I99" s="41">
        <v>4</v>
      </c>
      <c r="J99" s="45">
        <v>5</v>
      </c>
      <c r="K99" s="45">
        <v>4</v>
      </c>
      <c r="L99" s="45"/>
      <c r="M99" s="45">
        <v>1</v>
      </c>
      <c r="N99" s="45"/>
      <c r="P99" s="39">
        <v>26</v>
      </c>
      <c r="Q99" s="39">
        <v>31</v>
      </c>
      <c r="R99" s="39">
        <v>4</v>
      </c>
      <c r="S99" s="39">
        <v>31</v>
      </c>
      <c r="T99" s="39">
        <v>0</v>
      </c>
      <c r="U99" s="39">
        <v>0</v>
      </c>
      <c r="V99" s="39">
        <v>0</v>
      </c>
      <c r="W99" s="49">
        <v>0</v>
      </c>
      <c r="X99" s="49">
        <v>90</v>
      </c>
      <c r="Y99" s="49"/>
      <c r="Z99" s="49"/>
      <c r="AA99" s="50"/>
      <c r="AB99" s="50"/>
      <c r="AC99" s="50"/>
      <c r="AD99" s="50"/>
      <c r="AE99" s="50"/>
      <c r="AH99" s="39">
        <v>0</v>
      </c>
      <c r="AI99" s="39">
        <v>0</v>
      </c>
      <c r="AJ99" s="39">
        <v>0</v>
      </c>
      <c r="AK99" s="39">
        <v>0</v>
      </c>
      <c r="AL99" s="39">
        <v>0</v>
      </c>
      <c r="AM99" s="42">
        <v>0</v>
      </c>
      <c r="AN99" s="42">
        <v>0</v>
      </c>
      <c r="AO99" s="42" t="s">
        <v>416</v>
      </c>
      <c r="AP99" s="42">
        <v>31</v>
      </c>
      <c r="AQ99" s="42">
        <v>0</v>
      </c>
    </row>
    <row r="100" spans="1:43" x14ac:dyDescent="0.15">
      <c r="A100" s="37" t="s">
        <v>36</v>
      </c>
      <c r="B100" s="37" t="s">
        <v>419</v>
      </c>
      <c r="C100" s="37" t="s">
        <v>417</v>
      </c>
      <c r="D100" s="37" t="s">
        <v>510</v>
      </c>
      <c r="E100" s="37" t="s">
        <v>415</v>
      </c>
      <c r="F100" s="37" t="s">
        <v>6</v>
      </c>
      <c r="G100" s="37">
        <v>0</v>
      </c>
      <c r="H100" s="37">
        <v>31</v>
      </c>
      <c r="I100" s="41">
        <v>4</v>
      </c>
      <c r="J100" s="45">
        <v>5</v>
      </c>
      <c r="K100" s="45">
        <v>4</v>
      </c>
      <c r="L100" s="45"/>
      <c r="M100" s="45">
        <v>1</v>
      </c>
      <c r="N100" s="45"/>
      <c r="P100" s="39">
        <v>26</v>
      </c>
      <c r="Q100" s="39">
        <v>31</v>
      </c>
      <c r="R100" s="39">
        <v>4</v>
      </c>
      <c r="S100" s="39">
        <v>31</v>
      </c>
      <c r="T100" s="39">
        <v>0</v>
      </c>
      <c r="U100" s="39">
        <v>0</v>
      </c>
      <c r="V100" s="39">
        <v>0</v>
      </c>
      <c r="W100" s="49">
        <v>0</v>
      </c>
      <c r="X100" s="49"/>
      <c r="Y100" s="49"/>
      <c r="Z100" s="49"/>
      <c r="AA100" s="50"/>
      <c r="AB100" s="50"/>
      <c r="AC100" s="50"/>
      <c r="AD100" s="50"/>
      <c r="AE100" s="50"/>
      <c r="AH100" s="39">
        <v>0</v>
      </c>
      <c r="AI100" s="39">
        <v>0</v>
      </c>
      <c r="AJ100" s="39">
        <v>0</v>
      </c>
      <c r="AK100" s="39">
        <v>0</v>
      </c>
      <c r="AL100" s="39">
        <v>0</v>
      </c>
      <c r="AM100" s="42">
        <v>0</v>
      </c>
      <c r="AN100" s="42">
        <v>0</v>
      </c>
      <c r="AO100" s="42" t="s">
        <v>416</v>
      </c>
      <c r="AP100" s="42">
        <v>31</v>
      </c>
      <c r="AQ100" s="42">
        <v>0</v>
      </c>
    </row>
    <row r="101" spans="1:43" x14ac:dyDescent="0.15">
      <c r="A101" s="37" t="s">
        <v>36</v>
      </c>
      <c r="B101" s="37" t="s">
        <v>419</v>
      </c>
      <c r="C101" s="37" t="s">
        <v>417</v>
      </c>
      <c r="D101" s="37" t="s">
        <v>511</v>
      </c>
      <c r="E101" s="37" t="s">
        <v>415</v>
      </c>
      <c r="F101" s="37" t="s">
        <v>6</v>
      </c>
      <c r="G101" s="37">
        <v>0</v>
      </c>
      <c r="H101" s="37">
        <v>31</v>
      </c>
      <c r="I101" s="41">
        <v>4</v>
      </c>
      <c r="J101" s="45">
        <v>5</v>
      </c>
      <c r="K101" s="45">
        <v>4</v>
      </c>
      <c r="L101" s="45"/>
      <c r="M101" s="45">
        <v>1</v>
      </c>
      <c r="N101" s="45"/>
      <c r="P101" s="39">
        <v>26</v>
      </c>
      <c r="Q101" s="39">
        <v>31</v>
      </c>
      <c r="R101" s="39">
        <v>4</v>
      </c>
      <c r="S101" s="39">
        <v>31</v>
      </c>
      <c r="T101" s="39">
        <v>0</v>
      </c>
      <c r="U101" s="39">
        <v>0</v>
      </c>
      <c r="V101" s="39">
        <v>0</v>
      </c>
      <c r="W101" s="49">
        <v>0</v>
      </c>
      <c r="X101" s="49">
        <v>90</v>
      </c>
      <c r="Y101" s="49"/>
      <c r="Z101" s="49"/>
      <c r="AA101" s="50"/>
      <c r="AB101" s="50"/>
      <c r="AC101" s="50"/>
      <c r="AD101" s="50"/>
      <c r="AE101" s="50"/>
      <c r="AH101" s="39">
        <v>0</v>
      </c>
      <c r="AI101" s="39">
        <v>0</v>
      </c>
      <c r="AJ101" s="39">
        <v>0</v>
      </c>
      <c r="AK101" s="39">
        <v>0</v>
      </c>
      <c r="AL101" s="39">
        <v>0</v>
      </c>
      <c r="AM101" s="42">
        <v>0</v>
      </c>
      <c r="AN101" s="42">
        <v>0</v>
      </c>
      <c r="AO101" s="42" t="s">
        <v>416</v>
      </c>
      <c r="AP101" s="42">
        <v>31</v>
      </c>
      <c r="AQ101" s="42">
        <v>0</v>
      </c>
    </row>
    <row r="102" spans="1:43" x14ac:dyDescent="0.15">
      <c r="A102" s="37" t="s">
        <v>28</v>
      </c>
      <c r="B102" s="37" t="s">
        <v>12</v>
      </c>
      <c r="C102" s="37" t="s">
        <v>413</v>
      </c>
      <c r="D102" s="37" t="s">
        <v>54</v>
      </c>
      <c r="E102" s="37" t="s">
        <v>415</v>
      </c>
      <c r="F102" s="37" t="s">
        <v>6</v>
      </c>
      <c r="G102" s="37">
        <v>0</v>
      </c>
      <c r="H102" s="37">
        <v>31</v>
      </c>
      <c r="I102" s="41">
        <v>4</v>
      </c>
      <c r="J102" s="45">
        <v>4</v>
      </c>
      <c r="K102" s="45">
        <v>4</v>
      </c>
      <c r="L102" s="45"/>
      <c r="M102" s="45"/>
      <c r="N102" s="45"/>
      <c r="P102" s="39">
        <v>27</v>
      </c>
      <c r="Q102" s="39">
        <v>31</v>
      </c>
      <c r="R102" s="39">
        <v>4</v>
      </c>
      <c r="S102" s="39">
        <v>31</v>
      </c>
      <c r="T102" s="39">
        <v>0</v>
      </c>
      <c r="U102" s="39">
        <v>0</v>
      </c>
      <c r="V102" s="39">
        <v>0</v>
      </c>
      <c r="W102" s="49">
        <v>0</v>
      </c>
      <c r="X102" s="49">
        <v>90</v>
      </c>
      <c r="Y102" s="49"/>
      <c r="Z102" s="49"/>
      <c r="AA102" s="50"/>
      <c r="AB102" s="50"/>
      <c r="AC102" s="50"/>
      <c r="AD102" s="50"/>
      <c r="AE102" s="50"/>
      <c r="AH102" s="39">
        <v>0</v>
      </c>
      <c r="AI102" s="39">
        <v>0</v>
      </c>
      <c r="AJ102" s="39">
        <v>0</v>
      </c>
      <c r="AK102" s="39">
        <v>0</v>
      </c>
      <c r="AL102" s="39">
        <v>0</v>
      </c>
      <c r="AM102" s="42">
        <v>0</v>
      </c>
      <c r="AN102" s="42">
        <v>0</v>
      </c>
      <c r="AO102" s="42" t="s">
        <v>416</v>
      </c>
      <c r="AP102" s="42">
        <v>31</v>
      </c>
      <c r="AQ102" s="42">
        <v>0</v>
      </c>
    </row>
    <row r="103" spans="1:43" x14ac:dyDescent="0.15">
      <c r="A103" s="37" t="s">
        <v>53</v>
      </c>
      <c r="B103" s="37" t="s">
        <v>15</v>
      </c>
      <c r="C103" s="37" t="s">
        <v>417</v>
      </c>
      <c r="D103" s="37" t="s">
        <v>512</v>
      </c>
      <c r="E103" s="37" t="s">
        <v>415</v>
      </c>
      <c r="F103" s="37" t="s">
        <v>6</v>
      </c>
      <c r="G103" s="37">
        <v>0</v>
      </c>
      <c r="H103" s="37">
        <v>31</v>
      </c>
      <c r="I103" s="41">
        <v>4</v>
      </c>
      <c r="J103" s="45">
        <v>5</v>
      </c>
      <c r="K103" s="45">
        <v>4</v>
      </c>
      <c r="L103" s="45"/>
      <c r="M103" s="45">
        <v>1</v>
      </c>
      <c r="N103" s="45"/>
      <c r="P103" s="39">
        <v>26</v>
      </c>
      <c r="Q103" s="39">
        <v>31</v>
      </c>
      <c r="R103" s="39">
        <v>4</v>
      </c>
      <c r="S103" s="39">
        <v>31</v>
      </c>
      <c r="T103" s="39">
        <v>0</v>
      </c>
      <c r="U103" s="39">
        <v>0</v>
      </c>
      <c r="V103" s="39">
        <v>0</v>
      </c>
      <c r="W103" s="49">
        <v>0</v>
      </c>
      <c r="X103" s="49"/>
      <c r="Y103" s="49"/>
      <c r="Z103" s="49"/>
      <c r="AA103" s="50"/>
      <c r="AB103" s="50"/>
      <c r="AC103" s="50"/>
      <c r="AD103" s="50"/>
      <c r="AE103" s="50"/>
      <c r="AH103" s="39">
        <v>0</v>
      </c>
      <c r="AI103" s="39">
        <v>0</v>
      </c>
      <c r="AJ103" s="39">
        <v>0</v>
      </c>
      <c r="AK103" s="39">
        <v>0</v>
      </c>
      <c r="AL103" s="39">
        <v>0</v>
      </c>
      <c r="AM103" s="42">
        <v>0</v>
      </c>
      <c r="AN103" s="42">
        <v>0</v>
      </c>
      <c r="AO103" s="42" t="s">
        <v>416</v>
      </c>
      <c r="AP103" s="42">
        <v>31</v>
      </c>
      <c r="AQ103" s="42">
        <v>0</v>
      </c>
    </row>
    <row r="104" spans="1:43" x14ac:dyDescent="0.15">
      <c r="A104" s="37" t="s">
        <v>53</v>
      </c>
      <c r="B104" s="37" t="s">
        <v>14</v>
      </c>
      <c r="C104" s="37" t="s">
        <v>413</v>
      </c>
      <c r="D104" s="37" t="s">
        <v>513</v>
      </c>
      <c r="E104" s="37" t="s">
        <v>415</v>
      </c>
      <c r="F104" s="37" t="s">
        <v>6</v>
      </c>
      <c r="G104" s="37">
        <v>0</v>
      </c>
      <c r="H104" s="37">
        <v>31</v>
      </c>
      <c r="I104" s="41">
        <v>4</v>
      </c>
      <c r="J104" s="45">
        <v>3</v>
      </c>
      <c r="K104" s="45">
        <v>3</v>
      </c>
      <c r="L104" s="45"/>
      <c r="M104" s="45"/>
      <c r="N104" s="45"/>
      <c r="P104" s="39">
        <v>28</v>
      </c>
      <c r="Q104" s="39">
        <v>31</v>
      </c>
      <c r="R104" s="39">
        <v>4</v>
      </c>
      <c r="S104" s="39">
        <v>31</v>
      </c>
      <c r="T104" s="39">
        <v>0</v>
      </c>
      <c r="U104" s="39">
        <v>0</v>
      </c>
      <c r="V104" s="39">
        <v>0</v>
      </c>
      <c r="W104" s="49">
        <v>0</v>
      </c>
      <c r="X104" s="49">
        <v>20</v>
      </c>
      <c r="Y104" s="49"/>
      <c r="Z104" s="49"/>
      <c r="AA104" s="50"/>
      <c r="AB104" s="50"/>
      <c r="AC104" s="50"/>
      <c r="AD104" s="50"/>
      <c r="AE104" s="50"/>
      <c r="AH104" s="39">
        <v>0</v>
      </c>
      <c r="AI104" s="39">
        <v>0</v>
      </c>
      <c r="AJ104" s="39">
        <v>0</v>
      </c>
      <c r="AK104" s="39">
        <v>0</v>
      </c>
      <c r="AL104" s="39">
        <v>0</v>
      </c>
      <c r="AM104" s="42">
        <v>0</v>
      </c>
      <c r="AN104" s="42">
        <v>0</v>
      </c>
      <c r="AO104" s="42" t="s">
        <v>416</v>
      </c>
      <c r="AP104" s="42">
        <v>31</v>
      </c>
      <c r="AQ104" s="42">
        <v>0</v>
      </c>
    </row>
    <row r="105" spans="1:43" x14ac:dyDescent="0.15">
      <c r="A105" s="37" t="s">
        <v>53</v>
      </c>
      <c r="B105" s="37" t="s">
        <v>419</v>
      </c>
      <c r="C105" s="37" t="s">
        <v>417</v>
      </c>
      <c r="D105" s="37" t="s">
        <v>514</v>
      </c>
      <c r="E105" s="37" t="s">
        <v>415</v>
      </c>
      <c r="F105" s="37" t="s">
        <v>6</v>
      </c>
      <c r="G105" s="37">
        <v>0</v>
      </c>
      <c r="H105" s="37">
        <v>31</v>
      </c>
      <c r="I105" s="41">
        <v>4</v>
      </c>
      <c r="J105" s="45">
        <v>4</v>
      </c>
      <c r="K105" s="45">
        <v>4</v>
      </c>
      <c r="L105" s="45"/>
      <c r="M105" s="45"/>
      <c r="N105" s="45"/>
      <c r="P105" s="39">
        <v>27</v>
      </c>
      <c r="Q105" s="39">
        <v>31</v>
      </c>
      <c r="R105" s="39">
        <v>4</v>
      </c>
      <c r="S105" s="39">
        <v>31</v>
      </c>
      <c r="T105" s="39">
        <v>0</v>
      </c>
      <c r="U105" s="39">
        <v>0</v>
      </c>
      <c r="V105" s="39">
        <v>0</v>
      </c>
      <c r="W105" s="49">
        <v>0</v>
      </c>
      <c r="X105" s="49"/>
      <c r="Y105" s="49"/>
      <c r="Z105" s="49">
        <v>50</v>
      </c>
      <c r="AA105" s="50"/>
      <c r="AB105" s="50"/>
      <c r="AC105" s="50"/>
      <c r="AD105" s="50"/>
      <c r="AE105" s="50"/>
      <c r="AH105" s="39">
        <v>0</v>
      </c>
      <c r="AI105" s="39">
        <v>0</v>
      </c>
      <c r="AJ105" s="39">
        <v>0</v>
      </c>
      <c r="AK105" s="39">
        <v>0</v>
      </c>
      <c r="AL105" s="39">
        <v>0</v>
      </c>
      <c r="AM105" s="42">
        <v>0</v>
      </c>
      <c r="AN105" s="42">
        <v>0</v>
      </c>
      <c r="AO105" s="42" t="s">
        <v>416</v>
      </c>
      <c r="AP105" s="42">
        <v>31</v>
      </c>
      <c r="AQ105" s="42">
        <v>0</v>
      </c>
    </row>
    <row r="106" spans="1:43" x14ac:dyDescent="0.15">
      <c r="A106" s="37" t="s">
        <v>53</v>
      </c>
      <c r="B106" s="37" t="s">
        <v>419</v>
      </c>
      <c r="C106" s="37" t="s">
        <v>417</v>
      </c>
      <c r="D106" s="37" t="s">
        <v>515</v>
      </c>
      <c r="E106" s="37" t="s">
        <v>415</v>
      </c>
      <c r="F106" s="37" t="s">
        <v>6</v>
      </c>
      <c r="G106" s="37">
        <v>0</v>
      </c>
      <c r="H106" s="37">
        <v>31</v>
      </c>
      <c r="I106" s="41">
        <v>4</v>
      </c>
      <c r="J106" s="45">
        <v>5</v>
      </c>
      <c r="K106" s="45">
        <v>4</v>
      </c>
      <c r="L106" s="45"/>
      <c r="M106" s="45">
        <v>1</v>
      </c>
      <c r="N106" s="45"/>
      <c r="P106" s="39">
        <v>26</v>
      </c>
      <c r="Q106" s="39">
        <v>31</v>
      </c>
      <c r="R106" s="39">
        <v>4</v>
      </c>
      <c r="S106" s="39">
        <v>31</v>
      </c>
      <c r="T106" s="39">
        <v>0</v>
      </c>
      <c r="U106" s="39">
        <v>0</v>
      </c>
      <c r="V106" s="39">
        <v>0</v>
      </c>
      <c r="W106" s="49">
        <v>0</v>
      </c>
      <c r="X106" s="49"/>
      <c r="Y106" s="49"/>
      <c r="Z106" s="49"/>
      <c r="AA106" s="50"/>
      <c r="AB106" s="50"/>
      <c r="AC106" s="50"/>
      <c r="AD106" s="50"/>
      <c r="AE106" s="50"/>
      <c r="AH106" s="39">
        <v>0</v>
      </c>
      <c r="AI106" s="39">
        <v>0</v>
      </c>
      <c r="AJ106" s="39">
        <v>0</v>
      </c>
      <c r="AK106" s="39">
        <v>0</v>
      </c>
      <c r="AL106" s="39">
        <v>0</v>
      </c>
      <c r="AM106" s="42">
        <v>0</v>
      </c>
      <c r="AN106" s="42">
        <v>0</v>
      </c>
      <c r="AO106" s="42" t="s">
        <v>416</v>
      </c>
      <c r="AP106" s="42">
        <v>31</v>
      </c>
      <c r="AQ106" s="42">
        <v>0</v>
      </c>
    </row>
    <row r="107" spans="1:43" x14ac:dyDescent="0.15">
      <c r="A107" s="37" t="s">
        <v>53</v>
      </c>
      <c r="B107" s="37" t="s">
        <v>419</v>
      </c>
      <c r="C107" s="37" t="s">
        <v>417</v>
      </c>
      <c r="D107" s="37" t="s">
        <v>516</v>
      </c>
      <c r="E107" s="37" t="s">
        <v>415</v>
      </c>
      <c r="F107" s="37" t="s">
        <v>6</v>
      </c>
      <c r="G107" s="37">
        <v>0</v>
      </c>
      <c r="H107" s="37">
        <v>31</v>
      </c>
      <c r="I107" s="41">
        <v>4</v>
      </c>
      <c r="J107" s="45">
        <v>5</v>
      </c>
      <c r="K107" s="45">
        <v>4</v>
      </c>
      <c r="L107" s="45"/>
      <c r="M107" s="45">
        <v>1</v>
      </c>
      <c r="N107" s="45"/>
      <c r="P107" s="39">
        <v>26</v>
      </c>
      <c r="Q107" s="39">
        <v>31</v>
      </c>
      <c r="R107" s="39">
        <v>4</v>
      </c>
      <c r="S107" s="39">
        <v>31</v>
      </c>
      <c r="T107" s="39">
        <v>0</v>
      </c>
      <c r="U107" s="39">
        <v>0</v>
      </c>
      <c r="V107" s="39">
        <v>0</v>
      </c>
      <c r="W107" s="49">
        <v>0</v>
      </c>
      <c r="X107" s="49"/>
      <c r="Y107" s="49"/>
      <c r="Z107" s="49"/>
      <c r="AA107" s="50"/>
      <c r="AB107" s="50"/>
      <c r="AC107" s="50"/>
      <c r="AD107" s="50"/>
      <c r="AE107" s="50"/>
      <c r="AH107" s="39">
        <v>0</v>
      </c>
      <c r="AI107" s="39">
        <v>0</v>
      </c>
      <c r="AJ107" s="39">
        <v>0</v>
      </c>
      <c r="AK107" s="39">
        <v>0</v>
      </c>
      <c r="AL107" s="39">
        <v>0</v>
      </c>
      <c r="AM107" s="42">
        <v>0</v>
      </c>
      <c r="AN107" s="42">
        <v>0</v>
      </c>
      <c r="AO107" s="42" t="s">
        <v>416</v>
      </c>
      <c r="AP107" s="42">
        <v>31</v>
      </c>
      <c r="AQ107" s="42">
        <v>0</v>
      </c>
    </row>
    <row r="108" spans="1:43" x14ac:dyDescent="0.15">
      <c r="A108" s="37" t="s">
        <v>53</v>
      </c>
      <c r="B108" s="37" t="s">
        <v>419</v>
      </c>
      <c r="C108" s="37" t="s">
        <v>417</v>
      </c>
      <c r="D108" s="37" t="s">
        <v>517</v>
      </c>
      <c r="E108" s="37" t="s">
        <v>415</v>
      </c>
      <c r="F108" s="37" t="s">
        <v>6</v>
      </c>
      <c r="G108" s="37">
        <v>0</v>
      </c>
      <c r="H108" s="37">
        <v>31</v>
      </c>
      <c r="I108" s="41">
        <v>4</v>
      </c>
      <c r="J108" s="45">
        <v>5</v>
      </c>
      <c r="K108" s="45">
        <v>4</v>
      </c>
      <c r="L108" s="45"/>
      <c r="M108" s="45">
        <v>1</v>
      </c>
      <c r="N108" s="45"/>
      <c r="P108" s="39">
        <v>26</v>
      </c>
      <c r="Q108" s="39">
        <v>31</v>
      </c>
      <c r="R108" s="39">
        <v>4</v>
      </c>
      <c r="S108" s="39">
        <v>31</v>
      </c>
      <c r="T108" s="39">
        <v>0</v>
      </c>
      <c r="U108" s="39">
        <v>0</v>
      </c>
      <c r="V108" s="39">
        <v>0</v>
      </c>
      <c r="W108" s="49">
        <v>0</v>
      </c>
      <c r="X108" s="49"/>
      <c r="Y108" s="49"/>
      <c r="Z108" s="49"/>
      <c r="AA108" s="50"/>
      <c r="AB108" s="50"/>
      <c r="AC108" s="50"/>
      <c r="AD108" s="50"/>
      <c r="AE108" s="50"/>
      <c r="AH108" s="39">
        <v>0</v>
      </c>
      <c r="AI108" s="39">
        <v>0</v>
      </c>
      <c r="AJ108" s="39">
        <v>0</v>
      </c>
      <c r="AK108" s="39">
        <v>0</v>
      </c>
      <c r="AL108" s="39">
        <v>0</v>
      </c>
      <c r="AM108" s="42">
        <v>0</v>
      </c>
      <c r="AN108" s="42">
        <v>0</v>
      </c>
      <c r="AO108" s="42" t="s">
        <v>416</v>
      </c>
      <c r="AP108" s="42">
        <v>31</v>
      </c>
      <c r="AQ108" s="42">
        <v>0</v>
      </c>
    </row>
    <row r="109" spans="1:43" x14ac:dyDescent="0.15">
      <c r="A109" s="37" t="s">
        <v>53</v>
      </c>
      <c r="B109" s="37" t="s">
        <v>419</v>
      </c>
      <c r="C109" s="37" t="s">
        <v>417</v>
      </c>
      <c r="D109" s="37" t="s">
        <v>518</v>
      </c>
      <c r="E109" s="37" t="s">
        <v>80</v>
      </c>
      <c r="F109" s="37" t="s">
        <v>6</v>
      </c>
      <c r="G109" s="37">
        <v>0</v>
      </c>
      <c r="H109" s="37">
        <v>31</v>
      </c>
      <c r="I109" s="41">
        <v>4</v>
      </c>
      <c r="J109" s="45">
        <v>4</v>
      </c>
      <c r="K109" s="45">
        <v>4</v>
      </c>
      <c r="L109" s="45"/>
      <c r="M109" s="45"/>
      <c r="N109" s="45"/>
      <c r="P109" s="39">
        <v>27</v>
      </c>
      <c r="Q109" s="39">
        <v>31</v>
      </c>
      <c r="R109" s="39">
        <v>4</v>
      </c>
      <c r="S109" s="39">
        <v>31</v>
      </c>
      <c r="T109" s="39">
        <v>0</v>
      </c>
      <c r="U109" s="39">
        <v>0</v>
      </c>
      <c r="V109" s="39">
        <v>0</v>
      </c>
      <c r="W109" s="49">
        <v>0</v>
      </c>
      <c r="X109" s="49"/>
      <c r="Y109" s="49"/>
      <c r="Z109" s="49"/>
      <c r="AA109" s="50"/>
      <c r="AB109" s="50">
        <v>900</v>
      </c>
      <c r="AC109" s="50"/>
      <c r="AD109" s="50"/>
      <c r="AE109" s="50">
        <v>300</v>
      </c>
      <c r="AH109" s="39">
        <v>0</v>
      </c>
      <c r="AI109" s="39">
        <v>0</v>
      </c>
      <c r="AJ109" s="39">
        <v>0</v>
      </c>
      <c r="AK109" s="39">
        <v>0</v>
      </c>
      <c r="AL109" s="39">
        <v>0</v>
      </c>
      <c r="AM109" s="42">
        <v>0</v>
      </c>
      <c r="AN109" s="42">
        <v>0</v>
      </c>
      <c r="AO109" s="42" t="s">
        <v>416</v>
      </c>
      <c r="AP109" s="42">
        <v>31</v>
      </c>
      <c r="AQ109" s="42">
        <v>0</v>
      </c>
    </row>
    <row r="110" spans="1:43" x14ac:dyDescent="0.15">
      <c r="A110" s="37" t="s">
        <v>22</v>
      </c>
      <c r="B110" s="37" t="s">
        <v>13</v>
      </c>
      <c r="C110" s="37" t="s">
        <v>413</v>
      </c>
      <c r="D110" s="37" t="s">
        <v>44</v>
      </c>
      <c r="E110" s="37" t="s">
        <v>415</v>
      </c>
      <c r="F110" s="37" t="s">
        <v>6</v>
      </c>
      <c r="G110" s="37">
        <v>0</v>
      </c>
      <c r="H110" s="37">
        <v>31</v>
      </c>
      <c r="I110" s="41">
        <v>4</v>
      </c>
      <c r="J110" s="45">
        <v>5</v>
      </c>
      <c r="K110" s="45">
        <v>4</v>
      </c>
      <c r="L110" s="45"/>
      <c r="M110" s="45">
        <v>1</v>
      </c>
      <c r="N110" s="45"/>
      <c r="P110" s="39">
        <v>26</v>
      </c>
      <c r="Q110" s="39">
        <v>31</v>
      </c>
      <c r="R110" s="39">
        <v>4</v>
      </c>
      <c r="S110" s="39">
        <v>31</v>
      </c>
      <c r="T110" s="39">
        <v>0</v>
      </c>
      <c r="U110" s="39">
        <v>0</v>
      </c>
      <c r="V110" s="39">
        <v>0</v>
      </c>
      <c r="W110" s="49">
        <v>0</v>
      </c>
      <c r="X110" s="49">
        <v>180</v>
      </c>
      <c r="Y110" s="49">
        <v>10</v>
      </c>
      <c r="Z110" s="49"/>
      <c r="AA110" s="50"/>
      <c r="AB110" s="50"/>
      <c r="AC110" s="50"/>
      <c r="AD110" s="50"/>
      <c r="AE110" s="50"/>
      <c r="AH110" s="39">
        <v>0</v>
      </c>
      <c r="AI110" s="39">
        <v>0</v>
      </c>
      <c r="AJ110" s="39">
        <v>0</v>
      </c>
      <c r="AK110" s="39">
        <v>0</v>
      </c>
      <c r="AL110" s="39">
        <v>0</v>
      </c>
      <c r="AM110" s="42">
        <v>0</v>
      </c>
      <c r="AN110" s="42">
        <v>0</v>
      </c>
      <c r="AO110" s="42" t="s">
        <v>416</v>
      </c>
      <c r="AP110" s="42">
        <v>31</v>
      </c>
      <c r="AQ110" s="42">
        <v>0</v>
      </c>
    </row>
    <row r="111" spans="1:43" x14ac:dyDescent="0.15">
      <c r="A111" s="37" t="s">
        <v>43</v>
      </c>
      <c r="B111" s="37" t="s">
        <v>14</v>
      </c>
      <c r="C111" s="37" t="s">
        <v>413</v>
      </c>
      <c r="D111" s="37" t="s">
        <v>519</v>
      </c>
      <c r="E111" s="37" t="s">
        <v>415</v>
      </c>
      <c r="F111" s="37" t="s">
        <v>6</v>
      </c>
      <c r="G111" s="37">
        <v>0</v>
      </c>
      <c r="H111" s="37">
        <v>31</v>
      </c>
      <c r="I111" s="41">
        <v>4</v>
      </c>
      <c r="J111" s="45">
        <v>4</v>
      </c>
      <c r="K111" s="45">
        <v>4</v>
      </c>
      <c r="L111" s="45"/>
      <c r="M111" s="45"/>
      <c r="N111" s="45"/>
      <c r="P111" s="39">
        <v>27</v>
      </c>
      <c r="Q111" s="39">
        <v>31</v>
      </c>
      <c r="R111" s="39">
        <v>4</v>
      </c>
      <c r="S111" s="39">
        <v>31</v>
      </c>
      <c r="T111" s="39">
        <v>0</v>
      </c>
      <c r="U111" s="39">
        <v>0</v>
      </c>
      <c r="V111" s="39">
        <v>0</v>
      </c>
      <c r="W111" s="49">
        <v>0</v>
      </c>
      <c r="X111" s="49"/>
      <c r="Y111" s="49"/>
      <c r="Z111" s="49"/>
      <c r="AA111" s="50"/>
      <c r="AB111" s="50"/>
      <c r="AC111" s="50"/>
      <c r="AD111" s="50"/>
      <c r="AE111" s="50"/>
      <c r="AH111" s="39">
        <v>0</v>
      </c>
      <c r="AI111" s="39">
        <v>0</v>
      </c>
      <c r="AJ111" s="39">
        <v>0</v>
      </c>
      <c r="AK111" s="39">
        <v>0</v>
      </c>
      <c r="AL111" s="39">
        <v>0</v>
      </c>
      <c r="AM111" s="42">
        <v>0</v>
      </c>
      <c r="AN111" s="42">
        <v>0</v>
      </c>
      <c r="AO111" s="42" t="s">
        <v>416</v>
      </c>
      <c r="AP111" s="42">
        <v>31</v>
      </c>
      <c r="AQ111" s="42">
        <v>0</v>
      </c>
    </row>
    <row r="112" spans="1:43" x14ac:dyDescent="0.15">
      <c r="A112" s="37" t="s">
        <v>43</v>
      </c>
      <c r="B112" s="37" t="s">
        <v>419</v>
      </c>
      <c r="C112" s="37" t="s">
        <v>417</v>
      </c>
      <c r="D112" s="37" t="s">
        <v>520</v>
      </c>
      <c r="E112" s="37" t="s">
        <v>415</v>
      </c>
      <c r="F112" s="37" t="s">
        <v>6</v>
      </c>
      <c r="G112" s="37">
        <v>0</v>
      </c>
      <c r="H112" s="37">
        <v>31</v>
      </c>
      <c r="I112" s="41">
        <v>4</v>
      </c>
      <c r="J112" s="45">
        <v>4</v>
      </c>
      <c r="K112" s="45">
        <v>4</v>
      </c>
      <c r="L112" s="45"/>
      <c r="M112" s="45"/>
      <c r="N112" s="45"/>
      <c r="P112" s="39">
        <v>27</v>
      </c>
      <c r="Q112" s="39">
        <v>31</v>
      </c>
      <c r="R112" s="39">
        <v>4</v>
      </c>
      <c r="S112" s="39">
        <v>31</v>
      </c>
      <c r="T112" s="39">
        <v>0</v>
      </c>
      <c r="U112" s="39">
        <v>0</v>
      </c>
      <c r="V112" s="39">
        <v>0</v>
      </c>
      <c r="W112" s="49">
        <v>0</v>
      </c>
      <c r="X112" s="49"/>
      <c r="Y112" s="49"/>
      <c r="Z112" s="49"/>
      <c r="AA112" s="50"/>
      <c r="AB112" s="50"/>
      <c r="AC112" s="50">
        <v>100</v>
      </c>
      <c r="AD112" s="50"/>
      <c r="AE112" s="50"/>
      <c r="AH112" s="39">
        <v>0</v>
      </c>
      <c r="AI112" s="39">
        <v>0</v>
      </c>
      <c r="AJ112" s="39">
        <v>0</v>
      </c>
      <c r="AK112" s="39">
        <v>0</v>
      </c>
      <c r="AL112" s="39">
        <v>0</v>
      </c>
      <c r="AM112" s="42">
        <v>0</v>
      </c>
      <c r="AN112" s="42">
        <v>0</v>
      </c>
      <c r="AO112" s="42" t="s">
        <v>416</v>
      </c>
      <c r="AP112" s="42">
        <v>31</v>
      </c>
      <c r="AQ112" s="42">
        <v>0</v>
      </c>
    </row>
    <row r="113" spans="1:43" x14ac:dyDescent="0.15">
      <c r="A113" s="37" t="s">
        <v>43</v>
      </c>
      <c r="B113" s="37" t="s">
        <v>419</v>
      </c>
      <c r="C113" s="37" t="s">
        <v>417</v>
      </c>
      <c r="D113" s="37" t="s">
        <v>521</v>
      </c>
      <c r="E113" s="37" t="s">
        <v>415</v>
      </c>
      <c r="F113" s="37" t="s">
        <v>6</v>
      </c>
      <c r="G113" s="37">
        <v>0</v>
      </c>
      <c r="H113" s="37">
        <v>31</v>
      </c>
      <c r="I113" s="41">
        <v>4</v>
      </c>
      <c r="J113" s="45">
        <v>4</v>
      </c>
      <c r="K113" s="45">
        <v>4</v>
      </c>
      <c r="L113" s="45"/>
      <c r="M113" s="45"/>
      <c r="N113" s="45"/>
      <c r="P113" s="39">
        <v>27</v>
      </c>
      <c r="Q113" s="39">
        <v>31</v>
      </c>
      <c r="R113" s="39">
        <v>4</v>
      </c>
      <c r="S113" s="39">
        <v>31</v>
      </c>
      <c r="T113" s="39">
        <v>0</v>
      </c>
      <c r="U113" s="39">
        <v>0</v>
      </c>
      <c r="V113" s="39">
        <v>0</v>
      </c>
      <c r="W113" s="49">
        <v>0</v>
      </c>
      <c r="X113" s="49">
        <v>20</v>
      </c>
      <c r="Y113" s="49"/>
      <c r="Z113" s="49"/>
      <c r="AA113" s="50"/>
      <c r="AB113" s="50"/>
      <c r="AC113" s="50">
        <v>100</v>
      </c>
      <c r="AD113" s="50"/>
      <c r="AE113" s="50">
        <v>300</v>
      </c>
      <c r="AH113" s="39">
        <v>0</v>
      </c>
      <c r="AI113" s="39">
        <v>0</v>
      </c>
      <c r="AJ113" s="39">
        <v>0</v>
      </c>
      <c r="AK113" s="39">
        <v>0</v>
      </c>
      <c r="AL113" s="39">
        <v>0</v>
      </c>
      <c r="AM113" s="42">
        <v>0</v>
      </c>
      <c r="AN113" s="42">
        <v>0</v>
      </c>
      <c r="AO113" s="42" t="s">
        <v>416</v>
      </c>
      <c r="AP113" s="42">
        <v>31</v>
      </c>
      <c r="AQ113" s="42">
        <v>0</v>
      </c>
    </row>
    <row r="114" spans="1:43" x14ac:dyDescent="0.15">
      <c r="A114" s="37" t="s">
        <v>43</v>
      </c>
      <c r="B114" s="37" t="s">
        <v>419</v>
      </c>
      <c r="C114" s="37" t="s">
        <v>417</v>
      </c>
      <c r="D114" s="37" t="s">
        <v>522</v>
      </c>
      <c r="E114" s="37" t="s">
        <v>415</v>
      </c>
      <c r="F114" s="37" t="s">
        <v>6</v>
      </c>
      <c r="G114" s="37">
        <v>0</v>
      </c>
      <c r="H114" s="37">
        <v>31</v>
      </c>
      <c r="I114" s="41">
        <v>4</v>
      </c>
      <c r="J114" s="45">
        <v>4</v>
      </c>
      <c r="K114" s="45">
        <v>4</v>
      </c>
      <c r="L114" s="45"/>
      <c r="M114" s="45"/>
      <c r="N114" s="45"/>
      <c r="P114" s="39">
        <v>27</v>
      </c>
      <c r="Q114" s="39">
        <v>31</v>
      </c>
      <c r="R114" s="39">
        <v>4</v>
      </c>
      <c r="S114" s="39">
        <v>31</v>
      </c>
      <c r="T114" s="39">
        <v>0</v>
      </c>
      <c r="U114" s="39">
        <v>0</v>
      </c>
      <c r="V114" s="39">
        <v>0</v>
      </c>
      <c r="W114" s="49">
        <v>0</v>
      </c>
      <c r="X114" s="49"/>
      <c r="Y114" s="49"/>
      <c r="Z114" s="49">
        <v>50</v>
      </c>
      <c r="AA114" s="50"/>
      <c r="AB114" s="50"/>
      <c r="AC114" s="50"/>
      <c r="AD114" s="50"/>
      <c r="AE114" s="50"/>
      <c r="AH114" s="39">
        <v>0</v>
      </c>
      <c r="AI114" s="39">
        <v>0</v>
      </c>
      <c r="AJ114" s="39">
        <v>0</v>
      </c>
      <c r="AK114" s="39">
        <v>0</v>
      </c>
      <c r="AL114" s="39">
        <v>0</v>
      </c>
      <c r="AM114" s="42">
        <v>0</v>
      </c>
      <c r="AN114" s="42">
        <v>0</v>
      </c>
      <c r="AO114" s="42" t="s">
        <v>416</v>
      </c>
      <c r="AP114" s="42">
        <v>31</v>
      </c>
      <c r="AQ114" s="42">
        <v>0</v>
      </c>
    </row>
    <row r="115" spans="1:43" x14ac:dyDescent="0.15">
      <c r="A115" s="37" t="s">
        <v>43</v>
      </c>
      <c r="B115" s="37" t="s">
        <v>419</v>
      </c>
      <c r="C115" s="37" t="s">
        <v>417</v>
      </c>
      <c r="D115" s="37" t="s">
        <v>523</v>
      </c>
      <c r="E115" s="37" t="s">
        <v>415</v>
      </c>
      <c r="F115" s="37" t="s">
        <v>6</v>
      </c>
      <c r="G115" s="37">
        <v>0</v>
      </c>
      <c r="H115" s="37">
        <v>31</v>
      </c>
      <c r="I115" s="41">
        <v>4</v>
      </c>
      <c r="J115" s="45">
        <v>4</v>
      </c>
      <c r="K115" s="45">
        <v>4</v>
      </c>
      <c r="L115" s="45"/>
      <c r="M115" s="45"/>
      <c r="N115" s="45"/>
      <c r="P115" s="39">
        <v>27</v>
      </c>
      <c r="Q115" s="39">
        <v>31</v>
      </c>
      <c r="R115" s="39">
        <v>4</v>
      </c>
      <c r="S115" s="39">
        <v>31</v>
      </c>
      <c r="T115" s="39">
        <v>0</v>
      </c>
      <c r="U115" s="39">
        <v>0</v>
      </c>
      <c r="V115" s="39">
        <v>0</v>
      </c>
      <c r="W115" s="49">
        <v>0</v>
      </c>
      <c r="X115" s="49">
        <v>20</v>
      </c>
      <c r="Y115" s="49"/>
      <c r="Z115" s="49"/>
      <c r="AA115" s="50"/>
      <c r="AB115" s="50"/>
      <c r="AC115" s="50">
        <v>100</v>
      </c>
      <c r="AD115" s="50"/>
      <c r="AE115" s="50"/>
      <c r="AH115" s="39">
        <v>0</v>
      </c>
      <c r="AI115" s="39">
        <v>0</v>
      </c>
      <c r="AJ115" s="39">
        <v>0</v>
      </c>
      <c r="AK115" s="39">
        <v>0</v>
      </c>
      <c r="AL115" s="39">
        <v>0</v>
      </c>
      <c r="AM115" s="42">
        <v>0</v>
      </c>
      <c r="AN115" s="42">
        <v>0</v>
      </c>
      <c r="AO115" s="42" t="s">
        <v>416</v>
      </c>
      <c r="AP115" s="42">
        <v>31</v>
      </c>
      <c r="AQ115" s="42">
        <v>0</v>
      </c>
    </row>
    <row r="116" spans="1:43" x14ac:dyDescent="0.15">
      <c r="A116" s="37" t="s">
        <v>43</v>
      </c>
      <c r="B116" s="37" t="s">
        <v>15</v>
      </c>
      <c r="C116" s="37" t="s">
        <v>417</v>
      </c>
      <c r="D116" s="37" t="s">
        <v>524</v>
      </c>
      <c r="E116" s="37" t="s">
        <v>80</v>
      </c>
      <c r="F116" s="37" t="s">
        <v>6</v>
      </c>
      <c r="G116" s="37">
        <v>0</v>
      </c>
      <c r="H116" s="37">
        <v>15</v>
      </c>
      <c r="I116" s="41">
        <v>2</v>
      </c>
      <c r="J116" s="45">
        <v>2</v>
      </c>
      <c r="K116" s="45">
        <v>2</v>
      </c>
      <c r="L116" s="45"/>
      <c r="M116" s="45"/>
      <c r="N116" s="45"/>
      <c r="P116" s="39">
        <v>13</v>
      </c>
      <c r="Q116" s="39">
        <v>15</v>
      </c>
      <c r="R116" s="39">
        <v>2</v>
      </c>
      <c r="S116" s="39">
        <v>15</v>
      </c>
      <c r="T116" s="39">
        <v>0</v>
      </c>
      <c r="U116" s="39">
        <v>0</v>
      </c>
      <c r="V116" s="39">
        <v>0</v>
      </c>
      <c r="W116" s="49">
        <v>0</v>
      </c>
      <c r="X116" s="49">
        <v>10</v>
      </c>
      <c r="Y116" s="49"/>
      <c r="Z116" s="49"/>
      <c r="AA116" s="50"/>
      <c r="AB116" s="50"/>
      <c r="AC116" s="50"/>
      <c r="AD116" s="50"/>
      <c r="AE116" s="50"/>
      <c r="AH116" s="39">
        <v>0</v>
      </c>
      <c r="AI116" s="39">
        <v>0</v>
      </c>
      <c r="AJ116" s="39">
        <v>0</v>
      </c>
      <c r="AK116" s="39">
        <v>0</v>
      </c>
      <c r="AL116" s="39">
        <v>0</v>
      </c>
      <c r="AM116" s="42">
        <v>0</v>
      </c>
      <c r="AN116" s="42">
        <v>0</v>
      </c>
      <c r="AO116" s="42" t="s">
        <v>416</v>
      </c>
      <c r="AP116" s="42">
        <v>15</v>
      </c>
      <c r="AQ116" s="42">
        <v>0</v>
      </c>
    </row>
    <row r="117" spans="1:43" x14ac:dyDescent="0.15">
      <c r="A117" s="37" t="s">
        <v>43</v>
      </c>
      <c r="B117" s="37" t="s">
        <v>419</v>
      </c>
      <c r="C117" s="37" t="s">
        <v>417</v>
      </c>
      <c r="D117" s="37" t="s">
        <v>525</v>
      </c>
      <c r="E117" s="37" t="s">
        <v>415</v>
      </c>
      <c r="F117" s="37" t="s">
        <v>6</v>
      </c>
      <c r="G117" s="37">
        <v>0</v>
      </c>
      <c r="H117" s="37">
        <v>31</v>
      </c>
      <c r="I117" s="41">
        <v>4</v>
      </c>
      <c r="J117" s="45">
        <v>4</v>
      </c>
      <c r="K117" s="45">
        <v>4</v>
      </c>
      <c r="L117" s="45"/>
      <c r="M117" s="45"/>
      <c r="N117" s="45"/>
      <c r="P117" s="39">
        <v>27</v>
      </c>
      <c r="Q117" s="39">
        <v>31</v>
      </c>
      <c r="R117" s="39">
        <v>4</v>
      </c>
      <c r="S117" s="39">
        <v>31</v>
      </c>
      <c r="T117" s="39">
        <v>0</v>
      </c>
      <c r="U117" s="39">
        <v>0</v>
      </c>
      <c r="V117" s="39">
        <v>0</v>
      </c>
      <c r="W117" s="49">
        <v>0</v>
      </c>
      <c r="X117" s="49">
        <v>10</v>
      </c>
      <c r="Y117" s="49">
        <v>20</v>
      </c>
      <c r="Z117" s="49"/>
      <c r="AA117" s="50"/>
      <c r="AB117" s="50"/>
      <c r="AC117" s="50"/>
      <c r="AD117" s="50"/>
      <c r="AE117" s="50"/>
      <c r="AH117" s="39">
        <v>4000</v>
      </c>
      <c r="AI117" s="39">
        <v>0</v>
      </c>
      <c r="AJ117" s="39">
        <v>0</v>
      </c>
      <c r="AK117" s="39">
        <v>0</v>
      </c>
      <c r="AL117" s="39">
        <v>0</v>
      </c>
      <c r="AM117" s="42">
        <v>0</v>
      </c>
      <c r="AN117" s="42">
        <v>0</v>
      </c>
      <c r="AO117" s="42" t="s">
        <v>416</v>
      </c>
      <c r="AP117" s="42">
        <v>31</v>
      </c>
      <c r="AQ117" s="42">
        <v>0</v>
      </c>
    </row>
    <row r="118" spans="1:43" x14ac:dyDescent="0.15">
      <c r="A118" s="37" t="s">
        <v>33</v>
      </c>
      <c r="B118" s="37" t="s">
        <v>419</v>
      </c>
      <c r="C118" s="37" t="s">
        <v>417</v>
      </c>
      <c r="D118" s="37" t="s">
        <v>526</v>
      </c>
      <c r="E118" s="37" t="s">
        <v>415</v>
      </c>
      <c r="F118" s="37" t="s">
        <v>6</v>
      </c>
      <c r="G118" s="37">
        <v>0</v>
      </c>
      <c r="H118" s="37">
        <v>31</v>
      </c>
      <c r="I118" s="41">
        <v>4</v>
      </c>
      <c r="J118" s="45">
        <v>5</v>
      </c>
      <c r="K118" s="45">
        <v>4</v>
      </c>
      <c r="L118" s="45"/>
      <c r="M118" s="45">
        <v>1</v>
      </c>
      <c r="N118" s="45"/>
      <c r="P118" s="39">
        <v>26</v>
      </c>
      <c r="Q118" s="39">
        <v>31</v>
      </c>
      <c r="R118" s="39">
        <v>4</v>
      </c>
      <c r="S118" s="39">
        <v>31</v>
      </c>
      <c r="T118" s="39">
        <v>0</v>
      </c>
      <c r="U118" s="39">
        <v>0</v>
      </c>
      <c r="V118" s="39">
        <v>0</v>
      </c>
      <c r="W118" s="49">
        <v>0</v>
      </c>
      <c r="X118" s="49"/>
      <c r="Y118" s="49"/>
      <c r="Z118" s="49"/>
      <c r="AA118" s="50"/>
      <c r="AB118" s="50"/>
      <c r="AC118" s="50"/>
      <c r="AD118" s="50"/>
      <c r="AE118" s="50"/>
      <c r="AH118" s="39">
        <v>0</v>
      </c>
      <c r="AI118" s="39">
        <v>0</v>
      </c>
      <c r="AJ118" s="39">
        <v>0</v>
      </c>
      <c r="AK118" s="39">
        <v>0</v>
      </c>
      <c r="AL118" s="39">
        <v>0</v>
      </c>
      <c r="AM118" s="42">
        <v>0</v>
      </c>
      <c r="AN118" s="42">
        <v>0</v>
      </c>
      <c r="AO118" s="42" t="s">
        <v>416</v>
      </c>
      <c r="AP118" s="42">
        <v>31</v>
      </c>
      <c r="AQ118" s="42">
        <v>0</v>
      </c>
    </row>
    <row r="119" spans="1:43" x14ac:dyDescent="0.15">
      <c r="A119" s="37" t="s">
        <v>33</v>
      </c>
      <c r="B119" s="37" t="s">
        <v>15</v>
      </c>
      <c r="C119" s="37" t="s">
        <v>417</v>
      </c>
      <c r="D119" s="37" t="s">
        <v>527</v>
      </c>
      <c r="E119" s="37" t="s">
        <v>415</v>
      </c>
      <c r="F119" s="37" t="s">
        <v>6</v>
      </c>
      <c r="G119" s="37">
        <v>0</v>
      </c>
      <c r="H119" s="37">
        <v>31</v>
      </c>
      <c r="I119" s="41">
        <v>4</v>
      </c>
      <c r="J119" s="45">
        <v>4</v>
      </c>
      <c r="K119" s="45">
        <v>4</v>
      </c>
      <c r="L119" s="45"/>
      <c r="M119" s="45"/>
      <c r="N119" s="45"/>
      <c r="P119" s="39">
        <v>27</v>
      </c>
      <c r="Q119" s="39">
        <v>31</v>
      </c>
      <c r="R119" s="39">
        <v>4</v>
      </c>
      <c r="S119" s="39">
        <v>31</v>
      </c>
      <c r="T119" s="39">
        <v>0</v>
      </c>
      <c r="U119" s="39">
        <v>0</v>
      </c>
      <c r="V119" s="39">
        <v>0</v>
      </c>
      <c r="W119" s="49">
        <v>0</v>
      </c>
      <c r="X119" s="49"/>
      <c r="Y119" s="49"/>
      <c r="Z119" s="49"/>
      <c r="AA119" s="50"/>
      <c r="AB119" s="50"/>
      <c r="AC119" s="50"/>
      <c r="AD119" s="50"/>
      <c r="AE119" s="50"/>
      <c r="AH119" s="39">
        <v>0</v>
      </c>
      <c r="AI119" s="39">
        <v>0</v>
      </c>
      <c r="AJ119" s="39">
        <v>0</v>
      </c>
      <c r="AK119" s="39">
        <v>0</v>
      </c>
      <c r="AL119" s="39">
        <v>0</v>
      </c>
      <c r="AM119" s="42">
        <v>0</v>
      </c>
      <c r="AN119" s="42">
        <v>0</v>
      </c>
      <c r="AO119" s="42" t="s">
        <v>416</v>
      </c>
      <c r="AP119" s="42">
        <v>31</v>
      </c>
      <c r="AQ119" s="42">
        <v>0</v>
      </c>
    </row>
    <row r="120" spans="1:43" x14ac:dyDescent="0.15">
      <c r="A120" s="37" t="s">
        <v>33</v>
      </c>
      <c r="B120" s="37" t="s">
        <v>419</v>
      </c>
      <c r="C120" s="37" t="s">
        <v>417</v>
      </c>
      <c r="D120" s="37" t="s">
        <v>528</v>
      </c>
      <c r="E120" s="37" t="s">
        <v>415</v>
      </c>
      <c r="F120" s="37" t="s">
        <v>6</v>
      </c>
      <c r="G120" s="37">
        <v>0</v>
      </c>
      <c r="H120" s="37">
        <v>31</v>
      </c>
      <c r="I120" s="41">
        <v>4</v>
      </c>
      <c r="J120" s="45">
        <v>4</v>
      </c>
      <c r="K120" s="45">
        <v>4</v>
      </c>
      <c r="L120" s="45"/>
      <c r="M120" s="45"/>
      <c r="N120" s="45"/>
      <c r="P120" s="39">
        <v>27</v>
      </c>
      <c r="Q120" s="39">
        <v>31</v>
      </c>
      <c r="R120" s="39">
        <v>4</v>
      </c>
      <c r="S120" s="39">
        <v>31</v>
      </c>
      <c r="T120" s="39">
        <v>0</v>
      </c>
      <c r="U120" s="39">
        <v>0</v>
      </c>
      <c r="V120" s="39">
        <v>0</v>
      </c>
      <c r="W120" s="49">
        <v>0</v>
      </c>
      <c r="X120" s="49"/>
      <c r="Y120" s="49"/>
      <c r="Z120" s="49"/>
      <c r="AA120" s="50"/>
      <c r="AB120" s="50"/>
      <c r="AC120" s="50"/>
      <c r="AD120" s="50"/>
      <c r="AE120" s="50"/>
      <c r="AH120" s="39">
        <v>0</v>
      </c>
      <c r="AI120" s="39">
        <v>0</v>
      </c>
      <c r="AJ120" s="39">
        <v>0</v>
      </c>
      <c r="AK120" s="39">
        <v>0</v>
      </c>
      <c r="AL120" s="39">
        <v>0</v>
      </c>
      <c r="AM120" s="42">
        <v>0</v>
      </c>
      <c r="AN120" s="42">
        <v>0</v>
      </c>
      <c r="AO120" s="42" t="s">
        <v>416</v>
      </c>
      <c r="AP120" s="42">
        <v>31</v>
      </c>
      <c r="AQ120" s="42">
        <v>0</v>
      </c>
    </row>
    <row r="121" spans="1:43" x14ac:dyDescent="0.15">
      <c r="A121" s="37" t="s">
        <v>33</v>
      </c>
      <c r="B121" s="37" t="s">
        <v>14</v>
      </c>
      <c r="C121" s="37" t="s">
        <v>413</v>
      </c>
      <c r="D121" s="37" t="s">
        <v>529</v>
      </c>
      <c r="E121" s="37" t="s">
        <v>415</v>
      </c>
      <c r="F121" s="37" t="s">
        <v>6</v>
      </c>
      <c r="G121" s="37">
        <v>0</v>
      </c>
      <c r="H121" s="37">
        <v>31</v>
      </c>
      <c r="I121" s="39">
        <v>4</v>
      </c>
      <c r="J121" s="45">
        <v>5</v>
      </c>
      <c r="K121" s="45">
        <v>4</v>
      </c>
      <c r="L121" s="45"/>
      <c r="M121" s="45">
        <v>1</v>
      </c>
      <c r="N121" s="45"/>
      <c r="P121" s="39">
        <v>26</v>
      </c>
      <c r="Q121" s="39">
        <v>31</v>
      </c>
      <c r="R121" s="39">
        <v>4</v>
      </c>
      <c r="S121" s="39">
        <v>31</v>
      </c>
      <c r="T121" s="39">
        <v>0</v>
      </c>
      <c r="U121" s="39">
        <v>0</v>
      </c>
      <c r="V121" s="39">
        <v>0</v>
      </c>
      <c r="W121" s="49">
        <v>0</v>
      </c>
      <c r="X121" s="49">
        <v>10</v>
      </c>
      <c r="Y121" s="49"/>
      <c r="Z121" s="49"/>
      <c r="AA121" s="51"/>
      <c r="AB121" s="51"/>
      <c r="AC121" s="51"/>
      <c r="AD121" s="51"/>
      <c r="AE121" s="51"/>
      <c r="AH121" s="39">
        <v>0</v>
      </c>
      <c r="AI121" s="39">
        <v>0</v>
      </c>
      <c r="AJ121" s="39">
        <v>0</v>
      </c>
      <c r="AK121" s="39">
        <v>0</v>
      </c>
      <c r="AL121" s="39">
        <v>0</v>
      </c>
      <c r="AM121" s="42">
        <v>0</v>
      </c>
      <c r="AN121" s="42">
        <v>0</v>
      </c>
      <c r="AO121" s="42" t="s">
        <v>416</v>
      </c>
      <c r="AP121" s="42">
        <v>31</v>
      </c>
      <c r="AQ121" s="42">
        <v>0</v>
      </c>
    </row>
    <row r="122" spans="1:43" x14ac:dyDescent="0.15">
      <c r="A122" s="37" t="s">
        <v>33</v>
      </c>
      <c r="B122" s="37" t="s">
        <v>419</v>
      </c>
      <c r="C122" s="37" t="s">
        <v>417</v>
      </c>
      <c r="D122" s="37" t="s">
        <v>530</v>
      </c>
      <c r="E122" s="37" t="s">
        <v>415</v>
      </c>
      <c r="F122" s="37" t="s">
        <v>6</v>
      </c>
      <c r="G122" s="37">
        <v>0</v>
      </c>
      <c r="H122" s="37">
        <v>31</v>
      </c>
      <c r="I122" s="41">
        <v>4</v>
      </c>
      <c r="J122" s="45">
        <v>4</v>
      </c>
      <c r="K122" s="45">
        <v>4</v>
      </c>
      <c r="L122" s="45"/>
      <c r="M122" s="45"/>
      <c r="N122" s="45"/>
      <c r="P122" s="39">
        <v>27</v>
      </c>
      <c r="Q122" s="39">
        <v>31</v>
      </c>
      <c r="R122" s="39">
        <v>4</v>
      </c>
      <c r="S122" s="39">
        <v>31</v>
      </c>
      <c r="T122" s="39">
        <v>0</v>
      </c>
      <c r="U122" s="39">
        <v>0</v>
      </c>
      <c r="V122" s="39">
        <v>0</v>
      </c>
      <c r="W122" s="49">
        <v>0</v>
      </c>
      <c r="X122" s="49"/>
      <c r="Y122" s="49"/>
      <c r="Z122" s="49">
        <v>50</v>
      </c>
      <c r="AA122" s="50"/>
      <c r="AB122" s="50"/>
      <c r="AC122" s="50"/>
      <c r="AD122" s="50"/>
      <c r="AE122" s="50"/>
      <c r="AH122" s="39">
        <v>0</v>
      </c>
      <c r="AI122" s="39">
        <v>0</v>
      </c>
      <c r="AJ122" s="39">
        <v>0</v>
      </c>
      <c r="AK122" s="39">
        <v>0</v>
      </c>
      <c r="AL122" s="39">
        <v>0</v>
      </c>
      <c r="AM122" s="42">
        <v>0</v>
      </c>
      <c r="AN122" s="42">
        <v>0</v>
      </c>
      <c r="AO122" s="42" t="s">
        <v>416</v>
      </c>
      <c r="AP122" s="42">
        <v>31</v>
      </c>
      <c r="AQ122" s="42">
        <v>0</v>
      </c>
    </row>
    <row r="123" spans="1:43" x14ac:dyDescent="0.15">
      <c r="A123" s="37" t="s">
        <v>33</v>
      </c>
      <c r="B123" s="37" t="s">
        <v>419</v>
      </c>
      <c r="C123" s="37" t="s">
        <v>417</v>
      </c>
      <c r="D123" s="37" t="s">
        <v>531</v>
      </c>
      <c r="E123" s="37" t="s">
        <v>415</v>
      </c>
      <c r="F123" s="37" t="s">
        <v>6</v>
      </c>
      <c r="G123" s="37">
        <v>0</v>
      </c>
      <c r="H123" s="37">
        <v>31</v>
      </c>
      <c r="I123" s="41">
        <v>4</v>
      </c>
      <c r="J123" s="45">
        <v>5</v>
      </c>
      <c r="K123" s="45">
        <v>4</v>
      </c>
      <c r="L123" s="45"/>
      <c r="M123" s="45">
        <v>1</v>
      </c>
      <c r="N123" s="45"/>
      <c r="P123" s="39">
        <v>26</v>
      </c>
      <c r="Q123" s="39">
        <v>31</v>
      </c>
      <c r="R123" s="39">
        <v>4</v>
      </c>
      <c r="S123" s="39">
        <v>31</v>
      </c>
      <c r="T123" s="39">
        <v>0</v>
      </c>
      <c r="U123" s="39">
        <v>0</v>
      </c>
      <c r="V123" s="39">
        <v>0</v>
      </c>
      <c r="W123" s="49">
        <v>0</v>
      </c>
      <c r="X123" s="49"/>
      <c r="Y123" s="49"/>
      <c r="Z123" s="49"/>
      <c r="AA123" s="50"/>
      <c r="AB123" s="50"/>
      <c r="AC123" s="50"/>
      <c r="AD123" s="50"/>
      <c r="AE123" s="50"/>
      <c r="AH123" s="39">
        <v>0</v>
      </c>
      <c r="AI123" s="39">
        <v>0</v>
      </c>
      <c r="AJ123" s="39">
        <v>0</v>
      </c>
      <c r="AK123" s="39">
        <v>0</v>
      </c>
      <c r="AL123" s="39">
        <v>0</v>
      </c>
      <c r="AM123" s="42">
        <v>0</v>
      </c>
      <c r="AN123" s="42">
        <v>0</v>
      </c>
      <c r="AO123" s="42" t="s">
        <v>416</v>
      </c>
      <c r="AP123" s="42">
        <v>31</v>
      </c>
      <c r="AQ123" s="42">
        <v>0</v>
      </c>
    </row>
    <row r="124" spans="1:43" x14ac:dyDescent="0.15">
      <c r="A124" s="37" t="s">
        <v>33</v>
      </c>
      <c r="B124" s="37" t="s">
        <v>419</v>
      </c>
      <c r="C124" s="37" t="s">
        <v>417</v>
      </c>
      <c r="D124" s="37" t="s">
        <v>532</v>
      </c>
      <c r="E124" s="37" t="s">
        <v>415</v>
      </c>
      <c r="F124" s="37" t="s">
        <v>6</v>
      </c>
      <c r="G124" s="37">
        <v>0</v>
      </c>
      <c r="H124" s="37">
        <v>31</v>
      </c>
      <c r="I124" s="41">
        <v>4</v>
      </c>
      <c r="J124" s="45">
        <v>5</v>
      </c>
      <c r="K124" s="45">
        <v>4</v>
      </c>
      <c r="L124" s="45"/>
      <c r="M124" s="45">
        <v>1</v>
      </c>
      <c r="N124" s="45"/>
      <c r="P124" s="39">
        <v>26</v>
      </c>
      <c r="Q124" s="39">
        <v>31</v>
      </c>
      <c r="R124" s="39">
        <v>4</v>
      </c>
      <c r="S124" s="39">
        <v>31</v>
      </c>
      <c r="T124" s="39">
        <v>0</v>
      </c>
      <c r="U124" s="39">
        <v>0</v>
      </c>
      <c r="V124" s="39">
        <v>0</v>
      </c>
      <c r="W124" s="49">
        <v>0</v>
      </c>
      <c r="X124" s="49"/>
      <c r="Y124" s="49"/>
      <c r="Z124" s="49"/>
      <c r="AA124" s="50"/>
      <c r="AB124" s="50"/>
      <c r="AC124" s="50"/>
      <c r="AD124" s="50"/>
      <c r="AE124" s="50"/>
      <c r="AH124" s="39">
        <v>4000</v>
      </c>
      <c r="AI124" s="39">
        <v>0</v>
      </c>
      <c r="AJ124" s="39">
        <v>0</v>
      </c>
      <c r="AK124" s="39">
        <v>0</v>
      </c>
      <c r="AL124" s="39">
        <v>0</v>
      </c>
      <c r="AM124" s="42">
        <v>0</v>
      </c>
      <c r="AN124" s="42">
        <v>0</v>
      </c>
      <c r="AO124" s="42" t="s">
        <v>416</v>
      </c>
      <c r="AP124" s="42">
        <v>31</v>
      </c>
      <c r="AQ124" s="42">
        <v>0</v>
      </c>
    </row>
    <row r="125" spans="1:43" x14ac:dyDescent="0.15">
      <c r="A125" s="37" t="s">
        <v>33</v>
      </c>
      <c r="B125" s="37" t="s">
        <v>419</v>
      </c>
      <c r="C125" s="37" t="s">
        <v>417</v>
      </c>
      <c r="D125" s="37" t="s">
        <v>533</v>
      </c>
      <c r="E125" s="37" t="s">
        <v>415</v>
      </c>
      <c r="F125" s="37" t="s">
        <v>6</v>
      </c>
      <c r="G125" s="37">
        <v>0</v>
      </c>
      <c r="H125" s="37">
        <v>31</v>
      </c>
      <c r="I125" s="41">
        <v>4</v>
      </c>
      <c r="J125" s="45">
        <v>5</v>
      </c>
      <c r="K125" s="45">
        <v>4</v>
      </c>
      <c r="L125" s="45"/>
      <c r="M125" s="45">
        <v>1</v>
      </c>
      <c r="N125" s="45"/>
      <c r="P125" s="39">
        <v>26</v>
      </c>
      <c r="Q125" s="39">
        <v>31</v>
      </c>
      <c r="R125" s="39">
        <v>4</v>
      </c>
      <c r="S125" s="39">
        <v>31</v>
      </c>
      <c r="T125" s="39">
        <v>0</v>
      </c>
      <c r="U125" s="39">
        <v>0</v>
      </c>
      <c r="V125" s="39">
        <v>0</v>
      </c>
      <c r="W125" s="49">
        <v>0</v>
      </c>
      <c r="X125" s="49"/>
      <c r="Y125" s="49"/>
      <c r="Z125" s="49"/>
      <c r="AA125" s="50"/>
      <c r="AB125" s="50"/>
      <c r="AC125" s="50"/>
      <c r="AD125" s="50"/>
      <c r="AE125" s="50"/>
      <c r="AH125" s="39">
        <v>4000</v>
      </c>
      <c r="AI125" s="39">
        <v>0</v>
      </c>
      <c r="AJ125" s="39">
        <v>0</v>
      </c>
      <c r="AK125" s="39">
        <v>0</v>
      </c>
      <c r="AL125" s="39">
        <v>0</v>
      </c>
      <c r="AM125" s="42">
        <v>0</v>
      </c>
      <c r="AN125" s="42">
        <v>0</v>
      </c>
      <c r="AO125" s="42" t="s">
        <v>416</v>
      </c>
      <c r="AP125" s="42">
        <v>31</v>
      </c>
      <c r="AQ125" s="42">
        <v>0</v>
      </c>
    </row>
    <row r="126" spans="1:43" x14ac:dyDescent="0.15">
      <c r="A126" s="37" t="s">
        <v>51</v>
      </c>
      <c r="B126" s="37" t="s">
        <v>15</v>
      </c>
      <c r="C126" s="37" t="s">
        <v>417</v>
      </c>
      <c r="D126" s="37" t="s">
        <v>534</v>
      </c>
      <c r="E126" s="37" t="s">
        <v>415</v>
      </c>
      <c r="F126" s="37" t="s">
        <v>6</v>
      </c>
      <c r="G126" s="37">
        <v>0</v>
      </c>
      <c r="H126" s="37">
        <v>31</v>
      </c>
      <c r="I126" s="41">
        <v>4</v>
      </c>
      <c r="J126" s="45">
        <v>6</v>
      </c>
      <c r="K126" s="45">
        <v>4</v>
      </c>
      <c r="L126" s="45"/>
      <c r="M126" s="45"/>
      <c r="N126" s="45"/>
      <c r="O126" s="39">
        <v>2</v>
      </c>
      <c r="P126" s="39">
        <v>25</v>
      </c>
      <c r="Q126" s="39">
        <v>31</v>
      </c>
      <c r="R126" s="39">
        <v>4</v>
      </c>
      <c r="S126" s="39">
        <v>31</v>
      </c>
      <c r="T126" s="39">
        <v>0</v>
      </c>
      <c r="U126" s="39">
        <v>0</v>
      </c>
      <c r="V126" s="39">
        <v>0</v>
      </c>
      <c r="W126" s="49">
        <v>0</v>
      </c>
      <c r="X126" s="49">
        <v>20</v>
      </c>
      <c r="Y126" s="49"/>
      <c r="Z126" s="49"/>
      <c r="AA126" s="50"/>
      <c r="AB126" s="50"/>
      <c r="AC126" s="50"/>
      <c r="AD126" s="50"/>
      <c r="AE126" s="50"/>
      <c r="AH126" s="39">
        <v>0</v>
      </c>
      <c r="AI126" s="39">
        <v>0</v>
      </c>
      <c r="AJ126" s="39">
        <v>0</v>
      </c>
      <c r="AK126" s="39">
        <v>0</v>
      </c>
      <c r="AL126" s="39">
        <v>0</v>
      </c>
      <c r="AM126" s="42">
        <v>0</v>
      </c>
      <c r="AN126" s="42">
        <v>0</v>
      </c>
      <c r="AO126" s="42" t="s">
        <v>416</v>
      </c>
      <c r="AP126" s="42">
        <v>31</v>
      </c>
      <c r="AQ126" s="42">
        <v>0</v>
      </c>
    </row>
    <row r="127" spans="1:43" x14ac:dyDescent="0.15">
      <c r="A127" s="37" t="s">
        <v>51</v>
      </c>
      <c r="B127" s="37" t="s">
        <v>419</v>
      </c>
      <c r="C127" s="37" t="s">
        <v>417</v>
      </c>
      <c r="D127" s="37" t="s">
        <v>535</v>
      </c>
      <c r="E127" s="37" t="s">
        <v>415</v>
      </c>
      <c r="F127" s="37" t="s">
        <v>6</v>
      </c>
      <c r="G127" s="37">
        <v>0</v>
      </c>
      <c r="H127" s="37">
        <v>31</v>
      </c>
      <c r="I127" s="41">
        <v>4</v>
      </c>
      <c r="J127" s="45">
        <v>4</v>
      </c>
      <c r="K127" s="45">
        <v>4</v>
      </c>
      <c r="L127" s="45"/>
      <c r="M127" s="45"/>
      <c r="N127" s="45"/>
      <c r="P127" s="39">
        <v>27</v>
      </c>
      <c r="Q127" s="39">
        <v>31</v>
      </c>
      <c r="R127" s="39">
        <v>4</v>
      </c>
      <c r="S127" s="39">
        <v>31</v>
      </c>
      <c r="T127" s="39">
        <v>0</v>
      </c>
      <c r="U127" s="39">
        <v>0</v>
      </c>
      <c r="V127" s="39">
        <v>0</v>
      </c>
      <c r="W127" s="49">
        <v>0</v>
      </c>
      <c r="X127" s="49"/>
      <c r="Y127" s="49"/>
      <c r="Z127" s="49">
        <v>50</v>
      </c>
      <c r="AA127" s="50"/>
      <c r="AB127" s="50"/>
      <c r="AC127" s="50"/>
      <c r="AD127" s="50"/>
      <c r="AE127" s="50"/>
      <c r="AH127" s="39">
        <v>0</v>
      </c>
      <c r="AI127" s="39">
        <v>0</v>
      </c>
      <c r="AJ127" s="39">
        <v>0</v>
      </c>
      <c r="AK127" s="39">
        <v>0</v>
      </c>
      <c r="AL127" s="39">
        <v>0</v>
      </c>
      <c r="AM127" s="42">
        <v>0</v>
      </c>
      <c r="AN127" s="42">
        <v>0</v>
      </c>
      <c r="AO127" s="42" t="s">
        <v>416</v>
      </c>
      <c r="AP127" s="42">
        <v>31</v>
      </c>
      <c r="AQ127" s="42">
        <v>0</v>
      </c>
    </row>
    <row r="128" spans="1:43" x14ac:dyDescent="0.15">
      <c r="A128" s="37" t="s">
        <v>51</v>
      </c>
      <c r="B128" s="37" t="s">
        <v>419</v>
      </c>
      <c r="C128" s="37" t="s">
        <v>417</v>
      </c>
      <c r="D128" s="37" t="s">
        <v>536</v>
      </c>
      <c r="E128" s="37" t="s">
        <v>415</v>
      </c>
      <c r="F128" s="37" t="s">
        <v>6</v>
      </c>
      <c r="G128" s="37">
        <v>0</v>
      </c>
      <c r="H128" s="37">
        <v>31</v>
      </c>
      <c r="I128" s="41">
        <v>4</v>
      </c>
      <c r="J128" s="45">
        <v>4</v>
      </c>
      <c r="K128" s="45">
        <v>4</v>
      </c>
      <c r="L128" s="45"/>
      <c r="M128" s="45"/>
      <c r="N128" s="45"/>
      <c r="P128" s="39">
        <v>27</v>
      </c>
      <c r="Q128" s="39">
        <v>31</v>
      </c>
      <c r="R128" s="39">
        <v>4</v>
      </c>
      <c r="S128" s="39">
        <v>31</v>
      </c>
      <c r="T128" s="39">
        <v>0</v>
      </c>
      <c r="U128" s="39">
        <v>0</v>
      </c>
      <c r="V128" s="39">
        <v>0</v>
      </c>
      <c r="W128" s="49">
        <v>0</v>
      </c>
      <c r="X128" s="49">
        <v>10</v>
      </c>
      <c r="Y128" s="49"/>
      <c r="Z128" s="49"/>
      <c r="AA128" s="50"/>
      <c r="AB128" s="50"/>
      <c r="AC128" s="50"/>
      <c r="AD128" s="50"/>
      <c r="AE128" s="50"/>
      <c r="AH128" s="39">
        <v>0</v>
      </c>
      <c r="AI128" s="39">
        <v>0</v>
      </c>
      <c r="AJ128" s="39">
        <v>0</v>
      </c>
      <c r="AK128" s="39">
        <v>0</v>
      </c>
      <c r="AL128" s="39">
        <v>0</v>
      </c>
      <c r="AM128" s="42">
        <v>0</v>
      </c>
      <c r="AN128" s="42">
        <v>0</v>
      </c>
      <c r="AO128" s="42" t="s">
        <v>416</v>
      </c>
      <c r="AP128" s="42">
        <v>31</v>
      </c>
      <c r="AQ128" s="42">
        <v>0</v>
      </c>
    </row>
    <row r="129" spans="1:43" x14ac:dyDescent="0.15">
      <c r="A129" s="37" t="s">
        <v>51</v>
      </c>
      <c r="B129" s="37" t="s">
        <v>14</v>
      </c>
      <c r="C129" s="37" t="s">
        <v>413</v>
      </c>
      <c r="D129" s="37" t="s">
        <v>537</v>
      </c>
      <c r="E129" s="37" t="s">
        <v>415</v>
      </c>
      <c r="F129" s="37" t="s">
        <v>6</v>
      </c>
      <c r="G129" s="37">
        <v>0</v>
      </c>
      <c r="H129" s="37">
        <v>31</v>
      </c>
      <c r="I129" s="39">
        <v>4</v>
      </c>
      <c r="J129" s="45">
        <v>5</v>
      </c>
      <c r="K129" s="45">
        <v>4</v>
      </c>
      <c r="L129" s="45">
        <v>1</v>
      </c>
      <c r="M129" s="45"/>
      <c r="N129" s="45"/>
      <c r="P129" s="39">
        <v>26</v>
      </c>
      <c r="Q129" s="39">
        <v>30</v>
      </c>
      <c r="R129" s="39">
        <v>4</v>
      </c>
      <c r="S129" s="39">
        <v>30</v>
      </c>
      <c r="T129" s="39">
        <v>0</v>
      </c>
      <c r="U129" s="39">
        <v>1</v>
      </c>
      <c r="V129" s="39">
        <v>0</v>
      </c>
      <c r="W129" s="49">
        <v>0</v>
      </c>
      <c r="X129" s="49"/>
      <c r="Y129" s="49">
        <v>10</v>
      </c>
      <c r="Z129" s="49"/>
      <c r="AA129" s="51"/>
      <c r="AB129" s="51"/>
      <c r="AC129" s="51"/>
      <c r="AD129" s="51"/>
      <c r="AE129" s="51"/>
      <c r="AH129" s="39">
        <v>0</v>
      </c>
      <c r="AI129" s="39">
        <v>0</v>
      </c>
      <c r="AJ129" s="39">
        <v>0</v>
      </c>
      <c r="AK129" s="39">
        <v>0</v>
      </c>
      <c r="AL129" s="39">
        <v>0</v>
      </c>
      <c r="AM129" s="42">
        <v>0</v>
      </c>
      <c r="AN129" s="42">
        <v>0</v>
      </c>
      <c r="AO129" s="42" t="s">
        <v>416</v>
      </c>
      <c r="AP129" s="42">
        <v>30</v>
      </c>
      <c r="AQ129" s="42">
        <v>0</v>
      </c>
    </row>
    <row r="130" spans="1:43" x14ac:dyDescent="0.15">
      <c r="A130" s="37" t="s">
        <v>51</v>
      </c>
      <c r="B130" s="37" t="s">
        <v>419</v>
      </c>
      <c r="C130" s="37" t="s">
        <v>417</v>
      </c>
      <c r="D130" s="37" t="s">
        <v>538</v>
      </c>
      <c r="E130" s="37" t="s">
        <v>80</v>
      </c>
      <c r="F130" s="37" t="s">
        <v>6</v>
      </c>
      <c r="G130" s="37">
        <v>0</v>
      </c>
      <c r="H130" s="37">
        <v>20</v>
      </c>
      <c r="I130" s="41">
        <v>2</v>
      </c>
      <c r="J130" s="45">
        <v>3</v>
      </c>
      <c r="K130" s="45">
        <v>2</v>
      </c>
      <c r="L130" s="45">
        <v>1</v>
      </c>
      <c r="M130" s="45"/>
      <c r="N130" s="45"/>
      <c r="P130" s="39">
        <v>17</v>
      </c>
      <c r="Q130" s="39">
        <v>19</v>
      </c>
      <c r="R130" s="39">
        <v>2</v>
      </c>
      <c r="S130" s="39">
        <v>19</v>
      </c>
      <c r="T130" s="39">
        <v>0</v>
      </c>
      <c r="U130" s="39">
        <v>1</v>
      </c>
      <c r="V130" s="39">
        <v>0</v>
      </c>
      <c r="W130" s="49">
        <v>0</v>
      </c>
      <c r="X130" s="49"/>
      <c r="Y130" s="49"/>
      <c r="Z130" s="49"/>
      <c r="AA130" s="50"/>
      <c r="AB130" s="50">
        <v>760</v>
      </c>
      <c r="AC130" s="50"/>
      <c r="AD130" s="50"/>
      <c r="AE130" s="50">
        <v>300</v>
      </c>
      <c r="AH130" s="39">
        <v>0</v>
      </c>
      <c r="AI130" s="39">
        <v>0</v>
      </c>
      <c r="AJ130" s="39">
        <v>0</v>
      </c>
      <c r="AK130" s="39">
        <v>0</v>
      </c>
      <c r="AL130" s="39">
        <v>0</v>
      </c>
      <c r="AM130" s="42">
        <v>0</v>
      </c>
      <c r="AN130" s="42">
        <v>0</v>
      </c>
      <c r="AO130" s="42" t="s">
        <v>416</v>
      </c>
      <c r="AP130" s="42">
        <v>19</v>
      </c>
      <c r="AQ130" s="42">
        <v>0</v>
      </c>
    </row>
    <row r="131" spans="1:43" x14ac:dyDescent="0.15">
      <c r="A131" s="37" t="s">
        <v>51</v>
      </c>
      <c r="B131" s="37" t="s">
        <v>419</v>
      </c>
      <c r="C131" s="37" t="s">
        <v>417</v>
      </c>
      <c r="D131" s="37" t="s">
        <v>539</v>
      </c>
      <c r="E131" s="37" t="s">
        <v>415</v>
      </c>
      <c r="F131" s="37" t="s">
        <v>6</v>
      </c>
      <c r="G131" s="37">
        <v>0</v>
      </c>
      <c r="H131" s="37">
        <v>31</v>
      </c>
      <c r="I131" s="41">
        <v>4</v>
      </c>
      <c r="J131" s="45">
        <v>5</v>
      </c>
      <c r="K131" s="45">
        <v>4</v>
      </c>
      <c r="L131" s="45">
        <v>1</v>
      </c>
      <c r="M131" s="45"/>
      <c r="N131" s="45"/>
      <c r="P131" s="39">
        <v>26</v>
      </c>
      <c r="Q131" s="39">
        <v>30</v>
      </c>
      <c r="R131" s="39">
        <v>4</v>
      </c>
      <c r="S131" s="39">
        <v>30</v>
      </c>
      <c r="T131" s="39">
        <v>0</v>
      </c>
      <c r="U131" s="39">
        <v>1</v>
      </c>
      <c r="V131" s="39">
        <v>0</v>
      </c>
      <c r="W131" s="49">
        <v>0</v>
      </c>
      <c r="X131" s="49"/>
      <c r="Y131" s="49"/>
      <c r="Z131" s="49"/>
      <c r="AA131" s="50"/>
      <c r="AB131" s="50"/>
      <c r="AC131" s="50"/>
      <c r="AD131" s="50"/>
      <c r="AE131" s="50"/>
      <c r="AH131" s="39">
        <v>3500</v>
      </c>
      <c r="AI131" s="39">
        <v>0</v>
      </c>
      <c r="AJ131" s="39">
        <v>0</v>
      </c>
      <c r="AK131" s="39">
        <v>0</v>
      </c>
      <c r="AL131" s="39">
        <v>0</v>
      </c>
      <c r="AM131" s="42">
        <v>0</v>
      </c>
      <c r="AN131" s="42">
        <v>0</v>
      </c>
      <c r="AO131" s="42" t="s">
        <v>416</v>
      </c>
      <c r="AP131" s="42">
        <v>30</v>
      </c>
      <c r="AQ131" s="42">
        <v>0</v>
      </c>
    </row>
    <row r="132" spans="1:43" x14ac:dyDescent="0.15">
      <c r="A132" s="37" t="s">
        <v>29</v>
      </c>
      <c r="B132" s="37" t="s">
        <v>419</v>
      </c>
      <c r="C132" s="37" t="s">
        <v>417</v>
      </c>
      <c r="D132" s="37" t="s">
        <v>540</v>
      </c>
      <c r="E132" s="37" t="s">
        <v>415</v>
      </c>
      <c r="F132" s="37" t="s">
        <v>6</v>
      </c>
      <c r="G132" s="37">
        <v>0</v>
      </c>
      <c r="H132" s="37">
        <v>31</v>
      </c>
      <c r="I132" s="41">
        <v>4</v>
      </c>
      <c r="J132" s="45">
        <v>4</v>
      </c>
      <c r="K132" s="45">
        <v>4</v>
      </c>
      <c r="L132" s="45"/>
      <c r="M132" s="45"/>
      <c r="N132" s="45"/>
      <c r="P132" s="39">
        <v>27</v>
      </c>
      <c r="Q132" s="39">
        <v>31</v>
      </c>
      <c r="R132" s="39">
        <v>4</v>
      </c>
      <c r="S132" s="39">
        <v>31</v>
      </c>
      <c r="T132" s="39">
        <v>0</v>
      </c>
      <c r="U132" s="39">
        <v>0</v>
      </c>
      <c r="V132" s="39">
        <v>0</v>
      </c>
      <c r="W132" s="49">
        <v>0</v>
      </c>
      <c r="X132" s="49"/>
      <c r="Y132" s="49"/>
      <c r="Z132" s="49"/>
      <c r="AA132" s="50"/>
      <c r="AB132" s="50"/>
      <c r="AC132" s="50"/>
      <c r="AD132" s="50"/>
      <c r="AE132" s="50"/>
      <c r="AH132" s="39">
        <v>0</v>
      </c>
      <c r="AI132" s="39">
        <v>0</v>
      </c>
      <c r="AJ132" s="39">
        <v>0</v>
      </c>
      <c r="AK132" s="39">
        <v>0</v>
      </c>
      <c r="AL132" s="39">
        <v>0</v>
      </c>
      <c r="AM132" s="42">
        <v>0</v>
      </c>
      <c r="AN132" s="42">
        <v>0</v>
      </c>
      <c r="AO132" s="42" t="s">
        <v>416</v>
      </c>
      <c r="AP132" s="42">
        <v>31</v>
      </c>
      <c r="AQ132" s="42">
        <v>0</v>
      </c>
    </row>
    <row r="133" spans="1:43" x14ac:dyDescent="0.15">
      <c r="A133" s="37" t="s">
        <v>26</v>
      </c>
      <c r="B133" s="37" t="s">
        <v>419</v>
      </c>
      <c r="C133" s="37" t="s">
        <v>417</v>
      </c>
      <c r="D133" s="37" t="s">
        <v>541</v>
      </c>
      <c r="E133" s="37" t="s">
        <v>415</v>
      </c>
      <c r="F133" s="37" t="s">
        <v>6</v>
      </c>
      <c r="G133" s="37">
        <v>0</v>
      </c>
      <c r="H133" s="37">
        <v>31</v>
      </c>
      <c r="I133" s="41">
        <v>4</v>
      </c>
      <c r="J133" s="45">
        <v>4</v>
      </c>
      <c r="K133" s="45">
        <v>4</v>
      </c>
      <c r="L133" s="45"/>
      <c r="M133" s="45"/>
      <c r="N133" s="45"/>
      <c r="P133" s="39">
        <v>27</v>
      </c>
      <c r="Q133" s="39">
        <v>31</v>
      </c>
      <c r="R133" s="39">
        <v>4</v>
      </c>
      <c r="S133" s="39">
        <v>31</v>
      </c>
      <c r="T133" s="39">
        <v>0</v>
      </c>
      <c r="U133" s="39">
        <v>0</v>
      </c>
      <c r="V133" s="39">
        <v>0</v>
      </c>
      <c r="W133" s="49">
        <v>0</v>
      </c>
      <c r="X133" s="49">
        <v>90</v>
      </c>
      <c r="Y133" s="49"/>
      <c r="Z133" s="49"/>
      <c r="AA133" s="50"/>
      <c r="AB133" s="50"/>
      <c r="AC133" s="50"/>
      <c r="AD133" s="50"/>
      <c r="AE133" s="50"/>
      <c r="AH133" s="39">
        <v>0</v>
      </c>
      <c r="AI133" s="39">
        <v>0</v>
      </c>
      <c r="AJ133" s="39">
        <v>0</v>
      </c>
      <c r="AK133" s="39">
        <v>0</v>
      </c>
      <c r="AL133" s="39">
        <v>0</v>
      </c>
      <c r="AM133" s="42">
        <v>0</v>
      </c>
      <c r="AN133" s="42">
        <v>0</v>
      </c>
      <c r="AO133" s="42" t="s">
        <v>416</v>
      </c>
      <c r="AP133" s="42">
        <v>31</v>
      </c>
      <c r="AQ133" s="42">
        <v>0</v>
      </c>
    </row>
    <row r="134" spans="1:43" x14ac:dyDescent="0.15">
      <c r="A134" s="37" t="s">
        <v>26</v>
      </c>
      <c r="B134" s="37" t="s">
        <v>419</v>
      </c>
      <c r="C134" s="37" t="s">
        <v>417</v>
      </c>
      <c r="D134" s="37" t="s">
        <v>542</v>
      </c>
      <c r="E134" s="37" t="s">
        <v>415</v>
      </c>
      <c r="F134" s="37" t="s">
        <v>6</v>
      </c>
      <c r="G134" s="37">
        <v>0</v>
      </c>
      <c r="H134" s="37">
        <v>31</v>
      </c>
      <c r="I134" s="41">
        <v>4</v>
      </c>
      <c r="J134" s="45">
        <v>4</v>
      </c>
      <c r="K134" s="45">
        <v>4</v>
      </c>
      <c r="L134" s="45"/>
      <c r="M134" s="45"/>
      <c r="N134" s="45"/>
      <c r="P134" s="39">
        <v>27</v>
      </c>
      <c r="Q134" s="39">
        <v>31</v>
      </c>
      <c r="R134" s="39">
        <v>4</v>
      </c>
      <c r="S134" s="39">
        <v>31</v>
      </c>
      <c r="T134" s="39">
        <v>0</v>
      </c>
      <c r="U134" s="39">
        <v>0</v>
      </c>
      <c r="V134" s="39">
        <v>0</v>
      </c>
      <c r="W134" s="49">
        <v>0</v>
      </c>
      <c r="X134" s="49">
        <v>10</v>
      </c>
      <c r="Y134" s="49"/>
      <c r="Z134" s="49"/>
      <c r="AA134" s="50"/>
      <c r="AB134" s="50"/>
      <c r="AC134" s="50"/>
      <c r="AD134" s="50"/>
      <c r="AE134" s="50"/>
      <c r="AH134" s="39">
        <v>0</v>
      </c>
      <c r="AI134" s="39">
        <v>0</v>
      </c>
      <c r="AJ134" s="39">
        <v>0</v>
      </c>
      <c r="AK134" s="39">
        <v>0</v>
      </c>
      <c r="AL134" s="39">
        <v>0</v>
      </c>
      <c r="AM134" s="42">
        <v>0</v>
      </c>
      <c r="AN134" s="42">
        <v>0</v>
      </c>
      <c r="AO134" s="42" t="s">
        <v>416</v>
      </c>
      <c r="AP134" s="42">
        <v>31</v>
      </c>
      <c r="AQ134" s="42">
        <v>0</v>
      </c>
    </row>
    <row r="135" spans="1:43" x14ac:dyDescent="0.15">
      <c r="A135" s="37" t="s">
        <v>26</v>
      </c>
      <c r="B135" s="37" t="s">
        <v>14</v>
      </c>
      <c r="C135" s="37" t="s">
        <v>413</v>
      </c>
      <c r="D135" s="37" t="s">
        <v>543</v>
      </c>
      <c r="E135" s="37" t="s">
        <v>415</v>
      </c>
      <c r="F135" s="37" t="s">
        <v>6</v>
      </c>
      <c r="G135" s="37">
        <v>0</v>
      </c>
      <c r="H135" s="37">
        <v>31</v>
      </c>
      <c r="I135" s="41">
        <v>4</v>
      </c>
      <c r="J135" s="45">
        <v>4</v>
      </c>
      <c r="K135" s="45">
        <v>4</v>
      </c>
      <c r="L135" s="45"/>
      <c r="M135" s="45"/>
      <c r="N135" s="45"/>
      <c r="P135" s="39">
        <v>27</v>
      </c>
      <c r="Q135" s="39">
        <v>31</v>
      </c>
      <c r="R135" s="39">
        <v>4</v>
      </c>
      <c r="S135" s="39">
        <v>31</v>
      </c>
      <c r="T135" s="39">
        <v>0</v>
      </c>
      <c r="U135" s="39">
        <v>0</v>
      </c>
      <c r="V135" s="39">
        <v>0</v>
      </c>
      <c r="W135" s="49">
        <v>0</v>
      </c>
      <c r="X135" s="49">
        <v>10</v>
      </c>
      <c r="Y135" s="49"/>
      <c r="Z135" s="49"/>
      <c r="AA135" s="50"/>
      <c r="AB135" s="50"/>
      <c r="AC135" s="50"/>
      <c r="AD135" s="50"/>
      <c r="AE135" s="50"/>
      <c r="AH135" s="39">
        <v>0</v>
      </c>
      <c r="AI135" s="39">
        <v>0</v>
      </c>
      <c r="AJ135" s="39">
        <v>0</v>
      </c>
      <c r="AK135" s="39">
        <v>0</v>
      </c>
      <c r="AL135" s="39">
        <v>0</v>
      </c>
      <c r="AM135" s="42">
        <v>0</v>
      </c>
      <c r="AN135" s="42">
        <v>0</v>
      </c>
      <c r="AO135" s="42" t="s">
        <v>416</v>
      </c>
      <c r="AP135" s="42">
        <v>31</v>
      </c>
      <c r="AQ135" s="42">
        <v>0</v>
      </c>
    </row>
    <row r="136" spans="1:43" x14ac:dyDescent="0.15">
      <c r="A136" s="37" t="s">
        <v>26</v>
      </c>
      <c r="B136" s="37" t="s">
        <v>15</v>
      </c>
      <c r="C136" s="37" t="s">
        <v>417</v>
      </c>
      <c r="D136" s="37" t="s">
        <v>544</v>
      </c>
      <c r="E136" s="37" t="s">
        <v>415</v>
      </c>
      <c r="F136" s="37" t="s">
        <v>6</v>
      </c>
      <c r="G136" s="37">
        <v>0</v>
      </c>
      <c r="H136" s="37">
        <v>31</v>
      </c>
      <c r="I136" s="41">
        <v>4</v>
      </c>
      <c r="J136" s="45">
        <v>4</v>
      </c>
      <c r="K136" s="45">
        <v>4</v>
      </c>
      <c r="L136" s="45"/>
      <c r="M136" s="45"/>
      <c r="N136" s="45"/>
      <c r="P136" s="39">
        <v>27</v>
      </c>
      <c r="Q136" s="39">
        <v>31</v>
      </c>
      <c r="R136" s="39">
        <v>4</v>
      </c>
      <c r="S136" s="39">
        <v>31</v>
      </c>
      <c r="T136" s="39">
        <v>0</v>
      </c>
      <c r="U136" s="39">
        <v>0</v>
      </c>
      <c r="V136" s="39">
        <v>0</v>
      </c>
      <c r="W136" s="49">
        <v>0</v>
      </c>
      <c r="X136" s="49"/>
      <c r="Y136" s="49"/>
      <c r="Z136" s="49"/>
      <c r="AA136" s="50"/>
      <c r="AB136" s="50"/>
      <c r="AC136" s="50"/>
      <c r="AD136" s="50"/>
      <c r="AE136" s="50"/>
      <c r="AH136" s="39">
        <v>0</v>
      </c>
      <c r="AI136" s="39">
        <v>0</v>
      </c>
      <c r="AJ136" s="39">
        <v>0</v>
      </c>
      <c r="AK136" s="39">
        <v>0</v>
      </c>
      <c r="AL136" s="39">
        <v>0</v>
      </c>
      <c r="AM136" s="42">
        <v>0</v>
      </c>
      <c r="AN136" s="42">
        <v>0</v>
      </c>
      <c r="AO136" s="42" t="s">
        <v>416</v>
      </c>
      <c r="AP136" s="42">
        <v>31</v>
      </c>
      <c r="AQ136" s="42">
        <v>0</v>
      </c>
    </row>
    <row r="137" spans="1:43" x14ac:dyDescent="0.15">
      <c r="A137" s="37" t="s">
        <v>26</v>
      </c>
      <c r="B137" s="37" t="s">
        <v>419</v>
      </c>
      <c r="C137" s="37" t="s">
        <v>417</v>
      </c>
      <c r="D137" s="37" t="s">
        <v>545</v>
      </c>
      <c r="E137" s="37" t="s">
        <v>415</v>
      </c>
      <c r="F137" s="37" t="s">
        <v>6</v>
      </c>
      <c r="G137" s="37">
        <v>0</v>
      </c>
      <c r="H137" s="37">
        <v>31</v>
      </c>
      <c r="I137" s="41">
        <v>4</v>
      </c>
      <c r="J137" s="45">
        <v>5</v>
      </c>
      <c r="K137" s="45">
        <v>4</v>
      </c>
      <c r="L137" s="45"/>
      <c r="M137" s="45">
        <v>1</v>
      </c>
      <c r="N137" s="45"/>
      <c r="P137" s="39">
        <v>26</v>
      </c>
      <c r="Q137" s="39">
        <v>31</v>
      </c>
      <c r="R137" s="39">
        <v>4</v>
      </c>
      <c r="S137" s="39">
        <v>31</v>
      </c>
      <c r="T137" s="39">
        <v>0</v>
      </c>
      <c r="U137" s="39">
        <v>0</v>
      </c>
      <c r="V137" s="39">
        <v>0</v>
      </c>
      <c r="W137" s="49">
        <v>0</v>
      </c>
      <c r="X137" s="49"/>
      <c r="Y137" s="49"/>
      <c r="Z137" s="49"/>
      <c r="AA137" s="50"/>
      <c r="AB137" s="50"/>
      <c r="AC137" s="50"/>
      <c r="AD137" s="50"/>
      <c r="AE137" s="50"/>
      <c r="AH137" s="39">
        <v>0</v>
      </c>
      <c r="AI137" s="39">
        <v>0</v>
      </c>
      <c r="AJ137" s="39">
        <v>0</v>
      </c>
      <c r="AK137" s="39">
        <v>0</v>
      </c>
      <c r="AL137" s="39">
        <v>0</v>
      </c>
      <c r="AM137" s="42">
        <v>0</v>
      </c>
      <c r="AN137" s="42">
        <v>0</v>
      </c>
      <c r="AO137" s="42" t="s">
        <v>416</v>
      </c>
      <c r="AP137" s="42">
        <v>31</v>
      </c>
      <c r="AQ137" s="42">
        <v>0</v>
      </c>
    </row>
    <row r="138" spans="1:43" x14ac:dyDescent="0.15">
      <c r="A138" s="37" t="s">
        <v>26</v>
      </c>
      <c r="B138" s="37" t="s">
        <v>419</v>
      </c>
      <c r="C138" s="37" t="s">
        <v>417</v>
      </c>
      <c r="D138" s="37" t="s">
        <v>546</v>
      </c>
      <c r="E138" s="37" t="s">
        <v>415</v>
      </c>
      <c r="F138" s="37" t="s">
        <v>6</v>
      </c>
      <c r="G138" s="37">
        <v>0</v>
      </c>
      <c r="H138" s="37">
        <v>31</v>
      </c>
      <c r="I138" s="39">
        <v>4</v>
      </c>
      <c r="J138" s="45">
        <v>5</v>
      </c>
      <c r="K138" s="45">
        <v>4</v>
      </c>
      <c r="L138" s="45"/>
      <c r="M138" s="45">
        <v>1</v>
      </c>
      <c r="N138" s="45"/>
      <c r="P138" s="39">
        <v>26</v>
      </c>
      <c r="Q138" s="39">
        <v>31</v>
      </c>
      <c r="R138" s="39">
        <v>4</v>
      </c>
      <c r="S138" s="39">
        <v>31</v>
      </c>
      <c r="T138" s="39">
        <v>0</v>
      </c>
      <c r="U138" s="39">
        <v>0</v>
      </c>
      <c r="V138" s="39">
        <v>0</v>
      </c>
      <c r="W138" s="49">
        <v>0</v>
      </c>
      <c r="X138" s="49">
        <v>10</v>
      </c>
      <c r="Y138" s="49"/>
      <c r="Z138" s="49"/>
      <c r="AA138" s="51"/>
      <c r="AB138" s="51"/>
      <c r="AC138" s="51">
        <v>100</v>
      </c>
      <c r="AD138" s="51"/>
      <c r="AE138" s="51"/>
      <c r="AH138" s="39">
        <v>0</v>
      </c>
      <c r="AI138" s="39">
        <v>0</v>
      </c>
      <c r="AJ138" s="39">
        <v>0</v>
      </c>
      <c r="AK138" s="39">
        <v>0</v>
      </c>
      <c r="AL138" s="39">
        <v>0</v>
      </c>
      <c r="AM138" s="42">
        <v>0</v>
      </c>
      <c r="AN138" s="42">
        <v>0</v>
      </c>
      <c r="AO138" s="42" t="s">
        <v>416</v>
      </c>
      <c r="AP138" s="42">
        <v>31</v>
      </c>
      <c r="AQ138" s="42">
        <v>0</v>
      </c>
    </row>
    <row r="139" spans="1:43" x14ac:dyDescent="0.15">
      <c r="A139" s="37" t="s">
        <v>26</v>
      </c>
      <c r="B139" s="37" t="s">
        <v>419</v>
      </c>
      <c r="C139" s="37" t="s">
        <v>417</v>
      </c>
      <c r="D139" s="37" t="s">
        <v>547</v>
      </c>
      <c r="E139" s="37" t="s">
        <v>415</v>
      </c>
      <c r="F139" s="37" t="s">
        <v>6</v>
      </c>
      <c r="G139" s="37">
        <v>0</v>
      </c>
      <c r="H139" s="37">
        <v>31</v>
      </c>
      <c r="I139" s="41">
        <v>4</v>
      </c>
      <c r="J139" s="45">
        <v>4</v>
      </c>
      <c r="K139" s="45">
        <v>4</v>
      </c>
      <c r="L139" s="45"/>
      <c r="M139" s="45"/>
      <c r="N139" s="45"/>
      <c r="P139" s="39">
        <v>27</v>
      </c>
      <c r="Q139" s="39">
        <v>31</v>
      </c>
      <c r="R139" s="39">
        <v>4</v>
      </c>
      <c r="S139" s="39">
        <v>31</v>
      </c>
      <c r="T139" s="39">
        <v>0</v>
      </c>
      <c r="U139" s="39">
        <v>0</v>
      </c>
      <c r="V139" s="39">
        <v>0</v>
      </c>
      <c r="W139" s="49">
        <v>0</v>
      </c>
      <c r="X139" s="49"/>
      <c r="Y139" s="49"/>
      <c r="Z139" s="49">
        <v>50</v>
      </c>
      <c r="AA139" s="50"/>
      <c r="AB139" s="50"/>
      <c r="AC139" s="50"/>
      <c r="AD139" s="50"/>
      <c r="AE139" s="50"/>
      <c r="AH139" s="39">
        <v>4000</v>
      </c>
      <c r="AI139" s="39">
        <v>0</v>
      </c>
      <c r="AJ139" s="39">
        <v>0</v>
      </c>
      <c r="AK139" s="39">
        <v>0</v>
      </c>
      <c r="AL139" s="39">
        <v>0</v>
      </c>
      <c r="AM139" s="42">
        <v>0</v>
      </c>
      <c r="AN139" s="42">
        <v>0</v>
      </c>
      <c r="AO139" s="42" t="s">
        <v>416</v>
      </c>
      <c r="AP139" s="42">
        <v>31</v>
      </c>
      <c r="AQ139" s="42">
        <v>0</v>
      </c>
    </row>
    <row r="140" spans="1:43" x14ac:dyDescent="0.15">
      <c r="A140" s="37" t="s">
        <v>56</v>
      </c>
      <c r="B140" s="37" t="s">
        <v>14</v>
      </c>
      <c r="C140" s="37" t="s">
        <v>413</v>
      </c>
      <c r="D140" s="37" t="s">
        <v>548</v>
      </c>
      <c r="E140" s="37" t="s">
        <v>415</v>
      </c>
      <c r="F140" s="37" t="s">
        <v>6</v>
      </c>
      <c r="G140" s="37">
        <v>0</v>
      </c>
      <c r="H140" s="37">
        <v>31</v>
      </c>
      <c r="I140" s="41">
        <v>4</v>
      </c>
      <c r="J140" s="45">
        <v>4</v>
      </c>
      <c r="K140" s="45">
        <v>4</v>
      </c>
      <c r="L140" s="45"/>
      <c r="M140" s="45"/>
      <c r="N140" s="45"/>
      <c r="P140" s="39">
        <v>27</v>
      </c>
      <c r="Q140" s="39">
        <v>31</v>
      </c>
      <c r="R140" s="39">
        <v>4</v>
      </c>
      <c r="S140" s="39">
        <v>31</v>
      </c>
      <c r="T140" s="39">
        <v>0</v>
      </c>
      <c r="U140" s="39">
        <v>0</v>
      </c>
      <c r="V140" s="39">
        <v>0</v>
      </c>
      <c r="W140" s="49">
        <v>0</v>
      </c>
      <c r="X140" s="49"/>
      <c r="Y140" s="49"/>
      <c r="Z140" s="49"/>
      <c r="AA140" s="50"/>
      <c r="AB140" s="50"/>
      <c r="AC140" s="50"/>
      <c r="AD140" s="50"/>
      <c r="AE140" s="50"/>
      <c r="AH140" s="39">
        <v>0</v>
      </c>
      <c r="AI140" s="39">
        <v>0</v>
      </c>
      <c r="AJ140" s="39">
        <v>0</v>
      </c>
      <c r="AK140" s="39">
        <v>0</v>
      </c>
      <c r="AL140" s="39">
        <v>0</v>
      </c>
      <c r="AM140" s="42">
        <v>0</v>
      </c>
      <c r="AN140" s="42">
        <v>0</v>
      </c>
      <c r="AO140" s="42" t="s">
        <v>416</v>
      </c>
      <c r="AP140" s="42">
        <v>31</v>
      </c>
      <c r="AQ140" s="42">
        <v>0</v>
      </c>
    </row>
    <row r="141" spans="1:43" x14ac:dyDescent="0.15">
      <c r="A141" s="37" t="s">
        <v>56</v>
      </c>
      <c r="B141" s="37" t="s">
        <v>15</v>
      </c>
      <c r="C141" s="37" t="s">
        <v>417</v>
      </c>
      <c r="D141" s="37" t="s">
        <v>549</v>
      </c>
      <c r="E141" s="37" t="s">
        <v>415</v>
      </c>
      <c r="F141" s="37" t="s">
        <v>6</v>
      </c>
      <c r="G141" s="37">
        <v>0</v>
      </c>
      <c r="H141" s="37">
        <v>31</v>
      </c>
      <c r="I141" s="41">
        <v>4</v>
      </c>
      <c r="J141" s="45">
        <v>5</v>
      </c>
      <c r="K141" s="45">
        <v>4</v>
      </c>
      <c r="L141" s="45"/>
      <c r="M141" s="45">
        <v>1</v>
      </c>
      <c r="N141" s="45"/>
      <c r="P141" s="39">
        <v>26</v>
      </c>
      <c r="Q141" s="39">
        <v>31</v>
      </c>
      <c r="R141" s="39">
        <v>4</v>
      </c>
      <c r="S141" s="39">
        <v>31</v>
      </c>
      <c r="T141" s="39">
        <v>0</v>
      </c>
      <c r="U141" s="39">
        <v>0</v>
      </c>
      <c r="V141" s="39">
        <v>0</v>
      </c>
      <c r="W141" s="49">
        <v>0</v>
      </c>
      <c r="X141" s="49"/>
      <c r="Y141" s="49"/>
      <c r="Z141" s="49"/>
      <c r="AA141" s="50"/>
      <c r="AB141" s="50"/>
      <c r="AC141" s="50"/>
      <c r="AD141" s="50"/>
      <c r="AE141" s="50"/>
      <c r="AH141" s="39">
        <v>0</v>
      </c>
      <c r="AI141" s="39">
        <v>0</v>
      </c>
      <c r="AJ141" s="39">
        <v>0</v>
      </c>
      <c r="AK141" s="39">
        <v>0</v>
      </c>
      <c r="AL141" s="39">
        <v>0</v>
      </c>
      <c r="AM141" s="42">
        <v>0</v>
      </c>
      <c r="AN141" s="42">
        <v>0</v>
      </c>
      <c r="AO141" s="42" t="s">
        <v>416</v>
      </c>
      <c r="AP141" s="42">
        <v>31</v>
      </c>
      <c r="AQ141" s="42">
        <v>0</v>
      </c>
    </row>
    <row r="142" spans="1:43" x14ac:dyDescent="0.15">
      <c r="A142" s="37" t="s">
        <v>56</v>
      </c>
      <c r="B142" s="37" t="s">
        <v>419</v>
      </c>
      <c r="C142" s="37" t="s">
        <v>417</v>
      </c>
      <c r="D142" s="37" t="s">
        <v>550</v>
      </c>
      <c r="E142" s="37" t="s">
        <v>415</v>
      </c>
      <c r="F142" s="37" t="s">
        <v>6</v>
      </c>
      <c r="G142" s="37">
        <v>0</v>
      </c>
      <c r="H142" s="37">
        <v>31</v>
      </c>
      <c r="I142" s="41">
        <v>4</v>
      </c>
      <c r="J142" s="45">
        <v>4</v>
      </c>
      <c r="K142" s="45">
        <v>4</v>
      </c>
      <c r="L142" s="45"/>
      <c r="M142" s="45"/>
      <c r="N142" s="45"/>
      <c r="P142" s="39">
        <v>27</v>
      </c>
      <c r="Q142" s="39">
        <v>31</v>
      </c>
      <c r="R142" s="39">
        <v>4</v>
      </c>
      <c r="S142" s="39">
        <v>31</v>
      </c>
      <c r="T142" s="39">
        <v>0</v>
      </c>
      <c r="U142" s="39">
        <v>0</v>
      </c>
      <c r="V142" s="39">
        <v>0</v>
      </c>
      <c r="W142" s="49">
        <v>0</v>
      </c>
      <c r="X142" s="49">
        <v>10</v>
      </c>
      <c r="Y142" s="49"/>
      <c r="Z142" s="49"/>
      <c r="AA142" s="50"/>
      <c r="AB142" s="50"/>
      <c r="AC142" s="50"/>
      <c r="AD142" s="50"/>
      <c r="AE142" s="50"/>
      <c r="AH142" s="39">
        <v>0</v>
      </c>
      <c r="AI142" s="39">
        <v>0</v>
      </c>
      <c r="AJ142" s="39">
        <v>0</v>
      </c>
      <c r="AK142" s="39">
        <v>0</v>
      </c>
      <c r="AL142" s="39">
        <v>0</v>
      </c>
      <c r="AM142" s="42">
        <v>0</v>
      </c>
      <c r="AN142" s="42">
        <v>0</v>
      </c>
      <c r="AO142" s="42" t="s">
        <v>416</v>
      </c>
      <c r="AP142" s="42">
        <v>31</v>
      </c>
      <c r="AQ142" s="42">
        <v>0</v>
      </c>
    </row>
    <row r="143" spans="1:43" x14ac:dyDescent="0.15">
      <c r="A143" s="37" t="s">
        <v>56</v>
      </c>
      <c r="B143" s="37" t="s">
        <v>419</v>
      </c>
      <c r="C143" s="37" t="s">
        <v>417</v>
      </c>
      <c r="D143" s="37" t="s">
        <v>551</v>
      </c>
      <c r="E143" s="37" t="s">
        <v>415</v>
      </c>
      <c r="F143" s="37" t="s">
        <v>6</v>
      </c>
      <c r="G143" s="37">
        <v>0</v>
      </c>
      <c r="H143" s="37">
        <v>31</v>
      </c>
      <c r="I143" s="41">
        <v>4</v>
      </c>
      <c r="J143" s="45">
        <v>5</v>
      </c>
      <c r="K143" s="45">
        <v>4</v>
      </c>
      <c r="L143" s="45"/>
      <c r="M143" s="45">
        <v>1</v>
      </c>
      <c r="N143" s="45"/>
      <c r="P143" s="39">
        <v>26</v>
      </c>
      <c r="Q143" s="39">
        <v>31</v>
      </c>
      <c r="R143" s="39">
        <v>4</v>
      </c>
      <c r="S143" s="39">
        <v>31</v>
      </c>
      <c r="T143" s="39">
        <v>0</v>
      </c>
      <c r="U143" s="39">
        <v>0</v>
      </c>
      <c r="V143" s="39">
        <v>0</v>
      </c>
      <c r="W143" s="49">
        <v>0</v>
      </c>
      <c r="X143" s="49"/>
      <c r="Y143" s="49"/>
      <c r="Z143" s="49"/>
      <c r="AA143" s="50"/>
      <c r="AB143" s="50"/>
      <c r="AC143" s="50"/>
      <c r="AD143" s="50"/>
      <c r="AE143" s="50"/>
      <c r="AH143" s="39">
        <v>0</v>
      </c>
      <c r="AI143" s="39">
        <v>0</v>
      </c>
      <c r="AJ143" s="39">
        <v>0</v>
      </c>
      <c r="AK143" s="39">
        <v>0</v>
      </c>
      <c r="AL143" s="39">
        <v>0</v>
      </c>
      <c r="AM143" s="42">
        <v>0</v>
      </c>
      <c r="AN143" s="42">
        <v>0</v>
      </c>
      <c r="AO143" s="42" t="s">
        <v>416</v>
      </c>
      <c r="AP143" s="42">
        <v>31</v>
      </c>
      <c r="AQ143" s="42">
        <v>0</v>
      </c>
    </row>
    <row r="144" spans="1:43" x14ac:dyDescent="0.15">
      <c r="A144" s="37" t="s">
        <v>56</v>
      </c>
      <c r="B144" s="37" t="s">
        <v>419</v>
      </c>
      <c r="C144" s="37" t="s">
        <v>417</v>
      </c>
      <c r="D144" s="37" t="s">
        <v>552</v>
      </c>
      <c r="E144" s="37" t="s">
        <v>415</v>
      </c>
      <c r="F144" s="37" t="s">
        <v>6</v>
      </c>
      <c r="G144" s="37">
        <v>0</v>
      </c>
      <c r="H144" s="37">
        <v>31</v>
      </c>
      <c r="I144" s="41">
        <v>4</v>
      </c>
      <c r="J144" s="45">
        <v>4</v>
      </c>
      <c r="K144" s="45">
        <v>4</v>
      </c>
      <c r="L144" s="45"/>
      <c r="M144" s="45"/>
      <c r="N144" s="45"/>
      <c r="P144" s="39">
        <v>27</v>
      </c>
      <c r="Q144" s="39">
        <v>31</v>
      </c>
      <c r="R144" s="39">
        <v>4</v>
      </c>
      <c r="S144" s="39">
        <v>31</v>
      </c>
      <c r="T144" s="39">
        <v>0</v>
      </c>
      <c r="U144" s="39">
        <v>0</v>
      </c>
      <c r="V144" s="39">
        <v>0</v>
      </c>
      <c r="W144" s="49">
        <v>0</v>
      </c>
      <c r="X144" s="49"/>
      <c r="Y144" s="49"/>
      <c r="Z144" s="49">
        <v>50</v>
      </c>
      <c r="AA144" s="50"/>
      <c r="AB144" s="50"/>
      <c r="AC144" s="50"/>
      <c r="AD144" s="50"/>
      <c r="AE144" s="50"/>
      <c r="AH144" s="39">
        <v>0</v>
      </c>
      <c r="AI144" s="39">
        <v>0</v>
      </c>
      <c r="AJ144" s="39">
        <v>0</v>
      </c>
      <c r="AK144" s="39">
        <v>0</v>
      </c>
      <c r="AL144" s="39">
        <v>0</v>
      </c>
      <c r="AM144" s="42">
        <v>0</v>
      </c>
      <c r="AN144" s="42">
        <v>0</v>
      </c>
      <c r="AO144" s="42" t="s">
        <v>416</v>
      </c>
      <c r="AP144" s="42">
        <v>31</v>
      </c>
      <c r="AQ144" s="42">
        <v>0</v>
      </c>
    </row>
    <row r="145" spans="1:43" x14ac:dyDescent="0.15">
      <c r="A145" s="37" t="s">
        <v>56</v>
      </c>
      <c r="B145" s="37" t="s">
        <v>419</v>
      </c>
      <c r="C145" s="37" t="s">
        <v>417</v>
      </c>
      <c r="D145" s="37" t="s">
        <v>553</v>
      </c>
      <c r="E145" s="37" t="s">
        <v>415</v>
      </c>
      <c r="F145" s="37" t="s">
        <v>6</v>
      </c>
      <c r="G145" s="37">
        <v>0</v>
      </c>
      <c r="H145" s="37">
        <v>31</v>
      </c>
      <c r="I145" s="41">
        <v>4</v>
      </c>
      <c r="J145" s="45">
        <v>4</v>
      </c>
      <c r="K145" s="45">
        <v>4</v>
      </c>
      <c r="L145" s="45"/>
      <c r="M145" s="45"/>
      <c r="N145" s="45"/>
      <c r="P145" s="39">
        <v>27</v>
      </c>
      <c r="Q145" s="39">
        <v>31</v>
      </c>
      <c r="R145" s="39">
        <v>4</v>
      </c>
      <c r="S145" s="39">
        <v>31</v>
      </c>
      <c r="T145" s="39">
        <v>0</v>
      </c>
      <c r="U145" s="39">
        <v>0</v>
      </c>
      <c r="V145" s="39">
        <v>0</v>
      </c>
      <c r="W145" s="49">
        <v>0</v>
      </c>
      <c r="X145" s="49"/>
      <c r="Y145" s="49"/>
      <c r="Z145" s="49"/>
      <c r="AA145" s="50"/>
      <c r="AB145" s="50"/>
      <c r="AC145" s="50"/>
      <c r="AD145" s="50"/>
      <c r="AE145" s="50"/>
      <c r="AH145" s="39">
        <v>4000</v>
      </c>
      <c r="AI145" s="39">
        <v>0</v>
      </c>
      <c r="AJ145" s="39">
        <v>0</v>
      </c>
      <c r="AK145" s="39">
        <v>0</v>
      </c>
      <c r="AL145" s="39">
        <v>0</v>
      </c>
      <c r="AM145" s="42">
        <v>0</v>
      </c>
      <c r="AN145" s="42">
        <v>0</v>
      </c>
      <c r="AO145" s="42" t="s">
        <v>416</v>
      </c>
      <c r="AP145" s="42">
        <v>31</v>
      </c>
      <c r="AQ145" s="42">
        <v>0</v>
      </c>
    </row>
    <row r="146" spans="1:43" x14ac:dyDescent="0.15">
      <c r="A146" s="37" t="s">
        <v>56</v>
      </c>
      <c r="B146" s="37" t="s">
        <v>419</v>
      </c>
      <c r="C146" s="37" t="s">
        <v>417</v>
      </c>
      <c r="D146" s="37" t="s">
        <v>554</v>
      </c>
      <c r="E146" s="37" t="s">
        <v>415</v>
      </c>
      <c r="F146" s="37" t="s">
        <v>6</v>
      </c>
      <c r="G146" s="37">
        <v>0</v>
      </c>
      <c r="H146" s="37">
        <v>31</v>
      </c>
      <c r="I146" s="41">
        <v>4</v>
      </c>
      <c r="J146" s="45">
        <v>4</v>
      </c>
      <c r="K146" s="45">
        <v>4</v>
      </c>
      <c r="L146" s="45"/>
      <c r="M146" s="45"/>
      <c r="N146" s="45"/>
      <c r="P146" s="39">
        <v>27</v>
      </c>
      <c r="Q146" s="39">
        <v>31</v>
      </c>
      <c r="R146" s="39">
        <v>4</v>
      </c>
      <c r="S146" s="39">
        <v>31</v>
      </c>
      <c r="T146" s="39">
        <v>0</v>
      </c>
      <c r="U146" s="39">
        <v>0</v>
      </c>
      <c r="V146" s="39">
        <v>0</v>
      </c>
      <c r="W146" s="49">
        <v>0</v>
      </c>
      <c r="X146" s="49">
        <v>10</v>
      </c>
      <c r="Y146" s="49">
        <v>10</v>
      </c>
      <c r="Z146" s="49"/>
      <c r="AA146" s="50"/>
      <c r="AB146" s="50"/>
      <c r="AC146" s="50">
        <v>100</v>
      </c>
      <c r="AD146" s="50"/>
      <c r="AE146" s="50"/>
      <c r="AH146" s="39">
        <v>3500</v>
      </c>
      <c r="AI146" s="39">
        <v>0</v>
      </c>
      <c r="AJ146" s="39">
        <v>0</v>
      </c>
      <c r="AK146" s="39">
        <v>0</v>
      </c>
      <c r="AL146" s="39">
        <v>0</v>
      </c>
      <c r="AM146" s="42">
        <v>0</v>
      </c>
      <c r="AN146" s="42">
        <v>0</v>
      </c>
      <c r="AO146" s="42" t="s">
        <v>416</v>
      </c>
      <c r="AP146" s="42">
        <v>31</v>
      </c>
      <c r="AQ146" s="42">
        <v>0</v>
      </c>
    </row>
    <row r="147" spans="1:43" x14ac:dyDescent="0.15">
      <c r="A147" s="37" t="s">
        <v>47</v>
      </c>
      <c r="B147" s="37" t="s">
        <v>16</v>
      </c>
      <c r="C147" s="37" t="s">
        <v>413</v>
      </c>
      <c r="D147" s="37" t="s">
        <v>555</v>
      </c>
      <c r="E147" s="37" t="s">
        <v>415</v>
      </c>
      <c r="F147" s="37" t="s">
        <v>6</v>
      </c>
      <c r="G147" s="37">
        <v>0</v>
      </c>
      <c r="H147" s="37">
        <v>31</v>
      </c>
      <c r="I147" s="41">
        <v>4</v>
      </c>
      <c r="J147" s="45">
        <v>4</v>
      </c>
      <c r="K147" s="45">
        <v>4</v>
      </c>
      <c r="L147" s="45"/>
      <c r="M147" s="45"/>
      <c r="N147" s="45"/>
      <c r="P147" s="39">
        <v>27</v>
      </c>
      <c r="Q147" s="39">
        <v>31</v>
      </c>
      <c r="R147" s="39">
        <v>4</v>
      </c>
      <c r="S147" s="39">
        <v>31</v>
      </c>
      <c r="T147" s="39">
        <v>0</v>
      </c>
      <c r="U147" s="39">
        <v>0</v>
      </c>
      <c r="V147" s="39">
        <v>0</v>
      </c>
      <c r="W147" s="49">
        <v>0</v>
      </c>
      <c r="X147" s="49">
        <v>10</v>
      </c>
      <c r="Y147" s="49"/>
      <c r="Z147" s="49"/>
      <c r="AA147" s="50"/>
      <c r="AB147" s="50"/>
      <c r="AC147" s="50"/>
      <c r="AD147" s="50"/>
      <c r="AE147" s="50"/>
      <c r="AH147" s="39">
        <v>0</v>
      </c>
      <c r="AI147" s="39">
        <v>0</v>
      </c>
      <c r="AJ147" s="39">
        <v>0</v>
      </c>
      <c r="AK147" s="39">
        <v>0</v>
      </c>
      <c r="AL147" s="39">
        <v>0</v>
      </c>
      <c r="AM147" s="42">
        <v>0</v>
      </c>
      <c r="AN147" s="42">
        <v>0</v>
      </c>
      <c r="AO147" s="42" t="s">
        <v>416</v>
      </c>
      <c r="AP147" s="42">
        <v>31</v>
      </c>
      <c r="AQ147" s="42">
        <v>0</v>
      </c>
    </row>
    <row r="148" spans="1:43" x14ac:dyDescent="0.15">
      <c r="A148" s="37" t="s">
        <v>52</v>
      </c>
      <c r="B148" s="37" t="s">
        <v>15</v>
      </c>
      <c r="C148" s="37" t="s">
        <v>417</v>
      </c>
      <c r="D148" s="37" t="s">
        <v>556</v>
      </c>
      <c r="E148" s="37" t="s">
        <v>415</v>
      </c>
      <c r="F148" s="37" t="s">
        <v>6</v>
      </c>
      <c r="G148" s="37">
        <v>0</v>
      </c>
      <c r="H148" s="37">
        <v>31</v>
      </c>
      <c r="I148" s="41">
        <v>4</v>
      </c>
      <c r="J148" s="45">
        <v>12</v>
      </c>
      <c r="K148" s="45">
        <v>3</v>
      </c>
      <c r="L148" s="45">
        <v>7</v>
      </c>
      <c r="M148" s="45">
        <v>2</v>
      </c>
      <c r="N148" s="45"/>
      <c r="P148" s="39">
        <v>19</v>
      </c>
      <c r="Q148" s="39">
        <v>24</v>
      </c>
      <c r="R148" s="39">
        <v>3</v>
      </c>
      <c r="S148" s="39">
        <v>24</v>
      </c>
      <c r="T148" s="39">
        <v>0</v>
      </c>
      <c r="U148" s="39">
        <v>7</v>
      </c>
      <c r="V148" s="39">
        <v>0</v>
      </c>
      <c r="W148" s="49">
        <v>0</v>
      </c>
      <c r="X148" s="49"/>
      <c r="Y148" s="49"/>
      <c r="Z148" s="49"/>
      <c r="AA148" s="50"/>
      <c r="AB148" s="50"/>
      <c r="AC148" s="50"/>
      <c r="AD148" s="50"/>
      <c r="AE148" s="50"/>
      <c r="AH148" s="39">
        <v>0</v>
      </c>
      <c r="AI148" s="39">
        <v>0</v>
      </c>
      <c r="AJ148" s="39">
        <v>0</v>
      </c>
      <c r="AK148" s="39">
        <v>0</v>
      </c>
      <c r="AL148" s="39">
        <v>0</v>
      </c>
      <c r="AM148" s="42">
        <v>0</v>
      </c>
      <c r="AN148" s="42">
        <v>0</v>
      </c>
      <c r="AO148" s="42" t="s">
        <v>416</v>
      </c>
      <c r="AP148" s="42">
        <v>24</v>
      </c>
      <c r="AQ148" s="42">
        <v>0</v>
      </c>
    </row>
    <row r="149" spans="1:43" x14ac:dyDescent="0.15">
      <c r="A149" s="37" t="s">
        <v>52</v>
      </c>
      <c r="B149" s="37" t="s">
        <v>419</v>
      </c>
      <c r="C149" s="37" t="s">
        <v>417</v>
      </c>
      <c r="D149" s="37" t="s">
        <v>557</v>
      </c>
      <c r="E149" s="37" t="s">
        <v>415</v>
      </c>
      <c r="F149" s="37" t="s">
        <v>6</v>
      </c>
      <c r="G149" s="37">
        <v>0</v>
      </c>
      <c r="H149" s="37">
        <v>31</v>
      </c>
      <c r="I149" s="41">
        <v>4</v>
      </c>
      <c r="J149" s="45">
        <v>4</v>
      </c>
      <c r="K149" s="45">
        <v>4</v>
      </c>
      <c r="L149" s="45"/>
      <c r="M149" s="45"/>
      <c r="N149" s="45"/>
      <c r="P149" s="39">
        <v>27</v>
      </c>
      <c r="Q149" s="39">
        <v>31</v>
      </c>
      <c r="R149" s="39">
        <v>4</v>
      </c>
      <c r="S149" s="39">
        <v>31</v>
      </c>
      <c r="T149" s="39">
        <v>0</v>
      </c>
      <c r="U149" s="39">
        <v>0</v>
      </c>
      <c r="V149" s="39">
        <v>0</v>
      </c>
      <c r="W149" s="49">
        <v>0</v>
      </c>
      <c r="X149" s="49"/>
      <c r="Y149" s="49"/>
      <c r="Z149" s="49"/>
      <c r="AA149" s="50"/>
      <c r="AB149" s="50"/>
      <c r="AC149" s="50"/>
      <c r="AD149" s="50"/>
      <c r="AE149" s="50"/>
      <c r="AH149" s="39">
        <v>0</v>
      </c>
      <c r="AI149" s="39">
        <v>0</v>
      </c>
      <c r="AJ149" s="39">
        <v>0</v>
      </c>
      <c r="AK149" s="39">
        <v>0</v>
      </c>
      <c r="AL149" s="39">
        <v>0</v>
      </c>
      <c r="AM149" s="42">
        <v>0</v>
      </c>
      <c r="AN149" s="42">
        <v>0</v>
      </c>
      <c r="AO149" s="42" t="s">
        <v>416</v>
      </c>
      <c r="AP149" s="42">
        <v>31</v>
      </c>
      <c r="AQ149" s="42">
        <v>0</v>
      </c>
    </row>
    <row r="150" spans="1:43" x14ac:dyDescent="0.15">
      <c r="A150" s="37" t="s">
        <v>52</v>
      </c>
      <c r="B150" s="37" t="s">
        <v>14</v>
      </c>
      <c r="C150" s="37" t="s">
        <v>413</v>
      </c>
      <c r="D150" s="37" t="s">
        <v>558</v>
      </c>
      <c r="E150" s="37" t="s">
        <v>415</v>
      </c>
      <c r="F150" s="37" t="s">
        <v>6</v>
      </c>
      <c r="G150" s="37">
        <v>0</v>
      </c>
      <c r="H150" s="37">
        <v>31</v>
      </c>
      <c r="I150" s="41">
        <v>4</v>
      </c>
      <c r="J150" s="45">
        <v>6</v>
      </c>
      <c r="K150" s="45">
        <v>4</v>
      </c>
      <c r="L150" s="45"/>
      <c r="M150" s="45">
        <v>2</v>
      </c>
      <c r="N150" s="45"/>
      <c r="P150" s="39">
        <v>25</v>
      </c>
      <c r="Q150" s="39">
        <v>31</v>
      </c>
      <c r="R150" s="39">
        <v>4</v>
      </c>
      <c r="S150" s="39">
        <v>31</v>
      </c>
      <c r="T150" s="39">
        <v>0</v>
      </c>
      <c r="U150" s="39">
        <v>0</v>
      </c>
      <c r="V150" s="39">
        <v>0</v>
      </c>
      <c r="W150" s="49">
        <v>0</v>
      </c>
      <c r="X150" s="49"/>
      <c r="Y150" s="49"/>
      <c r="Z150" s="49"/>
      <c r="AA150" s="50"/>
      <c r="AB150" s="50"/>
      <c r="AC150" s="50"/>
      <c r="AD150" s="50"/>
      <c r="AE150" s="50"/>
      <c r="AH150" s="39">
        <v>0</v>
      </c>
      <c r="AI150" s="39">
        <v>0</v>
      </c>
      <c r="AJ150" s="39">
        <v>0</v>
      </c>
      <c r="AK150" s="39">
        <v>0</v>
      </c>
      <c r="AL150" s="39">
        <v>0</v>
      </c>
      <c r="AM150" s="42">
        <v>0</v>
      </c>
      <c r="AN150" s="42">
        <v>0</v>
      </c>
      <c r="AO150" s="42" t="s">
        <v>416</v>
      </c>
      <c r="AP150" s="42">
        <v>31</v>
      </c>
      <c r="AQ150" s="42">
        <v>0</v>
      </c>
    </row>
    <row r="151" spans="1:43" x14ac:dyDescent="0.15">
      <c r="A151" s="37" t="s">
        <v>52</v>
      </c>
      <c r="B151" s="37" t="s">
        <v>419</v>
      </c>
      <c r="C151" s="37" t="s">
        <v>417</v>
      </c>
      <c r="D151" s="37" t="s">
        <v>559</v>
      </c>
      <c r="E151" s="37" t="s">
        <v>415</v>
      </c>
      <c r="F151" s="37" t="s">
        <v>6</v>
      </c>
      <c r="G151" s="37">
        <v>0</v>
      </c>
      <c r="H151" s="37">
        <v>31</v>
      </c>
      <c r="I151" s="41">
        <v>4</v>
      </c>
      <c r="J151" s="45">
        <v>6</v>
      </c>
      <c r="K151" s="45">
        <v>4</v>
      </c>
      <c r="L151" s="45"/>
      <c r="M151" s="45">
        <v>2</v>
      </c>
      <c r="N151" s="45"/>
      <c r="P151" s="39">
        <v>25</v>
      </c>
      <c r="Q151" s="39">
        <v>31</v>
      </c>
      <c r="R151" s="39">
        <v>4</v>
      </c>
      <c r="S151" s="39">
        <v>31</v>
      </c>
      <c r="T151" s="39">
        <v>0</v>
      </c>
      <c r="U151" s="39">
        <v>0</v>
      </c>
      <c r="V151" s="39">
        <v>0</v>
      </c>
      <c r="W151" s="49">
        <v>0</v>
      </c>
      <c r="X151" s="49"/>
      <c r="Y151" s="49"/>
      <c r="Z151" s="49"/>
      <c r="AA151" s="50"/>
      <c r="AB151" s="50"/>
      <c r="AC151" s="50"/>
      <c r="AD151" s="50"/>
      <c r="AE151" s="50"/>
      <c r="AH151" s="39">
        <v>0</v>
      </c>
      <c r="AI151" s="39">
        <v>0</v>
      </c>
      <c r="AJ151" s="39">
        <v>0</v>
      </c>
      <c r="AK151" s="39">
        <v>0</v>
      </c>
      <c r="AL151" s="39">
        <v>0</v>
      </c>
      <c r="AM151" s="42">
        <v>0</v>
      </c>
      <c r="AN151" s="42">
        <v>0</v>
      </c>
      <c r="AO151" s="42" t="s">
        <v>416</v>
      </c>
      <c r="AP151" s="42">
        <v>31</v>
      </c>
      <c r="AQ151" s="42">
        <v>0</v>
      </c>
    </row>
    <row r="152" spans="1:43" x14ac:dyDescent="0.15">
      <c r="A152" s="37" t="s">
        <v>52</v>
      </c>
      <c r="B152" s="37" t="s">
        <v>419</v>
      </c>
      <c r="C152" s="37" t="s">
        <v>417</v>
      </c>
      <c r="D152" s="37" t="s">
        <v>560</v>
      </c>
      <c r="E152" s="37" t="s">
        <v>415</v>
      </c>
      <c r="F152" s="37" t="s">
        <v>6</v>
      </c>
      <c r="G152" s="37" t="s">
        <v>561</v>
      </c>
      <c r="H152" s="37">
        <v>31</v>
      </c>
      <c r="I152" s="41">
        <v>4</v>
      </c>
      <c r="J152" s="45">
        <v>6</v>
      </c>
      <c r="K152" s="45">
        <v>4</v>
      </c>
      <c r="L152" s="45"/>
      <c r="M152" s="45">
        <v>2</v>
      </c>
      <c r="N152" s="45"/>
      <c r="P152" s="39">
        <v>25</v>
      </c>
      <c r="Q152" s="39">
        <v>31</v>
      </c>
      <c r="R152" s="39">
        <v>4</v>
      </c>
      <c r="S152" s="39">
        <v>31</v>
      </c>
      <c r="T152" s="39">
        <v>0</v>
      </c>
      <c r="U152" s="39">
        <v>0</v>
      </c>
      <c r="V152" s="39">
        <v>0</v>
      </c>
      <c r="W152" s="49">
        <v>0</v>
      </c>
      <c r="X152" s="49"/>
      <c r="Y152" s="49"/>
      <c r="Z152" s="49"/>
      <c r="AA152" s="50"/>
      <c r="AB152" s="50"/>
      <c r="AC152" s="50"/>
      <c r="AD152" s="50"/>
      <c r="AE152" s="50"/>
      <c r="AH152" s="39">
        <v>0</v>
      </c>
      <c r="AI152" s="39">
        <v>0</v>
      </c>
      <c r="AJ152" s="39">
        <v>0</v>
      </c>
      <c r="AK152" s="39">
        <v>0</v>
      </c>
      <c r="AL152" s="39">
        <v>0</v>
      </c>
      <c r="AM152" s="42">
        <v>0</v>
      </c>
      <c r="AN152" s="42">
        <v>0</v>
      </c>
      <c r="AO152" s="42" t="s">
        <v>416</v>
      </c>
      <c r="AP152" s="42">
        <v>31</v>
      </c>
      <c r="AQ152" s="42">
        <v>0</v>
      </c>
    </row>
    <row r="153" spans="1:43" x14ac:dyDescent="0.15">
      <c r="A153" s="37" t="s">
        <v>52</v>
      </c>
      <c r="B153" s="37" t="s">
        <v>419</v>
      </c>
      <c r="C153" s="37" t="s">
        <v>417</v>
      </c>
      <c r="D153" s="37" t="s">
        <v>562</v>
      </c>
      <c r="E153" s="37" t="s">
        <v>415</v>
      </c>
      <c r="F153" s="37" t="s">
        <v>6</v>
      </c>
      <c r="G153" s="37">
        <v>0</v>
      </c>
      <c r="H153" s="37">
        <v>31</v>
      </c>
      <c r="I153" s="41">
        <v>4</v>
      </c>
      <c r="J153" s="45">
        <v>4</v>
      </c>
      <c r="K153" s="45">
        <v>4</v>
      </c>
      <c r="L153" s="45"/>
      <c r="M153" s="45"/>
      <c r="N153" s="45"/>
      <c r="P153" s="39">
        <v>27</v>
      </c>
      <c r="Q153" s="39">
        <v>31</v>
      </c>
      <c r="R153" s="39">
        <v>4</v>
      </c>
      <c r="S153" s="39">
        <v>31</v>
      </c>
      <c r="T153" s="39">
        <v>0</v>
      </c>
      <c r="U153" s="39">
        <v>0</v>
      </c>
      <c r="V153" s="39">
        <v>0</v>
      </c>
      <c r="W153" s="49">
        <v>0</v>
      </c>
      <c r="X153" s="49"/>
      <c r="Y153" s="49"/>
      <c r="Z153" s="49">
        <v>50</v>
      </c>
      <c r="AA153" s="50"/>
      <c r="AB153" s="50"/>
      <c r="AC153" s="50"/>
      <c r="AD153" s="50"/>
      <c r="AE153" s="50"/>
      <c r="AH153" s="39">
        <v>0</v>
      </c>
      <c r="AI153" s="39">
        <v>0</v>
      </c>
      <c r="AJ153" s="39">
        <v>0</v>
      </c>
      <c r="AK153" s="39">
        <v>0</v>
      </c>
      <c r="AL153" s="39">
        <v>0</v>
      </c>
      <c r="AM153" s="42">
        <v>0</v>
      </c>
      <c r="AN153" s="42">
        <v>0</v>
      </c>
      <c r="AO153" s="42" t="s">
        <v>416</v>
      </c>
      <c r="AP153" s="42">
        <v>31</v>
      </c>
      <c r="AQ153" s="42">
        <v>0</v>
      </c>
    </row>
    <row r="154" spans="1:43" x14ac:dyDescent="0.15">
      <c r="A154" s="37" t="s">
        <v>52</v>
      </c>
      <c r="B154" s="37" t="s">
        <v>419</v>
      </c>
      <c r="C154" s="37" t="s">
        <v>417</v>
      </c>
      <c r="D154" s="37" t="s">
        <v>563</v>
      </c>
      <c r="E154" s="37" t="s">
        <v>415</v>
      </c>
      <c r="F154" s="37" t="s">
        <v>6</v>
      </c>
      <c r="G154" s="37">
        <v>0</v>
      </c>
      <c r="H154" s="37">
        <v>31</v>
      </c>
      <c r="I154" s="41">
        <v>4</v>
      </c>
      <c r="J154" s="45">
        <v>6</v>
      </c>
      <c r="K154" s="45">
        <v>4</v>
      </c>
      <c r="L154" s="45"/>
      <c r="M154" s="45">
        <v>2</v>
      </c>
      <c r="N154" s="45"/>
      <c r="P154" s="39">
        <v>25</v>
      </c>
      <c r="Q154" s="39">
        <v>31</v>
      </c>
      <c r="R154" s="39">
        <v>4</v>
      </c>
      <c r="S154" s="39">
        <v>31</v>
      </c>
      <c r="T154" s="39">
        <v>0</v>
      </c>
      <c r="U154" s="39">
        <v>0</v>
      </c>
      <c r="V154" s="39">
        <v>0</v>
      </c>
      <c r="W154" s="49">
        <v>0</v>
      </c>
      <c r="X154" s="49"/>
      <c r="Y154" s="49"/>
      <c r="Z154" s="49"/>
      <c r="AA154" s="50"/>
      <c r="AB154" s="50"/>
      <c r="AC154" s="50"/>
      <c r="AD154" s="50"/>
      <c r="AE154" s="50"/>
      <c r="AH154" s="39">
        <v>0</v>
      </c>
      <c r="AI154" s="39">
        <v>0</v>
      </c>
      <c r="AJ154" s="39">
        <v>0</v>
      </c>
      <c r="AK154" s="39">
        <v>0</v>
      </c>
      <c r="AL154" s="39">
        <v>0</v>
      </c>
      <c r="AM154" s="42">
        <v>0</v>
      </c>
      <c r="AN154" s="42">
        <v>0</v>
      </c>
      <c r="AO154" s="42" t="s">
        <v>416</v>
      </c>
      <c r="AP154" s="42">
        <v>31</v>
      </c>
      <c r="AQ154" s="42">
        <v>0</v>
      </c>
    </row>
    <row r="155" spans="1:43" x14ac:dyDescent="0.15">
      <c r="A155" s="37" t="s">
        <v>4</v>
      </c>
      <c r="B155" s="37" t="s">
        <v>13</v>
      </c>
      <c r="C155" s="37" t="s">
        <v>413</v>
      </c>
      <c r="D155" s="37" t="s">
        <v>27</v>
      </c>
      <c r="E155" s="37" t="s">
        <v>415</v>
      </c>
      <c r="F155" s="37" t="s">
        <v>6</v>
      </c>
      <c r="G155" s="37">
        <v>0</v>
      </c>
      <c r="H155" s="37">
        <v>31</v>
      </c>
      <c r="I155" s="39">
        <v>4</v>
      </c>
      <c r="J155" s="45">
        <v>4</v>
      </c>
      <c r="K155" s="45">
        <v>4</v>
      </c>
      <c r="L155" s="45"/>
      <c r="M155" s="45"/>
      <c r="N155" s="45"/>
      <c r="P155" s="39">
        <v>27</v>
      </c>
      <c r="Q155" s="39">
        <v>31</v>
      </c>
      <c r="R155" s="39">
        <v>4</v>
      </c>
      <c r="S155" s="39">
        <v>31</v>
      </c>
      <c r="T155" s="39">
        <v>0</v>
      </c>
      <c r="U155" s="39">
        <v>0</v>
      </c>
      <c r="V155" s="39">
        <v>0</v>
      </c>
      <c r="W155" s="49">
        <v>0</v>
      </c>
      <c r="X155" s="49">
        <v>10</v>
      </c>
      <c r="Y155" s="49"/>
      <c r="Z155" s="49"/>
      <c r="AA155" s="51"/>
      <c r="AB155" s="51"/>
      <c r="AC155" s="51"/>
      <c r="AD155" s="51"/>
      <c r="AE155" s="51"/>
      <c r="AH155" s="39">
        <v>0</v>
      </c>
      <c r="AI155" s="39">
        <v>0</v>
      </c>
      <c r="AJ155" s="39">
        <v>0</v>
      </c>
      <c r="AK155" s="39">
        <v>0</v>
      </c>
      <c r="AL155" s="39">
        <v>0</v>
      </c>
      <c r="AM155" s="42">
        <v>0</v>
      </c>
      <c r="AN155" s="42">
        <v>0</v>
      </c>
      <c r="AO155" s="42" t="s">
        <v>416</v>
      </c>
      <c r="AP155" s="42">
        <v>31</v>
      </c>
      <c r="AQ155" s="42">
        <v>0</v>
      </c>
    </row>
    <row r="156" spans="1:43" x14ac:dyDescent="0.15">
      <c r="A156" s="37" t="s">
        <v>38</v>
      </c>
      <c r="B156" s="37" t="s">
        <v>14</v>
      </c>
      <c r="C156" s="37" t="s">
        <v>413</v>
      </c>
      <c r="D156" s="37" t="s">
        <v>564</v>
      </c>
      <c r="E156" s="37" t="s">
        <v>415</v>
      </c>
      <c r="F156" s="37" t="s">
        <v>6</v>
      </c>
      <c r="G156" s="37">
        <v>0</v>
      </c>
      <c r="H156" s="37">
        <v>31</v>
      </c>
      <c r="I156" s="41">
        <v>4</v>
      </c>
      <c r="J156" s="45">
        <v>6</v>
      </c>
      <c r="K156" s="45">
        <v>4</v>
      </c>
      <c r="L156" s="45"/>
      <c r="M156" s="45">
        <v>2</v>
      </c>
      <c r="N156" s="45"/>
      <c r="P156" s="39">
        <v>25</v>
      </c>
      <c r="Q156" s="39">
        <v>31</v>
      </c>
      <c r="R156" s="39">
        <v>4</v>
      </c>
      <c r="S156" s="39">
        <v>31</v>
      </c>
      <c r="T156" s="39">
        <v>0</v>
      </c>
      <c r="U156" s="39">
        <v>0</v>
      </c>
      <c r="V156" s="39">
        <v>0</v>
      </c>
      <c r="W156" s="49">
        <v>0</v>
      </c>
      <c r="X156" s="49">
        <v>10</v>
      </c>
      <c r="Y156" s="49"/>
      <c r="Z156" s="49"/>
      <c r="AA156" s="50"/>
      <c r="AB156" s="50"/>
      <c r="AC156" s="50"/>
      <c r="AD156" s="50"/>
      <c r="AE156" s="50"/>
      <c r="AH156" s="39">
        <v>0</v>
      </c>
      <c r="AI156" s="39">
        <v>0</v>
      </c>
      <c r="AJ156" s="39">
        <v>0</v>
      </c>
      <c r="AK156" s="39">
        <v>0</v>
      </c>
      <c r="AL156" s="39">
        <v>0</v>
      </c>
      <c r="AM156" s="42">
        <v>0</v>
      </c>
      <c r="AN156" s="42">
        <v>0</v>
      </c>
      <c r="AO156" s="42" t="s">
        <v>416</v>
      </c>
      <c r="AP156" s="42">
        <v>31</v>
      </c>
      <c r="AQ156" s="42">
        <v>0</v>
      </c>
    </row>
    <row r="157" spans="1:43" x14ac:dyDescent="0.15">
      <c r="A157" s="37" t="s">
        <v>38</v>
      </c>
      <c r="B157" s="37" t="s">
        <v>419</v>
      </c>
      <c r="C157" s="37" t="s">
        <v>417</v>
      </c>
      <c r="D157" s="37" t="s">
        <v>565</v>
      </c>
      <c r="E157" s="37" t="s">
        <v>415</v>
      </c>
      <c r="F157" s="37" t="s">
        <v>6</v>
      </c>
      <c r="G157" s="37">
        <v>0</v>
      </c>
      <c r="H157" s="37">
        <v>31</v>
      </c>
      <c r="I157" s="41">
        <v>4</v>
      </c>
      <c r="J157" s="45">
        <v>6</v>
      </c>
      <c r="K157" s="45">
        <v>4</v>
      </c>
      <c r="L157" s="45"/>
      <c r="M157" s="45">
        <v>2</v>
      </c>
      <c r="N157" s="45"/>
      <c r="P157" s="39">
        <v>25</v>
      </c>
      <c r="Q157" s="39">
        <v>31</v>
      </c>
      <c r="R157" s="39">
        <v>4</v>
      </c>
      <c r="S157" s="39">
        <v>31</v>
      </c>
      <c r="T157" s="39">
        <v>0</v>
      </c>
      <c r="U157" s="39">
        <v>0</v>
      </c>
      <c r="V157" s="39">
        <v>0</v>
      </c>
      <c r="W157" s="49">
        <v>0</v>
      </c>
      <c r="X157" s="49">
        <v>10</v>
      </c>
      <c r="Y157" s="49"/>
      <c r="Z157" s="49"/>
      <c r="AA157" s="50"/>
      <c r="AB157" s="50"/>
      <c r="AC157" s="50"/>
      <c r="AD157" s="50"/>
      <c r="AE157" s="50"/>
      <c r="AH157" s="39">
        <v>0</v>
      </c>
      <c r="AI157" s="39">
        <v>0</v>
      </c>
      <c r="AJ157" s="39">
        <v>0</v>
      </c>
      <c r="AK157" s="39">
        <v>0</v>
      </c>
      <c r="AL157" s="39">
        <v>0</v>
      </c>
      <c r="AM157" s="42">
        <v>0</v>
      </c>
      <c r="AN157" s="42">
        <v>0</v>
      </c>
      <c r="AO157" s="42" t="s">
        <v>416</v>
      </c>
      <c r="AP157" s="42">
        <v>31</v>
      </c>
      <c r="AQ157" s="42">
        <v>0</v>
      </c>
    </row>
    <row r="158" spans="1:43" x14ac:dyDescent="0.15">
      <c r="A158" s="37" t="s">
        <v>38</v>
      </c>
      <c r="B158" s="37" t="s">
        <v>15</v>
      </c>
      <c r="C158" s="37" t="s">
        <v>417</v>
      </c>
      <c r="D158" s="37" t="s">
        <v>566</v>
      </c>
      <c r="E158" s="37" t="s">
        <v>415</v>
      </c>
      <c r="F158" s="37" t="s">
        <v>6</v>
      </c>
      <c r="G158" s="37">
        <v>0</v>
      </c>
      <c r="H158" s="37">
        <v>31</v>
      </c>
      <c r="I158" s="41">
        <v>4</v>
      </c>
      <c r="J158" s="45">
        <v>8</v>
      </c>
      <c r="K158" s="45">
        <v>4</v>
      </c>
      <c r="L158" s="45">
        <v>2</v>
      </c>
      <c r="M158" s="45">
        <v>2</v>
      </c>
      <c r="N158" s="45"/>
      <c r="P158" s="39">
        <v>23</v>
      </c>
      <c r="Q158" s="39">
        <v>29</v>
      </c>
      <c r="R158" s="39">
        <v>4</v>
      </c>
      <c r="S158" s="39">
        <v>29</v>
      </c>
      <c r="T158" s="39">
        <v>0</v>
      </c>
      <c r="U158" s="39">
        <v>2</v>
      </c>
      <c r="V158" s="39">
        <v>0</v>
      </c>
      <c r="W158" s="49">
        <v>0</v>
      </c>
      <c r="X158" s="49"/>
      <c r="Y158" s="49"/>
      <c r="Z158" s="49"/>
      <c r="AA158" s="50"/>
      <c r="AB158" s="50"/>
      <c r="AC158" s="50"/>
      <c r="AD158" s="50"/>
      <c r="AE158" s="50"/>
      <c r="AH158" s="39">
        <v>0</v>
      </c>
      <c r="AI158" s="39">
        <v>0</v>
      </c>
      <c r="AJ158" s="39">
        <v>0</v>
      </c>
      <c r="AK158" s="39">
        <v>0</v>
      </c>
      <c r="AL158" s="39">
        <v>0</v>
      </c>
      <c r="AM158" s="42">
        <v>0</v>
      </c>
      <c r="AN158" s="42">
        <v>0</v>
      </c>
      <c r="AO158" s="42" t="s">
        <v>416</v>
      </c>
      <c r="AP158" s="42">
        <v>29</v>
      </c>
      <c r="AQ158" s="42">
        <v>0</v>
      </c>
    </row>
    <row r="159" spans="1:43" x14ac:dyDescent="0.15">
      <c r="A159" s="37" t="s">
        <v>38</v>
      </c>
      <c r="B159" s="37" t="s">
        <v>419</v>
      </c>
      <c r="C159" s="37" t="s">
        <v>417</v>
      </c>
      <c r="D159" s="37" t="s">
        <v>567</v>
      </c>
      <c r="E159" s="37" t="s">
        <v>415</v>
      </c>
      <c r="F159" s="37" t="s">
        <v>6</v>
      </c>
      <c r="G159" s="37">
        <v>0</v>
      </c>
      <c r="H159" s="37">
        <v>31</v>
      </c>
      <c r="I159" s="41">
        <v>4</v>
      </c>
      <c r="J159" s="45">
        <v>6</v>
      </c>
      <c r="K159" s="45">
        <v>4</v>
      </c>
      <c r="L159" s="45"/>
      <c r="M159" s="45">
        <v>2</v>
      </c>
      <c r="N159" s="45"/>
      <c r="P159" s="39">
        <v>25</v>
      </c>
      <c r="Q159" s="39">
        <v>31</v>
      </c>
      <c r="R159" s="39">
        <v>4</v>
      </c>
      <c r="S159" s="39">
        <v>31</v>
      </c>
      <c r="T159" s="39">
        <v>0</v>
      </c>
      <c r="U159" s="39">
        <v>0</v>
      </c>
      <c r="V159" s="39">
        <v>0</v>
      </c>
      <c r="W159" s="49">
        <v>0</v>
      </c>
      <c r="X159" s="49">
        <v>20</v>
      </c>
      <c r="Y159" s="49"/>
      <c r="Z159" s="49"/>
      <c r="AA159" s="50"/>
      <c r="AB159" s="50"/>
      <c r="AC159" s="50"/>
      <c r="AD159" s="50"/>
      <c r="AE159" s="50"/>
      <c r="AH159" s="39">
        <v>0</v>
      </c>
      <c r="AI159" s="39">
        <v>0</v>
      </c>
      <c r="AJ159" s="39">
        <v>0</v>
      </c>
      <c r="AK159" s="39">
        <v>0</v>
      </c>
      <c r="AL159" s="39">
        <v>0</v>
      </c>
      <c r="AM159" s="42">
        <v>0</v>
      </c>
      <c r="AN159" s="42">
        <v>0</v>
      </c>
      <c r="AO159" s="42" t="s">
        <v>416</v>
      </c>
      <c r="AP159" s="42">
        <v>31</v>
      </c>
      <c r="AQ159" s="42">
        <v>0</v>
      </c>
    </row>
    <row r="160" spans="1:43" x14ac:dyDescent="0.15">
      <c r="A160" s="37" t="s">
        <v>38</v>
      </c>
      <c r="B160" s="37" t="s">
        <v>419</v>
      </c>
      <c r="C160" s="37" t="s">
        <v>417</v>
      </c>
      <c r="D160" s="37" t="s">
        <v>568</v>
      </c>
      <c r="E160" s="37" t="s">
        <v>415</v>
      </c>
      <c r="F160" s="37" t="s">
        <v>6</v>
      </c>
      <c r="G160" s="37">
        <v>0</v>
      </c>
      <c r="H160" s="37">
        <v>31</v>
      </c>
      <c r="I160" s="41">
        <v>4</v>
      </c>
      <c r="J160" s="45">
        <v>6</v>
      </c>
      <c r="K160" s="45">
        <v>4</v>
      </c>
      <c r="L160" s="45"/>
      <c r="M160" s="45">
        <v>2</v>
      </c>
      <c r="N160" s="45"/>
      <c r="P160" s="39">
        <v>25</v>
      </c>
      <c r="Q160" s="39">
        <v>31</v>
      </c>
      <c r="R160" s="39">
        <v>4</v>
      </c>
      <c r="S160" s="39">
        <v>31</v>
      </c>
      <c r="T160" s="39">
        <v>0</v>
      </c>
      <c r="U160" s="39">
        <v>0</v>
      </c>
      <c r="V160" s="39">
        <v>0</v>
      </c>
      <c r="W160" s="49">
        <v>0</v>
      </c>
      <c r="X160" s="49"/>
      <c r="Y160" s="49"/>
      <c r="Z160" s="49"/>
      <c r="AA160" s="50"/>
      <c r="AB160" s="50"/>
      <c r="AC160" s="50"/>
      <c r="AD160" s="50"/>
      <c r="AE160" s="50"/>
      <c r="AH160" s="39">
        <v>0</v>
      </c>
      <c r="AI160" s="39">
        <v>0</v>
      </c>
      <c r="AJ160" s="39">
        <v>0</v>
      </c>
      <c r="AK160" s="39">
        <v>0</v>
      </c>
      <c r="AL160" s="39">
        <v>0</v>
      </c>
      <c r="AM160" s="42">
        <v>0</v>
      </c>
      <c r="AN160" s="42">
        <v>0</v>
      </c>
      <c r="AO160" s="42" t="s">
        <v>416</v>
      </c>
      <c r="AP160" s="42">
        <v>31</v>
      </c>
      <c r="AQ160" s="42">
        <v>0</v>
      </c>
    </row>
    <row r="161" spans="1:43" x14ac:dyDescent="0.15">
      <c r="A161" s="37" t="s">
        <v>38</v>
      </c>
      <c r="B161" s="37" t="s">
        <v>419</v>
      </c>
      <c r="C161" s="37" t="s">
        <v>417</v>
      </c>
      <c r="D161" s="37" t="s">
        <v>569</v>
      </c>
      <c r="E161" s="37" t="s">
        <v>415</v>
      </c>
      <c r="F161" s="37" t="s">
        <v>6</v>
      </c>
      <c r="G161" s="37">
        <v>0</v>
      </c>
      <c r="H161" s="37">
        <v>31</v>
      </c>
      <c r="I161" s="41">
        <v>4</v>
      </c>
      <c r="J161" s="45">
        <v>4</v>
      </c>
      <c r="K161" s="45">
        <v>4</v>
      </c>
      <c r="L161" s="45"/>
      <c r="M161" s="45"/>
      <c r="N161" s="45"/>
      <c r="P161" s="39">
        <v>27</v>
      </c>
      <c r="Q161" s="39">
        <v>31</v>
      </c>
      <c r="R161" s="39">
        <v>4</v>
      </c>
      <c r="S161" s="39">
        <v>31</v>
      </c>
      <c r="T161" s="39">
        <v>0</v>
      </c>
      <c r="U161" s="39">
        <v>0</v>
      </c>
      <c r="V161" s="39">
        <v>0</v>
      </c>
      <c r="W161" s="49">
        <v>0</v>
      </c>
      <c r="X161" s="49">
        <v>10</v>
      </c>
      <c r="Y161" s="49"/>
      <c r="Z161" s="49"/>
      <c r="AA161" s="50"/>
      <c r="AB161" s="50"/>
      <c r="AC161" s="50"/>
      <c r="AD161" s="50"/>
      <c r="AE161" s="50"/>
      <c r="AH161" s="39">
        <v>0</v>
      </c>
      <c r="AI161" s="39">
        <v>0</v>
      </c>
      <c r="AJ161" s="39">
        <v>0</v>
      </c>
      <c r="AK161" s="39">
        <v>0</v>
      </c>
      <c r="AL161" s="39">
        <v>0</v>
      </c>
      <c r="AM161" s="42">
        <v>0</v>
      </c>
      <c r="AN161" s="42">
        <v>0</v>
      </c>
      <c r="AO161" s="42" t="s">
        <v>416</v>
      </c>
      <c r="AP161" s="42">
        <v>31</v>
      </c>
      <c r="AQ161" s="42">
        <v>0</v>
      </c>
    </row>
    <row r="162" spans="1:43" x14ac:dyDescent="0.15">
      <c r="A162" s="37" t="s">
        <v>57</v>
      </c>
      <c r="B162" s="37" t="s">
        <v>16</v>
      </c>
      <c r="C162" s="37" t="s">
        <v>413</v>
      </c>
      <c r="D162" s="37" t="s">
        <v>570</v>
      </c>
      <c r="E162" s="37" t="s">
        <v>415</v>
      </c>
      <c r="F162" s="37" t="s">
        <v>6</v>
      </c>
      <c r="G162" s="37">
        <v>0</v>
      </c>
      <c r="H162" s="37">
        <v>31</v>
      </c>
      <c r="I162" s="41">
        <v>4</v>
      </c>
      <c r="J162" s="45">
        <v>2</v>
      </c>
      <c r="K162" s="45">
        <v>2</v>
      </c>
      <c r="L162" s="45"/>
      <c r="M162" s="45"/>
      <c r="N162" s="45"/>
      <c r="P162" s="39">
        <v>29</v>
      </c>
      <c r="Q162" s="39">
        <v>31</v>
      </c>
      <c r="R162" s="39">
        <v>4</v>
      </c>
      <c r="S162" s="39">
        <v>31</v>
      </c>
      <c r="T162" s="39">
        <v>0</v>
      </c>
      <c r="U162" s="39">
        <v>0</v>
      </c>
      <c r="V162" s="39">
        <v>0</v>
      </c>
      <c r="W162" s="49">
        <v>0</v>
      </c>
      <c r="X162" s="49">
        <v>150</v>
      </c>
      <c r="Y162" s="49">
        <v>40</v>
      </c>
      <c r="Z162" s="49"/>
      <c r="AA162" s="50"/>
      <c r="AB162" s="50"/>
      <c r="AC162" s="50"/>
      <c r="AD162" s="50"/>
      <c r="AE162" s="50"/>
      <c r="AH162" s="39">
        <v>0</v>
      </c>
      <c r="AI162" s="39">
        <v>0</v>
      </c>
      <c r="AJ162" s="39">
        <v>0</v>
      </c>
      <c r="AK162" s="39">
        <v>0</v>
      </c>
      <c r="AL162" s="39">
        <v>0</v>
      </c>
      <c r="AM162" s="42">
        <v>0</v>
      </c>
      <c r="AN162" s="42">
        <v>0</v>
      </c>
      <c r="AO162" s="42" t="s">
        <v>416</v>
      </c>
      <c r="AP162" s="42">
        <v>31</v>
      </c>
      <c r="AQ162" s="42">
        <v>0</v>
      </c>
    </row>
    <row r="163" spans="1:43" x14ac:dyDescent="0.15">
      <c r="A163" s="37" t="s">
        <v>38</v>
      </c>
      <c r="B163" s="37" t="s">
        <v>419</v>
      </c>
      <c r="C163" s="37" t="s">
        <v>417</v>
      </c>
      <c r="D163" s="37" t="s">
        <v>571</v>
      </c>
      <c r="E163" s="37" t="s">
        <v>415</v>
      </c>
      <c r="F163" s="37" t="s">
        <v>6</v>
      </c>
      <c r="G163" s="37">
        <v>0</v>
      </c>
      <c r="H163" s="37">
        <v>31</v>
      </c>
      <c r="I163" s="41">
        <v>4</v>
      </c>
      <c r="J163" s="45">
        <v>4</v>
      </c>
      <c r="K163" s="45">
        <v>4</v>
      </c>
      <c r="L163" s="45"/>
      <c r="M163" s="45"/>
      <c r="N163" s="45"/>
      <c r="P163" s="39">
        <v>27</v>
      </c>
      <c r="Q163" s="39">
        <v>31</v>
      </c>
      <c r="R163" s="39">
        <v>4</v>
      </c>
      <c r="S163" s="39">
        <v>31</v>
      </c>
      <c r="T163" s="39">
        <v>0</v>
      </c>
      <c r="U163" s="39">
        <v>0</v>
      </c>
      <c r="V163" s="39">
        <v>0</v>
      </c>
      <c r="W163" s="49">
        <v>0</v>
      </c>
      <c r="X163" s="49"/>
      <c r="Y163" s="49"/>
      <c r="Z163" s="49"/>
      <c r="AA163" s="50"/>
      <c r="AB163" s="50"/>
      <c r="AC163" s="50"/>
      <c r="AD163" s="50"/>
      <c r="AE163" s="50"/>
      <c r="AH163" s="39">
        <v>4000</v>
      </c>
      <c r="AI163" s="39">
        <v>0</v>
      </c>
      <c r="AJ163" s="39">
        <v>0</v>
      </c>
      <c r="AK163" s="39">
        <v>0</v>
      </c>
      <c r="AL163" s="39">
        <v>0</v>
      </c>
      <c r="AM163" s="42">
        <v>0</v>
      </c>
      <c r="AN163" s="42">
        <v>0</v>
      </c>
      <c r="AO163" s="42" t="s">
        <v>416</v>
      </c>
      <c r="AP163" s="42">
        <v>31</v>
      </c>
      <c r="AQ163" s="42">
        <v>0</v>
      </c>
    </row>
    <row r="164" spans="1:43" x14ac:dyDescent="0.15">
      <c r="A164" s="37" t="s">
        <v>55</v>
      </c>
      <c r="B164" s="37" t="s">
        <v>419</v>
      </c>
      <c r="C164" s="37" t="s">
        <v>417</v>
      </c>
      <c r="D164" s="37" t="s">
        <v>572</v>
      </c>
      <c r="E164" s="37" t="s">
        <v>415</v>
      </c>
      <c r="F164" s="37" t="s">
        <v>6</v>
      </c>
      <c r="G164" s="37">
        <v>0</v>
      </c>
      <c r="H164" s="37">
        <v>31</v>
      </c>
      <c r="I164" s="41">
        <v>4</v>
      </c>
      <c r="J164" s="45">
        <v>5</v>
      </c>
      <c r="K164" s="45">
        <v>4</v>
      </c>
      <c r="L164" s="45"/>
      <c r="M164" s="45">
        <v>1</v>
      </c>
      <c r="N164" s="45"/>
      <c r="P164" s="39">
        <v>26</v>
      </c>
      <c r="Q164" s="39">
        <v>31</v>
      </c>
      <c r="R164" s="39">
        <v>4</v>
      </c>
      <c r="S164" s="39">
        <v>31</v>
      </c>
      <c r="T164" s="39">
        <v>0</v>
      </c>
      <c r="U164" s="39">
        <v>0</v>
      </c>
      <c r="V164" s="39">
        <v>0</v>
      </c>
      <c r="W164" s="49">
        <v>0</v>
      </c>
      <c r="X164" s="49">
        <v>10</v>
      </c>
      <c r="Y164" s="49"/>
      <c r="Z164" s="49"/>
      <c r="AA164" s="50"/>
      <c r="AB164" s="50"/>
      <c r="AC164" s="50"/>
      <c r="AD164" s="50"/>
      <c r="AE164" s="50"/>
      <c r="AH164" s="39">
        <v>0</v>
      </c>
      <c r="AI164" s="39">
        <v>0</v>
      </c>
      <c r="AJ164" s="39">
        <v>0</v>
      </c>
      <c r="AK164" s="39">
        <v>0</v>
      </c>
      <c r="AL164" s="39">
        <v>0</v>
      </c>
      <c r="AM164" s="42">
        <v>0</v>
      </c>
      <c r="AN164" s="42">
        <v>0</v>
      </c>
      <c r="AO164" s="42" t="s">
        <v>416</v>
      </c>
      <c r="AP164" s="42">
        <v>31</v>
      </c>
      <c r="AQ164" s="42">
        <v>0</v>
      </c>
    </row>
    <row r="165" spans="1:43" x14ac:dyDescent="0.15">
      <c r="A165" s="37" t="s">
        <v>55</v>
      </c>
      <c r="B165" s="37" t="s">
        <v>14</v>
      </c>
      <c r="C165" s="37" t="s">
        <v>413</v>
      </c>
      <c r="D165" s="37" t="s">
        <v>573</v>
      </c>
      <c r="E165" s="37" t="s">
        <v>415</v>
      </c>
      <c r="F165" s="37" t="s">
        <v>6</v>
      </c>
      <c r="G165" s="37">
        <v>0</v>
      </c>
      <c r="H165" s="37">
        <v>31</v>
      </c>
      <c r="I165" s="41">
        <v>4</v>
      </c>
      <c r="J165" s="45">
        <v>4</v>
      </c>
      <c r="K165" s="45">
        <v>4</v>
      </c>
      <c r="L165" s="45"/>
      <c r="M165" s="45"/>
      <c r="N165" s="45"/>
      <c r="P165" s="39">
        <v>27</v>
      </c>
      <c r="Q165" s="39">
        <v>31</v>
      </c>
      <c r="R165" s="39">
        <v>4</v>
      </c>
      <c r="S165" s="39">
        <v>31</v>
      </c>
      <c r="T165" s="39">
        <v>0</v>
      </c>
      <c r="U165" s="39">
        <v>0</v>
      </c>
      <c r="V165" s="39">
        <v>0</v>
      </c>
      <c r="W165" s="49">
        <v>0</v>
      </c>
      <c r="X165" s="49">
        <v>90</v>
      </c>
      <c r="Y165" s="49"/>
      <c r="Z165" s="49"/>
      <c r="AA165" s="50"/>
      <c r="AB165" s="50"/>
      <c r="AC165" s="50"/>
      <c r="AD165" s="50"/>
      <c r="AE165" s="50"/>
      <c r="AH165" s="39">
        <v>0</v>
      </c>
      <c r="AI165" s="39">
        <v>0</v>
      </c>
      <c r="AJ165" s="39">
        <v>0</v>
      </c>
      <c r="AK165" s="39">
        <v>0</v>
      </c>
      <c r="AL165" s="39">
        <v>0</v>
      </c>
      <c r="AM165" s="42">
        <v>0</v>
      </c>
      <c r="AN165" s="42">
        <v>0</v>
      </c>
      <c r="AO165" s="42" t="s">
        <v>416</v>
      </c>
      <c r="AP165" s="42">
        <v>31</v>
      </c>
      <c r="AQ165" s="42">
        <v>0</v>
      </c>
    </row>
    <row r="166" spans="1:43" x14ac:dyDescent="0.15">
      <c r="A166" s="37" t="s">
        <v>55</v>
      </c>
      <c r="B166" s="37" t="s">
        <v>419</v>
      </c>
      <c r="C166" s="37" t="s">
        <v>417</v>
      </c>
      <c r="D166" s="37" t="s">
        <v>574</v>
      </c>
      <c r="E166" s="37" t="s">
        <v>415</v>
      </c>
      <c r="F166" s="37" t="s">
        <v>6</v>
      </c>
      <c r="G166" s="37">
        <v>0</v>
      </c>
      <c r="H166" s="37">
        <v>31</v>
      </c>
      <c r="I166" s="41">
        <v>4</v>
      </c>
      <c r="J166" s="45">
        <v>4</v>
      </c>
      <c r="K166" s="45">
        <v>4</v>
      </c>
      <c r="L166" s="45"/>
      <c r="M166" s="45"/>
      <c r="N166" s="45"/>
      <c r="P166" s="39">
        <v>27</v>
      </c>
      <c r="Q166" s="39">
        <v>31</v>
      </c>
      <c r="R166" s="39">
        <v>4</v>
      </c>
      <c r="S166" s="39">
        <v>31</v>
      </c>
      <c r="T166" s="39">
        <v>0</v>
      </c>
      <c r="U166" s="39">
        <v>0</v>
      </c>
      <c r="V166" s="39">
        <v>0</v>
      </c>
      <c r="W166" s="49">
        <v>0</v>
      </c>
      <c r="X166" s="49">
        <v>120</v>
      </c>
      <c r="Y166" s="49"/>
      <c r="Z166" s="49"/>
      <c r="AA166" s="50"/>
      <c r="AB166" s="50"/>
      <c r="AC166" s="50"/>
      <c r="AD166" s="50"/>
      <c r="AE166" s="50"/>
      <c r="AH166" s="39">
        <v>0</v>
      </c>
      <c r="AI166" s="39">
        <v>0</v>
      </c>
      <c r="AJ166" s="39">
        <v>0</v>
      </c>
      <c r="AK166" s="39">
        <v>0</v>
      </c>
      <c r="AL166" s="39">
        <v>0</v>
      </c>
      <c r="AM166" s="42">
        <v>0</v>
      </c>
      <c r="AN166" s="42">
        <v>0</v>
      </c>
      <c r="AO166" s="42" t="s">
        <v>416</v>
      </c>
      <c r="AP166" s="42">
        <v>31</v>
      </c>
      <c r="AQ166" s="42">
        <v>0</v>
      </c>
    </row>
    <row r="167" spans="1:43" x14ac:dyDescent="0.15">
      <c r="A167" s="37" t="s">
        <v>55</v>
      </c>
      <c r="B167" s="37" t="s">
        <v>419</v>
      </c>
      <c r="C167" s="37" t="s">
        <v>417</v>
      </c>
      <c r="D167" s="37" t="s">
        <v>575</v>
      </c>
      <c r="E167" s="37" t="s">
        <v>80</v>
      </c>
      <c r="F167" s="37" t="s">
        <v>6</v>
      </c>
      <c r="G167" s="37">
        <v>0</v>
      </c>
      <c r="H167" s="37">
        <v>7</v>
      </c>
      <c r="I167" s="41">
        <v>1</v>
      </c>
      <c r="J167" s="45">
        <v>0</v>
      </c>
      <c r="K167" s="45">
        <v>0</v>
      </c>
      <c r="L167" s="45"/>
      <c r="M167" s="45"/>
      <c r="N167" s="45"/>
      <c r="P167" s="39">
        <v>7</v>
      </c>
      <c r="Q167" s="39">
        <v>7</v>
      </c>
      <c r="R167" s="39">
        <v>1</v>
      </c>
      <c r="S167" s="39">
        <v>7</v>
      </c>
      <c r="T167" s="39">
        <v>0</v>
      </c>
      <c r="U167" s="39">
        <v>0</v>
      </c>
      <c r="V167" s="39">
        <v>0</v>
      </c>
      <c r="W167" s="49">
        <v>0</v>
      </c>
      <c r="X167" s="49"/>
      <c r="Y167" s="49"/>
      <c r="Z167" s="49"/>
      <c r="AA167" s="50"/>
      <c r="AB167" s="50"/>
      <c r="AC167" s="50"/>
      <c r="AD167" s="50"/>
      <c r="AE167" s="50"/>
      <c r="AH167" s="39">
        <v>0</v>
      </c>
      <c r="AI167" s="39">
        <v>0</v>
      </c>
      <c r="AJ167" s="39">
        <v>0</v>
      </c>
      <c r="AK167" s="39">
        <v>0</v>
      </c>
      <c r="AL167" s="39">
        <v>0</v>
      </c>
      <c r="AM167" s="42">
        <v>0</v>
      </c>
      <c r="AN167" s="42">
        <v>0</v>
      </c>
      <c r="AO167" s="42" t="s">
        <v>416</v>
      </c>
      <c r="AP167" s="42">
        <v>7</v>
      </c>
      <c r="AQ167" s="42">
        <v>0</v>
      </c>
    </row>
    <row r="168" spans="1:43" x14ac:dyDescent="0.15">
      <c r="A168" s="37" t="s">
        <v>55</v>
      </c>
      <c r="B168" s="37" t="s">
        <v>15</v>
      </c>
      <c r="C168" s="37" t="s">
        <v>417</v>
      </c>
      <c r="D168" s="37" t="s">
        <v>576</v>
      </c>
      <c r="E168" s="37" t="s">
        <v>415</v>
      </c>
      <c r="F168" s="37" t="s">
        <v>6</v>
      </c>
      <c r="G168" s="37">
        <v>0</v>
      </c>
      <c r="H168" s="37">
        <v>31</v>
      </c>
      <c r="I168" s="41">
        <v>4</v>
      </c>
      <c r="J168" s="45">
        <v>4</v>
      </c>
      <c r="K168" s="45">
        <v>4</v>
      </c>
      <c r="L168" s="45"/>
      <c r="M168" s="45"/>
      <c r="N168" s="45"/>
      <c r="P168" s="39">
        <v>27</v>
      </c>
      <c r="Q168" s="39">
        <v>31</v>
      </c>
      <c r="R168" s="39">
        <v>4</v>
      </c>
      <c r="S168" s="39">
        <v>31</v>
      </c>
      <c r="T168" s="39">
        <v>0</v>
      </c>
      <c r="U168" s="39">
        <v>0</v>
      </c>
      <c r="V168" s="39">
        <v>0</v>
      </c>
      <c r="W168" s="49">
        <v>0</v>
      </c>
      <c r="X168" s="49"/>
      <c r="Y168" s="49"/>
      <c r="Z168" s="49"/>
      <c r="AA168" s="50"/>
      <c r="AB168" s="50"/>
      <c r="AC168" s="50"/>
      <c r="AD168" s="50"/>
      <c r="AE168" s="50"/>
      <c r="AH168" s="39">
        <v>0</v>
      </c>
      <c r="AI168" s="39">
        <v>0</v>
      </c>
      <c r="AJ168" s="39">
        <v>0</v>
      </c>
      <c r="AK168" s="39">
        <v>0</v>
      </c>
      <c r="AL168" s="39">
        <v>0</v>
      </c>
      <c r="AM168" s="42">
        <v>0</v>
      </c>
      <c r="AN168" s="42">
        <v>0</v>
      </c>
      <c r="AO168" s="42" t="s">
        <v>416</v>
      </c>
      <c r="AP168" s="42">
        <v>31</v>
      </c>
      <c r="AQ168" s="42">
        <v>0</v>
      </c>
    </row>
    <row r="169" spans="1:43" x14ac:dyDescent="0.15">
      <c r="A169" s="37" t="s">
        <v>55</v>
      </c>
      <c r="B169" s="37" t="s">
        <v>419</v>
      </c>
      <c r="C169" s="37" t="s">
        <v>417</v>
      </c>
      <c r="D169" s="37" t="s">
        <v>577</v>
      </c>
      <c r="E169" s="37" t="s">
        <v>415</v>
      </c>
      <c r="F169" s="37" t="s">
        <v>6</v>
      </c>
      <c r="G169" s="37">
        <v>0</v>
      </c>
      <c r="H169" s="37">
        <v>31</v>
      </c>
      <c r="I169" s="41">
        <v>4</v>
      </c>
      <c r="J169" s="45">
        <v>6</v>
      </c>
      <c r="K169" s="45">
        <v>4</v>
      </c>
      <c r="L169" s="45"/>
      <c r="M169" s="45">
        <v>2</v>
      </c>
      <c r="N169" s="45"/>
      <c r="P169" s="39">
        <v>25</v>
      </c>
      <c r="Q169" s="39">
        <v>31</v>
      </c>
      <c r="R169" s="39">
        <v>4</v>
      </c>
      <c r="S169" s="39">
        <v>31</v>
      </c>
      <c r="T169" s="39">
        <v>0</v>
      </c>
      <c r="U169" s="39">
        <v>0</v>
      </c>
      <c r="V169" s="39">
        <v>0</v>
      </c>
      <c r="W169" s="49">
        <v>0</v>
      </c>
      <c r="X169" s="49">
        <v>10</v>
      </c>
      <c r="Y169" s="49"/>
      <c r="Z169" s="49"/>
      <c r="AA169" s="50"/>
      <c r="AB169" s="50"/>
      <c r="AC169" s="50"/>
      <c r="AD169" s="50"/>
      <c r="AE169" s="50"/>
      <c r="AH169" s="39">
        <v>0</v>
      </c>
      <c r="AI169" s="39">
        <v>0</v>
      </c>
      <c r="AJ169" s="39">
        <v>0</v>
      </c>
      <c r="AK169" s="39">
        <v>0</v>
      </c>
      <c r="AL169" s="39">
        <v>0</v>
      </c>
      <c r="AM169" s="42">
        <v>0</v>
      </c>
      <c r="AN169" s="42">
        <v>0</v>
      </c>
      <c r="AO169" s="42" t="s">
        <v>416</v>
      </c>
      <c r="AP169" s="42">
        <v>31</v>
      </c>
      <c r="AQ169" s="42">
        <v>0</v>
      </c>
    </row>
    <row r="170" spans="1:43" x14ac:dyDescent="0.15">
      <c r="A170" s="37" t="s">
        <v>55</v>
      </c>
      <c r="B170" s="37" t="s">
        <v>419</v>
      </c>
      <c r="C170" s="37" t="s">
        <v>417</v>
      </c>
      <c r="D170" s="37" t="s">
        <v>578</v>
      </c>
      <c r="E170" s="37" t="s">
        <v>415</v>
      </c>
      <c r="F170" s="37" t="s">
        <v>6</v>
      </c>
      <c r="G170" s="37">
        <v>0</v>
      </c>
      <c r="H170" s="37">
        <v>31</v>
      </c>
      <c r="I170" s="41">
        <v>4</v>
      </c>
      <c r="J170" s="45">
        <v>4</v>
      </c>
      <c r="K170" s="45">
        <v>4</v>
      </c>
      <c r="L170" s="45"/>
      <c r="M170" s="45"/>
      <c r="N170" s="45"/>
      <c r="P170" s="39">
        <v>27</v>
      </c>
      <c r="Q170" s="39">
        <v>31</v>
      </c>
      <c r="R170" s="39">
        <v>4</v>
      </c>
      <c r="S170" s="39">
        <v>31</v>
      </c>
      <c r="T170" s="39">
        <v>0</v>
      </c>
      <c r="U170" s="39">
        <v>0</v>
      </c>
      <c r="V170" s="39">
        <v>0</v>
      </c>
      <c r="W170" s="49">
        <v>0</v>
      </c>
      <c r="X170" s="49"/>
      <c r="Y170" s="49"/>
      <c r="Z170" s="49"/>
      <c r="AA170" s="50"/>
      <c r="AB170" s="50"/>
      <c r="AC170" s="50"/>
      <c r="AD170" s="50"/>
      <c r="AE170" s="50"/>
      <c r="AH170" s="39">
        <v>0</v>
      </c>
      <c r="AI170" s="39">
        <v>0</v>
      </c>
      <c r="AJ170" s="39">
        <v>0</v>
      </c>
      <c r="AK170" s="39">
        <v>0</v>
      </c>
      <c r="AL170" s="39">
        <v>0</v>
      </c>
      <c r="AM170" s="42">
        <v>0</v>
      </c>
      <c r="AN170" s="42">
        <v>0</v>
      </c>
      <c r="AO170" s="42" t="s">
        <v>416</v>
      </c>
      <c r="AP170" s="42">
        <v>31</v>
      </c>
      <c r="AQ170" s="42">
        <v>0</v>
      </c>
    </row>
    <row r="171" spans="1:43" x14ac:dyDescent="0.15">
      <c r="A171" s="37" t="s">
        <v>55</v>
      </c>
      <c r="B171" s="37" t="s">
        <v>419</v>
      </c>
      <c r="C171" s="37" t="s">
        <v>417</v>
      </c>
      <c r="D171" s="37" t="s">
        <v>579</v>
      </c>
      <c r="E171" s="37" t="s">
        <v>415</v>
      </c>
      <c r="F171" s="37" t="s">
        <v>6</v>
      </c>
      <c r="G171" s="37">
        <v>0</v>
      </c>
      <c r="H171" s="37">
        <v>31</v>
      </c>
      <c r="I171" s="41">
        <v>4</v>
      </c>
      <c r="J171" s="45">
        <v>6</v>
      </c>
      <c r="K171" s="45">
        <v>4</v>
      </c>
      <c r="L171" s="45"/>
      <c r="M171" s="45">
        <v>2</v>
      </c>
      <c r="N171" s="45"/>
      <c r="P171" s="39">
        <v>25</v>
      </c>
      <c r="Q171" s="39">
        <v>31</v>
      </c>
      <c r="R171" s="39">
        <v>4</v>
      </c>
      <c r="S171" s="39">
        <v>31</v>
      </c>
      <c r="T171" s="39">
        <v>0</v>
      </c>
      <c r="U171" s="39">
        <v>0</v>
      </c>
      <c r="V171" s="39">
        <v>0</v>
      </c>
      <c r="W171" s="49">
        <v>0</v>
      </c>
      <c r="X171" s="49"/>
      <c r="Y171" s="49"/>
      <c r="Z171" s="49"/>
      <c r="AA171" s="50"/>
      <c r="AB171" s="50"/>
      <c r="AC171" s="50"/>
      <c r="AD171" s="50"/>
      <c r="AE171" s="50"/>
      <c r="AH171" s="39">
        <v>0</v>
      </c>
      <c r="AI171" s="39">
        <v>0</v>
      </c>
      <c r="AJ171" s="39">
        <v>0</v>
      </c>
      <c r="AK171" s="39">
        <v>0</v>
      </c>
      <c r="AL171" s="39">
        <v>0</v>
      </c>
      <c r="AM171" s="42">
        <v>0</v>
      </c>
      <c r="AN171" s="42">
        <v>0</v>
      </c>
      <c r="AO171" s="42" t="s">
        <v>416</v>
      </c>
      <c r="AP171" s="42">
        <v>31</v>
      </c>
      <c r="AQ171" s="42">
        <v>0</v>
      </c>
    </row>
    <row r="172" spans="1:43" x14ac:dyDescent="0.15">
      <c r="A172" s="37" t="s">
        <v>45</v>
      </c>
      <c r="B172" s="37" t="s">
        <v>14</v>
      </c>
      <c r="C172" s="37" t="s">
        <v>413</v>
      </c>
      <c r="D172" s="37" t="s">
        <v>580</v>
      </c>
      <c r="E172" s="37" t="s">
        <v>415</v>
      </c>
      <c r="F172" s="37" t="s">
        <v>6</v>
      </c>
      <c r="G172" s="37">
        <v>0</v>
      </c>
      <c r="H172" s="37">
        <v>31</v>
      </c>
      <c r="I172" s="41">
        <v>4</v>
      </c>
      <c r="J172" s="45">
        <v>4</v>
      </c>
      <c r="K172" s="45">
        <v>4</v>
      </c>
      <c r="L172" s="45"/>
      <c r="M172" s="45"/>
      <c r="N172" s="45"/>
      <c r="P172" s="39">
        <v>27</v>
      </c>
      <c r="Q172" s="39">
        <v>31</v>
      </c>
      <c r="R172" s="39">
        <v>4</v>
      </c>
      <c r="S172" s="39">
        <v>31</v>
      </c>
      <c r="T172" s="39">
        <v>0</v>
      </c>
      <c r="U172" s="39">
        <v>0</v>
      </c>
      <c r="V172" s="39">
        <v>0</v>
      </c>
      <c r="W172" s="49">
        <v>0</v>
      </c>
      <c r="X172" s="49"/>
      <c r="Y172" s="49"/>
      <c r="Z172" s="49">
        <v>50</v>
      </c>
      <c r="AA172" s="50"/>
      <c r="AB172" s="50"/>
      <c r="AC172" s="50"/>
      <c r="AD172" s="50"/>
      <c r="AE172" s="50"/>
      <c r="AH172" s="39">
        <v>0</v>
      </c>
      <c r="AI172" s="39">
        <v>0</v>
      </c>
      <c r="AJ172" s="39">
        <v>0</v>
      </c>
      <c r="AK172" s="39">
        <v>0</v>
      </c>
      <c r="AL172" s="39">
        <v>0</v>
      </c>
      <c r="AM172" s="42">
        <v>0</v>
      </c>
      <c r="AN172" s="42">
        <v>0</v>
      </c>
      <c r="AO172" s="42" t="s">
        <v>416</v>
      </c>
      <c r="AP172" s="42">
        <v>31</v>
      </c>
      <c r="AQ172" s="42">
        <v>0</v>
      </c>
    </row>
    <row r="173" spans="1:43" x14ac:dyDescent="0.15">
      <c r="A173" s="37" t="s">
        <v>45</v>
      </c>
      <c r="B173" s="37" t="s">
        <v>419</v>
      </c>
      <c r="C173" s="37" t="s">
        <v>417</v>
      </c>
      <c r="D173" s="64" t="s">
        <v>581</v>
      </c>
      <c r="E173" s="37" t="s">
        <v>415</v>
      </c>
      <c r="F173" s="37" t="s">
        <v>6</v>
      </c>
      <c r="G173" s="37">
        <v>0</v>
      </c>
      <c r="H173" s="37">
        <v>31</v>
      </c>
      <c r="I173" s="41">
        <v>4</v>
      </c>
      <c r="J173" s="45">
        <v>4</v>
      </c>
      <c r="K173" s="45">
        <v>4</v>
      </c>
      <c r="L173" s="45"/>
      <c r="M173" s="45"/>
      <c r="N173" s="45"/>
      <c r="P173" s="39">
        <v>27</v>
      </c>
      <c r="Q173" s="39">
        <v>31</v>
      </c>
      <c r="R173" s="39">
        <v>4</v>
      </c>
      <c r="S173" s="39">
        <v>31</v>
      </c>
      <c r="T173" s="39">
        <v>0</v>
      </c>
      <c r="U173" s="39">
        <v>0</v>
      </c>
      <c r="V173" s="39">
        <v>0</v>
      </c>
      <c r="W173" s="49">
        <v>0</v>
      </c>
      <c r="X173" s="49"/>
      <c r="Y173" s="49"/>
      <c r="Z173" s="49"/>
      <c r="AA173" s="50"/>
      <c r="AB173" s="50"/>
      <c r="AC173" s="50">
        <v>100</v>
      </c>
      <c r="AD173" s="50"/>
      <c r="AE173" s="50"/>
      <c r="AH173" s="39">
        <v>0</v>
      </c>
      <c r="AI173" s="39">
        <v>0</v>
      </c>
      <c r="AJ173" s="39">
        <v>0</v>
      </c>
      <c r="AK173" s="39">
        <v>0</v>
      </c>
      <c r="AL173" s="39">
        <v>0</v>
      </c>
      <c r="AM173" s="42">
        <v>0</v>
      </c>
      <c r="AN173" s="42">
        <v>0</v>
      </c>
      <c r="AO173" s="42" t="s">
        <v>416</v>
      </c>
      <c r="AP173" s="42">
        <v>31</v>
      </c>
      <c r="AQ173" s="42">
        <v>0</v>
      </c>
    </row>
    <row r="174" spans="1:43" x14ac:dyDescent="0.15">
      <c r="A174" s="37" t="s">
        <v>45</v>
      </c>
      <c r="B174" s="37" t="s">
        <v>419</v>
      </c>
      <c r="C174" s="37" t="s">
        <v>417</v>
      </c>
      <c r="D174" s="37" t="s">
        <v>582</v>
      </c>
      <c r="E174" s="37" t="s">
        <v>415</v>
      </c>
      <c r="F174" s="37" t="s">
        <v>6</v>
      </c>
      <c r="G174" s="37">
        <v>0</v>
      </c>
      <c r="H174" s="37">
        <v>31</v>
      </c>
      <c r="I174" s="41">
        <v>4</v>
      </c>
      <c r="J174" s="45">
        <v>4</v>
      </c>
      <c r="K174" s="45">
        <v>4</v>
      </c>
      <c r="L174" s="45"/>
      <c r="M174" s="45"/>
      <c r="N174" s="45"/>
      <c r="P174" s="39">
        <v>27</v>
      </c>
      <c r="Q174" s="39">
        <v>31</v>
      </c>
      <c r="R174" s="39">
        <v>4</v>
      </c>
      <c r="S174" s="39">
        <v>31</v>
      </c>
      <c r="T174" s="39">
        <v>0</v>
      </c>
      <c r="U174" s="39">
        <v>0</v>
      </c>
      <c r="V174" s="39">
        <v>0</v>
      </c>
      <c r="W174" s="49">
        <v>0</v>
      </c>
      <c r="X174" s="49"/>
      <c r="Y174" s="49"/>
      <c r="Z174" s="49"/>
      <c r="AA174" s="50"/>
      <c r="AB174" s="50"/>
      <c r="AC174" s="50">
        <v>100</v>
      </c>
      <c r="AD174" s="50"/>
      <c r="AE174" s="50"/>
      <c r="AH174" s="39">
        <v>0</v>
      </c>
      <c r="AI174" s="39">
        <v>0</v>
      </c>
      <c r="AJ174" s="39">
        <v>0</v>
      </c>
      <c r="AK174" s="39">
        <v>0</v>
      </c>
      <c r="AL174" s="39">
        <v>0</v>
      </c>
      <c r="AM174" s="42">
        <v>0</v>
      </c>
      <c r="AN174" s="42">
        <v>0</v>
      </c>
      <c r="AO174" s="42" t="s">
        <v>416</v>
      </c>
      <c r="AP174" s="42">
        <v>31</v>
      </c>
      <c r="AQ174" s="42">
        <v>0</v>
      </c>
    </row>
    <row r="175" spans="1:43" x14ac:dyDescent="0.15">
      <c r="A175" s="37" t="s">
        <v>45</v>
      </c>
      <c r="B175" s="37" t="s">
        <v>419</v>
      </c>
      <c r="C175" s="37" t="s">
        <v>417</v>
      </c>
      <c r="D175" s="37" t="s">
        <v>583</v>
      </c>
      <c r="E175" s="37" t="s">
        <v>415</v>
      </c>
      <c r="F175" s="37" t="s">
        <v>6</v>
      </c>
      <c r="G175" s="37">
        <v>0</v>
      </c>
      <c r="H175" s="37">
        <v>31</v>
      </c>
      <c r="I175" s="41">
        <v>4</v>
      </c>
      <c r="J175" s="45">
        <v>4</v>
      </c>
      <c r="K175" s="45">
        <v>4</v>
      </c>
      <c r="L175" s="45"/>
      <c r="M175" s="45"/>
      <c r="N175" s="45"/>
      <c r="P175" s="39">
        <v>27</v>
      </c>
      <c r="Q175" s="39">
        <v>31</v>
      </c>
      <c r="R175" s="39">
        <v>4</v>
      </c>
      <c r="S175" s="39">
        <v>31</v>
      </c>
      <c r="T175" s="39">
        <v>0</v>
      </c>
      <c r="U175" s="39">
        <v>0</v>
      </c>
      <c r="V175" s="39">
        <v>0</v>
      </c>
      <c r="W175" s="49">
        <v>0</v>
      </c>
      <c r="X175" s="49"/>
      <c r="Y175" s="49"/>
      <c r="Z175" s="49">
        <v>50</v>
      </c>
      <c r="AA175" s="50"/>
      <c r="AB175" s="50"/>
      <c r="AC175" s="50">
        <v>100</v>
      </c>
      <c r="AD175" s="50"/>
      <c r="AE175" s="50"/>
      <c r="AH175" s="39">
        <v>0</v>
      </c>
      <c r="AI175" s="39">
        <v>0</v>
      </c>
      <c r="AJ175" s="39">
        <v>0</v>
      </c>
      <c r="AK175" s="39">
        <v>0</v>
      </c>
      <c r="AL175" s="39">
        <v>0</v>
      </c>
      <c r="AM175" s="42">
        <v>0</v>
      </c>
      <c r="AN175" s="42">
        <v>0</v>
      </c>
      <c r="AO175" s="42" t="s">
        <v>416</v>
      </c>
      <c r="AP175" s="42">
        <v>31</v>
      </c>
      <c r="AQ175" s="42">
        <v>0</v>
      </c>
    </row>
    <row r="176" spans="1:43" x14ac:dyDescent="0.15">
      <c r="A176" s="37" t="s">
        <v>45</v>
      </c>
      <c r="B176" s="37" t="s">
        <v>419</v>
      </c>
      <c r="C176" s="37" t="s">
        <v>417</v>
      </c>
      <c r="D176" s="37" t="s">
        <v>584</v>
      </c>
      <c r="E176" s="37" t="s">
        <v>415</v>
      </c>
      <c r="F176" s="37" t="s">
        <v>6</v>
      </c>
      <c r="G176" s="37">
        <v>0</v>
      </c>
      <c r="H176" s="37">
        <v>31</v>
      </c>
      <c r="I176" s="41">
        <v>4</v>
      </c>
      <c r="J176" s="45">
        <v>4</v>
      </c>
      <c r="K176" s="45">
        <v>4</v>
      </c>
      <c r="L176" s="45"/>
      <c r="M176" s="45"/>
      <c r="N176" s="45"/>
      <c r="P176" s="39">
        <v>27</v>
      </c>
      <c r="Q176" s="39">
        <v>31</v>
      </c>
      <c r="R176" s="39">
        <v>4</v>
      </c>
      <c r="S176" s="39">
        <v>31</v>
      </c>
      <c r="T176" s="39">
        <v>0</v>
      </c>
      <c r="U176" s="39">
        <v>0</v>
      </c>
      <c r="V176" s="39">
        <v>0</v>
      </c>
      <c r="W176" s="49">
        <v>0</v>
      </c>
      <c r="X176" s="49"/>
      <c r="Y176" s="49"/>
      <c r="Z176" s="49"/>
      <c r="AA176" s="50"/>
      <c r="AB176" s="50"/>
      <c r="AC176" s="50">
        <v>100</v>
      </c>
      <c r="AD176" s="50"/>
      <c r="AE176" s="50"/>
      <c r="AH176" s="39">
        <v>0</v>
      </c>
      <c r="AI176" s="39">
        <v>0</v>
      </c>
      <c r="AJ176" s="39">
        <v>0</v>
      </c>
      <c r="AK176" s="39">
        <v>0</v>
      </c>
      <c r="AL176" s="39">
        <v>0</v>
      </c>
      <c r="AM176" s="42">
        <v>0</v>
      </c>
      <c r="AN176" s="42">
        <v>0</v>
      </c>
      <c r="AO176" s="42" t="s">
        <v>416</v>
      </c>
      <c r="AP176" s="42">
        <v>31</v>
      </c>
      <c r="AQ176" s="42">
        <v>0</v>
      </c>
    </row>
    <row r="177" spans="1:43" x14ac:dyDescent="0.15">
      <c r="A177" s="37" t="s">
        <v>45</v>
      </c>
      <c r="B177" s="37" t="s">
        <v>15</v>
      </c>
      <c r="C177" s="37" t="s">
        <v>417</v>
      </c>
      <c r="D177" s="37" t="s">
        <v>585</v>
      </c>
      <c r="E177" s="37" t="s">
        <v>415</v>
      </c>
      <c r="F177" s="37" t="s">
        <v>6</v>
      </c>
      <c r="G177" s="37">
        <v>0</v>
      </c>
      <c r="H177" s="37">
        <v>31</v>
      </c>
      <c r="I177" s="41">
        <v>4</v>
      </c>
      <c r="J177" s="45">
        <v>4</v>
      </c>
      <c r="K177" s="45">
        <v>4</v>
      </c>
      <c r="L177" s="45"/>
      <c r="M177" s="45"/>
      <c r="N177" s="45"/>
      <c r="P177" s="39">
        <v>27</v>
      </c>
      <c r="Q177" s="39">
        <v>31</v>
      </c>
      <c r="R177" s="39">
        <v>4</v>
      </c>
      <c r="S177" s="39">
        <v>31</v>
      </c>
      <c r="T177" s="39">
        <v>0</v>
      </c>
      <c r="U177" s="39">
        <v>0</v>
      </c>
      <c r="V177" s="39">
        <v>0</v>
      </c>
      <c r="W177" s="49">
        <v>0</v>
      </c>
      <c r="X177" s="49"/>
      <c r="Y177" s="49"/>
      <c r="Z177" s="49">
        <v>50</v>
      </c>
      <c r="AA177" s="50"/>
      <c r="AB177" s="50"/>
      <c r="AC177" s="50"/>
      <c r="AD177" s="50"/>
      <c r="AE177" s="50"/>
      <c r="AH177" s="39">
        <v>0</v>
      </c>
      <c r="AI177" s="39">
        <v>0</v>
      </c>
      <c r="AJ177" s="39">
        <v>0</v>
      </c>
      <c r="AK177" s="39">
        <v>0</v>
      </c>
      <c r="AL177" s="39">
        <v>0</v>
      </c>
      <c r="AM177" s="42">
        <v>0</v>
      </c>
      <c r="AN177" s="42">
        <v>0</v>
      </c>
      <c r="AO177" s="42" t="s">
        <v>416</v>
      </c>
      <c r="AP177" s="42">
        <v>31</v>
      </c>
      <c r="AQ177" s="42">
        <v>0</v>
      </c>
    </row>
    <row r="178" spans="1:43" x14ac:dyDescent="0.15">
      <c r="A178" s="37" t="s">
        <v>45</v>
      </c>
      <c r="B178" s="37" t="s">
        <v>419</v>
      </c>
      <c r="C178" s="37" t="s">
        <v>417</v>
      </c>
      <c r="D178" s="37" t="s">
        <v>586</v>
      </c>
      <c r="E178" s="37" t="s">
        <v>415</v>
      </c>
      <c r="F178" s="37" t="s">
        <v>6</v>
      </c>
      <c r="G178" s="37">
        <v>0</v>
      </c>
      <c r="H178" s="37">
        <v>31</v>
      </c>
      <c r="I178" s="41">
        <v>4</v>
      </c>
      <c r="J178" s="45">
        <v>4</v>
      </c>
      <c r="K178" s="45">
        <v>4</v>
      </c>
      <c r="L178" s="45"/>
      <c r="M178" s="45"/>
      <c r="N178" s="45"/>
      <c r="P178" s="39">
        <v>27</v>
      </c>
      <c r="Q178" s="39">
        <v>31</v>
      </c>
      <c r="R178" s="39">
        <v>4</v>
      </c>
      <c r="S178" s="39">
        <v>31</v>
      </c>
      <c r="T178" s="39">
        <v>0</v>
      </c>
      <c r="U178" s="39">
        <v>0</v>
      </c>
      <c r="V178" s="39">
        <v>0</v>
      </c>
      <c r="W178" s="49">
        <v>0</v>
      </c>
      <c r="X178" s="49"/>
      <c r="Y178" s="49"/>
      <c r="Z178" s="49">
        <v>50</v>
      </c>
      <c r="AA178" s="50"/>
      <c r="AB178" s="50"/>
      <c r="AC178" s="50"/>
      <c r="AD178" s="50"/>
      <c r="AE178" s="50"/>
      <c r="AH178" s="39">
        <v>0</v>
      </c>
      <c r="AI178" s="39">
        <v>0</v>
      </c>
      <c r="AJ178" s="39">
        <v>0</v>
      </c>
      <c r="AK178" s="39">
        <v>0</v>
      </c>
      <c r="AL178" s="39">
        <v>0</v>
      </c>
      <c r="AM178" s="42">
        <v>0</v>
      </c>
      <c r="AN178" s="42">
        <v>0</v>
      </c>
      <c r="AO178" s="42" t="s">
        <v>416</v>
      </c>
      <c r="AP178" s="42">
        <v>31</v>
      </c>
      <c r="AQ178" s="42">
        <v>0</v>
      </c>
    </row>
    <row r="179" spans="1:43" x14ac:dyDescent="0.15">
      <c r="A179" s="37" t="s">
        <v>45</v>
      </c>
      <c r="B179" s="37" t="s">
        <v>419</v>
      </c>
      <c r="C179" s="37" t="s">
        <v>417</v>
      </c>
      <c r="D179" s="37" t="s">
        <v>587</v>
      </c>
      <c r="E179" s="37" t="s">
        <v>415</v>
      </c>
      <c r="F179" s="37" t="s">
        <v>6</v>
      </c>
      <c r="G179" s="37">
        <v>0</v>
      </c>
      <c r="H179" s="37">
        <v>31</v>
      </c>
      <c r="I179" s="41">
        <v>4</v>
      </c>
      <c r="J179" s="45">
        <v>4</v>
      </c>
      <c r="K179" s="45">
        <v>4</v>
      </c>
      <c r="L179" s="45"/>
      <c r="M179" s="45"/>
      <c r="N179" s="45"/>
      <c r="P179" s="39">
        <v>27</v>
      </c>
      <c r="Q179" s="39">
        <v>31</v>
      </c>
      <c r="R179" s="39">
        <v>4</v>
      </c>
      <c r="S179" s="39">
        <v>31</v>
      </c>
      <c r="T179" s="39">
        <v>0</v>
      </c>
      <c r="U179" s="39">
        <v>0</v>
      </c>
      <c r="V179" s="39">
        <v>0</v>
      </c>
      <c r="W179" s="49">
        <v>0</v>
      </c>
      <c r="X179" s="49">
        <v>20</v>
      </c>
      <c r="Y179" s="49">
        <v>10</v>
      </c>
      <c r="Z179" s="49"/>
      <c r="AA179" s="50"/>
      <c r="AB179" s="50"/>
      <c r="AC179" s="50">
        <v>100</v>
      </c>
      <c r="AD179" s="50"/>
      <c r="AE179" s="50"/>
      <c r="AH179" s="39">
        <v>3500</v>
      </c>
      <c r="AI179" s="39">
        <v>0</v>
      </c>
      <c r="AJ179" s="39">
        <v>0</v>
      </c>
      <c r="AK179" s="39">
        <v>0</v>
      </c>
      <c r="AL179" s="39">
        <v>0</v>
      </c>
      <c r="AM179" s="42">
        <v>0</v>
      </c>
      <c r="AN179" s="42">
        <v>0</v>
      </c>
      <c r="AO179" s="42" t="s">
        <v>416</v>
      </c>
      <c r="AP179" s="42">
        <v>31</v>
      </c>
      <c r="AQ179" s="42">
        <v>0</v>
      </c>
    </row>
    <row r="180" spans="1:43" x14ac:dyDescent="0.15">
      <c r="A180" s="37" t="s">
        <v>39</v>
      </c>
      <c r="B180" s="37" t="s">
        <v>419</v>
      </c>
      <c r="C180" s="37" t="s">
        <v>417</v>
      </c>
      <c r="D180" s="37" t="s">
        <v>588</v>
      </c>
      <c r="E180" s="37" t="s">
        <v>415</v>
      </c>
      <c r="F180" s="37" t="s">
        <v>6</v>
      </c>
      <c r="G180" s="37">
        <v>0</v>
      </c>
      <c r="H180" s="37">
        <v>31</v>
      </c>
      <c r="I180" s="41">
        <v>4</v>
      </c>
      <c r="J180" s="45">
        <v>6</v>
      </c>
      <c r="K180" s="45">
        <v>4</v>
      </c>
      <c r="L180" s="45"/>
      <c r="M180" s="45">
        <v>2</v>
      </c>
      <c r="N180" s="45"/>
      <c r="P180" s="39">
        <v>25</v>
      </c>
      <c r="Q180" s="39">
        <v>31</v>
      </c>
      <c r="R180" s="39">
        <v>4</v>
      </c>
      <c r="S180" s="39">
        <v>31</v>
      </c>
      <c r="T180" s="39">
        <v>0</v>
      </c>
      <c r="U180" s="39">
        <v>0</v>
      </c>
      <c r="V180" s="39">
        <v>0</v>
      </c>
      <c r="W180" s="49">
        <v>0</v>
      </c>
      <c r="X180" s="49"/>
      <c r="Y180" s="49"/>
      <c r="Z180" s="49"/>
      <c r="AA180" s="50"/>
      <c r="AB180" s="50"/>
      <c r="AC180" s="50"/>
      <c r="AD180" s="50"/>
      <c r="AE180" s="50"/>
      <c r="AH180" s="39">
        <v>0</v>
      </c>
      <c r="AI180" s="39">
        <v>0</v>
      </c>
      <c r="AJ180" s="39">
        <v>0</v>
      </c>
      <c r="AK180" s="39">
        <v>0</v>
      </c>
      <c r="AL180" s="39">
        <v>0</v>
      </c>
      <c r="AM180" s="42">
        <v>0</v>
      </c>
      <c r="AN180" s="42">
        <v>0</v>
      </c>
      <c r="AO180" s="42" t="s">
        <v>416</v>
      </c>
      <c r="AP180" s="42">
        <v>31</v>
      </c>
      <c r="AQ180" s="42">
        <v>0</v>
      </c>
    </row>
    <row r="181" spans="1:43" x14ac:dyDescent="0.15">
      <c r="A181" s="37" t="s">
        <v>39</v>
      </c>
      <c r="B181" s="37" t="s">
        <v>419</v>
      </c>
      <c r="C181" s="37" t="s">
        <v>417</v>
      </c>
      <c r="D181" s="37" t="s">
        <v>589</v>
      </c>
      <c r="E181" s="37" t="s">
        <v>80</v>
      </c>
      <c r="F181" s="37" t="s">
        <v>6</v>
      </c>
      <c r="G181" s="37">
        <v>0</v>
      </c>
      <c r="H181" s="37">
        <v>31</v>
      </c>
      <c r="I181" s="41">
        <v>4</v>
      </c>
      <c r="J181" s="45">
        <v>6</v>
      </c>
      <c r="K181" s="45">
        <v>4</v>
      </c>
      <c r="L181" s="45"/>
      <c r="M181" s="45">
        <v>2</v>
      </c>
      <c r="N181" s="45"/>
      <c r="P181" s="39">
        <v>25</v>
      </c>
      <c r="Q181" s="39">
        <v>31</v>
      </c>
      <c r="R181" s="39">
        <v>4</v>
      </c>
      <c r="S181" s="39">
        <v>31</v>
      </c>
      <c r="T181" s="39">
        <v>0</v>
      </c>
      <c r="U181" s="39">
        <v>0</v>
      </c>
      <c r="V181" s="39">
        <v>0</v>
      </c>
      <c r="W181" s="49">
        <v>0</v>
      </c>
      <c r="X181" s="49"/>
      <c r="Y181" s="49"/>
      <c r="Z181" s="49"/>
      <c r="AA181" s="50"/>
      <c r="AB181" s="50"/>
      <c r="AC181" s="50"/>
      <c r="AD181" s="50"/>
      <c r="AE181" s="50"/>
      <c r="AH181" s="39">
        <v>0</v>
      </c>
      <c r="AI181" s="39">
        <v>0</v>
      </c>
      <c r="AJ181" s="39">
        <v>0</v>
      </c>
      <c r="AK181" s="39">
        <v>0</v>
      </c>
      <c r="AL181" s="39">
        <v>0</v>
      </c>
      <c r="AM181" s="42">
        <v>0</v>
      </c>
      <c r="AN181" s="42">
        <v>0</v>
      </c>
      <c r="AO181" s="42" t="s">
        <v>416</v>
      </c>
      <c r="AP181" s="42">
        <v>31</v>
      </c>
      <c r="AQ181" s="42">
        <v>0</v>
      </c>
    </row>
    <row r="182" spans="1:43" x14ac:dyDescent="0.15">
      <c r="A182" s="37" t="s">
        <v>39</v>
      </c>
      <c r="B182" s="37" t="s">
        <v>14</v>
      </c>
      <c r="C182" s="37" t="s">
        <v>413</v>
      </c>
      <c r="D182" s="37" t="s">
        <v>590</v>
      </c>
      <c r="E182" s="37" t="s">
        <v>415</v>
      </c>
      <c r="F182" s="37" t="s">
        <v>6</v>
      </c>
      <c r="G182" s="37">
        <v>0</v>
      </c>
      <c r="H182" s="37">
        <v>31</v>
      </c>
      <c r="I182" s="41">
        <v>4</v>
      </c>
      <c r="J182" s="45">
        <v>6</v>
      </c>
      <c r="K182" s="45">
        <v>4</v>
      </c>
      <c r="L182" s="45"/>
      <c r="M182" s="45">
        <v>2</v>
      </c>
      <c r="N182" s="45"/>
      <c r="P182" s="39">
        <v>25</v>
      </c>
      <c r="Q182" s="39">
        <v>31</v>
      </c>
      <c r="R182" s="39">
        <v>4</v>
      </c>
      <c r="S182" s="39">
        <v>31</v>
      </c>
      <c r="T182" s="39">
        <v>0</v>
      </c>
      <c r="U182" s="39">
        <v>0</v>
      </c>
      <c r="V182" s="39">
        <v>0</v>
      </c>
      <c r="W182" s="49">
        <v>0</v>
      </c>
      <c r="X182" s="49">
        <v>10</v>
      </c>
      <c r="Y182" s="49"/>
      <c r="Z182" s="49"/>
      <c r="AA182" s="50"/>
      <c r="AB182" s="50"/>
      <c r="AC182" s="50"/>
      <c r="AD182" s="50"/>
      <c r="AE182" s="50"/>
      <c r="AH182" s="39">
        <v>0</v>
      </c>
      <c r="AI182" s="39">
        <v>0</v>
      </c>
      <c r="AJ182" s="39">
        <v>0</v>
      </c>
      <c r="AK182" s="39">
        <v>0</v>
      </c>
      <c r="AL182" s="39">
        <v>0</v>
      </c>
      <c r="AM182" s="42">
        <v>0</v>
      </c>
      <c r="AN182" s="42">
        <v>0</v>
      </c>
      <c r="AO182" s="42" t="s">
        <v>416</v>
      </c>
      <c r="AP182" s="42">
        <v>31</v>
      </c>
      <c r="AQ182" s="42">
        <v>0</v>
      </c>
    </row>
    <row r="183" spans="1:43" x14ac:dyDescent="0.15">
      <c r="A183" s="37" t="s">
        <v>39</v>
      </c>
      <c r="B183" s="37" t="s">
        <v>419</v>
      </c>
      <c r="C183" s="37" t="s">
        <v>417</v>
      </c>
      <c r="D183" s="37" t="s">
        <v>591</v>
      </c>
      <c r="E183" s="37" t="s">
        <v>415</v>
      </c>
      <c r="F183" s="37" t="s">
        <v>6</v>
      </c>
      <c r="G183" s="37">
        <v>0</v>
      </c>
      <c r="H183" s="37">
        <v>31</v>
      </c>
      <c r="I183" s="41">
        <v>4</v>
      </c>
      <c r="J183" s="45">
        <v>6</v>
      </c>
      <c r="K183" s="45">
        <v>4</v>
      </c>
      <c r="L183" s="45"/>
      <c r="M183" s="45">
        <v>2</v>
      </c>
      <c r="N183" s="45"/>
      <c r="P183" s="39">
        <v>25</v>
      </c>
      <c r="Q183" s="39">
        <v>31</v>
      </c>
      <c r="R183" s="39">
        <v>4</v>
      </c>
      <c r="S183" s="39">
        <v>31</v>
      </c>
      <c r="T183" s="39">
        <v>0</v>
      </c>
      <c r="U183" s="39">
        <v>0</v>
      </c>
      <c r="V183" s="39">
        <v>0</v>
      </c>
      <c r="W183" s="49">
        <v>0</v>
      </c>
      <c r="X183" s="49"/>
      <c r="Y183" s="49"/>
      <c r="Z183" s="49"/>
      <c r="AA183" s="50"/>
      <c r="AB183" s="50"/>
      <c r="AC183" s="50">
        <v>100</v>
      </c>
      <c r="AD183" s="50"/>
      <c r="AE183" s="50"/>
      <c r="AH183" s="39">
        <v>0</v>
      </c>
      <c r="AI183" s="39">
        <v>0</v>
      </c>
      <c r="AJ183" s="39">
        <v>0</v>
      </c>
      <c r="AK183" s="39">
        <v>0</v>
      </c>
      <c r="AL183" s="39">
        <v>0</v>
      </c>
      <c r="AM183" s="42">
        <v>0</v>
      </c>
      <c r="AN183" s="42">
        <v>0</v>
      </c>
      <c r="AO183" s="42" t="s">
        <v>416</v>
      </c>
      <c r="AP183" s="42">
        <v>31</v>
      </c>
      <c r="AQ183" s="42">
        <v>0</v>
      </c>
    </row>
    <row r="184" spans="1:43" x14ac:dyDescent="0.15">
      <c r="A184" s="37" t="s">
        <v>39</v>
      </c>
      <c r="B184" s="37" t="s">
        <v>15</v>
      </c>
      <c r="C184" s="37" t="s">
        <v>417</v>
      </c>
      <c r="D184" s="37" t="s">
        <v>592</v>
      </c>
      <c r="E184" s="37" t="s">
        <v>415</v>
      </c>
      <c r="F184" s="37" t="s">
        <v>6</v>
      </c>
      <c r="G184" s="37">
        <v>0</v>
      </c>
      <c r="H184" s="37">
        <v>31</v>
      </c>
      <c r="I184" s="41">
        <v>4</v>
      </c>
      <c r="J184" s="45">
        <v>4</v>
      </c>
      <c r="K184" s="45">
        <v>4</v>
      </c>
      <c r="L184" s="45"/>
      <c r="M184" s="45"/>
      <c r="N184" s="45"/>
      <c r="P184" s="39">
        <v>27</v>
      </c>
      <c r="Q184" s="39">
        <v>31</v>
      </c>
      <c r="R184" s="39">
        <v>4</v>
      </c>
      <c r="S184" s="39">
        <v>31</v>
      </c>
      <c r="T184" s="39">
        <v>0</v>
      </c>
      <c r="U184" s="39">
        <v>0</v>
      </c>
      <c r="V184" s="39">
        <v>0</v>
      </c>
      <c r="W184" s="49">
        <v>0</v>
      </c>
      <c r="X184" s="49"/>
      <c r="Y184" s="49"/>
      <c r="Z184" s="49"/>
      <c r="AA184" s="50"/>
      <c r="AB184" s="50"/>
      <c r="AC184" s="50"/>
      <c r="AD184" s="50"/>
      <c r="AE184" s="50"/>
      <c r="AH184" s="39">
        <v>0</v>
      </c>
      <c r="AI184" s="39">
        <v>0</v>
      </c>
      <c r="AJ184" s="39">
        <v>0</v>
      </c>
      <c r="AK184" s="39">
        <v>0</v>
      </c>
      <c r="AL184" s="39">
        <v>0</v>
      </c>
      <c r="AM184" s="42">
        <v>0</v>
      </c>
      <c r="AN184" s="42">
        <v>0</v>
      </c>
      <c r="AO184" s="42" t="s">
        <v>416</v>
      </c>
      <c r="AP184" s="42">
        <v>31</v>
      </c>
      <c r="AQ184" s="42">
        <v>0</v>
      </c>
    </row>
    <row r="185" spans="1:43" x14ac:dyDescent="0.15">
      <c r="A185" s="37" t="s">
        <v>39</v>
      </c>
      <c r="B185" s="37" t="s">
        <v>419</v>
      </c>
      <c r="C185" s="37" t="s">
        <v>417</v>
      </c>
      <c r="D185" s="37" t="s">
        <v>593</v>
      </c>
      <c r="E185" s="37" t="s">
        <v>415</v>
      </c>
      <c r="F185" s="37" t="s">
        <v>6</v>
      </c>
      <c r="G185" s="37">
        <v>0</v>
      </c>
      <c r="H185" s="37">
        <v>31</v>
      </c>
      <c r="I185" s="41">
        <v>4</v>
      </c>
      <c r="J185" s="45">
        <v>4</v>
      </c>
      <c r="K185" s="45">
        <v>4</v>
      </c>
      <c r="L185" s="45"/>
      <c r="M185" s="45"/>
      <c r="N185" s="45"/>
      <c r="P185" s="39">
        <v>27</v>
      </c>
      <c r="Q185" s="39">
        <v>31</v>
      </c>
      <c r="R185" s="39">
        <v>4</v>
      </c>
      <c r="S185" s="39">
        <v>31</v>
      </c>
      <c r="T185" s="39">
        <v>0</v>
      </c>
      <c r="U185" s="39">
        <v>0</v>
      </c>
      <c r="V185" s="39">
        <v>0</v>
      </c>
      <c r="W185" s="49">
        <v>0</v>
      </c>
      <c r="X185" s="49"/>
      <c r="Y185" s="49"/>
      <c r="Z185" s="49"/>
      <c r="AA185" s="50"/>
      <c r="AB185" s="50"/>
      <c r="AC185" s="50">
        <v>100</v>
      </c>
      <c r="AD185" s="50"/>
      <c r="AE185" s="50"/>
      <c r="AH185" s="39">
        <v>0</v>
      </c>
      <c r="AI185" s="39">
        <v>0</v>
      </c>
      <c r="AJ185" s="39">
        <v>0</v>
      </c>
      <c r="AK185" s="39">
        <v>0</v>
      </c>
      <c r="AL185" s="39">
        <v>0</v>
      </c>
      <c r="AM185" s="42">
        <v>0</v>
      </c>
      <c r="AN185" s="42">
        <v>0</v>
      </c>
      <c r="AO185" s="42" t="s">
        <v>416</v>
      </c>
      <c r="AP185" s="42">
        <v>31</v>
      </c>
      <c r="AQ185" s="42">
        <v>0</v>
      </c>
    </row>
    <row r="186" spans="1:43" x14ac:dyDescent="0.15">
      <c r="A186" s="37" t="s">
        <v>39</v>
      </c>
      <c r="B186" s="37" t="s">
        <v>16</v>
      </c>
      <c r="C186" s="37" t="s">
        <v>413</v>
      </c>
      <c r="D186" s="37" t="s">
        <v>594</v>
      </c>
      <c r="E186" s="37" t="s">
        <v>415</v>
      </c>
      <c r="F186" s="37" t="s">
        <v>6</v>
      </c>
      <c r="G186" s="37">
        <v>0</v>
      </c>
      <c r="H186" s="37">
        <v>31</v>
      </c>
      <c r="I186" s="41">
        <v>4</v>
      </c>
      <c r="J186" s="45">
        <v>4</v>
      </c>
      <c r="K186" s="45">
        <v>4</v>
      </c>
      <c r="L186" s="45"/>
      <c r="M186" s="45"/>
      <c r="N186" s="45"/>
      <c r="P186" s="39">
        <v>27</v>
      </c>
      <c r="Q186" s="39">
        <v>31</v>
      </c>
      <c r="R186" s="39">
        <v>4</v>
      </c>
      <c r="S186" s="39">
        <v>31</v>
      </c>
      <c r="T186" s="39">
        <v>0</v>
      </c>
      <c r="U186" s="39">
        <v>0</v>
      </c>
      <c r="V186" s="39">
        <v>0</v>
      </c>
      <c r="W186" s="49">
        <v>0</v>
      </c>
      <c r="X186" s="49"/>
      <c r="Y186" s="49"/>
      <c r="Z186" s="49"/>
      <c r="AA186" s="50"/>
      <c r="AB186" s="50"/>
      <c r="AC186" s="50"/>
      <c r="AD186" s="50"/>
      <c r="AE186" s="50"/>
      <c r="AH186" s="39">
        <v>0</v>
      </c>
      <c r="AI186" s="39">
        <v>0</v>
      </c>
      <c r="AJ186" s="39">
        <v>0</v>
      </c>
      <c r="AK186" s="39">
        <v>0</v>
      </c>
      <c r="AL186" s="39">
        <v>0</v>
      </c>
      <c r="AM186" s="42">
        <v>0</v>
      </c>
      <c r="AN186" s="42">
        <v>0</v>
      </c>
      <c r="AO186" s="42" t="s">
        <v>416</v>
      </c>
      <c r="AP186" s="42">
        <v>31</v>
      </c>
      <c r="AQ186" s="42">
        <v>0</v>
      </c>
    </row>
    <row r="187" spans="1:43" x14ac:dyDescent="0.15">
      <c r="A187" s="37" t="s">
        <v>39</v>
      </c>
      <c r="B187" s="37" t="s">
        <v>419</v>
      </c>
      <c r="C187" s="37" t="s">
        <v>417</v>
      </c>
      <c r="D187" s="37" t="s">
        <v>595</v>
      </c>
      <c r="E187" s="37" t="s">
        <v>415</v>
      </c>
      <c r="F187" s="37" t="s">
        <v>6</v>
      </c>
      <c r="G187" s="37">
        <v>0</v>
      </c>
      <c r="H187" s="37">
        <v>31</v>
      </c>
      <c r="I187" s="41">
        <v>4</v>
      </c>
      <c r="J187" s="45">
        <v>4</v>
      </c>
      <c r="K187" s="45">
        <v>4</v>
      </c>
      <c r="L187" s="45"/>
      <c r="M187" s="45"/>
      <c r="N187" s="45"/>
      <c r="P187" s="39">
        <v>27</v>
      </c>
      <c r="Q187" s="39">
        <v>31</v>
      </c>
      <c r="R187" s="39">
        <v>4</v>
      </c>
      <c r="S187" s="39">
        <v>31</v>
      </c>
      <c r="T187" s="39">
        <v>0</v>
      </c>
      <c r="U187" s="39">
        <v>0</v>
      </c>
      <c r="V187" s="39">
        <v>0</v>
      </c>
      <c r="W187" s="49">
        <v>0</v>
      </c>
      <c r="X187" s="49">
        <v>10</v>
      </c>
      <c r="Y187" s="49"/>
      <c r="Z187" s="49"/>
      <c r="AA187" s="50"/>
      <c r="AB187" s="50"/>
      <c r="AC187" s="50"/>
      <c r="AD187" s="50"/>
      <c r="AE187" s="50"/>
      <c r="AH187" s="39">
        <v>3500</v>
      </c>
      <c r="AI187" s="39">
        <v>0</v>
      </c>
      <c r="AJ187" s="39">
        <v>0</v>
      </c>
      <c r="AK187" s="39">
        <v>0</v>
      </c>
      <c r="AL187" s="39">
        <v>0</v>
      </c>
      <c r="AM187" s="42">
        <v>0</v>
      </c>
      <c r="AN187" s="42">
        <v>0</v>
      </c>
      <c r="AO187" s="42" t="s">
        <v>416</v>
      </c>
      <c r="AP187" s="42">
        <v>31</v>
      </c>
      <c r="AQ187" s="42">
        <v>0</v>
      </c>
    </row>
    <row r="188" spans="1:43" x14ac:dyDescent="0.15">
      <c r="A188" s="37" t="s">
        <v>30</v>
      </c>
      <c r="B188" s="37" t="s">
        <v>14</v>
      </c>
      <c r="C188" s="37" t="s">
        <v>413</v>
      </c>
      <c r="D188" s="37" t="s">
        <v>596</v>
      </c>
      <c r="E188" s="37" t="s">
        <v>415</v>
      </c>
      <c r="F188" s="37" t="s">
        <v>6</v>
      </c>
      <c r="G188" s="37">
        <v>0</v>
      </c>
      <c r="H188" s="37">
        <v>31</v>
      </c>
      <c r="I188" s="41">
        <v>4</v>
      </c>
      <c r="J188" s="45">
        <v>3</v>
      </c>
      <c r="K188" s="45">
        <v>3</v>
      </c>
      <c r="L188" s="45"/>
      <c r="M188" s="45"/>
      <c r="N188" s="45"/>
      <c r="P188" s="39">
        <v>28</v>
      </c>
      <c r="Q188" s="39">
        <v>31</v>
      </c>
      <c r="R188" s="39">
        <v>4</v>
      </c>
      <c r="S188" s="39">
        <v>31</v>
      </c>
      <c r="T188" s="39">
        <v>0</v>
      </c>
      <c r="U188" s="39">
        <v>0</v>
      </c>
      <c r="V188" s="39">
        <v>0</v>
      </c>
      <c r="W188" s="49">
        <v>0</v>
      </c>
      <c r="X188" s="49">
        <v>90</v>
      </c>
      <c r="Y188" s="49"/>
      <c r="Z188" s="49"/>
      <c r="AA188" s="50"/>
      <c r="AB188" s="50"/>
      <c r="AC188" s="50"/>
      <c r="AD188" s="50"/>
      <c r="AE188" s="50"/>
      <c r="AH188" s="39">
        <v>0</v>
      </c>
      <c r="AI188" s="39">
        <v>0</v>
      </c>
      <c r="AJ188" s="39">
        <v>0</v>
      </c>
      <c r="AK188" s="39">
        <v>0</v>
      </c>
      <c r="AL188" s="39">
        <v>0</v>
      </c>
      <c r="AM188" s="42">
        <v>0</v>
      </c>
      <c r="AN188" s="42">
        <v>0</v>
      </c>
      <c r="AO188" s="42" t="s">
        <v>416</v>
      </c>
      <c r="AP188" s="42">
        <v>31</v>
      </c>
      <c r="AQ188" s="42">
        <v>0</v>
      </c>
    </row>
    <row r="189" spans="1:43" x14ac:dyDescent="0.15">
      <c r="A189" s="37" t="s">
        <v>30</v>
      </c>
      <c r="B189" s="37" t="s">
        <v>419</v>
      </c>
      <c r="C189" s="37" t="s">
        <v>417</v>
      </c>
      <c r="D189" s="37" t="s">
        <v>597</v>
      </c>
      <c r="E189" s="37" t="s">
        <v>415</v>
      </c>
      <c r="F189" s="37" t="s">
        <v>6</v>
      </c>
      <c r="G189" s="37">
        <v>0</v>
      </c>
      <c r="H189" s="37">
        <v>31</v>
      </c>
      <c r="I189" s="41">
        <v>4</v>
      </c>
      <c r="J189" s="45">
        <v>4</v>
      </c>
      <c r="K189" s="45">
        <v>4</v>
      </c>
      <c r="L189" s="45"/>
      <c r="M189" s="45"/>
      <c r="N189" s="45"/>
      <c r="P189" s="39">
        <v>27</v>
      </c>
      <c r="Q189" s="39">
        <v>31</v>
      </c>
      <c r="R189" s="39">
        <v>4</v>
      </c>
      <c r="S189" s="39">
        <v>31</v>
      </c>
      <c r="T189" s="39">
        <v>0</v>
      </c>
      <c r="U189" s="39">
        <v>0</v>
      </c>
      <c r="V189" s="39">
        <v>0</v>
      </c>
      <c r="W189" s="49">
        <v>0</v>
      </c>
      <c r="X189" s="49"/>
      <c r="Y189" s="49"/>
      <c r="Z189" s="49"/>
      <c r="AA189" s="50"/>
      <c r="AB189" s="50"/>
      <c r="AC189" s="50"/>
      <c r="AD189" s="50"/>
      <c r="AE189" s="50"/>
      <c r="AH189" s="39">
        <v>0</v>
      </c>
      <c r="AI189" s="39">
        <v>0</v>
      </c>
      <c r="AJ189" s="39">
        <v>0</v>
      </c>
      <c r="AK189" s="39">
        <v>0</v>
      </c>
      <c r="AL189" s="39">
        <v>0</v>
      </c>
      <c r="AM189" s="42">
        <v>0</v>
      </c>
      <c r="AN189" s="42">
        <v>0</v>
      </c>
      <c r="AO189" s="42" t="s">
        <v>416</v>
      </c>
      <c r="AP189" s="42">
        <v>31</v>
      </c>
      <c r="AQ189" s="42">
        <v>0</v>
      </c>
    </row>
    <row r="190" spans="1:43" x14ac:dyDescent="0.15">
      <c r="A190" s="37" t="s">
        <v>30</v>
      </c>
      <c r="B190" s="37" t="s">
        <v>419</v>
      </c>
      <c r="C190" s="37" t="s">
        <v>417</v>
      </c>
      <c r="D190" s="37" t="s">
        <v>598</v>
      </c>
      <c r="E190" s="37" t="s">
        <v>415</v>
      </c>
      <c r="F190" s="37" t="s">
        <v>6</v>
      </c>
      <c r="G190" s="37">
        <v>0</v>
      </c>
      <c r="H190" s="37">
        <v>31</v>
      </c>
      <c r="I190" s="41">
        <v>4</v>
      </c>
      <c r="J190" s="45">
        <v>4</v>
      </c>
      <c r="K190" s="45">
        <v>4</v>
      </c>
      <c r="L190" s="45"/>
      <c r="M190" s="45"/>
      <c r="N190" s="45"/>
      <c r="P190" s="39">
        <v>27</v>
      </c>
      <c r="Q190" s="39">
        <v>31</v>
      </c>
      <c r="R190" s="39">
        <v>4</v>
      </c>
      <c r="S190" s="39">
        <v>31</v>
      </c>
      <c r="T190" s="39">
        <v>0</v>
      </c>
      <c r="U190" s="39">
        <v>0</v>
      </c>
      <c r="V190" s="39">
        <v>0</v>
      </c>
      <c r="W190" s="49">
        <v>0</v>
      </c>
      <c r="X190" s="49"/>
      <c r="Y190" s="49"/>
      <c r="Z190" s="49">
        <v>50</v>
      </c>
      <c r="AA190" s="50"/>
      <c r="AB190" s="50"/>
      <c r="AC190" s="50"/>
      <c r="AD190" s="50"/>
      <c r="AE190" s="50"/>
      <c r="AH190" s="39">
        <v>0</v>
      </c>
      <c r="AI190" s="39">
        <v>0</v>
      </c>
      <c r="AJ190" s="39">
        <v>0</v>
      </c>
      <c r="AK190" s="39">
        <v>0</v>
      </c>
      <c r="AL190" s="39">
        <v>0</v>
      </c>
      <c r="AM190" s="42">
        <v>0</v>
      </c>
      <c r="AN190" s="42">
        <v>0</v>
      </c>
      <c r="AO190" s="42" t="s">
        <v>416</v>
      </c>
      <c r="AP190" s="42">
        <v>31</v>
      </c>
      <c r="AQ190" s="42">
        <v>0</v>
      </c>
    </row>
    <row r="191" spans="1:43" x14ac:dyDescent="0.15">
      <c r="A191" s="37" t="s">
        <v>30</v>
      </c>
      <c r="B191" s="37" t="s">
        <v>419</v>
      </c>
      <c r="C191" s="37" t="s">
        <v>417</v>
      </c>
      <c r="D191" s="37" t="s">
        <v>599</v>
      </c>
      <c r="E191" s="37" t="s">
        <v>415</v>
      </c>
      <c r="F191" s="37" t="s">
        <v>6</v>
      </c>
      <c r="G191" s="37">
        <v>0</v>
      </c>
      <c r="H191" s="37">
        <v>31</v>
      </c>
      <c r="I191" s="41">
        <v>4</v>
      </c>
      <c r="J191" s="45">
        <v>4</v>
      </c>
      <c r="K191" s="45">
        <v>4</v>
      </c>
      <c r="L191" s="45"/>
      <c r="M191" s="45"/>
      <c r="N191" s="45"/>
      <c r="P191" s="39">
        <v>27</v>
      </c>
      <c r="Q191" s="39">
        <v>31</v>
      </c>
      <c r="R191" s="39">
        <v>4</v>
      </c>
      <c r="S191" s="39">
        <v>31</v>
      </c>
      <c r="T191" s="39">
        <v>0</v>
      </c>
      <c r="U191" s="39">
        <v>0</v>
      </c>
      <c r="V191" s="39">
        <v>0</v>
      </c>
      <c r="W191" s="49">
        <v>0</v>
      </c>
      <c r="X191" s="49"/>
      <c r="Y191" s="49"/>
      <c r="Z191" s="49"/>
      <c r="AA191" s="50"/>
      <c r="AB191" s="50"/>
      <c r="AC191" s="50"/>
      <c r="AD191" s="50"/>
      <c r="AE191" s="50"/>
      <c r="AH191" s="39">
        <v>0</v>
      </c>
      <c r="AI191" s="39">
        <v>0</v>
      </c>
      <c r="AJ191" s="39">
        <v>0</v>
      </c>
      <c r="AK191" s="39">
        <v>0</v>
      </c>
      <c r="AL191" s="39">
        <v>0</v>
      </c>
      <c r="AM191" s="42">
        <v>0</v>
      </c>
      <c r="AN191" s="42">
        <v>0</v>
      </c>
      <c r="AO191" s="42" t="s">
        <v>416</v>
      </c>
      <c r="AP191" s="42">
        <v>31</v>
      </c>
      <c r="AQ191" s="42">
        <v>0</v>
      </c>
    </row>
    <row r="192" spans="1:43" x14ac:dyDescent="0.15">
      <c r="A192" s="37" t="s">
        <v>30</v>
      </c>
      <c r="B192" s="37" t="s">
        <v>419</v>
      </c>
      <c r="C192" s="37" t="s">
        <v>417</v>
      </c>
      <c r="D192" s="37" t="s">
        <v>600</v>
      </c>
      <c r="E192" s="37" t="s">
        <v>415</v>
      </c>
      <c r="F192" s="37" t="s">
        <v>6</v>
      </c>
      <c r="G192" s="37">
        <v>0</v>
      </c>
      <c r="H192" s="37">
        <v>31</v>
      </c>
      <c r="I192" s="39">
        <v>4</v>
      </c>
      <c r="J192" s="45">
        <v>4</v>
      </c>
      <c r="K192" s="45">
        <v>4</v>
      </c>
      <c r="L192" s="45"/>
      <c r="M192" s="45"/>
      <c r="N192" s="45"/>
      <c r="P192" s="39">
        <v>27</v>
      </c>
      <c r="Q192" s="39">
        <v>31</v>
      </c>
      <c r="R192" s="39">
        <v>4</v>
      </c>
      <c r="S192" s="39">
        <v>31</v>
      </c>
      <c r="T192" s="39">
        <v>0</v>
      </c>
      <c r="U192" s="39">
        <v>0</v>
      </c>
      <c r="V192" s="39">
        <v>0</v>
      </c>
      <c r="W192" s="49">
        <v>0</v>
      </c>
      <c r="X192" s="49"/>
      <c r="Y192" s="49"/>
      <c r="Z192" s="49"/>
      <c r="AA192" s="51"/>
      <c r="AB192" s="51"/>
      <c r="AC192" s="51"/>
      <c r="AD192" s="51"/>
      <c r="AE192" s="51"/>
      <c r="AH192" s="39">
        <v>0</v>
      </c>
      <c r="AI192" s="39">
        <v>0</v>
      </c>
      <c r="AJ192" s="39">
        <v>0</v>
      </c>
      <c r="AK192" s="39">
        <v>0</v>
      </c>
      <c r="AL192" s="39">
        <v>0</v>
      </c>
      <c r="AM192" s="42">
        <v>0</v>
      </c>
      <c r="AN192" s="42">
        <v>0</v>
      </c>
      <c r="AO192" s="42" t="s">
        <v>416</v>
      </c>
      <c r="AP192" s="42">
        <v>31</v>
      </c>
      <c r="AQ192" s="42">
        <v>0</v>
      </c>
    </row>
    <row r="193" spans="1:43" x14ac:dyDescent="0.15">
      <c r="A193" s="37" t="s">
        <v>30</v>
      </c>
      <c r="B193" s="37" t="s">
        <v>419</v>
      </c>
      <c r="C193" s="37" t="s">
        <v>417</v>
      </c>
      <c r="D193" s="37" t="s">
        <v>601</v>
      </c>
      <c r="E193" s="37" t="s">
        <v>415</v>
      </c>
      <c r="F193" s="37" t="s">
        <v>6</v>
      </c>
      <c r="G193" s="37">
        <v>0</v>
      </c>
      <c r="H193" s="37">
        <v>31</v>
      </c>
      <c r="I193" s="39">
        <v>4</v>
      </c>
      <c r="J193" s="45">
        <v>4</v>
      </c>
      <c r="K193" s="45">
        <v>4</v>
      </c>
      <c r="L193" s="45"/>
      <c r="M193" s="45"/>
      <c r="N193" s="45"/>
      <c r="P193" s="39">
        <v>27</v>
      </c>
      <c r="Q193" s="39">
        <v>31</v>
      </c>
      <c r="R193" s="39">
        <v>4</v>
      </c>
      <c r="S193" s="39">
        <v>31</v>
      </c>
      <c r="T193" s="39">
        <v>0</v>
      </c>
      <c r="U193" s="39">
        <v>0</v>
      </c>
      <c r="V193" s="39">
        <v>0</v>
      </c>
      <c r="W193" s="49">
        <v>0</v>
      </c>
      <c r="X193" s="49">
        <v>10</v>
      </c>
      <c r="Y193" s="49"/>
      <c r="Z193" s="49"/>
      <c r="AA193" s="51"/>
      <c r="AB193" s="51"/>
      <c r="AC193" s="51"/>
      <c r="AD193" s="51"/>
      <c r="AE193" s="51"/>
      <c r="AH193" s="39">
        <v>0</v>
      </c>
      <c r="AI193" s="39">
        <v>0</v>
      </c>
      <c r="AJ193" s="39">
        <v>0</v>
      </c>
      <c r="AK193" s="39">
        <v>0</v>
      </c>
      <c r="AL193" s="39">
        <v>0</v>
      </c>
      <c r="AM193" s="42">
        <v>0</v>
      </c>
      <c r="AN193" s="42">
        <v>0</v>
      </c>
      <c r="AO193" s="42" t="s">
        <v>416</v>
      </c>
      <c r="AP193" s="42">
        <v>31</v>
      </c>
      <c r="AQ193" s="42">
        <v>0</v>
      </c>
    </row>
    <row r="194" spans="1:43" x14ac:dyDescent="0.15">
      <c r="A194" s="37" t="s">
        <v>30</v>
      </c>
      <c r="B194" s="37" t="s">
        <v>15</v>
      </c>
      <c r="C194" s="37" t="s">
        <v>417</v>
      </c>
      <c r="D194" s="37" t="s">
        <v>602</v>
      </c>
      <c r="E194" s="37" t="s">
        <v>415</v>
      </c>
      <c r="F194" s="37" t="s">
        <v>6</v>
      </c>
      <c r="G194" s="37">
        <v>0</v>
      </c>
      <c r="H194" s="37">
        <v>31</v>
      </c>
      <c r="I194" s="41">
        <v>4</v>
      </c>
      <c r="J194" s="45">
        <v>4</v>
      </c>
      <c r="K194" s="45">
        <v>4</v>
      </c>
      <c r="L194" s="45"/>
      <c r="M194" s="45"/>
      <c r="N194" s="45"/>
      <c r="P194" s="39">
        <v>27</v>
      </c>
      <c r="Q194" s="39">
        <v>31</v>
      </c>
      <c r="R194" s="39">
        <v>4</v>
      </c>
      <c r="S194" s="39">
        <v>31</v>
      </c>
      <c r="T194" s="39">
        <v>0</v>
      </c>
      <c r="U194" s="39">
        <v>0</v>
      </c>
      <c r="V194" s="39">
        <v>0</v>
      </c>
      <c r="W194" s="49">
        <v>0</v>
      </c>
      <c r="X194" s="49"/>
      <c r="Y194" s="49"/>
      <c r="Z194" s="49">
        <v>50</v>
      </c>
      <c r="AA194" s="50"/>
      <c r="AB194" s="50"/>
      <c r="AC194" s="50"/>
      <c r="AD194" s="50"/>
      <c r="AE194" s="50"/>
      <c r="AH194" s="39">
        <v>0</v>
      </c>
      <c r="AI194" s="39">
        <v>0</v>
      </c>
      <c r="AJ194" s="39">
        <v>0</v>
      </c>
      <c r="AK194" s="39">
        <v>0</v>
      </c>
      <c r="AL194" s="39">
        <v>0</v>
      </c>
      <c r="AM194" s="42">
        <v>0</v>
      </c>
      <c r="AN194" s="42">
        <v>0</v>
      </c>
      <c r="AO194" s="42" t="s">
        <v>416</v>
      </c>
      <c r="AP194" s="42">
        <v>31</v>
      </c>
      <c r="AQ194" s="42">
        <v>0</v>
      </c>
    </row>
    <row r="195" spans="1:43" x14ac:dyDescent="0.15">
      <c r="A195" s="37" t="s">
        <v>30</v>
      </c>
      <c r="B195" s="37" t="s">
        <v>419</v>
      </c>
      <c r="C195" s="37" t="s">
        <v>417</v>
      </c>
      <c r="D195" s="37" t="s">
        <v>603</v>
      </c>
      <c r="E195" s="37" t="s">
        <v>415</v>
      </c>
      <c r="F195" s="37" t="s">
        <v>6</v>
      </c>
      <c r="G195" s="37">
        <v>0</v>
      </c>
      <c r="H195" s="37">
        <v>31</v>
      </c>
      <c r="I195" s="41">
        <v>4</v>
      </c>
      <c r="J195" s="45">
        <v>4</v>
      </c>
      <c r="K195" s="45">
        <v>4</v>
      </c>
      <c r="L195" s="45"/>
      <c r="M195" s="45"/>
      <c r="N195" s="45"/>
      <c r="P195" s="39">
        <v>27</v>
      </c>
      <c r="Q195" s="39">
        <v>31</v>
      </c>
      <c r="R195" s="39">
        <v>4</v>
      </c>
      <c r="S195" s="39">
        <v>31</v>
      </c>
      <c r="T195" s="39">
        <v>0</v>
      </c>
      <c r="U195" s="39">
        <v>0</v>
      </c>
      <c r="V195" s="39">
        <v>0</v>
      </c>
      <c r="W195" s="49">
        <v>0</v>
      </c>
      <c r="X195" s="49"/>
      <c r="Y195" s="49"/>
      <c r="Z195" s="49"/>
      <c r="AA195" s="50"/>
      <c r="AB195" s="50"/>
      <c r="AC195" s="50"/>
      <c r="AD195" s="50"/>
      <c r="AE195" s="50"/>
      <c r="AH195" s="39">
        <v>4000</v>
      </c>
      <c r="AI195" s="39">
        <v>0</v>
      </c>
      <c r="AJ195" s="39">
        <v>0</v>
      </c>
      <c r="AK195" s="39">
        <v>0</v>
      </c>
      <c r="AL195" s="39">
        <v>0</v>
      </c>
      <c r="AM195" s="42">
        <v>0</v>
      </c>
      <c r="AN195" s="42">
        <v>0</v>
      </c>
      <c r="AO195" s="42" t="s">
        <v>416</v>
      </c>
      <c r="AP195" s="42">
        <v>31</v>
      </c>
      <c r="AQ195" s="42">
        <v>0</v>
      </c>
    </row>
    <row r="196" spans="1:43" x14ac:dyDescent="0.15">
      <c r="A196" s="37" t="s">
        <v>32</v>
      </c>
      <c r="B196" s="37" t="s">
        <v>419</v>
      </c>
      <c r="C196" s="37" t="s">
        <v>417</v>
      </c>
      <c r="D196" s="37" t="s">
        <v>604</v>
      </c>
      <c r="E196" s="37" t="s">
        <v>415</v>
      </c>
      <c r="F196" s="37" t="s">
        <v>6</v>
      </c>
      <c r="G196" s="37">
        <v>0</v>
      </c>
      <c r="H196" s="37">
        <v>31</v>
      </c>
      <c r="I196" s="41">
        <v>4</v>
      </c>
      <c r="J196" s="45">
        <v>4</v>
      </c>
      <c r="K196" s="45">
        <v>4</v>
      </c>
      <c r="L196" s="45"/>
      <c r="M196" s="45"/>
      <c r="N196" s="45"/>
      <c r="P196" s="39">
        <v>27</v>
      </c>
      <c r="Q196" s="39">
        <v>31</v>
      </c>
      <c r="R196" s="39">
        <v>4</v>
      </c>
      <c r="S196" s="39">
        <v>31</v>
      </c>
      <c r="T196" s="39">
        <v>0</v>
      </c>
      <c r="U196" s="39">
        <v>0</v>
      </c>
      <c r="V196" s="39">
        <v>0</v>
      </c>
      <c r="W196" s="49">
        <v>0</v>
      </c>
      <c r="X196" s="49"/>
      <c r="Y196" s="49"/>
      <c r="Z196" s="49">
        <v>50</v>
      </c>
      <c r="AA196" s="50"/>
      <c r="AB196" s="50"/>
      <c r="AC196" s="50"/>
      <c r="AD196" s="50"/>
      <c r="AE196" s="50"/>
      <c r="AH196" s="39">
        <v>0</v>
      </c>
      <c r="AI196" s="39">
        <v>0</v>
      </c>
      <c r="AJ196" s="39">
        <v>0</v>
      </c>
      <c r="AK196" s="39">
        <v>0</v>
      </c>
      <c r="AL196" s="39">
        <v>0</v>
      </c>
      <c r="AM196" s="42">
        <v>0</v>
      </c>
      <c r="AN196" s="42">
        <v>0</v>
      </c>
      <c r="AO196" s="42" t="s">
        <v>416</v>
      </c>
      <c r="AP196" s="42">
        <v>31</v>
      </c>
      <c r="AQ196" s="42">
        <v>0</v>
      </c>
    </row>
    <row r="197" spans="1:43" x14ac:dyDescent="0.15">
      <c r="A197" s="37" t="s">
        <v>32</v>
      </c>
      <c r="B197" s="37" t="s">
        <v>419</v>
      </c>
      <c r="C197" s="37" t="s">
        <v>417</v>
      </c>
      <c r="D197" s="37" t="s">
        <v>605</v>
      </c>
      <c r="E197" s="37" t="s">
        <v>415</v>
      </c>
      <c r="F197" s="37" t="s">
        <v>6</v>
      </c>
      <c r="G197" s="37">
        <v>0</v>
      </c>
      <c r="H197" s="37">
        <v>31</v>
      </c>
      <c r="I197" s="41">
        <v>4</v>
      </c>
      <c r="J197" s="45">
        <v>4</v>
      </c>
      <c r="K197" s="45">
        <v>4</v>
      </c>
      <c r="L197" s="45"/>
      <c r="M197" s="45"/>
      <c r="N197" s="45"/>
      <c r="P197" s="39">
        <v>27</v>
      </c>
      <c r="Q197" s="39">
        <v>31</v>
      </c>
      <c r="R197" s="39">
        <v>4</v>
      </c>
      <c r="S197" s="39">
        <v>31</v>
      </c>
      <c r="T197" s="39">
        <v>0</v>
      </c>
      <c r="U197" s="39">
        <v>0</v>
      </c>
      <c r="V197" s="39">
        <v>0</v>
      </c>
      <c r="W197" s="49">
        <v>0</v>
      </c>
      <c r="X197" s="49"/>
      <c r="Y197" s="49"/>
      <c r="Z197" s="49"/>
      <c r="AA197" s="50"/>
      <c r="AB197" s="50"/>
      <c r="AC197" s="50"/>
      <c r="AD197" s="50"/>
      <c r="AE197" s="50"/>
      <c r="AH197" s="39">
        <v>0</v>
      </c>
      <c r="AI197" s="39">
        <v>0</v>
      </c>
      <c r="AJ197" s="39">
        <v>0</v>
      </c>
      <c r="AK197" s="39">
        <v>0</v>
      </c>
      <c r="AL197" s="39">
        <v>0</v>
      </c>
      <c r="AM197" s="42">
        <v>0</v>
      </c>
      <c r="AN197" s="42">
        <v>0</v>
      </c>
      <c r="AO197" s="42" t="s">
        <v>416</v>
      </c>
      <c r="AP197" s="42">
        <v>31</v>
      </c>
      <c r="AQ197" s="42">
        <v>0</v>
      </c>
    </row>
    <row r="198" spans="1:43" x14ac:dyDescent="0.15">
      <c r="A198" s="37" t="s">
        <v>32</v>
      </c>
      <c r="B198" s="37" t="s">
        <v>14</v>
      </c>
      <c r="C198" s="37" t="s">
        <v>413</v>
      </c>
      <c r="D198" s="37" t="s">
        <v>606</v>
      </c>
      <c r="E198" s="37" t="s">
        <v>415</v>
      </c>
      <c r="F198" s="37" t="s">
        <v>6</v>
      </c>
      <c r="G198" s="37">
        <v>0</v>
      </c>
      <c r="H198" s="37">
        <v>31</v>
      </c>
      <c r="I198" s="41">
        <v>4</v>
      </c>
      <c r="J198" s="45">
        <v>3</v>
      </c>
      <c r="K198" s="45">
        <v>3</v>
      </c>
      <c r="L198" s="45"/>
      <c r="M198" s="45"/>
      <c r="N198" s="45"/>
      <c r="P198" s="39">
        <v>28</v>
      </c>
      <c r="Q198" s="39">
        <v>31</v>
      </c>
      <c r="R198" s="39">
        <v>4</v>
      </c>
      <c r="S198" s="39">
        <v>31</v>
      </c>
      <c r="T198" s="39">
        <v>0</v>
      </c>
      <c r="U198" s="39">
        <v>0</v>
      </c>
      <c r="V198" s="39">
        <v>0</v>
      </c>
      <c r="W198" s="49">
        <v>0</v>
      </c>
      <c r="X198" s="49">
        <v>120</v>
      </c>
      <c r="Y198" s="49"/>
      <c r="Z198" s="49"/>
      <c r="AA198" s="50"/>
      <c r="AB198" s="50"/>
      <c r="AC198" s="50"/>
      <c r="AD198" s="50"/>
      <c r="AE198" s="50"/>
      <c r="AH198" s="39">
        <v>0</v>
      </c>
      <c r="AI198" s="39">
        <v>0</v>
      </c>
      <c r="AJ198" s="39">
        <v>0</v>
      </c>
      <c r="AK198" s="39">
        <v>0</v>
      </c>
      <c r="AL198" s="39">
        <v>0</v>
      </c>
      <c r="AM198" s="42">
        <v>0</v>
      </c>
      <c r="AN198" s="42">
        <v>0</v>
      </c>
      <c r="AO198" s="42" t="s">
        <v>416</v>
      </c>
      <c r="AP198" s="42">
        <v>31</v>
      </c>
      <c r="AQ198" s="42">
        <v>0</v>
      </c>
    </row>
    <row r="199" spans="1:43" x14ac:dyDescent="0.15">
      <c r="A199" s="37" t="s">
        <v>32</v>
      </c>
      <c r="B199" s="37" t="s">
        <v>419</v>
      </c>
      <c r="C199" s="37" t="s">
        <v>417</v>
      </c>
      <c r="D199" s="37" t="s">
        <v>607</v>
      </c>
      <c r="E199" s="37" t="s">
        <v>415</v>
      </c>
      <c r="F199" s="37" t="s">
        <v>6</v>
      </c>
      <c r="G199" s="37">
        <v>0</v>
      </c>
      <c r="H199" s="37">
        <v>31</v>
      </c>
      <c r="I199" s="41">
        <v>4</v>
      </c>
      <c r="J199" s="45">
        <v>4</v>
      </c>
      <c r="K199" s="45">
        <v>4</v>
      </c>
      <c r="L199" s="45"/>
      <c r="M199" s="45"/>
      <c r="N199" s="45"/>
      <c r="P199" s="39">
        <v>27</v>
      </c>
      <c r="Q199" s="39">
        <v>31</v>
      </c>
      <c r="R199" s="39">
        <v>4</v>
      </c>
      <c r="S199" s="39">
        <v>31</v>
      </c>
      <c r="T199" s="39">
        <v>0</v>
      </c>
      <c r="U199" s="39">
        <v>0</v>
      </c>
      <c r="V199" s="39">
        <v>0</v>
      </c>
      <c r="W199" s="49">
        <v>0</v>
      </c>
      <c r="X199" s="49"/>
      <c r="Y199" s="49"/>
      <c r="Z199" s="49"/>
      <c r="AA199" s="50"/>
      <c r="AB199" s="50"/>
      <c r="AC199" s="50"/>
      <c r="AD199" s="50"/>
      <c r="AE199" s="50"/>
      <c r="AH199" s="39">
        <v>0</v>
      </c>
      <c r="AI199" s="39">
        <v>0</v>
      </c>
      <c r="AJ199" s="39">
        <v>0</v>
      </c>
      <c r="AK199" s="39">
        <v>0</v>
      </c>
      <c r="AL199" s="39">
        <v>0</v>
      </c>
      <c r="AM199" s="42">
        <v>0</v>
      </c>
      <c r="AN199" s="42">
        <v>0</v>
      </c>
      <c r="AO199" s="42" t="s">
        <v>416</v>
      </c>
      <c r="AP199" s="42">
        <v>31</v>
      </c>
      <c r="AQ199" s="42">
        <v>0</v>
      </c>
    </row>
    <row r="200" spans="1:43" x14ac:dyDescent="0.15">
      <c r="A200" s="37" t="s">
        <v>32</v>
      </c>
      <c r="B200" s="37" t="s">
        <v>419</v>
      </c>
      <c r="C200" s="37" t="s">
        <v>417</v>
      </c>
      <c r="D200" s="37" t="s">
        <v>608</v>
      </c>
      <c r="E200" s="37" t="s">
        <v>415</v>
      </c>
      <c r="F200" s="37" t="s">
        <v>6</v>
      </c>
      <c r="G200" s="37">
        <v>0</v>
      </c>
      <c r="H200" s="37">
        <v>31</v>
      </c>
      <c r="I200" s="41">
        <v>4</v>
      </c>
      <c r="J200" s="45">
        <v>4</v>
      </c>
      <c r="K200" s="45">
        <v>4</v>
      </c>
      <c r="L200" s="45"/>
      <c r="M200" s="45"/>
      <c r="N200" s="45"/>
      <c r="P200" s="39">
        <v>27</v>
      </c>
      <c r="Q200" s="39">
        <v>31</v>
      </c>
      <c r="R200" s="39">
        <v>4</v>
      </c>
      <c r="S200" s="39">
        <v>31</v>
      </c>
      <c r="T200" s="39">
        <v>0</v>
      </c>
      <c r="U200" s="39">
        <v>0</v>
      </c>
      <c r="V200" s="39">
        <v>0</v>
      </c>
      <c r="W200" s="49">
        <v>0</v>
      </c>
      <c r="X200" s="49">
        <v>10</v>
      </c>
      <c r="Y200" s="49"/>
      <c r="Z200" s="49"/>
      <c r="AA200" s="50"/>
      <c r="AB200" s="50"/>
      <c r="AC200" s="50"/>
      <c r="AD200" s="50"/>
      <c r="AE200" s="50"/>
      <c r="AH200" s="39">
        <v>0</v>
      </c>
      <c r="AI200" s="39">
        <v>0</v>
      </c>
      <c r="AJ200" s="39">
        <v>0</v>
      </c>
      <c r="AK200" s="39">
        <v>0</v>
      </c>
      <c r="AL200" s="39">
        <v>0</v>
      </c>
      <c r="AM200" s="42">
        <v>0</v>
      </c>
      <c r="AN200" s="42">
        <v>0</v>
      </c>
      <c r="AO200" s="42" t="s">
        <v>416</v>
      </c>
      <c r="AP200" s="42">
        <v>31</v>
      </c>
      <c r="AQ200" s="42">
        <v>0</v>
      </c>
    </row>
    <row r="201" spans="1:43" x14ac:dyDescent="0.15">
      <c r="A201" s="37" t="s">
        <v>32</v>
      </c>
      <c r="B201" s="37" t="s">
        <v>419</v>
      </c>
      <c r="C201" s="37" t="s">
        <v>417</v>
      </c>
      <c r="D201" s="37" t="s">
        <v>730</v>
      </c>
      <c r="E201" s="37" t="s">
        <v>80</v>
      </c>
      <c r="F201" s="37" t="s">
        <v>6</v>
      </c>
      <c r="G201" s="37">
        <v>0</v>
      </c>
      <c r="H201" s="37">
        <v>1</v>
      </c>
      <c r="I201" s="41">
        <v>0</v>
      </c>
      <c r="J201" s="45">
        <v>0</v>
      </c>
      <c r="K201" s="45">
        <v>0</v>
      </c>
      <c r="L201" s="45"/>
      <c r="M201" s="45"/>
      <c r="N201" s="45"/>
      <c r="P201" s="39">
        <v>1</v>
      </c>
      <c r="Q201" s="39">
        <v>1</v>
      </c>
      <c r="R201" s="39">
        <v>0</v>
      </c>
      <c r="S201" s="39">
        <v>1</v>
      </c>
      <c r="T201" s="39">
        <v>0</v>
      </c>
      <c r="U201" s="39">
        <v>0</v>
      </c>
      <c r="V201" s="39">
        <v>0</v>
      </c>
      <c r="W201" s="49">
        <v>0</v>
      </c>
      <c r="X201" s="49"/>
      <c r="Y201" s="49"/>
      <c r="Z201" s="49"/>
      <c r="AA201" s="50"/>
      <c r="AB201" s="50"/>
      <c r="AC201" s="50"/>
      <c r="AD201" s="50"/>
      <c r="AE201" s="50"/>
      <c r="AH201" s="39">
        <v>0</v>
      </c>
      <c r="AI201" s="39">
        <v>0</v>
      </c>
      <c r="AJ201" s="39">
        <v>0</v>
      </c>
      <c r="AK201" s="39">
        <v>0</v>
      </c>
      <c r="AL201" s="39">
        <v>0</v>
      </c>
      <c r="AM201" s="42">
        <v>0</v>
      </c>
      <c r="AN201" s="42">
        <v>0</v>
      </c>
      <c r="AO201" s="42" t="s">
        <v>416</v>
      </c>
      <c r="AP201" s="42">
        <v>1</v>
      </c>
      <c r="AQ201" s="42" t="s">
        <v>731</v>
      </c>
    </row>
    <row r="202" spans="1:43" x14ac:dyDescent="0.15">
      <c r="A202" s="37" t="s">
        <v>32</v>
      </c>
      <c r="B202" s="37" t="s">
        <v>15</v>
      </c>
      <c r="C202" s="37" t="s">
        <v>417</v>
      </c>
      <c r="D202" s="37" t="s">
        <v>609</v>
      </c>
      <c r="E202" s="37" t="s">
        <v>415</v>
      </c>
      <c r="F202" s="37" t="s">
        <v>6</v>
      </c>
      <c r="G202" s="37">
        <v>0</v>
      </c>
      <c r="H202" s="37">
        <v>31</v>
      </c>
      <c r="I202" s="41">
        <v>4</v>
      </c>
      <c r="J202" s="45">
        <v>4</v>
      </c>
      <c r="K202" s="45">
        <v>4</v>
      </c>
      <c r="L202" s="45"/>
      <c r="M202" s="45"/>
      <c r="N202" s="45"/>
      <c r="P202" s="39">
        <v>27</v>
      </c>
      <c r="Q202" s="39">
        <v>31</v>
      </c>
      <c r="R202" s="39">
        <v>4</v>
      </c>
      <c r="S202" s="39">
        <v>31</v>
      </c>
      <c r="T202" s="39">
        <v>0</v>
      </c>
      <c r="U202" s="39">
        <v>0</v>
      </c>
      <c r="V202" s="39">
        <v>0</v>
      </c>
      <c r="W202" s="49">
        <v>0</v>
      </c>
      <c r="X202" s="49">
        <v>10</v>
      </c>
      <c r="Y202" s="49"/>
      <c r="Z202" s="49"/>
      <c r="AA202" s="50"/>
      <c r="AB202" s="50"/>
      <c r="AC202" s="50"/>
      <c r="AD202" s="50"/>
      <c r="AE202" s="50"/>
      <c r="AH202" s="39">
        <v>3500</v>
      </c>
      <c r="AI202" s="39">
        <v>0</v>
      </c>
      <c r="AJ202" s="39">
        <v>0</v>
      </c>
      <c r="AK202" s="39">
        <v>410</v>
      </c>
      <c r="AL202" s="39">
        <v>0</v>
      </c>
      <c r="AM202" s="42">
        <v>0</v>
      </c>
      <c r="AN202" s="42">
        <v>0</v>
      </c>
      <c r="AO202" s="42" t="s">
        <v>416</v>
      </c>
      <c r="AP202" s="42">
        <v>31</v>
      </c>
      <c r="AQ202" s="42">
        <v>0</v>
      </c>
    </row>
    <row r="203" spans="1:43" x14ac:dyDescent="0.15">
      <c r="A203" s="37" t="s">
        <v>29</v>
      </c>
      <c r="B203" s="37" t="s">
        <v>14</v>
      </c>
      <c r="C203" s="37" t="s">
        <v>413</v>
      </c>
      <c r="D203" s="37" t="s">
        <v>610</v>
      </c>
      <c r="E203" s="37" t="s">
        <v>415</v>
      </c>
      <c r="F203" s="37" t="s">
        <v>6</v>
      </c>
      <c r="G203" s="37">
        <v>0</v>
      </c>
      <c r="H203" s="37">
        <v>31</v>
      </c>
      <c r="I203" s="41">
        <v>4</v>
      </c>
      <c r="J203" s="45">
        <v>4</v>
      </c>
      <c r="K203" s="45">
        <v>4</v>
      </c>
      <c r="L203" s="45"/>
      <c r="M203" s="45"/>
      <c r="N203" s="45"/>
      <c r="P203" s="39">
        <v>27</v>
      </c>
      <c r="Q203" s="39">
        <v>31</v>
      </c>
      <c r="R203" s="39">
        <v>4</v>
      </c>
      <c r="S203" s="39">
        <v>31</v>
      </c>
      <c r="T203" s="39">
        <v>0</v>
      </c>
      <c r="U203" s="39">
        <v>0</v>
      </c>
      <c r="V203" s="39">
        <v>0</v>
      </c>
      <c r="W203" s="49">
        <v>0</v>
      </c>
      <c r="X203" s="49">
        <v>20</v>
      </c>
      <c r="Y203" s="49"/>
      <c r="Z203" s="49">
        <v>50</v>
      </c>
      <c r="AA203" s="50"/>
      <c r="AB203" s="50"/>
      <c r="AC203" s="50"/>
      <c r="AD203" s="50"/>
      <c r="AE203" s="50"/>
      <c r="AH203" s="39">
        <v>0</v>
      </c>
      <c r="AI203" s="39">
        <v>0</v>
      </c>
      <c r="AJ203" s="39">
        <v>0</v>
      </c>
      <c r="AK203" s="39">
        <v>0</v>
      </c>
      <c r="AL203" s="39">
        <v>0</v>
      </c>
      <c r="AM203" s="42">
        <v>0</v>
      </c>
      <c r="AN203" s="42">
        <v>0</v>
      </c>
      <c r="AO203" s="42" t="s">
        <v>416</v>
      </c>
      <c r="AP203" s="42">
        <v>31</v>
      </c>
      <c r="AQ203" s="42">
        <v>0</v>
      </c>
    </row>
    <row r="204" spans="1:43" x14ac:dyDescent="0.15">
      <c r="A204" s="37" t="s">
        <v>29</v>
      </c>
      <c r="B204" s="37" t="s">
        <v>419</v>
      </c>
      <c r="C204" s="37" t="s">
        <v>417</v>
      </c>
      <c r="D204" s="37" t="s">
        <v>611</v>
      </c>
      <c r="E204" s="37" t="s">
        <v>415</v>
      </c>
      <c r="F204" s="37" t="s">
        <v>6</v>
      </c>
      <c r="G204" s="37">
        <v>0</v>
      </c>
      <c r="H204" s="37">
        <v>31</v>
      </c>
      <c r="I204" s="41">
        <v>4</v>
      </c>
      <c r="J204" s="45">
        <v>5</v>
      </c>
      <c r="K204" s="45">
        <v>4</v>
      </c>
      <c r="L204" s="45"/>
      <c r="M204" s="45">
        <v>1</v>
      </c>
      <c r="N204" s="45"/>
      <c r="P204" s="39">
        <v>26</v>
      </c>
      <c r="Q204" s="39">
        <v>31</v>
      </c>
      <c r="R204" s="39">
        <v>4</v>
      </c>
      <c r="S204" s="39">
        <v>31</v>
      </c>
      <c r="T204" s="39">
        <v>0</v>
      </c>
      <c r="U204" s="39">
        <v>0</v>
      </c>
      <c r="V204" s="39">
        <v>0</v>
      </c>
      <c r="W204" s="49">
        <v>0</v>
      </c>
      <c r="X204" s="49"/>
      <c r="Y204" s="49"/>
      <c r="Z204" s="49"/>
      <c r="AA204" s="50"/>
      <c r="AB204" s="50"/>
      <c r="AC204" s="50">
        <v>100</v>
      </c>
      <c r="AD204" s="50"/>
      <c r="AE204" s="50"/>
      <c r="AH204" s="39">
        <v>0</v>
      </c>
      <c r="AI204" s="39">
        <v>0</v>
      </c>
      <c r="AJ204" s="39">
        <v>0</v>
      </c>
      <c r="AK204" s="39">
        <v>0</v>
      </c>
      <c r="AL204" s="39">
        <v>0</v>
      </c>
      <c r="AM204" s="42">
        <v>0</v>
      </c>
      <c r="AN204" s="42">
        <v>0</v>
      </c>
      <c r="AO204" s="42" t="s">
        <v>416</v>
      </c>
      <c r="AP204" s="42">
        <v>31</v>
      </c>
      <c r="AQ204" s="42">
        <v>0</v>
      </c>
    </row>
    <row r="205" spans="1:43" x14ac:dyDescent="0.15">
      <c r="A205" s="37" t="s">
        <v>29</v>
      </c>
      <c r="B205" s="37" t="s">
        <v>419</v>
      </c>
      <c r="C205" s="37" t="s">
        <v>417</v>
      </c>
      <c r="D205" s="37" t="s">
        <v>612</v>
      </c>
      <c r="E205" s="37" t="s">
        <v>415</v>
      </c>
      <c r="F205" s="37" t="s">
        <v>6</v>
      </c>
      <c r="G205" s="37">
        <v>0</v>
      </c>
      <c r="H205" s="37">
        <v>31</v>
      </c>
      <c r="I205" s="41">
        <v>4</v>
      </c>
      <c r="J205" s="45">
        <v>9</v>
      </c>
      <c r="K205" s="45">
        <v>3</v>
      </c>
      <c r="L205" s="45">
        <v>6</v>
      </c>
      <c r="M205" s="45"/>
      <c r="N205" s="45"/>
      <c r="P205" s="39">
        <v>22</v>
      </c>
      <c r="Q205" s="39">
        <v>25</v>
      </c>
      <c r="R205" s="39">
        <v>3</v>
      </c>
      <c r="S205" s="39">
        <v>25</v>
      </c>
      <c r="T205" s="39">
        <v>0</v>
      </c>
      <c r="U205" s="39">
        <v>6</v>
      </c>
      <c r="V205" s="39">
        <v>0</v>
      </c>
      <c r="W205" s="49">
        <v>0</v>
      </c>
      <c r="X205" s="49"/>
      <c r="Y205" s="49"/>
      <c r="Z205" s="49"/>
      <c r="AA205" s="50"/>
      <c r="AB205" s="50"/>
      <c r="AC205" s="50"/>
      <c r="AD205" s="50"/>
      <c r="AE205" s="50"/>
      <c r="AH205" s="39">
        <v>0</v>
      </c>
      <c r="AI205" s="39">
        <v>0</v>
      </c>
      <c r="AJ205" s="39">
        <v>0</v>
      </c>
      <c r="AK205" s="39">
        <v>0</v>
      </c>
      <c r="AL205" s="39">
        <v>0</v>
      </c>
      <c r="AM205" s="42">
        <v>0</v>
      </c>
      <c r="AN205" s="42">
        <v>0</v>
      </c>
      <c r="AO205" s="42" t="s">
        <v>416</v>
      </c>
      <c r="AP205" s="42">
        <v>25</v>
      </c>
      <c r="AQ205" s="42">
        <v>0</v>
      </c>
    </row>
    <row r="206" spans="1:43" x14ac:dyDescent="0.15">
      <c r="A206" s="37" t="s">
        <v>26</v>
      </c>
      <c r="B206" s="37" t="s">
        <v>419</v>
      </c>
      <c r="C206" s="37" t="s">
        <v>417</v>
      </c>
      <c r="D206" s="37" t="s">
        <v>613</v>
      </c>
      <c r="E206" s="37" t="s">
        <v>415</v>
      </c>
      <c r="F206" s="37" t="s">
        <v>6</v>
      </c>
      <c r="G206" s="37">
        <v>0</v>
      </c>
      <c r="H206" s="37">
        <v>31</v>
      </c>
      <c r="I206" s="41">
        <v>4</v>
      </c>
      <c r="J206" s="45">
        <v>4</v>
      </c>
      <c r="K206" s="45">
        <v>4</v>
      </c>
      <c r="L206" s="45"/>
      <c r="M206" s="45"/>
      <c r="N206" s="45"/>
      <c r="P206" s="39">
        <v>27</v>
      </c>
      <c r="Q206" s="39">
        <v>31</v>
      </c>
      <c r="R206" s="39">
        <v>4</v>
      </c>
      <c r="S206" s="39">
        <v>31</v>
      </c>
      <c r="T206" s="39">
        <v>0</v>
      </c>
      <c r="U206" s="39">
        <v>0</v>
      </c>
      <c r="V206" s="39">
        <v>0</v>
      </c>
      <c r="W206" s="49">
        <v>0</v>
      </c>
      <c r="X206" s="49"/>
      <c r="Y206" s="49"/>
      <c r="Z206" s="49">
        <v>50</v>
      </c>
      <c r="AA206" s="50"/>
      <c r="AB206" s="50"/>
      <c r="AC206" s="50"/>
      <c r="AD206" s="50"/>
      <c r="AE206" s="50"/>
      <c r="AH206" s="39">
        <v>0</v>
      </c>
      <c r="AI206" s="39">
        <v>0</v>
      </c>
      <c r="AJ206" s="39">
        <v>0</v>
      </c>
      <c r="AK206" s="39">
        <v>0</v>
      </c>
      <c r="AL206" s="39">
        <v>0</v>
      </c>
      <c r="AM206" s="42">
        <v>0</v>
      </c>
      <c r="AN206" s="42">
        <v>0</v>
      </c>
      <c r="AO206" s="42" t="s">
        <v>416</v>
      </c>
      <c r="AP206" s="42">
        <v>31</v>
      </c>
      <c r="AQ206" s="42">
        <v>0</v>
      </c>
    </row>
    <row r="207" spans="1:43" x14ac:dyDescent="0.15">
      <c r="A207" s="37" t="s">
        <v>29</v>
      </c>
      <c r="B207" s="37" t="s">
        <v>15</v>
      </c>
      <c r="C207" s="37" t="s">
        <v>417</v>
      </c>
      <c r="D207" s="37" t="s">
        <v>614</v>
      </c>
      <c r="E207" s="37" t="s">
        <v>415</v>
      </c>
      <c r="F207" s="37" t="s">
        <v>6</v>
      </c>
      <c r="G207" s="37">
        <v>0</v>
      </c>
      <c r="H207" s="37">
        <v>31</v>
      </c>
      <c r="I207" s="41">
        <v>4</v>
      </c>
      <c r="J207" s="45">
        <v>4</v>
      </c>
      <c r="K207" s="45">
        <v>4</v>
      </c>
      <c r="L207" s="45"/>
      <c r="M207" s="45"/>
      <c r="N207" s="45"/>
      <c r="P207" s="39">
        <v>27</v>
      </c>
      <c r="Q207" s="39">
        <v>31</v>
      </c>
      <c r="R207" s="39">
        <v>4</v>
      </c>
      <c r="S207" s="39">
        <v>31</v>
      </c>
      <c r="T207" s="39">
        <v>0</v>
      </c>
      <c r="U207" s="39">
        <v>0</v>
      </c>
      <c r="V207" s="39">
        <v>0</v>
      </c>
      <c r="W207" s="49">
        <v>0</v>
      </c>
      <c r="X207" s="49"/>
      <c r="Y207" s="49"/>
      <c r="Z207" s="49">
        <v>50</v>
      </c>
      <c r="AA207" s="50"/>
      <c r="AB207" s="50"/>
      <c r="AC207" s="50"/>
      <c r="AD207" s="50"/>
      <c r="AE207" s="50"/>
      <c r="AH207" s="39">
        <v>0</v>
      </c>
      <c r="AI207" s="39">
        <v>0</v>
      </c>
      <c r="AJ207" s="39">
        <v>0</v>
      </c>
      <c r="AK207" s="39">
        <v>0</v>
      </c>
      <c r="AL207" s="39">
        <v>0</v>
      </c>
      <c r="AM207" s="42">
        <v>0</v>
      </c>
      <c r="AN207" s="42">
        <v>0</v>
      </c>
      <c r="AO207" s="42" t="s">
        <v>416</v>
      </c>
      <c r="AP207" s="42">
        <v>31</v>
      </c>
      <c r="AQ207" s="42">
        <v>0</v>
      </c>
    </row>
    <row r="208" spans="1:43" x14ac:dyDescent="0.15">
      <c r="A208" s="37" t="s">
        <v>29</v>
      </c>
      <c r="B208" s="37" t="s">
        <v>419</v>
      </c>
      <c r="C208" s="37" t="s">
        <v>417</v>
      </c>
      <c r="D208" s="37" t="s">
        <v>615</v>
      </c>
      <c r="E208" s="37" t="s">
        <v>415</v>
      </c>
      <c r="F208" s="37" t="s">
        <v>6</v>
      </c>
      <c r="G208" s="37">
        <v>0</v>
      </c>
      <c r="H208" s="37">
        <v>31</v>
      </c>
      <c r="I208" s="41">
        <v>4</v>
      </c>
      <c r="J208" s="45">
        <v>4</v>
      </c>
      <c r="K208" s="45">
        <v>4</v>
      </c>
      <c r="L208" s="45"/>
      <c r="M208" s="45"/>
      <c r="N208" s="45"/>
      <c r="P208" s="39">
        <v>27</v>
      </c>
      <c r="Q208" s="39">
        <v>31</v>
      </c>
      <c r="R208" s="39">
        <v>4</v>
      </c>
      <c r="S208" s="39">
        <v>31</v>
      </c>
      <c r="T208" s="39">
        <v>0</v>
      </c>
      <c r="U208" s="39">
        <v>0</v>
      </c>
      <c r="V208" s="39">
        <v>0</v>
      </c>
      <c r="W208" s="49">
        <v>0</v>
      </c>
      <c r="X208" s="49"/>
      <c r="Y208" s="49"/>
      <c r="Z208" s="49"/>
      <c r="AA208" s="50"/>
      <c r="AB208" s="50"/>
      <c r="AC208" s="50"/>
      <c r="AD208" s="50"/>
      <c r="AE208" s="50"/>
      <c r="AH208" s="39">
        <v>0</v>
      </c>
      <c r="AI208" s="39">
        <v>0</v>
      </c>
      <c r="AJ208" s="39">
        <v>0</v>
      </c>
      <c r="AK208" s="39">
        <v>0</v>
      </c>
      <c r="AL208" s="39">
        <v>0</v>
      </c>
      <c r="AM208" s="42">
        <v>0</v>
      </c>
      <c r="AN208" s="42">
        <v>0</v>
      </c>
      <c r="AO208" s="42" t="s">
        <v>416</v>
      </c>
      <c r="AP208" s="42">
        <v>31</v>
      </c>
      <c r="AQ208" s="42">
        <v>0</v>
      </c>
    </row>
    <row r="209" spans="1:43" x14ac:dyDescent="0.15">
      <c r="A209" s="37" t="s">
        <v>29</v>
      </c>
      <c r="B209" s="37" t="s">
        <v>419</v>
      </c>
      <c r="C209" s="37" t="s">
        <v>417</v>
      </c>
      <c r="D209" s="37" t="s">
        <v>616</v>
      </c>
      <c r="E209" s="37" t="s">
        <v>415</v>
      </c>
      <c r="F209" s="37" t="s">
        <v>6</v>
      </c>
      <c r="G209" s="37">
        <v>0</v>
      </c>
      <c r="H209" s="37">
        <v>31</v>
      </c>
      <c r="I209" s="41">
        <v>4</v>
      </c>
      <c r="J209" s="45">
        <v>5</v>
      </c>
      <c r="K209" s="45">
        <v>4</v>
      </c>
      <c r="L209" s="45"/>
      <c r="M209" s="45">
        <v>1</v>
      </c>
      <c r="N209" s="45"/>
      <c r="P209" s="39">
        <v>26</v>
      </c>
      <c r="Q209" s="39">
        <v>31</v>
      </c>
      <c r="R209" s="39">
        <v>4</v>
      </c>
      <c r="S209" s="39">
        <v>31</v>
      </c>
      <c r="T209" s="39">
        <v>0</v>
      </c>
      <c r="U209" s="39">
        <v>0</v>
      </c>
      <c r="V209" s="39">
        <v>0</v>
      </c>
      <c r="W209" s="49">
        <v>0</v>
      </c>
      <c r="X209" s="49"/>
      <c r="Y209" s="49"/>
      <c r="Z209" s="49">
        <v>50</v>
      </c>
      <c r="AA209" s="50"/>
      <c r="AB209" s="50"/>
      <c r="AC209" s="50">
        <v>100</v>
      </c>
      <c r="AD209" s="50"/>
      <c r="AE209" s="50"/>
      <c r="AH209" s="39">
        <v>0</v>
      </c>
      <c r="AI209" s="39">
        <v>0</v>
      </c>
      <c r="AJ209" s="39">
        <v>0</v>
      </c>
      <c r="AK209" s="39">
        <v>0</v>
      </c>
      <c r="AL209" s="39">
        <v>0</v>
      </c>
      <c r="AM209" s="42">
        <v>0</v>
      </c>
      <c r="AN209" s="42">
        <v>0</v>
      </c>
      <c r="AO209" s="42" t="s">
        <v>416</v>
      </c>
      <c r="AP209" s="42">
        <v>31</v>
      </c>
      <c r="AQ209" s="42">
        <v>0</v>
      </c>
    </row>
    <row r="210" spans="1:43" x14ac:dyDescent="0.15">
      <c r="A210" s="37" t="s">
        <v>59</v>
      </c>
      <c r="B210" s="37" t="s">
        <v>16</v>
      </c>
      <c r="C210" s="37" t="s">
        <v>413</v>
      </c>
      <c r="D210" s="37" t="s">
        <v>617</v>
      </c>
      <c r="E210" s="37" t="s">
        <v>415</v>
      </c>
      <c r="F210" s="37" t="s">
        <v>6</v>
      </c>
      <c r="G210" s="37">
        <v>0</v>
      </c>
      <c r="H210" s="37">
        <v>31</v>
      </c>
      <c r="I210" s="41">
        <v>4</v>
      </c>
      <c r="J210" s="45">
        <v>2</v>
      </c>
      <c r="K210" s="45">
        <v>2</v>
      </c>
      <c r="L210" s="45"/>
      <c r="M210" s="45"/>
      <c r="N210" s="45"/>
      <c r="P210" s="39">
        <v>29</v>
      </c>
      <c r="Q210" s="39">
        <v>31</v>
      </c>
      <c r="R210" s="39">
        <v>4</v>
      </c>
      <c r="S210" s="39">
        <v>31</v>
      </c>
      <c r="T210" s="39">
        <v>0</v>
      </c>
      <c r="U210" s="39">
        <v>0</v>
      </c>
      <c r="V210" s="39">
        <v>0</v>
      </c>
      <c r="W210" s="49">
        <v>0</v>
      </c>
      <c r="X210" s="49">
        <v>10</v>
      </c>
      <c r="Y210" s="49"/>
      <c r="Z210" s="49"/>
      <c r="AA210" s="50"/>
      <c r="AB210" s="50"/>
      <c r="AC210" s="50"/>
      <c r="AD210" s="50"/>
      <c r="AE210" s="50"/>
      <c r="AH210" s="39">
        <v>0</v>
      </c>
      <c r="AI210" s="39">
        <v>0</v>
      </c>
      <c r="AJ210" s="39">
        <v>0</v>
      </c>
      <c r="AK210" s="39">
        <v>0</v>
      </c>
      <c r="AL210" s="39">
        <v>0</v>
      </c>
      <c r="AM210" s="42">
        <v>0</v>
      </c>
      <c r="AN210" s="42">
        <v>0</v>
      </c>
      <c r="AO210" s="42" t="s">
        <v>416</v>
      </c>
      <c r="AP210" s="42">
        <v>31</v>
      </c>
      <c r="AQ210" s="42">
        <v>0</v>
      </c>
    </row>
    <row r="211" spans="1:43" x14ac:dyDescent="0.15">
      <c r="A211" s="37" t="s">
        <v>59</v>
      </c>
      <c r="B211" s="37" t="s">
        <v>15</v>
      </c>
      <c r="C211" s="37" t="s">
        <v>417</v>
      </c>
      <c r="D211" s="37" t="s">
        <v>618</v>
      </c>
      <c r="E211" s="37" t="s">
        <v>415</v>
      </c>
      <c r="F211" s="37" t="s">
        <v>6</v>
      </c>
      <c r="G211" s="37">
        <v>0</v>
      </c>
      <c r="H211" s="37">
        <v>31</v>
      </c>
      <c r="I211" s="41">
        <v>4</v>
      </c>
      <c r="J211" s="45">
        <v>3</v>
      </c>
      <c r="K211" s="45">
        <v>3</v>
      </c>
      <c r="L211" s="45"/>
      <c r="M211" s="45"/>
      <c r="N211" s="45"/>
      <c r="P211" s="39">
        <v>28</v>
      </c>
      <c r="Q211" s="39">
        <v>31</v>
      </c>
      <c r="R211" s="39">
        <v>4</v>
      </c>
      <c r="S211" s="39">
        <v>31</v>
      </c>
      <c r="T211" s="39">
        <v>0</v>
      </c>
      <c r="U211" s="39">
        <v>0</v>
      </c>
      <c r="V211" s="39">
        <v>0</v>
      </c>
      <c r="W211" s="49">
        <v>0</v>
      </c>
      <c r="X211" s="49">
        <v>20</v>
      </c>
      <c r="Y211" s="49"/>
      <c r="Z211" s="49"/>
      <c r="AA211" s="50"/>
      <c r="AB211" s="50"/>
      <c r="AC211" s="50"/>
      <c r="AD211" s="50"/>
      <c r="AE211" s="50"/>
      <c r="AH211" s="39">
        <v>0</v>
      </c>
      <c r="AI211" s="39">
        <v>0</v>
      </c>
      <c r="AJ211" s="39">
        <v>0</v>
      </c>
      <c r="AK211" s="39">
        <v>0</v>
      </c>
      <c r="AL211" s="39">
        <v>0</v>
      </c>
      <c r="AM211" s="42">
        <v>0</v>
      </c>
      <c r="AN211" s="42">
        <v>0</v>
      </c>
      <c r="AO211" s="42" t="s">
        <v>416</v>
      </c>
      <c r="AP211" s="42">
        <v>31</v>
      </c>
      <c r="AQ211" s="42">
        <v>0</v>
      </c>
    </row>
    <row r="212" spans="1:43" x14ac:dyDescent="0.15">
      <c r="A212" s="37" t="s">
        <v>59</v>
      </c>
      <c r="B212" s="37" t="s">
        <v>419</v>
      </c>
      <c r="C212" s="37" t="s">
        <v>417</v>
      </c>
      <c r="D212" s="37" t="s">
        <v>619</v>
      </c>
      <c r="E212" s="37" t="s">
        <v>415</v>
      </c>
      <c r="F212" s="37" t="s">
        <v>6</v>
      </c>
      <c r="G212" s="37">
        <v>0</v>
      </c>
      <c r="H212" s="37">
        <v>31</v>
      </c>
      <c r="I212" s="41">
        <v>4</v>
      </c>
      <c r="J212" s="45">
        <v>4</v>
      </c>
      <c r="K212" s="45">
        <v>4</v>
      </c>
      <c r="L212" s="45"/>
      <c r="M212" s="45"/>
      <c r="N212" s="45"/>
      <c r="P212" s="39">
        <v>27</v>
      </c>
      <c r="Q212" s="39">
        <v>31</v>
      </c>
      <c r="R212" s="39">
        <v>4</v>
      </c>
      <c r="S212" s="39">
        <v>31</v>
      </c>
      <c r="T212" s="39">
        <v>0</v>
      </c>
      <c r="U212" s="39">
        <v>0</v>
      </c>
      <c r="V212" s="39">
        <v>0</v>
      </c>
      <c r="W212" s="49">
        <v>0</v>
      </c>
      <c r="X212" s="49"/>
      <c r="Y212" s="49"/>
      <c r="Z212" s="49">
        <v>50</v>
      </c>
      <c r="AA212" s="50"/>
      <c r="AB212" s="50"/>
      <c r="AC212" s="50"/>
      <c r="AD212" s="50"/>
      <c r="AE212" s="50"/>
      <c r="AH212" s="39">
        <v>0</v>
      </c>
      <c r="AI212" s="39">
        <v>0</v>
      </c>
      <c r="AJ212" s="39">
        <v>0</v>
      </c>
      <c r="AK212" s="39">
        <v>0</v>
      </c>
      <c r="AL212" s="39">
        <v>0</v>
      </c>
      <c r="AM212" s="42">
        <v>0</v>
      </c>
      <c r="AN212" s="42">
        <v>0</v>
      </c>
      <c r="AO212" s="42" t="s">
        <v>416</v>
      </c>
      <c r="AP212" s="42">
        <v>31</v>
      </c>
      <c r="AQ212" s="42">
        <v>0</v>
      </c>
    </row>
    <row r="213" spans="1:43" x14ac:dyDescent="0.15">
      <c r="A213" s="37" t="s">
        <v>59</v>
      </c>
      <c r="B213" s="37" t="s">
        <v>419</v>
      </c>
      <c r="C213" s="37" t="s">
        <v>417</v>
      </c>
      <c r="D213" s="37" t="s">
        <v>620</v>
      </c>
      <c r="E213" s="37" t="s">
        <v>415</v>
      </c>
      <c r="F213" s="37" t="s">
        <v>6</v>
      </c>
      <c r="G213" s="37">
        <v>0</v>
      </c>
      <c r="H213" s="37">
        <v>31</v>
      </c>
      <c r="I213" s="41">
        <v>4</v>
      </c>
      <c r="J213" s="45">
        <v>4</v>
      </c>
      <c r="K213" s="45">
        <v>4</v>
      </c>
      <c r="L213" s="45"/>
      <c r="M213" s="45"/>
      <c r="N213" s="45"/>
      <c r="P213" s="39">
        <v>27</v>
      </c>
      <c r="Q213" s="39">
        <v>31</v>
      </c>
      <c r="R213" s="39">
        <v>4</v>
      </c>
      <c r="S213" s="39">
        <v>31</v>
      </c>
      <c r="T213" s="39">
        <v>0</v>
      </c>
      <c r="U213" s="39">
        <v>0</v>
      </c>
      <c r="V213" s="39">
        <v>0</v>
      </c>
      <c r="W213" s="49">
        <v>0</v>
      </c>
      <c r="X213" s="49"/>
      <c r="Y213" s="49"/>
      <c r="Z213" s="49"/>
      <c r="AA213" s="50"/>
      <c r="AB213" s="50"/>
      <c r="AC213" s="50"/>
      <c r="AD213" s="50"/>
      <c r="AE213" s="50"/>
      <c r="AH213" s="39">
        <v>0</v>
      </c>
      <c r="AI213" s="39">
        <v>0</v>
      </c>
      <c r="AJ213" s="39">
        <v>0</v>
      </c>
      <c r="AK213" s="39">
        <v>0</v>
      </c>
      <c r="AL213" s="39">
        <v>0</v>
      </c>
      <c r="AM213" s="42">
        <v>0</v>
      </c>
      <c r="AN213" s="42">
        <v>0</v>
      </c>
      <c r="AO213" s="42" t="s">
        <v>416</v>
      </c>
      <c r="AP213" s="42">
        <v>31</v>
      </c>
      <c r="AQ213" s="42">
        <v>0</v>
      </c>
    </row>
    <row r="214" spans="1:43" x14ac:dyDescent="0.15">
      <c r="A214" s="37" t="s">
        <v>59</v>
      </c>
      <c r="B214" s="37" t="s">
        <v>419</v>
      </c>
      <c r="C214" s="37" t="s">
        <v>417</v>
      </c>
      <c r="D214" s="37" t="s">
        <v>621</v>
      </c>
      <c r="E214" s="37" t="s">
        <v>415</v>
      </c>
      <c r="F214" s="37" t="s">
        <v>6</v>
      </c>
      <c r="G214" s="37">
        <v>0</v>
      </c>
      <c r="H214" s="37">
        <v>31</v>
      </c>
      <c r="I214" s="41">
        <v>4</v>
      </c>
      <c r="J214" s="45">
        <v>3</v>
      </c>
      <c r="K214" s="45">
        <v>3</v>
      </c>
      <c r="L214" s="45"/>
      <c r="M214" s="45"/>
      <c r="N214" s="45"/>
      <c r="P214" s="39">
        <v>28</v>
      </c>
      <c r="Q214" s="39">
        <v>31</v>
      </c>
      <c r="R214" s="39">
        <v>4</v>
      </c>
      <c r="S214" s="39">
        <v>31</v>
      </c>
      <c r="T214" s="39">
        <v>0</v>
      </c>
      <c r="U214" s="39">
        <v>0</v>
      </c>
      <c r="V214" s="39">
        <v>1</v>
      </c>
      <c r="W214" s="49">
        <v>20</v>
      </c>
      <c r="X214" s="49"/>
      <c r="Y214" s="49"/>
      <c r="Z214" s="49"/>
      <c r="AA214" s="50"/>
      <c r="AB214" s="50"/>
      <c r="AC214" s="50">
        <v>100</v>
      </c>
      <c r="AD214" s="50"/>
      <c r="AE214" s="50"/>
      <c r="AH214" s="39">
        <v>0</v>
      </c>
      <c r="AI214" s="39">
        <v>0</v>
      </c>
      <c r="AJ214" s="39">
        <v>0</v>
      </c>
      <c r="AK214" s="39">
        <v>0</v>
      </c>
      <c r="AL214" s="39">
        <v>0</v>
      </c>
      <c r="AM214" s="42">
        <v>0</v>
      </c>
      <c r="AN214" s="42">
        <v>0</v>
      </c>
      <c r="AO214" s="42" t="s">
        <v>416</v>
      </c>
      <c r="AP214" s="42">
        <v>31</v>
      </c>
      <c r="AQ214" s="42">
        <v>0</v>
      </c>
    </row>
    <row r="215" spans="1:43" x14ac:dyDescent="0.15">
      <c r="A215" s="37" t="s">
        <v>59</v>
      </c>
      <c r="B215" s="37" t="s">
        <v>419</v>
      </c>
      <c r="C215" s="37" t="s">
        <v>417</v>
      </c>
      <c r="D215" s="64" t="s">
        <v>622</v>
      </c>
      <c r="E215" s="37" t="s">
        <v>415</v>
      </c>
      <c r="F215" s="37" t="s">
        <v>6</v>
      </c>
      <c r="G215" s="37">
        <v>0</v>
      </c>
      <c r="H215" s="37">
        <v>31</v>
      </c>
      <c r="I215" s="41">
        <v>4</v>
      </c>
      <c r="J215" s="45">
        <v>4</v>
      </c>
      <c r="K215" s="45">
        <v>4</v>
      </c>
      <c r="L215" s="45"/>
      <c r="M215" s="45"/>
      <c r="N215" s="45"/>
      <c r="P215" s="39">
        <v>27</v>
      </c>
      <c r="Q215" s="39">
        <v>31</v>
      </c>
      <c r="R215" s="39">
        <v>4</v>
      </c>
      <c r="S215" s="39">
        <v>31</v>
      </c>
      <c r="T215" s="39">
        <v>0</v>
      </c>
      <c r="U215" s="39">
        <v>0</v>
      </c>
      <c r="V215" s="39">
        <v>0</v>
      </c>
      <c r="W215" s="49">
        <v>0</v>
      </c>
      <c r="X215" s="49">
        <v>10</v>
      </c>
      <c r="Y215" s="49"/>
      <c r="Z215" s="49"/>
      <c r="AA215" s="50"/>
      <c r="AB215" s="50"/>
      <c r="AC215" s="50">
        <v>100</v>
      </c>
      <c r="AD215" s="50"/>
      <c r="AE215" s="50"/>
      <c r="AH215" s="39">
        <v>0</v>
      </c>
      <c r="AI215" s="39">
        <v>0</v>
      </c>
      <c r="AJ215" s="39">
        <v>0</v>
      </c>
      <c r="AK215" s="39">
        <v>0</v>
      </c>
      <c r="AL215" s="39">
        <v>0</v>
      </c>
      <c r="AM215" s="42">
        <v>0</v>
      </c>
      <c r="AN215" s="42">
        <v>0</v>
      </c>
      <c r="AO215" s="42" t="s">
        <v>416</v>
      </c>
      <c r="AP215" s="42">
        <v>31</v>
      </c>
      <c r="AQ215" s="42">
        <v>0</v>
      </c>
    </row>
    <row r="216" spans="1:43" x14ac:dyDescent="0.15">
      <c r="A216" s="37" t="s">
        <v>59</v>
      </c>
      <c r="B216" s="37" t="s">
        <v>419</v>
      </c>
      <c r="C216" s="37" t="s">
        <v>417</v>
      </c>
      <c r="D216" s="37" t="s">
        <v>623</v>
      </c>
      <c r="E216" s="37" t="s">
        <v>80</v>
      </c>
      <c r="F216" s="37" t="s">
        <v>6</v>
      </c>
      <c r="G216" s="37">
        <v>0</v>
      </c>
      <c r="H216" s="37">
        <v>31</v>
      </c>
      <c r="I216" s="41">
        <v>4</v>
      </c>
      <c r="J216" s="45">
        <v>4</v>
      </c>
      <c r="K216" s="45">
        <v>4</v>
      </c>
      <c r="L216" s="45"/>
      <c r="M216" s="45"/>
      <c r="N216" s="45"/>
      <c r="P216" s="39">
        <v>27</v>
      </c>
      <c r="Q216" s="39">
        <v>31</v>
      </c>
      <c r="R216" s="39">
        <v>4</v>
      </c>
      <c r="S216" s="39">
        <v>31</v>
      </c>
      <c r="T216" s="39">
        <v>0</v>
      </c>
      <c r="U216" s="39">
        <v>0</v>
      </c>
      <c r="V216" s="39">
        <v>0</v>
      </c>
      <c r="W216" s="49">
        <v>0</v>
      </c>
      <c r="X216" s="49"/>
      <c r="Y216" s="49"/>
      <c r="Z216" s="49"/>
      <c r="AA216" s="50"/>
      <c r="AB216" s="50"/>
      <c r="AC216" s="50"/>
      <c r="AD216" s="50">
        <v>130</v>
      </c>
      <c r="AE216" s="50">
        <v>300</v>
      </c>
      <c r="AH216" s="39">
        <v>0</v>
      </c>
      <c r="AI216" s="39">
        <v>0</v>
      </c>
      <c r="AJ216" s="39">
        <v>0</v>
      </c>
      <c r="AK216" s="39">
        <v>190</v>
      </c>
      <c r="AL216" s="39">
        <v>0</v>
      </c>
      <c r="AM216" s="42">
        <v>0</v>
      </c>
      <c r="AN216" s="42">
        <v>0</v>
      </c>
      <c r="AO216" s="42" t="s">
        <v>416</v>
      </c>
      <c r="AP216" s="42">
        <v>31</v>
      </c>
      <c r="AQ216" s="42">
        <v>0</v>
      </c>
    </row>
    <row r="217" spans="1:43" x14ac:dyDescent="0.15">
      <c r="A217" s="37" t="s">
        <v>57</v>
      </c>
      <c r="B217" s="37" t="s">
        <v>419</v>
      </c>
      <c r="C217" s="37" t="s">
        <v>417</v>
      </c>
      <c r="D217" s="37" t="s">
        <v>624</v>
      </c>
      <c r="E217" s="37" t="s">
        <v>80</v>
      </c>
      <c r="F217" s="37" t="s">
        <v>6</v>
      </c>
      <c r="G217" s="37">
        <v>0</v>
      </c>
      <c r="H217" s="37">
        <v>10</v>
      </c>
      <c r="I217" s="41">
        <v>1</v>
      </c>
      <c r="J217" s="45">
        <v>1</v>
      </c>
      <c r="K217" s="45">
        <v>1</v>
      </c>
      <c r="L217" s="45"/>
      <c r="M217" s="45"/>
      <c r="N217" s="45"/>
      <c r="P217" s="39">
        <v>9</v>
      </c>
      <c r="Q217" s="39">
        <v>10</v>
      </c>
      <c r="R217" s="39">
        <v>1</v>
      </c>
      <c r="S217" s="39">
        <v>10</v>
      </c>
      <c r="T217" s="39">
        <v>0</v>
      </c>
      <c r="U217" s="39">
        <v>0</v>
      </c>
      <c r="V217" s="39">
        <v>0</v>
      </c>
      <c r="W217" s="49">
        <v>0</v>
      </c>
      <c r="X217" s="49"/>
      <c r="Y217" s="49"/>
      <c r="Z217" s="49"/>
      <c r="AA217" s="50"/>
      <c r="AB217" s="50">
        <v>2041</v>
      </c>
      <c r="AC217" s="50"/>
      <c r="AD217" s="50"/>
      <c r="AE217" s="50">
        <v>300</v>
      </c>
      <c r="AG217" s="39">
        <v>1000</v>
      </c>
      <c r="AH217" s="39">
        <v>0</v>
      </c>
      <c r="AI217" s="39">
        <v>0</v>
      </c>
      <c r="AJ217" s="39">
        <v>0</v>
      </c>
      <c r="AK217" s="39">
        <v>0</v>
      </c>
      <c r="AL217" s="39">
        <v>0</v>
      </c>
      <c r="AM217" s="42">
        <v>0</v>
      </c>
      <c r="AN217" s="42">
        <v>0</v>
      </c>
      <c r="AO217" s="42" t="s">
        <v>416</v>
      </c>
      <c r="AP217" s="42">
        <v>10</v>
      </c>
      <c r="AQ217" s="42">
        <v>0</v>
      </c>
    </row>
    <row r="218" spans="1:43" x14ac:dyDescent="0.15">
      <c r="A218" s="37" t="s">
        <v>57</v>
      </c>
      <c r="B218" s="37" t="s">
        <v>15</v>
      </c>
      <c r="C218" s="37" t="s">
        <v>417</v>
      </c>
      <c r="D218" s="37" t="s">
        <v>625</v>
      </c>
      <c r="E218" s="37" t="s">
        <v>415</v>
      </c>
      <c r="F218" s="37" t="s">
        <v>6</v>
      </c>
      <c r="G218" s="37">
        <v>0</v>
      </c>
      <c r="H218" s="37">
        <v>31</v>
      </c>
      <c r="I218" s="41">
        <v>4</v>
      </c>
      <c r="J218" s="45">
        <v>4</v>
      </c>
      <c r="K218" s="45">
        <v>4</v>
      </c>
      <c r="L218" s="45"/>
      <c r="M218" s="45"/>
      <c r="N218" s="45"/>
      <c r="P218" s="39">
        <v>27</v>
      </c>
      <c r="Q218" s="39">
        <v>31</v>
      </c>
      <c r="R218" s="39">
        <v>4</v>
      </c>
      <c r="S218" s="39">
        <v>31</v>
      </c>
      <c r="T218" s="39">
        <v>0</v>
      </c>
      <c r="U218" s="39">
        <v>0</v>
      </c>
      <c r="V218" s="39">
        <v>0</v>
      </c>
      <c r="W218" s="49">
        <v>0</v>
      </c>
      <c r="X218" s="49">
        <v>150</v>
      </c>
      <c r="Y218" s="49"/>
      <c r="Z218" s="49"/>
      <c r="AA218" s="50"/>
      <c r="AB218" s="50"/>
      <c r="AC218" s="50"/>
      <c r="AD218" s="50"/>
      <c r="AE218" s="50"/>
      <c r="AH218" s="39">
        <v>0</v>
      </c>
      <c r="AI218" s="39">
        <v>0</v>
      </c>
      <c r="AJ218" s="39">
        <v>0</v>
      </c>
      <c r="AK218" s="39">
        <v>0</v>
      </c>
      <c r="AL218" s="39">
        <v>0</v>
      </c>
      <c r="AM218" s="42">
        <v>0</v>
      </c>
      <c r="AN218" s="42">
        <v>0</v>
      </c>
      <c r="AO218" s="42" t="s">
        <v>416</v>
      </c>
      <c r="AP218" s="42">
        <v>31</v>
      </c>
      <c r="AQ218" s="42">
        <v>0</v>
      </c>
    </row>
    <row r="219" spans="1:43" x14ac:dyDescent="0.15">
      <c r="A219" s="37" t="s">
        <v>57</v>
      </c>
      <c r="B219" s="37" t="s">
        <v>419</v>
      </c>
      <c r="C219" s="37" t="s">
        <v>417</v>
      </c>
      <c r="D219" s="37" t="s">
        <v>626</v>
      </c>
      <c r="E219" s="37" t="s">
        <v>80</v>
      </c>
      <c r="F219" s="37" t="s">
        <v>6</v>
      </c>
      <c r="G219" s="37">
        <v>0</v>
      </c>
      <c r="H219" s="37">
        <v>14</v>
      </c>
      <c r="I219" s="41">
        <v>1</v>
      </c>
      <c r="J219" s="45">
        <v>1</v>
      </c>
      <c r="K219" s="45">
        <v>1</v>
      </c>
      <c r="L219" s="45"/>
      <c r="M219" s="45"/>
      <c r="N219" s="45"/>
      <c r="P219" s="39">
        <v>13</v>
      </c>
      <c r="Q219" s="39">
        <v>14</v>
      </c>
      <c r="R219" s="39">
        <v>1</v>
      </c>
      <c r="S219" s="39">
        <v>14</v>
      </c>
      <c r="T219" s="39">
        <v>0</v>
      </c>
      <c r="U219" s="39">
        <v>0</v>
      </c>
      <c r="V219" s="39">
        <v>0</v>
      </c>
      <c r="W219" s="49">
        <v>0</v>
      </c>
      <c r="X219" s="49"/>
      <c r="Y219" s="49"/>
      <c r="Z219" s="49"/>
      <c r="AA219" s="50"/>
      <c r="AB219" s="50">
        <v>1300</v>
      </c>
      <c r="AC219" s="50"/>
      <c r="AD219" s="50"/>
      <c r="AE219" s="50">
        <v>300</v>
      </c>
      <c r="AH219" s="39">
        <v>0</v>
      </c>
      <c r="AI219" s="39">
        <v>0</v>
      </c>
      <c r="AJ219" s="39">
        <v>0</v>
      </c>
      <c r="AK219" s="39">
        <v>0</v>
      </c>
      <c r="AL219" s="39">
        <v>0</v>
      </c>
      <c r="AM219" s="42">
        <v>0</v>
      </c>
      <c r="AN219" s="42">
        <v>0</v>
      </c>
      <c r="AO219" s="42" t="s">
        <v>416</v>
      </c>
      <c r="AP219" s="42">
        <v>14</v>
      </c>
      <c r="AQ219" s="42">
        <v>0</v>
      </c>
    </row>
    <row r="220" spans="1:43" x14ac:dyDescent="0.15">
      <c r="A220" s="37" t="s">
        <v>57</v>
      </c>
      <c r="B220" s="37" t="s">
        <v>419</v>
      </c>
      <c r="C220" s="37" t="s">
        <v>417</v>
      </c>
      <c r="D220" s="37" t="s">
        <v>627</v>
      </c>
      <c r="E220" s="37" t="s">
        <v>415</v>
      </c>
      <c r="F220" s="37" t="s">
        <v>6</v>
      </c>
      <c r="G220" s="37">
        <v>0</v>
      </c>
      <c r="H220" s="37">
        <v>31</v>
      </c>
      <c r="I220" s="41">
        <v>4</v>
      </c>
      <c r="J220" s="45">
        <v>4</v>
      </c>
      <c r="K220" s="45">
        <v>4</v>
      </c>
      <c r="L220" s="45"/>
      <c r="M220" s="45"/>
      <c r="N220" s="45"/>
      <c r="P220" s="39">
        <v>27</v>
      </c>
      <c r="Q220" s="39">
        <v>31</v>
      </c>
      <c r="R220" s="39">
        <v>4</v>
      </c>
      <c r="S220" s="39">
        <v>31</v>
      </c>
      <c r="T220" s="39">
        <v>0</v>
      </c>
      <c r="U220" s="39">
        <v>0</v>
      </c>
      <c r="V220" s="39">
        <v>0</v>
      </c>
      <c r="W220" s="49">
        <v>0</v>
      </c>
      <c r="X220" s="49"/>
      <c r="Y220" s="49"/>
      <c r="Z220" s="49"/>
      <c r="AA220" s="50"/>
      <c r="AB220" s="50"/>
      <c r="AC220" s="50"/>
      <c r="AD220" s="50"/>
      <c r="AE220" s="50"/>
      <c r="AH220" s="39">
        <v>0</v>
      </c>
      <c r="AI220" s="39">
        <v>0</v>
      </c>
      <c r="AJ220" s="39">
        <v>0</v>
      </c>
      <c r="AK220" s="39">
        <v>0</v>
      </c>
      <c r="AL220" s="39">
        <v>0</v>
      </c>
      <c r="AM220" s="42">
        <v>0</v>
      </c>
      <c r="AN220" s="42">
        <v>0</v>
      </c>
      <c r="AO220" s="42" t="s">
        <v>416</v>
      </c>
      <c r="AP220" s="42">
        <v>31</v>
      </c>
      <c r="AQ220" s="42">
        <v>0</v>
      </c>
    </row>
    <row r="221" spans="1:43" x14ac:dyDescent="0.15">
      <c r="A221" s="37" t="s">
        <v>57</v>
      </c>
      <c r="B221" s="37" t="s">
        <v>419</v>
      </c>
      <c r="C221" s="37" t="s">
        <v>417</v>
      </c>
      <c r="D221" s="37" t="s">
        <v>628</v>
      </c>
      <c r="E221" s="37" t="s">
        <v>415</v>
      </c>
      <c r="F221" s="37" t="s">
        <v>6</v>
      </c>
      <c r="G221" s="37">
        <v>0</v>
      </c>
      <c r="H221" s="37">
        <v>31</v>
      </c>
      <c r="I221" s="41">
        <v>4</v>
      </c>
      <c r="J221" s="45">
        <v>4</v>
      </c>
      <c r="K221" s="45">
        <v>4</v>
      </c>
      <c r="L221" s="45"/>
      <c r="M221" s="45"/>
      <c r="N221" s="45"/>
      <c r="P221" s="39">
        <v>27</v>
      </c>
      <c r="Q221" s="39">
        <v>31</v>
      </c>
      <c r="R221" s="39">
        <v>4</v>
      </c>
      <c r="S221" s="39">
        <v>31</v>
      </c>
      <c r="T221" s="39">
        <v>0</v>
      </c>
      <c r="U221" s="39">
        <v>0</v>
      </c>
      <c r="V221" s="39">
        <v>0</v>
      </c>
      <c r="W221" s="49">
        <v>0</v>
      </c>
      <c r="X221" s="49">
        <v>90</v>
      </c>
      <c r="Y221" s="49"/>
      <c r="Z221" s="49"/>
      <c r="AA221" s="50"/>
      <c r="AB221" s="50"/>
      <c r="AC221" s="50">
        <v>100</v>
      </c>
      <c r="AD221" s="50"/>
      <c r="AE221" s="50"/>
      <c r="AH221" s="39">
        <v>0</v>
      </c>
      <c r="AI221" s="39">
        <v>0</v>
      </c>
      <c r="AJ221" s="39">
        <v>0</v>
      </c>
      <c r="AK221" s="39">
        <v>0</v>
      </c>
      <c r="AL221" s="39">
        <v>0</v>
      </c>
      <c r="AM221" s="42">
        <v>0</v>
      </c>
      <c r="AN221" s="42">
        <v>0</v>
      </c>
      <c r="AO221" s="42" t="s">
        <v>416</v>
      </c>
      <c r="AP221" s="42">
        <v>31</v>
      </c>
      <c r="AQ221" s="42">
        <v>0</v>
      </c>
    </row>
    <row r="222" spans="1:43" x14ac:dyDescent="0.15">
      <c r="A222" s="37" t="s">
        <v>57</v>
      </c>
      <c r="B222" s="37" t="s">
        <v>419</v>
      </c>
      <c r="C222" s="37" t="s">
        <v>417</v>
      </c>
      <c r="D222" s="37" t="s">
        <v>629</v>
      </c>
      <c r="E222" s="37" t="s">
        <v>415</v>
      </c>
      <c r="F222" s="37" t="s">
        <v>6</v>
      </c>
      <c r="G222" s="37">
        <v>0</v>
      </c>
      <c r="H222" s="37">
        <v>31</v>
      </c>
      <c r="I222" s="41">
        <v>4</v>
      </c>
      <c r="J222" s="45">
        <v>4</v>
      </c>
      <c r="K222" s="45">
        <v>4</v>
      </c>
      <c r="L222" s="45"/>
      <c r="M222" s="45"/>
      <c r="N222" s="45"/>
      <c r="P222" s="39">
        <v>27</v>
      </c>
      <c r="Q222" s="39">
        <v>31</v>
      </c>
      <c r="R222" s="39">
        <v>4</v>
      </c>
      <c r="S222" s="39">
        <v>31</v>
      </c>
      <c r="T222" s="39">
        <v>0</v>
      </c>
      <c r="U222" s="39">
        <v>0</v>
      </c>
      <c r="V222" s="39">
        <v>0</v>
      </c>
      <c r="W222" s="49">
        <v>0</v>
      </c>
      <c r="X222" s="49">
        <v>90</v>
      </c>
      <c r="Y222" s="49"/>
      <c r="Z222" s="49"/>
      <c r="AA222" s="50"/>
      <c r="AB222" s="50"/>
      <c r="AC222" s="50"/>
      <c r="AD222" s="50"/>
      <c r="AE222" s="50"/>
      <c r="AH222" s="39">
        <v>0</v>
      </c>
      <c r="AI222" s="39">
        <v>0</v>
      </c>
      <c r="AJ222" s="39">
        <v>0</v>
      </c>
      <c r="AK222" s="39">
        <v>0</v>
      </c>
      <c r="AL222" s="39">
        <v>0</v>
      </c>
      <c r="AM222" s="42">
        <v>0</v>
      </c>
      <c r="AN222" s="42">
        <v>0</v>
      </c>
      <c r="AO222" s="42" t="s">
        <v>416</v>
      </c>
      <c r="AP222" s="42">
        <v>31</v>
      </c>
      <c r="AQ222" s="42">
        <v>0</v>
      </c>
    </row>
    <row r="223" spans="1:43" x14ac:dyDescent="0.15">
      <c r="A223" s="37" t="s">
        <v>60</v>
      </c>
      <c r="B223" s="37" t="s">
        <v>16</v>
      </c>
      <c r="C223" s="37" t="s">
        <v>413</v>
      </c>
      <c r="D223" s="37" t="s">
        <v>630</v>
      </c>
      <c r="E223" s="37" t="s">
        <v>415</v>
      </c>
      <c r="F223" s="37" t="s">
        <v>6</v>
      </c>
      <c r="G223" s="37">
        <v>0</v>
      </c>
      <c r="H223" s="37">
        <v>31</v>
      </c>
      <c r="I223" s="41">
        <v>4</v>
      </c>
      <c r="J223" s="45">
        <v>4</v>
      </c>
      <c r="K223" s="45">
        <v>4</v>
      </c>
      <c r="L223" s="45"/>
      <c r="M223" s="45"/>
      <c r="N223" s="45"/>
      <c r="P223" s="39">
        <v>27</v>
      </c>
      <c r="Q223" s="39">
        <v>31</v>
      </c>
      <c r="R223" s="39">
        <v>4</v>
      </c>
      <c r="S223" s="39">
        <v>31</v>
      </c>
      <c r="T223" s="39">
        <v>0</v>
      </c>
      <c r="U223" s="39">
        <v>0</v>
      </c>
      <c r="V223" s="39">
        <v>0</v>
      </c>
      <c r="W223" s="49">
        <v>0</v>
      </c>
      <c r="X223" s="49">
        <v>90</v>
      </c>
      <c r="Y223" s="49"/>
      <c r="Z223" s="49"/>
      <c r="AA223" s="50"/>
      <c r="AB223" s="50"/>
      <c r="AC223" s="50"/>
      <c r="AD223" s="50"/>
      <c r="AE223" s="50"/>
      <c r="AH223" s="39">
        <v>0</v>
      </c>
      <c r="AI223" s="39">
        <v>0</v>
      </c>
      <c r="AJ223" s="39">
        <v>0</v>
      </c>
      <c r="AK223" s="39">
        <v>0</v>
      </c>
      <c r="AL223" s="39">
        <v>0</v>
      </c>
      <c r="AM223" s="42">
        <v>0</v>
      </c>
      <c r="AN223" s="42">
        <v>0</v>
      </c>
      <c r="AO223" s="42" t="s">
        <v>416</v>
      </c>
      <c r="AP223" s="42">
        <v>31</v>
      </c>
      <c r="AQ223" s="42">
        <v>0</v>
      </c>
    </row>
    <row r="224" spans="1:43" x14ac:dyDescent="0.15">
      <c r="A224" s="37" t="s">
        <v>60</v>
      </c>
      <c r="B224" s="37" t="s">
        <v>419</v>
      </c>
      <c r="C224" s="37" t="s">
        <v>417</v>
      </c>
      <c r="D224" s="37" t="s">
        <v>631</v>
      </c>
      <c r="E224" s="37" t="s">
        <v>415</v>
      </c>
      <c r="F224" s="37" t="s">
        <v>6</v>
      </c>
      <c r="G224" s="37">
        <v>0</v>
      </c>
      <c r="H224" s="37">
        <v>31</v>
      </c>
      <c r="I224" s="41">
        <v>4</v>
      </c>
      <c r="J224" s="45">
        <v>5</v>
      </c>
      <c r="K224" s="45">
        <v>4</v>
      </c>
      <c r="L224" s="45"/>
      <c r="M224" s="45">
        <v>1</v>
      </c>
      <c r="N224" s="45"/>
      <c r="P224" s="39">
        <v>26</v>
      </c>
      <c r="Q224" s="39">
        <v>31</v>
      </c>
      <c r="R224" s="39">
        <v>4</v>
      </c>
      <c r="S224" s="39">
        <v>31</v>
      </c>
      <c r="T224" s="39">
        <v>0</v>
      </c>
      <c r="U224" s="39">
        <v>0</v>
      </c>
      <c r="V224" s="39">
        <v>0</v>
      </c>
      <c r="W224" s="49">
        <v>0</v>
      </c>
      <c r="X224" s="49">
        <v>20</v>
      </c>
      <c r="Y224" s="49"/>
      <c r="Z224" s="49"/>
      <c r="AA224" s="50"/>
      <c r="AB224" s="50"/>
      <c r="AC224" s="50"/>
      <c r="AD224" s="50"/>
      <c r="AE224" s="50">
        <v>300</v>
      </c>
      <c r="AH224" s="39">
        <v>0</v>
      </c>
      <c r="AI224" s="39">
        <v>0</v>
      </c>
      <c r="AJ224" s="39">
        <v>0</v>
      </c>
      <c r="AK224" s="39">
        <v>0</v>
      </c>
      <c r="AL224" s="39">
        <v>0</v>
      </c>
      <c r="AM224" s="42">
        <v>0</v>
      </c>
      <c r="AN224" s="42">
        <v>0</v>
      </c>
      <c r="AO224" s="42" t="s">
        <v>416</v>
      </c>
      <c r="AP224" s="42">
        <v>31</v>
      </c>
      <c r="AQ224" s="42">
        <v>0</v>
      </c>
    </row>
    <row r="225" spans="1:43" x14ac:dyDescent="0.15">
      <c r="A225" s="37" t="s">
        <v>60</v>
      </c>
      <c r="B225" s="37" t="s">
        <v>419</v>
      </c>
      <c r="C225" s="37" t="s">
        <v>417</v>
      </c>
      <c r="D225" s="37" t="s">
        <v>632</v>
      </c>
      <c r="E225" s="37" t="s">
        <v>415</v>
      </c>
      <c r="F225" s="37" t="s">
        <v>6</v>
      </c>
      <c r="G225" s="37">
        <v>0</v>
      </c>
      <c r="H225" s="37">
        <v>31</v>
      </c>
      <c r="I225" s="41">
        <v>4</v>
      </c>
      <c r="J225" s="45">
        <v>5</v>
      </c>
      <c r="K225" s="45">
        <v>4</v>
      </c>
      <c r="L225" s="45"/>
      <c r="M225" s="45">
        <v>1</v>
      </c>
      <c r="N225" s="45"/>
      <c r="P225" s="39">
        <v>26</v>
      </c>
      <c r="Q225" s="39">
        <v>31</v>
      </c>
      <c r="R225" s="39">
        <v>4</v>
      </c>
      <c r="S225" s="39">
        <v>31</v>
      </c>
      <c r="T225" s="39">
        <v>0</v>
      </c>
      <c r="U225" s="39">
        <v>0</v>
      </c>
      <c r="V225" s="39">
        <v>0</v>
      </c>
      <c r="W225" s="49">
        <v>0</v>
      </c>
      <c r="X225" s="49"/>
      <c r="Y225" s="49"/>
      <c r="Z225" s="49"/>
      <c r="AA225" s="50"/>
      <c r="AB225" s="50"/>
      <c r="AC225" s="50"/>
      <c r="AD225" s="50"/>
      <c r="AE225" s="50"/>
      <c r="AH225" s="39">
        <v>0</v>
      </c>
      <c r="AI225" s="39">
        <v>0</v>
      </c>
      <c r="AJ225" s="39">
        <v>0</v>
      </c>
      <c r="AK225" s="39">
        <v>0</v>
      </c>
      <c r="AL225" s="39">
        <v>0</v>
      </c>
      <c r="AM225" s="42">
        <v>0</v>
      </c>
      <c r="AN225" s="42">
        <v>0</v>
      </c>
      <c r="AO225" s="42" t="s">
        <v>416</v>
      </c>
      <c r="AP225" s="42">
        <v>31</v>
      </c>
      <c r="AQ225" s="42">
        <v>0</v>
      </c>
    </row>
    <row r="226" spans="1:43" x14ac:dyDescent="0.15">
      <c r="A226" s="37" t="s">
        <v>60</v>
      </c>
      <c r="B226" s="37" t="s">
        <v>419</v>
      </c>
      <c r="C226" s="37" t="s">
        <v>417</v>
      </c>
      <c r="D226" s="37" t="s">
        <v>633</v>
      </c>
      <c r="E226" s="37" t="s">
        <v>415</v>
      </c>
      <c r="F226" s="37" t="s">
        <v>6</v>
      </c>
      <c r="G226" s="37">
        <v>0</v>
      </c>
      <c r="H226" s="37">
        <v>31</v>
      </c>
      <c r="I226" s="41">
        <v>4</v>
      </c>
      <c r="J226" s="45">
        <v>5</v>
      </c>
      <c r="K226" s="45">
        <v>4</v>
      </c>
      <c r="L226" s="45"/>
      <c r="M226" s="45">
        <v>1</v>
      </c>
      <c r="N226" s="45"/>
      <c r="P226" s="39">
        <v>26</v>
      </c>
      <c r="Q226" s="39">
        <v>31</v>
      </c>
      <c r="R226" s="39">
        <v>4</v>
      </c>
      <c r="S226" s="39">
        <v>31</v>
      </c>
      <c r="T226" s="39">
        <v>0</v>
      </c>
      <c r="U226" s="39">
        <v>0</v>
      </c>
      <c r="V226" s="39">
        <v>0</v>
      </c>
      <c r="W226" s="49">
        <v>0</v>
      </c>
      <c r="X226" s="49"/>
      <c r="Y226" s="49"/>
      <c r="Z226" s="49"/>
      <c r="AA226" s="50"/>
      <c r="AB226" s="50"/>
      <c r="AC226" s="50"/>
      <c r="AD226" s="50"/>
      <c r="AE226" s="50"/>
      <c r="AH226" s="39">
        <v>5000</v>
      </c>
      <c r="AI226" s="39">
        <v>0</v>
      </c>
      <c r="AJ226" s="39">
        <v>0</v>
      </c>
      <c r="AK226" s="39">
        <v>0</v>
      </c>
      <c r="AL226" s="39">
        <v>0</v>
      </c>
      <c r="AM226" s="42">
        <v>0</v>
      </c>
      <c r="AN226" s="42">
        <v>0</v>
      </c>
      <c r="AO226" s="42" t="s">
        <v>416</v>
      </c>
      <c r="AP226" s="42">
        <v>31</v>
      </c>
      <c r="AQ226" s="42">
        <v>0</v>
      </c>
    </row>
    <row r="227" spans="1:43" x14ac:dyDescent="0.15">
      <c r="A227" s="37" t="s">
        <v>60</v>
      </c>
      <c r="B227" s="37" t="s">
        <v>419</v>
      </c>
      <c r="C227" s="37" t="s">
        <v>417</v>
      </c>
      <c r="D227" s="37" t="s">
        <v>634</v>
      </c>
      <c r="E227" s="37" t="s">
        <v>415</v>
      </c>
      <c r="F227" s="37" t="s">
        <v>6</v>
      </c>
      <c r="G227" s="37">
        <v>0</v>
      </c>
      <c r="H227" s="37">
        <v>31</v>
      </c>
      <c r="I227" s="41">
        <v>4</v>
      </c>
      <c r="J227" s="45">
        <v>5</v>
      </c>
      <c r="K227" s="45">
        <v>4</v>
      </c>
      <c r="L227" s="45"/>
      <c r="M227" s="45">
        <v>1</v>
      </c>
      <c r="N227" s="45"/>
      <c r="P227" s="39">
        <v>26</v>
      </c>
      <c r="Q227" s="39">
        <v>31</v>
      </c>
      <c r="R227" s="39">
        <v>4</v>
      </c>
      <c r="S227" s="39">
        <v>31</v>
      </c>
      <c r="T227" s="39">
        <v>0</v>
      </c>
      <c r="U227" s="39">
        <v>0</v>
      </c>
      <c r="V227" s="39">
        <v>0</v>
      </c>
      <c r="W227" s="49">
        <v>0</v>
      </c>
      <c r="X227" s="49"/>
      <c r="Y227" s="49"/>
      <c r="Z227" s="49"/>
      <c r="AA227" s="50"/>
      <c r="AB227" s="50"/>
      <c r="AC227" s="50">
        <v>100</v>
      </c>
      <c r="AD227" s="50"/>
      <c r="AE227" s="50"/>
      <c r="AH227" s="39">
        <v>4000</v>
      </c>
      <c r="AI227" s="39">
        <v>0</v>
      </c>
      <c r="AJ227" s="39">
        <v>0</v>
      </c>
      <c r="AK227" s="39">
        <v>0</v>
      </c>
      <c r="AL227" s="39">
        <v>0</v>
      </c>
      <c r="AM227" s="42">
        <v>0</v>
      </c>
      <c r="AN227" s="42">
        <v>0</v>
      </c>
      <c r="AO227" s="42" t="s">
        <v>416</v>
      </c>
      <c r="AP227" s="42">
        <v>31</v>
      </c>
      <c r="AQ227" s="42">
        <v>0</v>
      </c>
    </row>
    <row r="228" spans="1:43" x14ac:dyDescent="0.15">
      <c r="A228" s="37" t="s">
        <v>60</v>
      </c>
      <c r="B228" s="37" t="s">
        <v>419</v>
      </c>
      <c r="C228" s="37" t="s">
        <v>417</v>
      </c>
      <c r="D228" s="37" t="s">
        <v>635</v>
      </c>
      <c r="E228" s="37" t="s">
        <v>415</v>
      </c>
      <c r="F228" s="37" t="s">
        <v>6</v>
      </c>
      <c r="G228" s="37">
        <v>0</v>
      </c>
      <c r="H228" s="37">
        <v>31</v>
      </c>
      <c r="I228" s="41">
        <v>4</v>
      </c>
      <c r="J228" s="45">
        <v>5</v>
      </c>
      <c r="K228" s="45">
        <v>4</v>
      </c>
      <c r="L228" s="45"/>
      <c r="M228" s="45">
        <v>1</v>
      </c>
      <c r="N228" s="45"/>
      <c r="P228" s="39">
        <v>26</v>
      </c>
      <c r="Q228" s="39">
        <v>31</v>
      </c>
      <c r="R228" s="39">
        <v>4</v>
      </c>
      <c r="S228" s="39">
        <v>31</v>
      </c>
      <c r="T228" s="39">
        <v>0</v>
      </c>
      <c r="U228" s="39">
        <v>0</v>
      </c>
      <c r="V228" s="39">
        <v>0</v>
      </c>
      <c r="W228" s="49">
        <v>0</v>
      </c>
      <c r="X228" s="49"/>
      <c r="Y228" s="49"/>
      <c r="Z228" s="49"/>
      <c r="AA228" s="50"/>
      <c r="AB228" s="50"/>
      <c r="AC228" s="50"/>
      <c r="AD228" s="50"/>
      <c r="AE228" s="50"/>
      <c r="AH228" s="39">
        <v>4000</v>
      </c>
      <c r="AI228" s="39">
        <v>0</v>
      </c>
      <c r="AJ228" s="39">
        <v>0</v>
      </c>
      <c r="AK228" s="39">
        <v>0</v>
      </c>
      <c r="AL228" s="39">
        <v>0</v>
      </c>
      <c r="AM228" s="42">
        <v>0</v>
      </c>
      <c r="AN228" s="42">
        <v>0</v>
      </c>
      <c r="AO228" s="42" t="s">
        <v>416</v>
      </c>
      <c r="AP228" s="42">
        <v>31</v>
      </c>
      <c r="AQ228" s="42">
        <v>0</v>
      </c>
    </row>
    <row r="229" spans="1:43" x14ac:dyDescent="0.15">
      <c r="A229" s="37" t="s">
        <v>60</v>
      </c>
      <c r="B229" s="37" t="s">
        <v>419</v>
      </c>
      <c r="C229" s="37" t="s">
        <v>417</v>
      </c>
      <c r="D229" s="37" t="s">
        <v>636</v>
      </c>
      <c r="E229" s="37" t="s">
        <v>415</v>
      </c>
      <c r="F229" s="37" t="s">
        <v>6</v>
      </c>
      <c r="G229" s="37">
        <v>0</v>
      </c>
      <c r="H229" s="37">
        <v>31</v>
      </c>
      <c r="I229" s="41">
        <v>4</v>
      </c>
      <c r="J229" s="45">
        <v>5</v>
      </c>
      <c r="K229" s="45">
        <v>4</v>
      </c>
      <c r="L229" s="45"/>
      <c r="M229" s="45">
        <v>1</v>
      </c>
      <c r="N229" s="45"/>
      <c r="P229" s="39">
        <v>26</v>
      </c>
      <c r="Q229" s="39">
        <v>31</v>
      </c>
      <c r="R229" s="39">
        <v>4</v>
      </c>
      <c r="S229" s="39">
        <v>31</v>
      </c>
      <c r="T229" s="39">
        <v>0</v>
      </c>
      <c r="U229" s="39">
        <v>0</v>
      </c>
      <c r="V229" s="39">
        <v>0</v>
      </c>
      <c r="W229" s="49">
        <v>0</v>
      </c>
      <c r="X229" s="49"/>
      <c r="Y229" s="49"/>
      <c r="Z229" s="49"/>
      <c r="AA229" s="50"/>
      <c r="AB229" s="50"/>
      <c r="AC229" s="50">
        <v>100</v>
      </c>
      <c r="AD229" s="50"/>
      <c r="AE229" s="50"/>
      <c r="AH229" s="39">
        <v>5500</v>
      </c>
      <c r="AI229" s="39">
        <v>0</v>
      </c>
      <c r="AJ229" s="39">
        <v>0</v>
      </c>
      <c r="AK229" s="39">
        <v>0</v>
      </c>
      <c r="AL229" s="39">
        <v>0</v>
      </c>
      <c r="AM229" s="42">
        <v>0</v>
      </c>
      <c r="AN229" s="42">
        <v>0</v>
      </c>
      <c r="AO229" s="42" t="s">
        <v>416</v>
      </c>
      <c r="AP229" s="42">
        <v>31</v>
      </c>
      <c r="AQ229" s="42">
        <v>0</v>
      </c>
    </row>
    <row r="230" spans="1:43" x14ac:dyDescent="0.15">
      <c r="A230" s="37" t="s">
        <v>60</v>
      </c>
      <c r="B230" s="37" t="s">
        <v>419</v>
      </c>
      <c r="C230" s="37" t="s">
        <v>417</v>
      </c>
      <c r="D230" s="37" t="s">
        <v>637</v>
      </c>
      <c r="E230" s="37" t="s">
        <v>415</v>
      </c>
      <c r="F230" s="37" t="s">
        <v>6</v>
      </c>
      <c r="G230" s="37">
        <v>0</v>
      </c>
      <c r="H230" s="37">
        <v>31</v>
      </c>
      <c r="I230" s="41">
        <v>4</v>
      </c>
      <c r="J230" s="45">
        <v>5</v>
      </c>
      <c r="K230" s="45">
        <v>4</v>
      </c>
      <c r="L230" s="45"/>
      <c r="M230" s="45">
        <v>1</v>
      </c>
      <c r="N230" s="45"/>
      <c r="P230" s="39">
        <v>26</v>
      </c>
      <c r="Q230" s="39">
        <v>31</v>
      </c>
      <c r="R230" s="39">
        <v>4</v>
      </c>
      <c r="S230" s="39">
        <v>31</v>
      </c>
      <c r="T230" s="39">
        <v>0</v>
      </c>
      <c r="U230" s="39">
        <v>0</v>
      </c>
      <c r="V230" s="39">
        <v>0</v>
      </c>
      <c r="W230" s="49">
        <v>0</v>
      </c>
      <c r="X230" s="49">
        <v>90</v>
      </c>
      <c r="Y230" s="49"/>
      <c r="Z230" s="49"/>
      <c r="AA230" s="50"/>
      <c r="AB230" s="50"/>
      <c r="AC230" s="50"/>
      <c r="AD230" s="50"/>
      <c r="AE230" s="50"/>
      <c r="AH230" s="39">
        <v>6000</v>
      </c>
      <c r="AI230" s="39">
        <v>0</v>
      </c>
      <c r="AJ230" s="39">
        <v>0</v>
      </c>
      <c r="AK230" s="39">
        <v>0</v>
      </c>
      <c r="AL230" s="39">
        <v>0</v>
      </c>
      <c r="AM230" s="42">
        <v>0</v>
      </c>
      <c r="AN230" s="42">
        <v>0</v>
      </c>
      <c r="AO230" s="42" t="s">
        <v>416</v>
      </c>
      <c r="AP230" s="42">
        <v>31</v>
      </c>
      <c r="AQ230" s="42">
        <v>0</v>
      </c>
    </row>
    <row r="231" spans="1:43" x14ac:dyDescent="0.15">
      <c r="A231" s="37" t="s">
        <v>60</v>
      </c>
      <c r="B231" s="37" t="s">
        <v>419</v>
      </c>
      <c r="C231" s="37" t="s">
        <v>417</v>
      </c>
      <c r="D231" s="37" t="s">
        <v>638</v>
      </c>
      <c r="E231" s="37" t="s">
        <v>415</v>
      </c>
      <c r="F231" s="37" t="s">
        <v>6</v>
      </c>
      <c r="G231" s="37">
        <v>0</v>
      </c>
      <c r="H231" s="37">
        <v>31</v>
      </c>
      <c r="I231" s="41">
        <v>4</v>
      </c>
      <c r="J231" s="45">
        <v>5</v>
      </c>
      <c r="K231" s="45">
        <v>4</v>
      </c>
      <c r="L231" s="45"/>
      <c r="M231" s="45">
        <v>1</v>
      </c>
      <c r="N231" s="45"/>
      <c r="P231" s="39">
        <v>26</v>
      </c>
      <c r="Q231" s="39">
        <v>31</v>
      </c>
      <c r="R231" s="39">
        <v>4</v>
      </c>
      <c r="S231" s="39">
        <v>31</v>
      </c>
      <c r="T231" s="39">
        <v>0</v>
      </c>
      <c r="U231" s="39">
        <v>0</v>
      </c>
      <c r="V231" s="39">
        <v>0</v>
      </c>
      <c r="W231" s="49">
        <v>0</v>
      </c>
      <c r="X231" s="49"/>
      <c r="Y231" s="49"/>
      <c r="Z231" s="49"/>
      <c r="AA231" s="50"/>
      <c r="AB231" s="50"/>
      <c r="AC231" s="50"/>
      <c r="AD231" s="50"/>
      <c r="AE231" s="50"/>
      <c r="AH231" s="39">
        <v>5000</v>
      </c>
      <c r="AI231" s="39">
        <v>0</v>
      </c>
      <c r="AJ231" s="39">
        <v>0</v>
      </c>
      <c r="AK231" s="39">
        <v>0</v>
      </c>
      <c r="AL231" s="39">
        <v>0</v>
      </c>
      <c r="AM231" s="42">
        <v>0</v>
      </c>
      <c r="AN231" s="42">
        <v>0</v>
      </c>
      <c r="AO231" s="42" t="s">
        <v>416</v>
      </c>
      <c r="AP231" s="42">
        <v>31</v>
      </c>
      <c r="AQ231" s="42">
        <v>0</v>
      </c>
    </row>
    <row r="232" spans="1:43" x14ac:dyDescent="0.15">
      <c r="A232" s="37" t="s">
        <v>60</v>
      </c>
      <c r="B232" s="37" t="s">
        <v>15</v>
      </c>
      <c r="C232" s="37" t="s">
        <v>417</v>
      </c>
      <c r="D232" s="37" t="s">
        <v>639</v>
      </c>
      <c r="E232" s="37" t="s">
        <v>415</v>
      </c>
      <c r="F232" s="37" t="s">
        <v>6</v>
      </c>
      <c r="G232" s="37">
        <v>0</v>
      </c>
      <c r="H232" s="37">
        <v>31</v>
      </c>
      <c r="I232" s="41">
        <v>4</v>
      </c>
      <c r="J232" s="45">
        <v>5</v>
      </c>
      <c r="K232" s="45">
        <v>4</v>
      </c>
      <c r="L232" s="45"/>
      <c r="M232" s="45">
        <v>1</v>
      </c>
      <c r="N232" s="45"/>
      <c r="P232" s="39">
        <v>26</v>
      </c>
      <c r="Q232" s="39">
        <v>31</v>
      </c>
      <c r="R232" s="39">
        <v>4</v>
      </c>
      <c r="S232" s="39">
        <v>31</v>
      </c>
      <c r="T232" s="39">
        <v>0</v>
      </c>
      <c r="U232" s="39">
        <v>0</v>
      </c>
      <c r="V232" s="39">
        <v>0</v>
      </c>
      <c r="W232" s="49">
        <v>0</v>
      </c>
      <c r="X232" s="49"/>
      <c r="Y232" s="49"/>
      <c r="Z232" s="49"/>
      <c r="AA232" s="50"/>
      <c r="AB232" s="50"/>
      <c r="AC232" s="50"/>
      <c r="AD232" s="50"/>
      <c r="AE232" s="50"/>
      <c r="AH232" s="39">
        <v>3500</v>
      </c>
      <c r="AI232" s="39">
        <v>0</v>
      </c>
      <c r="AJ232" s="39">
        <v>0</v>
      </c>
      <c r="AK232" s="39">
        <v>0</v>
      </c>
      <c r="AL232" s="39">
        <v>0</v>
      </c>
      <c r="AM232" s="42">
        <v>0</v>
      </c>
      <c r="AN232" s="42">
        <v>0</v>
      </c>
      <c r="AO232" s="42" t="s">
        <v>416</v>
      </c>
      <c r="AP232" s="42">
        <v>31</v>
      </c>
      <c r="AQ232" s="42">
        <v>0</v>
      </c>
    </row>
    <row r="233" spans="1:43" x14ac:dyDescent="0.15">
      <c r="A233" s="37" t="s">
        <v>96</v>
      </c>
      <c r="B233" s="37" t="s">
        <v>640</v>
      </c>
      <c r="C233" s="37" t="s">
        <v>413</v>
      </c>
      <c r="D233" s="37" t="s">
        <v>641</v>
      </c>
      <c r="E233" s="37" t="s">
        <v>415</v>
      </c>
      <c r="F233" s="37" t="s">
        <v>96</v>
      </c>
      <c r="G233" s="37">
        <v>0</v>
      </c>
      <c r="H233" s="37">
        <v>31</v>
      </c>
      <c r="I233" s="41">
        <v>5</v>
      </c>
      <c r="J233" s="45">
        <v>5</v>
      </c>
      <c r="K233" s="45">
        <v>5</v>
      </c>
      <c r="L233" s="45"/>
      <c r="M233" s="45"/>
      <c r="N233" s="45"/>
      <c r="P233" s="39">
        <v>26</v>
      </c>
      <c r="Q233" s="39">
        <v>31</v>
      </c>
      <c r="R233" s="39">
        <v>5</v>
      </c>
      <c r="S233" s="39">
        <v>31</v>
      </c>
      <c r="T233" s="39">
        <v>0</v>
      </c>
      <c r="U233" s="39">
        <v>0</v>
      </c>
      <c r="V233" s="39">
        <v>0</v>
      </c>
      <c r="W233" s="49">
        <v>0</v>
      </c>
      <c r="X233" s="49"/>
      <c r="Y233" s="49"/>
      <c r="Z233" s="49">
        <v>50</v>
      </c>
      <c r="AA233" s="50"/>
      <c r="AB233" s="50"/>
      <c r="AC233" s="50"/>
      <c r="AD233" s="50"/>
      <c r="AE233" s="50"/>
      <c r="AH233" s="39">
        <v>0</v>
      </c>
      <c r="AI233" s="39">
        <v>0</v>
      </c>
      <c r="AJ233" s="39">
        <v>0</v>
      </c>
      <c r="AK233" s="39">
        <v>0</v>
      </c>
      <c r="AL233" s="39">
        <v>0</v>
      </c>
      <c r="AM233" s="42">
        <v>0</v>
      </c>
      <c r="AN233" s="42">
        <v>0</v>
      </c>
      <c r="AO233" s="42" t="s">
        <v>416</v>
      </c>
      <c r="AP233" s="42">
        <v>31</v>
      </c>
      <c r="AQ233" s="42">
        <v>0</v>
      </c>
    </row>
    <row r="234" spans="1:43" x14ac:dyDescent="0.15">
      <c r="A234" s="37" t="s">
        <v>96</v>
      </c>
      <c r="B234" s="37" t="s">
        <v>642</v>
      </c>
      <c r="C234" s="37" t="s">
        <v>413</v>
      </c>
      <c r="D234" s="37" t="s">
        <v>643</v>
      </c>
      <c r="E234" s="37" t="s">
        <v>415</v>
      </c>
      <c r="F234" s="37" t="s">
        <v>96</v>
      </c>
      <c r="G234" s="37">
        <v>0</v>
      </c>
      <c r="H234" s="37">
        <v>31</v>
      </c>
      <c r="I234" s="41">
        <v>5</v>
      </c>
      <c r="J234" s="45">
        <v>5</v>
      </c>
      <c r="K234" s="45">
        <v>5</v>
      </c>
      <c r="L234" s="45"/>
      <c r="M234" s="45"/>
      <c r="N234" s="45"/>
      <c r="P234" s="39">
        <v>26</v>
      </c>
      <c r="Q234" s="39">
        <v>31</v>
      </c>
      <c r="R234" s="39">
        <v>5</v>
      </c>
      <c r="S234" s="39">
        <v>31</v>
      </c>
      <c r="T234" s="39">
        <v>0</v>
      </c>
      <c r="U234" s="39">
        <v>0</v>
      </c>
      <c r="V234" s="39">
        <v>0</v>
      </c>
      <c r="W234" s="49">
        <v>0</v>
      </c>
      <c r="X234" s="49"/>
      <c r="Y234" s="49"/>
      <c r="Z234" s="49"/>
      <c r="AA234" s="50"/>
      <c r="AB234" s="50"/>
      <c r="AC234" s="50"/>
      <c r="AD234" s="50"/>
      <c r="AE234" s="50"/>
      <c r="AH234" s="39">
        <v>0</v>
      </c>
      <c r="AI234" s="39">
        <v>0</v>
      </c>
      <c r="AJ234" s="39">
        <v>0</v>
      </c>
      <c r="AK234" s="39">
        <v>0</v>
      </c>
      <c r="AL234" s="39">
        <v>0</v>
      </c>
      <c r="AM234" s="42">
        <v>0</v>
      </c>
      <c r="AN234" s="42">
        <v>0</v>
      </c>
      <c r="AO234" s="42" t="s">
        <v>416</v>
      </c>
      <c r="AP234" s="42">
        <v>31</v>
      </c>
      <c r="AQ234" s="42">
        <v>0</v>
      </c>
    </row>
    <row r="235" spans="1:43" x14ac:dyDescent="0.15">
      <c r="A235" s="37" t="s">
        <v>96</v>
      </c>
      <c r="B235" s="37" t="s">
        <v>640</v>
      </c>
      <c r="C235" s="37" t="s">
        <v>413</v>
      </c>
      <c r="D235" s="64" t="s">
        <v>644</v>
      </c>
      <c r="E235" s="37" t="s">
        <v>415</v>
      </c>
      <c r="F235" s="37" t="s">
        <v>96</v>
      </c>
      <c r="G235" s="37">
        <v>0</v>
      </c>
      <c r="H235" s="37">
        <v>31</v>
      </c>
      <c r="I235" s="41">
        <v>5</v>
      </c>
      <c r="J235" s="45">
        <v>6</v>
      </c>
      <c r="K235" s="45">
        <v>5</v>
      </c>
      <c r="L235" s="45"/>
      <c r="M235" s="45"/>
      <c r="N235" s="45"/>
      <c r="O235" s="39">
        <v>1</v>
      </c>
      <c r="P235" s="39">
        <v>25</v>
      </c>
      <c r="Q235" s="39">
        <v>31</v>
      </c>
      <c r="R235" s="39">
        <v>5</v>
      </c>
      <c r="S235" s="39">
        <v>31</v>
      </c>
      <c r="T235" s="39">
        <v>0</v>
      </c>
      <c r="U235" s="39">
        <v>0</v>
      </c>
      <c r="V235" s="39">
        <v>0</v>
      </c>
      <c r="W235" s="49">
        <v>0</v>
      </c>
      <c r="X235" s="49"/>
      <c r="Y235" s="49"/>
      <c r="Z235" s="49"/>
      <c r="AA235" s="50"/>
      <c r="AB235" s="50"/>
      <c r="AC235" s="50"/>
      <c r="AD235" s="50"/>
      <c r="AE235" s="50"/>
      <c r="AH235" s="39">
        <v>0</v>
      </c>
      <c r="AI235" s="39">
        <v>0</v>
      </c>
      <c r="AJ235" s="39">
        <v>0</v>
      </c>
      <c r="AK235" s="39">
        <v>0</v>
      </c>
      <c r="AL235" s="39">
        <v>0</v>
      </c>
      <c r="AM235" s="42">
        <v>0</v>
      </c>
      <c r="AN235" s="42">
        <v>0</v>
      </c>
      <c r="AO235" s="42" t="s">
        <v>416</v>
      </c>
      <c r="AP235" s="42">
        <v>31</v>
      </c>
      <c r="AQ235" s="42">
        <v>0</v>
      </c>
    </row>
    <row r="236" spans="1:43" x14ac:dyDescent="0.15">
      <c r="A236" s="37" t="s">
        <v>96</v>
      </c>
      <c r="B236" s="37" t="s">
        <v>642</v>
      </c>
      <c r="C236" s="37" t="s">
        <v>413</v>
      </c>
      <c r="D236" s="37" t="s">
        <v>645</v>
      </c>
      <c r="E236" s="37" t="s">
        <v>415</v>
      </c>
      <c r="F236" s="37" t="s">
        <v>96</v>
      </c>
      <c r="G236" s="37">
        <v>0</v>
      </c>
      <c r="H236" s="37">
        <v>31</v>
      </c>
      <c r="I236" s="41">
        <v>5</v>
      </c>
      <c r="J236" s="45">
        <v>6</v>
      </c>
      <c r="K236" s="45">
        <v>5</v>
      </c>
      <c r="L236" s="45"/>
      <c r="M236" s="45"/>
      <c r="N236" s="45"/>
      <c r="O236" s="39">
        <v>1</v>
      </c>
      <c r="P236" s="39">
        <v>25</v>
      </c>
      <c r="Q236" s="39">
        <v>31</v>
      </c>
      <c r="R236" s="39">
        <v>5</v>
      </c>
      <c r="S236" s="39">
        <v>31</v>
      </c>
      <c r="T236" s="39">
        <v>0</v>
      </c>
      <c r="U236" s="39">
        <v>0</v>
      </c>
      <c r="V236" s="39">
        <v>0</v>
      </c>
      <c r="W236" s="49">
        <v>0</v>
      </c>
      <c r="X236" s="49"/>
      <c r="Y236" s="49"/>
      <c r="Z236" s="49"/>
      <c r="AA236" s="50"/>
      <c r="AB236" s="50"/>
      <c r="AC236" s="50"/>
      <c r="AD236" s="50"/>
      <c r="AE236" s="50"/>
      <c r="AH236" s="39">
        <v>0</v>
      </c>
      <c r="AI236" s="39">
        <v>0</v>
      </c>
      <c r="AJ236" s="39">
        <v>0</v>
      </c>
      <c r="AK236" s="39">
        <v>0</v>
      </c>
      <c r="AL236" s="39">
        <v>0</v>
      </c>
      <c r="AM236" s="42">
        <v>0</v>
      </c>
      <c r="AN236" s="42">
        <v>0</v>
      </c>
      <c r="AO236" s="42" t="s">
        <v>416</v>
      </c>
      <c r="AP236" s="42">
        <v>31</v>
      </c>
      <c r="AQ236" s="42">
        <v>0</v>
      </c>
    </row>
    <row r="237" spans="1:43" x14ac:dyDescent="0.15">
      <c r="A237" s="37" t="s">
        <v>96</v>
      </c>
      <c r="B237" s="37" t="s">
        <v>646</v>
      </c>
      <c r="C237" s="37" t="s">
        <v>413</v>
      </c>
      <c r="D237" s="37" t="s">
        <v>647</v>
      </c>
      <c r="E237" s="37" t="s">
        <v>415</v>
      </c>
      <c r="F237" s="37" t="s">
        <v>96</v>
      </c>
      <c r="G237" s="37">
        <v>0</v>
      </c>
      <c r="H237" s="37">
        <v>31</v>
      </c>
      <c r="I237" s="41">
        <v>5</v>
      </c>
      <c r="J237" s="45">
        <v>7</v>
      </c>
      <c r="K237" s="45">
        <v>5</v>
      </c>
      <c r="L237" s="45"/>
      <c r="M237" s="45"/>
      <c r="N237" s="45"/>
      <c r="O237" s="39">
        <v>2</v>
      </c>
      <c r="P237" s="39">
        <v>24</v>
      </c>
      <c r="Q237" s="39">
        <v>31</v>
      </c>
      <c r="R237" s="39">
        <v>5</v>
      </c>
      <c r="S237" s="39">
        <v>31</v>
      </c>
      <c r="T237" s="39">
        <v>0</v>
      </c>
      <c r="U237" s="39">
        <v>0</v>
      </c>
      <c r="V237" s="39">
        <v>0</v>
      </c>
      <c r="W237" s="49">
        <v>0</v>
      </c>
      <c r="X237" s="49"/>
      <c r="Y237" s="49"/>
      <c r="Z237" s="49"/>
      <c r="AA237" s="50"/>
      <c r="AB237" s="50"/>
      <c r="AC237" s="50"/>
      <c r="AD237" s="50"/>
      <c r="AE237" s="50"/>
      <c r="AH237" s="39">
        <v>0</v>
      </c>
      <c r="AI237" s="39">
        <v>0</v>
      </c>
      <c r="AJ237" s="39">
        <v>0</v>
      </c>
      <c r="AK237" s="39">
        <v>0</v>
      </c>
      <c r="AL237" s="39">
        <v>0</v>
      </c>
      <c r="AM237" s="42">
        <v>0</v>
      </c>
      <c r="AN237" s="42">
        <v>0</v>
      </c>
      <c r="AO237" s="42" t="s">
        <v>416</v>
      </c>
      <c r="AP237" s="42">
        <v>31</v>
      </c>
      <c r="AQ237" s="42">
        <v>0</v>
      </c>
    </row>
    <row r="238" spans="1:43" x14ac:dyDescent="0.15">
      <c r="A238" s="37" t="s">
        <v>96</v>
      </c>
      <c r="B238" s="37" t="s">
        <v>648</v>
      </c>
      <c r="C238" s="37" t="s">
        <v>417</v>
      </c>
      <c r="D238" s="37" t="s">
        <v>649</v>
      </c>
      <c r="E238" s="37" t="s">
        <v>415</v>
      </c>
      <c r="F238" s="37" t="s">
        <v>648</v>
      </c>
      <c r="G238" s="37">
        <v>0</v>
      </c>
      <c r="H238" s="37">
        <v>31</v>
      </c>
      <c r="I238" s="41">
        <v>6</v>
      </c>
      <c r="J238" s="45">
        <v>6</v>
      </c>
      <c r="K238" s="45">
        <v>6</v>
      </c>
      <c r="L238" s="45"/>
      <c r="M238" s="45"/>
      <c r="N238" s="45"/>
      <c r="P238" s="39">
        <v>25</v>
      </c>
      <c r="Q238" s="39">
        <v>31</v>
      </c>
      <c r="R238" s="39">
        <v>6</v>
      </c>
      <c r="S238" s="39">
        <v>31</v>
      </c>
      <c r="T238" s="39">
        <v>0</v>
      </c>
      <c r="U238" s="39">
        <v>0</v>
      </c>
      <c r="V238" s="39">
        <v>0</v>
      </c>
      <c r="W238" s="49">
        <v>0</v>
      </c>
      <c r="X238" s="49"/>
      <c r="Y238" s="49"/>
      <c r="Z238" s="49"/>
      <c r="AA238" s="50"/>
      <c r="AB238" s="50"/>
      <c r="AC238" s="50"/>
      <c r="AD238" s="50"/>
      <c r="AE238" s="50"/>
      <c r="AH238" s="39">
        <v>0</v>
      </c>
      <c r="AI238" s="39">
        <v>0</v>
      </c>
      <c r="AJ238" s="39">
        <v>0</v>
      </c>
      <c r="AK238" s="39">
        <v>0</v>
      </c>
      <c r="AL238" s="39">
        <v>0</v>
      </c>
      <c r="AM238" s="42">
        <v>0</v>
      </c>
      <c r="AN238" s="42">
        <v>0</v>
      </c>
      <c r="AO238" s="42" t="s">
        <v>416</v>
      </c>
      <c r="AP238" s="42">
        <v>31</v>
      </c>
      <c r="AQ238" s="42">
        <v>0</v>
      </c>
    </row>
    <row r="239" spans="1:43" x14ac:dyDescent="0.15">
      <c r="A239" s="37" t="s">
        <v>96</v>
      </c>
      <c r="B239" s="37" t="s">
        <v>648</v>
      </c>
      <c r="C239" s="37" t="s">
        <v>417</v>
      </c>
      <c r="D239" s="37" t="s">
        <v>650</v>
      </c>
      <c r="E239" s="37" t="s">
        <v>415</v>
      </c>
      <c r="F239" s="37" t="s">
        <v>648</v>
      </c>
      <c r="G239" s="37">
        <v>0</v>
      </c>
      <c r="H239" s="37">
        <v>31</v>
      </c>
      <c r="I239" s="41">
        <v>6</v>
      </c>
      <c r="J239" s="45">
        <v>6</v>
      </c>
      <c r="K239" s="45">
        <v>6</v>
      </c>
      <c r="L239" s="45"/>
      <c r="M239" s="45"/>
      <c r="N239" s="45"/>
      <c r="P239" s="39">
        <v>25</v>
      </c>
      <c r="Q239" s="39">
        <v>31</v>
      </c>
      <c r="R239" s="39">
        <v>6</v>
      </c>
      <c r="S239" s="39">
        <v>31</v>
      </c>
      <c r="T239" s="39">
        <v>0</v>
      </c>
      <c r="U239" s="39">
        <v>0</v>
      </c>
      <c r="V239" s="39">
        <v>0</v>
      </c>
      <c r="W239" s="49">
        <v>0</v>
      </c>
      <c r="X239" s="49"/>
      <c r="Y239" s="49"/>
      <c r="Z239" s="49"/>
      <c r="AA239" s="50"/>
      <c r="AB239" s="50"/>
      <c r="AC239" s="50"/>
      <c r="AD239" s="50"/>
      <c r="AE239" s="50"/>
      <c r="AH239" s="39">
        <v>0</v>
      </c>
      <c r="AI239" s="39">
        <v>0</v>
      </c>
      <c r="AJ239" s="39">
        <v>0</v>
      </c>
      <c r="AK239" s="39">
        <v>0</v>
      </c>
      <c r="AL239" s="39">
        <v>0</v>
      </c>
      <c r="AM239" s="42">
        <v>0</v>
      </c>
      <c r="AN239" s="42">
        <v>0</v>
      </c>
      <c r="AO239" s="42" t="s">
        <v>416</v>
      </c>
      <c r="AP239" s="42">
        <v>31</v>
      </c>
      <c r="AQ239" s="42">
        <v>0</v>
      </c>
    </row>
    <row r="240" spans="1:43" x14ac:dyDescent="0.15">
      <c r="A240" s="37" t="s">
        <v>96</v>
      </c>
      <c r="B240" s="37" t="s">
        <v>648</v>
      </c>
      <c r="C240" s="37" t="s">
        <v>417</v>
      </c>
      <c r="D240" s="37" t="s">
        <v>651</v>
      </c>
      <c r="E240" s="37" t="s">
        <v>415</v>
      </c>
      <c r="F240" s="37" t="s">
        <v>648</v>
      </c>
      <c r="G240" s="37">
        <v>0</v>
      </c>
      <c r="H240" s="37">
        <v>31</v>
      </c>
      <c r="I240" s="41">
        <v>6</v>
      </c>
      <c r="J240" s="45">
        <v>6</v>
      </c>
      <c r="K240" s="45">
        <v>6</v>
      </c>
      <c r="L240" s="45"/>
      <c r="M240" s="45"/>
      <c r="N240" s="45"/>
      <c r="P240" s="39">
        <v>25</v>
      </c>
      <c r="Q240" s="39">
        <v>31</v>
      </c>
      <c r="R240" s="39">
        <v>6</v>
      </c>
      <c r="S240" s="39">
        <v>31</v>
      </c>
      <c r="T240" s="39">
        <v>0</v>
      </c>
      <c r="U240" s="39">
        <v>0</v>
      </c>
      <c r="V240" s="39">
        <v>0</v>
      </c>
      <c r="W240" s="49">
        <v>0</v>
      </c>
      <c r="X240" s="49"/>
      <c r="Y240" s="49"/>
      <c r="Z240" s="49"/>
      <c r="AA240" s="50"/>
      <c r="AB240" s="50"/>
      <c r="AC240" s="50"/>
      <c r="AD240" s="50"/>
      <c r="AE240" s="50"/>
      <c r="AH240" s="39">
        <v>0</v>
      </c>
      <c r="AI240" s="39">
        <v>0</v>
      </c>
      <c r="AJ240" s="39">
        <v>0</v>
      </c>
      <c r="AK240" s="39">
        <v>0</v>
      </c>
      <c r="AL240" s="39">
        <v>0</v>
      </c>
      <c r="AM240" s="42">
        <v>0</v>
      </c>
      <c r="AN240" s="42">
        <v>0</v>
      </c>
      <c r="AO240" s="42" t="s">
        <v>416</v>
      </c>
      <c r="AP240" s="42">
        <v>31</v>
      </c>
      <c r="AQ240" s="42">
        <v>0</v>
      </c>
    </row>
    <row r="241" spans="1:43" x14ac:dyDescent="0.15">
      <c r="A241" s="37" t="s">
        <v>96</v>
      </c>
      <c r="B241" s="37" t="s">
        <v>652</v>
      </c>
      <c r="C241" s="37" t="s">
        <v>413</v>
      </c>
      <c r="D241" s="37" t="s">
        <v>653</v>
      </c>
      <c r="E241" s="37" t="s">
        <v>415</v>
      </c>
      <c r="F241" s="37" t="s">
        <v>96</v>
      </c>
      <c r="G241" s="37">
        <v>0</v>
      </c>
      <c r="H241" s="37">
        <v>31</v>
      </c>
      <c r="I241" s="41">
        <v>5</v>
      </c>
      <c r="J241" s="45">
        <v>5</v>
      </c>
      <c r="K241" s="45">
        <v>5</v>
      </c>
      <c r="L241" s="45"/>
      <c r="M241" s="45"/>
      <c r="N241" s="45"/>
      <c r="P241" s="39">
        <v>26</v>
      </c>
      <c r="Q241" s="39">
        <v>31</v>
      </c>
      <c r="R241" s="39">
        <v>5</v>
      </c>
      <c r="S241" s="39">
        <v>31</v>
      </c>
      <c r="T241" s="39">
        <v>0</v>
      </c>
      <c r="U241" s="39">
        <v>0</v>
      </c>
      <c r="V241" s="39">
        <v>0</v>
      </c>
      <c r="W241" s="49">
        <v>0</v>
      </c>
      <c r="X241" s="49"/>
      <c r="Y241" s="49"/>
      <c r="Z241" s="49"/>
      <c r="AA241" s="50"/>
      <c r="AB241" s="50"/>
      <c r="AC241" s="50"/>
      <c r="AD241" s="50"/>
      <c r="AE241" s="50"/>
      <c r="AH241" s="39">
        <v>0</v>
      </c>
      <c r="AI241" s="39">
        <v>0</v>
      </c>
      <c r="AJ241" s="39">
        <v>0</v>
      </c>
      <c r="AK241" s="39">
        <v>0</v>
      </c>
      <c r="AL241" s="39">
        <v>0</v>
      </c>
      <c r="AM241" s="42">
        <v>0</v>
      </c>
      <c r="AN241" s="42">
        <v>0</v>
      </c>
      <c r="AO241" s="42" t="s">
        <v>416</v>
      </c>
      <c r="AP241" s="42">
        <v>31</v>
      </c>
      <c r="AQ241" s="42">
        <v>0</v>
      </c>
    </row>
    <row r="242" spans="1:43" x14ac:dyDescent="0.15">
      <c r="A242" s="37" t="s">
        <v>96</v>
      </c>
      <c r="B242" s="37" t="s">
        <v>654</v>
      </c>
      <c r="C242" s="37" t="s">
        <v>413</v>
      </c>
      <c r="D242" s="37" t="s">
        <v>655</v>
      </c>
      <c r="E242" s="37" t="s">
        <v>415</v>
      </c>
      <c r="F242" s="37" t="s">
        <v>96</v>
      </c>
      <c r="G242" s="37">
        <v>0</v>
      </c>
      <c r="H242" s="37">
        <v>31</v>
      </c>
      <c r="I242" s="41">
        <v>5</v>
      </c>
      <c r="J242" s="45">
        <v>5</v>
      </c>
      <c r="K242" s="45">
        <v>5</v>
      </c>
      <c r="L242" s="45"/>
      <c r="M242" s="45"/>
      <c r="N242" s="45"/>
      <c r="P242" s="39">
        <v>26</v>
      </c>
      <c r="Q242" s="39">
        <v>31</v>
      </c>
      <c r="R242" s="39">
        <v>5</v>
      </c>
      <c r="S242" s="39">
        <v>31</v>
      </c>
      <c r="T242" s="39">
        <v>0</v>
      </c>
      <c r="U242" s="39">
        <v>0</v>
      </c>
      <c r="V242" s="39">
        <v>0</v>
      </c>
      <c r="W242" s="49">
        <v>0</v>
      </c>
      <c r="X242" s="49"/>
      <c r="Y242" s="49">
        <v>10</v>
      </c>
      <c r="Z242" s="49"/>
      <c r="AA242" s="50"/>
      <c r="AB242" s="50"/>
      <c r="AC242" s="50"/>
      <c r="AD242" s="50"/>
      <c r="AE242" s="50"/>
      <c r="AH242" s="39">
        <v>0</v>
      </c>
      <c r="AI242" s="39">
        <v>0</v>
      </c>
      <c r="AJ242" s="39">
        <v>0</v>
      </c>
      <c r="AK242" s="39">
        <v>0</v>
      </c>
      <c r="AL242" s="39">
        <v>0</v>
      </c>
      <c r="AM242" s="42">
        <v>0</v>
      </c>
      <c r="AN242" s="42">
        <v>0</v>
      </c>
      <c r="AO242" s="42" t="s">
        <v>416</v>
      </c>
      <c r="AP242" s="42">
        <v>31</v>
      </c>
      <c r="AQ242" s="42">
        <v>0</v>
      </c>
    </row>
    <row r="243" spans="1:43" x14ac:dyDescent="0.15">
      <c r="A243" s="37" t="s">
        <v>96</v>
      </c>
      <c r="B243" s="37" t="s">
        <v>652</v>
      </c>
      <c r="C243" s="37" t="s">
        <v>413</v>
      </c>
      <c r="D243" s="37" t="s">
        <v>656</v>
      </c>
      <c r="E243" s="37" t="s">
        <v>415</v>
      </c>
      <c r="F243" s="37" t="s">
        <v>96</v>
      </c>
      <c r="G243" s="37">
        <v>0</v>
      </c>
      <c r="H243" s="37">
        <v>31</v>
      </c>
      <c r="I243" s="41">
        <v>5</v>
      </c>
      <c r="J243" s="45">
        <v>6</v>
      </c>
      <c r="K243" s="45">
        <v>5</v>
      </c>
      <c r="L243" s="45"/>
      <c r="M243" s="45"/>
      <c r="N243" s="45"/>
      <c r="O243" s="39">
        <v>1</v>
      </c>
      <c r="P243" s="39">
        <v>25</v>
      </c>
      <c r="Q243" s="39">
        <v>31</v>
      </c>
      <c r="R243" s="39">
        <v>5</v>
      </c>
      <c r="S243" s="39">
        <v>31</v>
      </c>
      <c r="T243" s="39">
        <v>0</v>
      </c>
      <c r="U243" s="39">
        <v>0</v>
      </c>
      <c r="V243" s="39">
        <v>0</v>
      </c>
      <c r="W243" s="49">
        <v>0</v>
      </c>
      <c r="X243" s="49"/>
      <c r="Y243" s="49"/>
      <c r="Z243" s="49"/>
      <c r="AA243" s="50"/>
      <c r="AB243" s="50"/>
      <c r="AC243" s="50"/>
      <c r="AD243" s="50"/>
      <c r="AE243" s="50"/>
      <c r="AH243" s="39">
        <v>0</v>
      </c>
      <c r="AI243" s="39">
        <v>0</v>
      </c>
      <c r="AJ243" s="39">
        <v>0</v>
      </c>
      <c r="AK243" s="39">
        <v>0</v>
      </c>
      <c r="AL243" s="39">
        <v>0</v>
      </c>
      <c r="AM243" s="42">
        <v>0</v>
      </c>
      <c r="AN243" s="42">
        <v>0</v>
      </c>
      <c r="AO243" s="42" t="s">
        <v>416</v>
      </c>
      <c r="AP243" s="42">
        <v>31</v>
      </c>
      <c r="AQ243" s="42">
        <v>0</v>
      </c>
    </row>
    <row r="244" spans="1:43" x14ac:dyDescent="0.15">
      <c r="A244" s="37" t="s">
        <v>96</v>
      </c>
      <c r="B244" s="37" t="s">
        <v>657</v>
      </c>
      <c r="C244" s="37" t="s">
        <v>413</v>
      </c>
      <c r="D244" s="37" t="s">
        <v>658</v>
      </c>
      <c r="E244" s="37" t="s">
        <v>415</v>
      </c>
      <c r="F244" s="37" t="s">
        <v>96</v>
      </c>
      <c r="G244" s="37">
        <v>0</v>
      </c>
      <c r="H244" s="37">
        <v>31</v>
      </c>
      <c r="I244" s="41">
        <v>5</v>
      </c>
      <c r="J244" s="45">
        <v>5</v>
      </c>
      <c r="K244" s="45">
        <v>5</v>
      </c>
      <c r="L244" s="45"/>
      <c r="M244" s="45"/>
      <c r="N244" s="45"/>
      <c r="P244" s="39">
        <v>26</v>
      </c>
      <c r="Q244" s="39">
        <v>31</v>
      </c>
      <c r="R244" s="39">
        <v>5</v>
      </c>
      <c r="S244" s="39">
        <v>31</v>
      </c>
      <c r="T244" s="39">
        <v>0</v>
      </c>
      <c r="U244" s="39">
        <v>0</v>
      </c>
      <c r="V244" s="39">
        <v>0</v>
      </c>
      <c r="W244" s="49">
        <v>0</v>
      </c>
      <c r="X244" s="49"/>
      <c r="Y244" s="49"/>
      <c r="Z244" s="49"/>
      <c r="AA244" s="50"/>
      <c r="AB244" s="50"/>
      <c r="AC244" s="50"/>
      <c r="AD244" s="50"/>
      <c r="AE244" s="50"/>
      <c r="AH244" s="39">
        <v>0</v>
      </c>
      <c r="AI244" s="39">
        <v>0</v>
      </c>
      <c r="AJ244" s="39">
        <v>0</v>
      </c>
      <c r="AK244" s="39">
        <v>0</v>
      </c>
      <c r="AL244" s="39">
        <v>0</v>
      </c>
      <c r="AM244" s="42">
        <v>0</v>
      </c>
      <c r="AN244" s="42">
        <v>0</v>
      </c>
      <c r="AO244" s="42" t="s">
        <v>416</v>
      </c>
      <c r="AP244" s="42">
        <v>31</v>
      </c>
      <c r="AQ244" s="42">
        <v>0</v>
      </c>
    </row>
    <row r="245" spans="1:43" x14ac:dyDescent="0.15">
      <c r="A245" s="37" t="s">
        <v>96</v>
      </c>
      <c r="B245" s="37" t="s">
        <v>659</v>
      </c>
      <c r="C245" s="37" t="s">
        <v>413</v>
      </c>
      <c r="D245" s="37" t="s">
        <v>660</v>
      </c>
      <c r="E245" s="37" t="s">
        <v>80</v>
      </c>
      <c r="F245" s="37" t="s">
        <v>96</v>
      </c>
      <c r="G245" s="37">
        <v>0</v>
      </c>
      <c r="H245" s="37">
        <v>13</v>
      </c>
      <c r="I245" s="41">
        <v>2</v>
      </c>
      <c r="J245" s="45">
        <v>5</v>
      </c>
      <c r="K245" s="45">
        <v>1</v>
      </c>
      <c r="L245" s="45">
        <v>4</v>
      </c>
      <c r="M245" s="45"/>
      <c r="N245" s="45"/>
      <c r="P245" s="39">
        <v>8</v>
      </c>
      <c r="Q245" s="39">
        <v>9</v>
      </c>
      <c r="R245" s="39">
        <v>1</v>
      </c>
      <c r="S245" s="39">
        <v>9</v>
      </c>
      <c r="T245" s="39">
        <v>0</v>
      </c>
      <c r="U245" s="39">
        <v>4</v>
      </c>
      <c r="V245" s="39">
        <v>0</v>
      </c>
      <c r="W245" s="49">
        <v>0</v>
      </c>
      <c r="X245" s="49"/>
      <c r="Y245" s="49"/>
      <c r="Z245" s="49"/>
      <c r="AA245" s="50"/>
      <c r="AB245" s="50"/>
      <c r="AC245" s="50"/>
      <c r="AD245" s="50"/>
      <c r="AE245" s="50"/>
      <c r="AH245" s="39">
        <v>0</v>
      </c>
      <c r="AI245" s="39">
        <v>0</v>
      </c>
      <c r="AJ245" s="39">
        <v>0</v>
      </c>
      <c r="AK245" s="39">
        <v>0</v>
      </c>
      <c r="AL245" s="39">
        <v>0</v>
      </c>
      <c r="AM245" s="42">
        <v>0</v>
      </c>
      <c r="AN245" s="42">
        <v>0</v>
      </c>
      <c r="AO245" s="42" t="s">
        <v>416</v>
      </c>
      <c r="AP245" s="42">
        <v>9</v>
      </c>
      <c r="AQ245" s="42">
        <v>0</v>
      </c>
    </row>
    <row r="246" spans="1:43" x14ac:dyDescent="0.15">
      <c r="A246" s="37" t="s">
        <v>96</v>
      </c>
      <c r="B246" s="37" t="s">
        <v>661</v>
      </c>
      <c r="C246" s="37" t="s">
        <v>413</v>
      </c>
      <c r="D246" s="37" t="s">
        <v>662</v>
      </c>
      <c r="E246" s="37" t="s">
        <v>415</v>
      </c>
      <c r="F246" s="37" t="s">
        <v>96</v>
      </c>
      <c r="G246" s="37">
        <v>0</v>
      </c>
      <c r="H246" s="37">
        <v>31</v>
      </c>
      <c r="I246" s="41">
        <v>5</v>
      </c>
      <c r="J246" s="45">
        <v>5</v>
      </c>
      <c r="K246" s="45">
        <v>5</v>
      </c>
      <c r="L246" s="45"/>
      <c r="M246" s="45"/>
      <c r="N246" s="45"/>
      <c r="P246" s="39">
        <v>26</v>
      </c>
      <c r="Q246" s="39">
        <v>31</v>
      </c>
      <c r="R246" s="39">
        <v>5</v>
      </c>
      <c r="S246" s="39">
        <v>31</v>
      </c>
      <c r="T246" s="39">
        <v>0</v>
      </c>
      <c r="U246" s="39">
        <v>0</v>
      </c>
      <c r="V246" s="39">
        <v>0</v>
      </c>
      <c r="W246" s="49">
        <v>0</v>
      </c>
      <c r="X246" s="49">
        <v>90</v>
      </c>
      <c r="Y246" s="49">
        <v>10</v>
      </c>
      <c r="Z246" s="49"/>
      <c r="AA246" s="50"/>
      <c r="AB246" s="50"/>
      <c r="AC246" s="50"/>
      <c r="AD246" s="50"/>
      <c r="AE246" s="50"/>
      <c r="AH246" s="39">
        <v>0</v>
      </c>
      <c r="AI246" s="39">
        <v>0</v>
      </c>
      <c r="AJ246" s="39">
        <v>0</v>
      </c>
      <c r="AK246" s="39">
        <v>0</v>
      </c>
      <c r="AL246" s="39">
        <v>0</v>
      </c>
      <c r="AM246" s="42">
        <v>0</v>
      </c>
      <c r="AN246" s="42">
        <v>0</v>
      </c>
      <c r="AO246" s="42" t="s">
        <v>416</v>
      </c>
      <c r="AP246" s="42">
        <v>31</v>
      </c>
      <c r="AQ246" s="42">
        <v>0</v>
      </c>
    </row>
    <row r="247" spans="1:43" x14ac:dyDescent="0.15">
      <c r="A247" s="37" t="s">
        <v>96</v>
      </c>
      <c r="B247" s="37" t="s">
        <v>366</v>
      </c>
      <c r="C247" s="37" t="s">
        <v>413</v>
      </c>
      <c r="D247" s="37" t="s">
        <v>367</v>
      </c>
      <c r="E247" s="37" t="s">
        <v>415</v>
      </c>
      <c r="F247" s="37" t="s">
        <v>6</v>
      </c>
      <c r="G247" s="37">
        <v>0</v>
      </c>
      <c r="H247" s="37">
        <v>31</v>
      </c>
      <c r="I247" s="41">
        <v>4</v>
      </c>
      <c r="J247" s="45">
        <v>5</v>
      </c>
      <c r="K247" s="45">
        <v>4</v>
      </c>
      <c r="L247" s="45"/>
      <c r="M247" s="45">
        <v>1</v>
      </c>
      <c r="N247" s="45"/>
      <c r="P247" s="39">
        <v>26</v>
      </c>
      <c r="Q247" s="39">
        <v>31</v>
      </c>
      <c r="R247" s="39">
        <v>4</v>
      </c>
      <c r="S247" s="39">
        <v>31</v>
      </c>
      <c r="T247" s="39">
        <v>0</v>
      </c>
      <c r="U247" s="39">
        <v>0</v>
      </c>
      <c r="V247" s="39">
        <v>0</v>
      </c>
      <c r="W247" s="49">
        <v>0</v>
      </c>
      <c r="X247" s="49"/>
      <c r="Y247" s="49"/>
      <c r="Z247" s="49"/>
      <c r="AA247" s="50"/>
      <c r="AB247" s="50"/>
      <c r="AC247" s="50"/>
      <c r="AD247" s="50"/>
      <c r="AE247" s="50"/>
      <c r="AH247" s="39">
        <v>0</v>
      </c>
      <c r="AI247" s="39">
        <v>0</v>
      </c>
      <c r="AJ247" s="39">
        <v>0</v>
      </c>
      <c r="AK247" s="39">
        <v>0</v>
      </c>
      <c r="AL247" s="39">
        <v>0</v>
      </c>
      <c r="AM247" s="42">
        <v>0</v>
      </c>
      <c r="AN247" s="42">
        <v>0</v>
      </c>
      <c r="AO247" s="42" t="s">
        <v>416</v>
      </c>
      <c r="AP247" s="42">
        <v>31</v>
      </c>
      <c r="AQ247" s="42">
        <v>0</v>
      </c>
    </row>
    <row r="248" spans="1:43" x14ac:dyDescent="0.15">
      <c r="A248" s="37" t="s">
        <v>96</v>
      </c>
      <c r="B248" s="37" t="s">
        <v>366</v>
      </c>
      <c r="C248" s="37" t="s">
        <v>413</v>
      </c>
      <c r="D248" s="37" t="s">
        <v>368</v>
      </c>
      <c r="E248" s="37" t="s">
        <v>415</v>
      </c>
      <c r="F248" s="37" t="s">
        <v>6</v>
      </c>
      <c r="G248" s="37">
        <v>0</v>
      </c>
      <c r="H248" s="37">
        <v>31</v>
      </c>
      <c r="I248" s="41">
        <v>4</v>
      </c>
      <c r="J248" s="45">
        <v>5</v>
      </c>
      <c r="K248" s="45">
        <v>4</v>
      </c>
      <c r="L248" s="45">
        <v>1</v>
      </c>
      <c r="M248" s="45"/>
      <c r="N248" s="45"/>
      <c r="P248" s="39">
        <v>26</v>
      </c>
      <c r="Q248" s="39">
        <v>30</v>
      </c>
      <c r="R248" s="39">
        <v>4</v>
      </c>
      <c r="S248" s="39">
        <v>30</v>
      </c>
      <c r="T248" s="39">
        <v>0</v>
      </c>
      <c r="U248" s="39">
        <v>1</v>
      </c>
      <c r="V248" s="39">
        <v>0</v>
      </c>
      <c r="W248" s="49">
        <v>0</v>
      </c>
      <c r="X248" s="49"/>
      <c r="Y248" s="49"/>
      <c r="Z248" s="49"/>
      <c r="AA248" s="50"/>
      <c r="AB248" s="50"/>
      <c r="AC248" s="50"/>
      <c r="AD248" s="50"/>
      <c r="AE248" s="50"/>
      <c r="AH248" s="39">
        <v>0</v>
      </c>
      <c r="AI248" s="39">
        <v>0</v>
      </c>
      <c r="AJ248" s="39">
        <v>0</v>
      </c>
      <c r="AK248" s="39">
        <v>0</v>
      </c>
      <c r="AL248" s="39">
        <v>0</v>
      </c>
      <c r="AM248" s="42">
        <v>0</v>
      </c>
      <c r="AN248" s="42">
        <v>0</v>
      </c>
      <c r="AO248" s="42" t="s">
        <v>416</v>
      </c>
      <c r="AP248" s="42">
        <v>30</v>
      </c>
      <c r="AQ248" s="42">
        <v>0</v>
      </c>
    </row>
    <row r="249" spans="1:43" x14ac:dyDescent="0.15">
      <c r="A249" s="37" t="s">
        <v>96</v>
      </c>
      <c r="B249" s="37" t="s">
        <v>369</v>
      </c>
      <c r="C249" s="37" t="s">
        <v>413</v>
      </c>
      <c r="D249" s="37" t="s">
        <v>370</v>
      </c>
      <c r="E249" s="37" t="s">
        <v>415</v>
      </c>
      <c r="F249" s="37" t="s">
        <v>6</v>
      </c>
      <c r="G249" s="37">
        <v>0</v>
      </c>
      <c r="H249" s="37">
        <v>31</v>
      </c>
      <c r="I249" s="41">
        <v>4</v>
      </c>
      <c r="J249" s="45">
        <v>5</v>
      </c>
      <c r="K249" s="45">
        <v>4</v>
      </c>
      <c r="L249" s="45"/>
      <c r="M249" s="45">
        <v>1</v>
      </c>
      <c r="N249" s="45"/>
      <c r="P249" s="39">
        <v>26</v>
      </c>
      <c r="Q249" s="39">
        <v>31</v>
      </c>
      <c r="R249" s="39">
        <v>4</v>
      </c>
      <c r="S249" s="39">
        <v>31</v>
      </c>
      <c r="T249" s="39">
        <v>0</v>
      </c>
      <c r="U249" s="39">
        <v>0</v>
      </c>
      <c r="V249" s="39">
        <v>0</v>
      </c>
      <c r="W249" s="49">
        <v>0</v>
      </c>
      <c r="X249" s="49">
        <v>20</v>
      </c>
      <c r="Y249" s="49"/>
      <c r="Z249" s="49"/>
      <c r="AA249" s="50"/>
      <c r="AB249" s="50"/>
      <c r="AC249" s="50"/>
      <c r="AD249" s="50"/>
      <c r="AE249" s="50"/>
      <c r="AH249" s="39">
        <v>0</v>
      </c>
      <c r="AI249" s="39">
        <v>0</v>
      </c>
      <c r="AJ249" s="39">
        <v>0</v>
      </c>
      <c r="AK249" s="39">
        <v>0</v>
      </c>
      <c r="AL249" s="39">
        <v>0</v>
      </c>
      <c r="AM249" s="42">
        <v>0</v>
      </c>
      <c r="AN249" s="42">
        <v>0</v>
      </c>
      <c r="AO249" s="42" t="s">
        <v>416</v>
      </c>
      <c r="AP249" s="42">
        <v>31</v>
      </c>
      <c r="AQ249" s="42">
        <v>0</v>
      </c>
    </row>
    <row r="250" spans="1:43" x14ac:dyDescent="0.15">
      <c r="A250" s="37" t="s">
        <v>96</v>
      </c>
      <c r="B250" s="37" t="s">
        <v>369</v>
      </c>
      <c r="C250" s="37" t="s">
        <v>413</v>
      </c>
      <c r="D250" s="37" t="s">
        <v>371</v>
      </c>
      <c r="E250" s="37" t="s">
        <v>415</v>
      </c>
      <c r="F250" s="37" t="s">
        <v>6</v>
      </c>
      <c r="G250" s="37">
        <v>0</v>
      </c>
      <c r="H250" s="37">
        <v>31</v>
      </c>
      <c r="I250" s="41">
        <v>4</v>
      </c>
      <c r="J250" s="45">
        <v>3</v>
      </c>
      <c r="K250" s="45">
        <v>3</v>
      </c>
      <c r="L250" s="45"/>
      <c r="M250" s="45"/>
      <c r="N250" s="45"/>
      <c r="P250" s="39">
        <v>28</v>
      </c>
      <c r="Q250" s="39">
        <v>31</v>
      </c>
      <c r="R250" s="39">
        <v>4</v>
      </c>
      <c r="S250" s="39">
        <v>31</v>
      </c>
      <c r="T250" s="39">
        <v>0</v>
      </c>
      <c r="U250" s="39">
        <v>0</v>
      </c>
      <c r="V250" s="39">
        <v>1</v>
      </c>
      <c r="W250" s="49">
        <v>20</v>
      </c>
      <c r="X250" s="49"/>
      <c r="Y250" s="49"/>
      <c r="Z250" s="49">
        <v>50</v>
      </c>
      <c r="AA250" s="50"/>
      <c r="AB250" s="50"/>
      <c r="AC250" s="50"/>
      <c r="AD250" s="50"/>
      <c r="AE250" s="50"/>
      <c r="AH250" s="39">
        <v>0</v>
      </c>
      <c r="AI250" s="39">
        <v>0</v>
      </c>
      <c r="AJ250" s="39">
        <v>0</v>
      </c>
      <c r="AK250" s="39">
        <v>0</v>
      </c>
      <c r="AL250" s="39">
        <v>0</v>
      </c>
      <c r="AM250" s="42">
        <v>0</v>
      </c>
      <c r="AN250" s="42">
        <v>0</v>
      </c>
      <c r="AO250" s="42" t="s">
        <v>416</v>
      </c>
      <c r="AP250" s="42">
        <v>31</v>
      </c>
      <c r="AQ250" s="42">
        <v>0</v>
      </c>
    </row>
    <row r="251" spans="1:43" x14ac:dyDescent="0.15">
      <c r="A251" s="37" t="s">
        <v>96</v>
      </c>
      <c r="B251" s="37" t="s">
        <v>663</v>
      </c>
      <c r="C251" s="37" t="s">
        <v>413</v>
      </c>
      <c r="D251" s="37" t="s">
        <v>664</v>
      </c>
      <c r="E251" s="37" t="s">
        <v>415</v>
      </c>
      <c r="F251" s="37" t="s">
        <v>96</v>
      </c>
      <c r="G251" s="37">
        <v>0</v>
      </c>
      <c r="H251" s="37">
        <v>31</v>
      </c>
      <c r="I251" s="41">
        <v>5</v>
      </c>
      <c r="J251" s="45">
        <v>3</v>
      </c>
      <c r="K251" s="45">
        <v>3</v>
      </c>
      <c r="L251" s="45"/>
      <c r="M251" s="45"/>
      <c r="N251" s="45"/>
      <c r="P251" s="39">
        <v>28</v>
      </c>
      <c r="Q251" s="39">
        <v>31</v>
      </c>
      <c r="R251" s="39">
        <v>5</v>
      </c>
      <c r="S251" s="39">
        <v>31</v>
      </c>
      <c r="T251" s="39">
        <v>0</v>
      </c>
      <c r="U251" s="39">
        <v>0</v>
      </c>
      <c r="V251" s="39">
        <v>0</v>
      </c>
      <c r="W251" s="49">
        <v>0</v>
      </c>
      <c r="X251" s="49">
        <v>20</v>
      </c>
      <c r="Y251" s="49"/>
      <c r="Z251" s="49"/>
      <c r="AA251" s="50"/>
      <c r="AB251" s="50"/>
      <c r="AC251" s="50"/>
      <c r="AD251" s="50"/>
      <c r="AE251" s="50"/>
      <c r="AH251" s="39">
        <v>0</v>
      </c>
      <c r="AI251" s="39">
        <v>0</v>
      </c>
      <c r="AJ251" s="39">
        <v>0</v>
      </c>
      <c r="AK251" s="39">
        <v>0</v>
      </c>
      <c r="AL251" s="39">
        <v>0</v>
      </c>
      <c r="AM251" s="42">
        <v>0</v>
      </c>
      <c r="AN251" s="42">
        <v>0</v>
      </c>
      <c r="AO251" s="42" t="s">
        <v>416</v>
      </c>
      <c r="AP251" s="42">
        <v>31</v>
      </c>
      <c r="AQ251" s="42">
        <v>0</v>
      </c>
    </row>
    <row r="252" spans="1:43" x14ac:dyDescent="0.15">
      <c r="A252" s="37" t="s">
        <v>96</v>
      </c>
      <c r="B252" s="37" t="s">
        <v>663</v>
      </c>
      <c r="C252" s="37" t="s">
        <v>413</v>
      </c>
      <c r="D252" s="37" t="s">
        <v>665</v>
      </c>
      <c r="E252" s="37" t="s">
        <v>415</v>
      </c>
      <c r="F252" s="37" t="s">
        <v>96</v>
      </c>
      <c r="G252" s="37">
        <v>0</v>
      </c>
      <c r="H252" s="37">
        <v>31</v>
      </c>
      <c r="I252" s="41">
        <v>5</v>
      </c>
      <c r="J252" s="52">
        <v>6</v>
      </c>
      <c r="K252" s="52">
        <v>4</v>
      </c>
      <c r="L252" s="52">
        <v>2</v>
      </c>
      <c r="M252" s="52"/>
      <c r="N252" s="52"/>
      <c r="O252" s="37"/>
      <c r="P252" s="37">
        <v>25</v>
      </c>
      <c r="Q252" s="39">
        <v>29</v>
      </c>
      <c r="R252" s="39">
        <v>4</v>
      </c>
      <c r="S252" s="37">
        <v>29</v>
      </c>
      <c r="T252" s="37">
        <v>0</v>
      </c>
      <c r="U252" s="39">
        <v>2</v>
      </c>
      <c r="V252" s="39">
        <v>0</v>
      </c>
      <c r="W252" s="52">
        <v>0</v>
      </c>
      <c r="X252" s="52">
        <v>10</v>
      </c>
      <c r="Y252" s="52"/>
      <c r="Z252" s="52"/>
      <c r="AA252" s="53"/>
      <c r="AB252" s="53"/>
      <c r="AC252" s="53"/>
      <c r="AD252" s="53"/>
      <c r="AE252" s="53"/>
      <c r="AH252" s="39">
        <v>0</v>
      </c>
      <c r="AI252" s="39">
        <v>0</v>
      </c>
      <c r="AJ252" s="39">
        <v>0</v>
      </c>
      <c r="AK252" s="39">
        <v>0</v>
      </c>
      <c r="AL252" s="39">
        <v>0</v>
      </c>
      <c r="AM252" s="42">
        <v>0</v>
      </c>
      <c r="AN252" s="42">
        <v>0</v>
      </c>
      <c r="AO252" s="42" t="s">
        <v>416</v>
      </c>
      <c r="AP252" s="42">
        <v>29</v>
      </c>
      <c r="AQ252" s="42">
        <v>0</v>
      </c>
    </row>
    <row r="253" spans="1:43" x14ac:dyDescent="0.15">
      <c r="A253" s="37" t="s">
        <v>96</v>
      </c>
      <c r="B253" s="37" t="s">
        <v>666</v>
      </c>
      <c r="C253" s="37" t="s">
        <v>413</v>
      </c>
      <c r="D253" s="37" t="s">
        <v>667</v>
      </c>
      <c r="E253" s="37" t="s">
        <v>415</v>
      </c>
      <c r="F253" s="37" t="s">
        <v>96</v>
      </c>
      <c r="G253" s="37">
        <v>0</v>
      </c>
      <c r="H253" s="37">
        <v>31</v>
      </c>
      <c r="I253" s="41">
        <v>5</v>
      </c>
      <c r="J253" s="45">
        <v>12</v>
      </c>
      <c r="K253" s="45">
        <v>3</v>
      </c>
      <c r="L253" s="45">
        <v>9</v>
      </c>
      <c r="M253" s="45"/>
      <c r="N253" s="45"/>
      <c r="P253" s="39">
        <v>19</v>
      </c>
      <c r="Q253" s="39">
        <v>22</v>
      </c>
      <c r="R253" s="39">
        <v>3</v>
      </c>
      <c r="S253" s="39">
        <v>22</v>
      </c>
      <c r="T253" s="39">
        <v>0</v>
      </c>
      <c r="U253" s="39">
        <v>9</v>
      </c>
      <c r="V253" s="39">
        <v>0</v>
      </c>
      <c r="W253" s="49">
        <v>0</v>
      </c>
      <c r="X253" s="49"/>
      <c r="Y253" s="49"/>
      <c r="Z253" s="49"/>
      <c r="AA253" s="50"/>
      <c r="AB253" s="50"/>
      <c r="AC253" s="50"/>
      <c r="AD253" s="50"/>
      <c r="AE253" s="50"/>
      <c r="AH253" s="39">
        <v>0</v>
      </c>
      <c r="AI253" s="39">
        <v>0</v>
      </c>
      <c r="AJ253" s="39">
        <v>0</v>
      </c>
      <c r="AK253" s="39">
        <v>0</v>
      </c>
      <c r="AL253" s="39">
        <v>0</v>
      </c>
      <c r="AM253" s="42">
        <v>0</v>
      </c>
      <c r="AN253" s="42">
        <v>0</v>
      </c>
      <c r="AO253" s="42" t="s">
        <v>416</v>
      </c>
      <c r="AP253" s="42">
        <v>22</v>
      </c>
      <c r="AQ253" s="42">
        <v>0</v>
      </c>
    </row>
    <row r="254" spans="1:43" x14ac:dyDescent="0.15">
      <c r="A254" s="37" t="s">
        <v>96</v>
      </c>
      <c r="B254" s="37" t="s">
        <v>666</v>
      </c>
      <c r="C254" s="37" t="s">
        <v>413</v>
      </c>
      <c r="D254" s="37" t="s">
        <v>668</v>
      </c>
      <c r="E254" s="37" t="s">
        <v>415</v>
      </c>
      <c r="F254" s="37" t="s">
        <v>96</v>
      </c>
      <c r="G254" s="37">
        <v>0</v>
      </c>
      <c r="H254" s="37">
        <v>31</v>
      </c>
      <c r="I254" s="41">
        <v>5</v>
      </c>
      <c r="J254" s="45">
        <v>4</v>
      </c>
      <c r="K254" s="45">
        <v>4</v>
      </c>
      <c r="L254" s="45"/>
      <c r="M254" s="45"/>
      <c r="N254" s="45"/>
      <c r="P254" s="39">
        <v>27</v>
      </c>
      <c r="Q254" s="39">
        <v>31</v>
      </c>
      <c r="R254" s="39">
        <v>5</v>
      </c>
      <c r="S254" s="39">
        <v>31</v>
      </c>
      <c r="T254" s="39">
        <v>0</v>
      </c>
      <c r="U254" s="39">
        <v>0</v>
      </c>
      <c r="V254" s="39">
        <v>1</v>
      </c>
      <c r="W254" s="49">
        <v>20</v>
      </c>
      <c r="X254" s="49"/>
      <c r="Y254" s="49"/>
      <c r="Z254" s="49">
        <v>50</v>
      </c>
      <c r="AA254" s="50"/>
      <c r="AB254" s="50"/>
      <c r="AC254" s="50"/>
      <c r="AD254" s="50"/>
      <c r="AE254" s="50"/>
      <c r="AH254" s="39">
        <v>0</v>
      </c>
      <c r="AI254" s="39">
        <v>0</v>
      </c>
      <c r="AJ254" s="39">
        <v>0</v>
      </c>
      <c r="AK254" s="39">
        <v>0</v>
      </c>
      <c r="AL254" s="39">
        <v>0</v>
      </c>
      <c r="AM254" s="42">
        <v>0</v>
      </c>
      <c r="AN254" s="42">
        <v>0</v>
      </c>
      <c r="AO254" s="42" t="s">
        <v>416</v>
      </c>
      <c r="AP254" s="42">
        <v>31</v>
      </c>
      <c r="AQ254" s="42">
        <v>0</v>
      </c>
    </row>
    <row r="255" spans="1:43" x14ac:dyDescent="0.15">
      <c r="A255" s="37" t="s">
        <v>96</v>
      </c>
      <c r="B255" s="37" t="s">
        <v>666</v>
      </c>
      <c r="C255" s="37" t="s">
        <v>413</v>
      </c>
      <c r="D255" s="37" t="s">
        <v>669</v>
      </c>
      <c r="E255" s="37" t="s">
        <v>415</v>
      </c>
      <c r="F255" s="37" t="s">
        <v>96</v>
      </c>
      <c r="G255" s="37">
        <v>0</v>
      </c>
      <c r="H255" s="37">
        <v>31</v>
      </c>
      <c r="I255" s="41">
        <v>5</v>
      </c>
      <c r="J255" s="45">
        <v>5</v>
      </c>
      <c r="K255" s="45">
        <v>5</v>
      </c>
      <c r="L255" s="45"/>
      <c r="M255" s="45"/>
      <c r="N255" s="45"/>
      <c r="P255" s="39">
        <v>26</v>
      </c>
      <c r="Q255" s="39">
        <v>31</v>
      </c>
      <c r="R255" s="39">
        <v>5</v>
      </c>
      <c r="S255" s="39">
        <v>31</v>
      </c>
      <c r="T255" s="39">
        <v>0</v>
      </c>
      <c r="U255" s="39">
        <v>0</v>
      </c>
      <c r="V255" s="39">
        <v>0</v>
      </c>
      <c r="W255" s="49">
        <v>0</v>
      </c>
      <c r="X255" s="49"/>
      <c r="Y255" s="49"/>
      <c r="Z255" s="49"/>
      <c r="AA255" s="50"/>
      <c r="AB255" s="50"/>
      <c r="AC255" s="50"/>
      <c r="AD255" s="50"/>
      <c r="AE255" s="50"/>
      <c r="AH255" s="39">
        <v>0</v>
      </c>
      <c r="AI255" s="39">
        <v>0</v>
      </c>
      <c r="AJ255" s="39">
        <v>0</v>
      </c>
      <c r="AK255" s="39">
        <v>0</v>
      </c>
      <c r="AL255" s="39">
        <v>0</v>
      </c>
      <c r="AM255" s="42">
        <v>0</v>
      </c>
      <c r="AN255" s="42">
        <v>0</v>
      </c>
      <c r="AO255" s="42" t="s">
        <v>416</v>
      </c>
      <c r="AP255" s="42">
        <v>31</v>
      </c>
      <c r="AQ255" s="42">
        <v>0</v>
      </c>
    </row>
    <row r="256" spans="1:43" x14ac:dyDescent="0.15">
      <c r="A256" s="37" t="s">
        <v>96</v>
      </c>
      <c r="B256" s="37" t="s">
        <v>666</v>
      </c>
      <c r="C256" s="37" t="s">
        <v>413</v>
      </c>
      <c r="D256" s="37" t="s">
        <v>670</v>
      </c>
      <c r="E256" s="37" t="s">
        <v>415</v>
      </c>
      <c r="F256" s="37" t="s">
        <v>96</v>
      </c>
      <c r="G256" s="37">
        <v>0</v>
      </c>
      <c r="H256" s="37">
        <v>31</v>
      </c>
      <c r="I256" s="41">
        <v>5</v>
      </c>
      <c r="J256" s="45">
        <v>5</v>
      </c>
      <c r="K256" s="45">
        <v>5</v>
      </c>
      <c r="L256" s="45"/>
      <c r="M256" s="45"/>
      <c r="N256" s="45"/>
      <c r="P256" s="39">
        <v>26</v>
      </c>
      <c r="Q256" s="39">
        <v>31</v>
      </c>
      <c r="R256" s="39">
        <v>5</v>
      </c>
      <c r="S256" s="39">
        <v>31</v>
      </c>
      <c r="T256" s="39">
        <v>0</v>
      </c>
      <c r="U256" s="39">
        <v>0</v>
      </c>
      <c r="V256" s="39">
        <v>0</v>
      </c>
      <c r="W256" s="49">
        <v>0</v>
      </c>
      <c r="X256" s="49">
        <v>20</v>
      </c>
      <c r="Y256" s="49"/>
      <c r="Z256" s="49"/>
      <c r="AA256" s="50"/>
      <c r="AB256" s="50"/>
      <c r="AC256" s="50"/>
      <c r="AD256" s="50"/>
      <c r="AE256" s="50"/>
      <c r="AH256" s="39">
        <v>0</v>
      </c>
      <c r="AI256" s="39">
        <v>0</v>
      </c>
      <c r="AJ256" s="39">
        <v>0</v>
      </c>
      <c r="AK256" s="39">
        <v>0</v>
      </c>
      <c r="AL256" s="39">
        <v>0</v>
      </c>
      <c r="AM256" s="42">
        <v>0</v>
      </c>
      <c r="AN256" s="42">
        <v>0</v>
      </c>
      <c r="AO256" s="42" t="s">
        <v>416</v>
      </c>
      <c r="AP256" s="42">
        <v>31</v>
      </c>
      <c r="AQ256" s="42">
        <v>0</v>
      </c>
    </row>
    <row r="257" spans="1:43" x14ac:dyDescent="0.15">
      <c r="A257" s="37" t="s">
        <v>81</v>
      </c>
      <c r="B257" s="37" t="s">
        <v>12</v>
      </c>
      <c r="C257" s="37" t="s">
        <v>413</v>
      </c>
      <c r="D257" s="37" t="s">
        <v>82</v>
      </c>
      <c r="E257" s="37" t="s">
        <v>415</v>
      </c>
      <c r="F257" s="37" t="s">
        <v>6</v>
      </c>
      <c r="G257" s="37">
        <v>0</v>
      </c>
      <c r="H257" s="37">
        <v>31</v>
      </c>
      <c r="I257" s="41">
        <v>4</v>
      </c>
      <c r="J257" s="45">
        <v>4</v>
      </c>
      <c r="K257" s="45">
        <v>4</v>
      </c>
      <c r="L257" s="45"/>
      <c r="M257" s="45"/>
      <c r="N257" s="45"/>
      <c r="P257" s="39">
        <v>27</v>
      </c>
      <c r="Q257" s="39">
        <v>31</v>
      </c>
      <c r="R257" s="39">
        <v>4</v>
      </c>
      <c r="S257" s="39">
        <v>31</v>
      </c>
      <c r="T257" s="39">
        <v>0</v>
      </c>
      <c r="U257" s="39">
        <v>0</v>
      </c>
      <c r="V257" s="39">
        <v>0</v>
      </c>
      <c r="W257" s="49">
        <v>0</v>
      </c>
      <c r="X257" s="49">
        <v>20</v>
      </c>
      <c r="Y257" s="49">
        <v>20</v>
      </c>
      <c r="Z257" s="49"/>
      <c r="AA257" s="50"/>
      <c r="AB257" s="50"/>
      <c r="AC257" s="50"/>
      <c r="AD257" s="50"/>
      <c r="AE257" s="50"/>
      <c r="AH257" s="39">
        <v>0</v>
      </c>
      <c r="AI257" s="39">
        <v>0</v>
      </c>
      <c r="AJ257" s="39">
        <v>0</v>
      </c>
      <c r="AK257" s="39">
        <v>0</v>
      </c>
      <c r="AL257" s="39">
        <v>0</v>
      </c>
      <c r="AM257" s="42">
        <v>0</v>
      </c>
      <c r="AN257" s="42">
        <v>0</v>
      </c>
      <c r="AO257" s="42" t="s">
        <v>416</v>
      </c>
      <c r="AP257" s="42">
        <v>31</v>
      </c>
      <c r="AQ257" s="42">
        <v>0</v>
      </c>
    </row>
    <row r="258" spans="1:43" x14ac:dyDescent="0.15">
      <c r="A258" s="37" t="s">
        <v>81</v>
      </c>
      <c r="B258" s="37" t="s">
        <v>671</v>
      </c>
      <c r="C258" s="37" t="s">
        <v>413</v>
      </c>
      <c r="D258" s="37" t="s">
        <v>83</v>
      </c>
      <c r="E258" s="37" t="s">
        <v>415</v>
      </c>
      <c r="F258" s="37" t="s">
        <v>6</v>
      </c>
      <c r="G258" s="37">
        <v>0</v>
      </c>
      <c r="H258" s="37">
        <v>31</v>
      </c>
      <c r="I258" s="41">
        <v>4</v>
      </c>
      <c r="J258" s="45">
        <v>4</v>
      </c>
      <c r="K258" s="45">
        <v>4</v>
      </c>
      <c r="L258" s="45"/>
      <c r="M258" s="45"/>
      <c r="N258" s="45"/>
      <c r="P258" s="39">
        <v>27</v>
      </c>
      <c r="Q258" s="39">
        <v>31</v>
      </c>
      <c r="R258" s="39">
        <v>4</v>
      </c>
      <c r="S258" s="39">
        <v>31</v>
      </c>
      <c r="T258" s="39">
        <v>0</v>
      </c>
      <c r="U258" s="39">
        <v>0</v>
      </c>
      <c r="V258" s="39">
        <v>0</v>
      </c>
      <c r="W258" s="49">
        <v>0</v>
      </c>
      <c r="X258" s="49">
        <v>10</v>
      </c>
      <c r="Y258" s="49"/>
      <c r="Z258" s="49"/>
      <c r="AA258" s="50"/>
      <c r="AB258" s="50"/>
      <c r="AC258" s="50"/>
      <c r="AD258" s="50"/>
      <c r="AE258" s="50"/>
      <c r="AH258" s="39">
        <v>0</v>
      </c>
      <c r="AI258" s="39">
        <v>0</v>
      </c>
      <c r="AJ258" s="39">
        <v>0</v>
      </c>
      <c r="AK258" s="39">
        <v>0</v>
      </c>
      <c r="AL258" s="39">
        <v>0</v>
      </c>
      <c r="AM258" s="42">
        <v>0</v>
      </c>
      <c r="AN258" s="42">
        <v>0</v>
      </c>
      <c r="AO258" s="42" t="s">
        <v>416</v>
      </c>
      <c r="AP258" s="42">
        <v>31</v>
      </c>
      <c r="AQ258" s="42">
        <v>0</v>
      </c>
    </row>
    <row r="259" spans="1:43" x14ac:dyDescent="0.15">
      <c r="A259" s="37" t="s">
        <v>81</v>
      </c>
      <c r="B259" s="37" t="s">
        <v>672</v>
      </c>
      <c r="C259" s="37" t="s">
        <v>413</v>
      </c>
      <c r="D259" s="37" t="s">
        <v>84</v>
      </c>
      <c r="E259" s="37" t="s">
        <v>415</v>
      </c>
      <c r="F259" s="37" t="s">
        <v>6</v>
      </c>
      <c r="G259" s="37">
        <v>0</v>
      </c>
      <c r="H259" s="37">
        <v>31</v>
      </c>
      <c r="I259" s="41">
        <v>4</v>
      </c>
      <c r="J259" s="45">
        <v>5</v>
      </c>
      <c r="K259" s="45">
        <v>4</v>
      </c>
      <c r="L259" s="45">
        <v>1</v>
      </c>
      <c r="M259" s="45"/>
      <c r="N259" s="45"/>
      <c r="P259" s="39">
        <v>26</v>
      </c>
      <c r="Q259" s="39">
        <v>30</v>
      </c>
      <c r="R259" s="39">
        <v>4</v>
      </c>
      <c r="S259" s="39">
        <v>30</v>
      </c>
      <c r="T259" s="39">
        <v>0</v>
      </c>
      <c r="U259" s="39">
        <v>1</v>
      </c>
      <c r="V259" s="39">
        <v>0</v>
      </c>
      <c r="W259" s="49">
        <v>0</v>
      </c>
      <c r="X259" s="49">
        <v>90</v>
      </c>
      <c r="Y259" s="49">
        <v>10</v>
      </c>
      <c r="Z259" s="49"/>
      <c r="AA259" s="50"/>
      <c r="AB259" s="50"/>
      <c r="AC259" s="50"/>
      <c r="AD259" s="50"/>
      <c r="AE259" s="50"/>
      <c r="AH259" s="39">
        <v>0</v>
      </c>
      <c r="AI259" s="39">
        <v>0</v>
      </c>
      <c r="AJ259" s="39">
        <v>0</v>
      </c>
      <c r="AK259" s="39">
        <v>0</v>
      </c>
      <c r="AL259" s="39">
        <v>0</v>
      </c>
      <c r="AM259" s="42">
        <v>0</v>
      </c>
      <c r="AN259" s="42">
        <v>0</v>
      </c>
      <c r="AO259" s="42" t="s">
        <v>416</v>
      </c>
      <c r="AP259" s="42">
        <v>30</v>
      </c>
      <c r="AQ259" s="42">
        <v>0</v>
      </c>
    </row>
    <row r="260" spans="1:43" x14ac:dyDescent="0.15">
      <c r="A260" s="37" t="s">
        <v>81</v>
      </c>
      <c r="B260" s="37" t="s">
        <v>671</v>
      </c>
      <c r="C260" s="37" t="s">
        <v>413</v>
      </c>
      <c r="D260" s="37" t="s">
        <v>85</v>
      </c>
      <c r="E260" s="37" t="s">
        <v>415</v>
      </c>
      <c r="F260" s="37" t="s">
        <v>6</v>
      </c>
      <c r="G260" s="37">
        <v>0</v>
      </c>
      <c r="H260" s="37">
        <v>31</v>
      </c>
      <c r="I260" s="41">
        <v>4</v>
      </c>
      <c r="J260" s="45">
        <v>4</v>
      </c>
      <c r="K260" s="45">
        <v>4</v>
      </c>
      <c r="L260" s="45"/>
      <c r="M260" s="45"/>
      <c r="N260" s="45"/>
      <c r="P260" s="39">
        <v>27</v>
      </c>
      <c r="Q260" s="39">
        <v>31</v>
      </c>
      <c r="R260" s="39">
        <v>4</v>
      </c>
      <c r="S260" s="39">
        <v>31</v>
      </c>
      <c r="T260" s="39">
        <v>0</v>
      </c>
      <c r="U260" s="39">
        <v>0</v>
      </c>
      <c r="V260" s="39">
        <v>0</v>
      </c>
      <c r="W260" s="49">
        <v>0</v>
      </c>
      <c r="X260" s="49">
        <v>120</v>
      </c>
      <c r="Y260" s="49">
        <v>50</v>
      </c>
      <c r="Z260" s="49"/>
      <c r="AA260" s="50"/>
      <c r="AB260" s="50"/>
      <c r="AC260" s="50"/>
      <c r="AD260" s="50"/>
      <c r="AE260" s="50"/>
      <c r="AH260" s="39">
        <v>0</v>
      </c>
      <c r="AI260" s="39">
        <v>0</v>
      </c>
      <c r="AJ260" s="39">
        <v>0</v>
      </c>
      <c r="AK260" s="39">
        <v>0</v>
      </c>
      <c r="AL260" s="39">
        <v>0</v>
      </c>
      <c r="AM260" s="42">
        <v>0</v>
      </c>
      <c r="AN260" s="42">
        <v>0</v>
      </c>
      <c r="AO260" s="42" t="s">
        <v>416</v>
      </c>
      <c r="AP260" s="42">
        <v>31</v>
      </c>
      <c r="AQ260" s="42">
        <v>0</v>
      </c>
    </row>
    <row r="261" spans="1:43" x14ac:dyDescent="0.15">
      <c r="A261" s="37" t="s">
        <v>81</v>
      </c>
      <c r="B261" s="37" t="s">
        <v>672</v>
      </c>
      <c r="C261" s="37" t="s">
        <v>413</v>
      </c>
      <c r="D261" s="37" t="s">
        <v>87</v>
      </c>
      <c r="E261" s="37" t="s">
        <v>415</v>
      </c>
      <c r="F261" s="37" t="s">
        <v>6</v>
      </c>
      <c r="G261" s="37">
        <v>0</v>
      </c>
      <c r="H261" s="37">
        <v>31</v>
      </c>
      <c r="I261" s="41">
        <v>4</v>
      </c>
      <c r="J261" s="45">
        <v>4</v>
      </c>
      <c r="K261" s="45">
        <v>4</v>
      </c>
      <c r="L261" s="45"/>
      <c r="M261" s="45"/>
      <c r="N261" s="45"/>
      <c r="P261" s="39">
        <v>27</v>
      </c>
      <c r="Q261" s="39">
        <v>31</v>
      </c>
      <c r="R261" s="39">
        <v>4</v>
      </c>
      <c r="S261" s="39">
        <v>31</v>
      </c>
      <c r="T261" s="39">
        <v>0</v>
      </c>
      <c r="U261" s="39">
        <v>0</v>
      </c>
      <c r="V261" s="39">
        <v>0</v>
      </c>
      <c r="W261" s="49">
        <v>0</v>
      </c>
      <c r="X261" s="49"/>
      <c r="Y261" s="49"/>
      <c r="Z261" s="49"/>
      <c r="AA261" s="50"/>
      <c r="AB261" s="50"/>
      <c r="AC261" s="50"/>
      <c r="AD261" s="50"/>
      <c r="AE261" s="50"/>
      <c r="AH261" s="39">
        <v>0</v>
      </c>
      <c r="AI261" s="39">
        <v>0</v>
      </c>
      <c r="AJ261" s="39">
        <v>0</v>
      </c>
      <c r="AK261" s="39">
        <v>0</v>
      </c>
      <c r="AL261" s="39">
        <v>0</v>
      </c>
      <c r="AM261" s="42">
        <v>0</v>
      </c>
      <c r="AN261" s="42">
        <v>0</v>
      </c>
      <c r="AO261" s="42" t="s">
        <v>416</v>
      </c>
      <c r="AP261" s="42">
        <v>31</v>
      </c>
      <c r="AQ261" s="42">
        <v>0</v>
      </c>
    </row>
    <row r="262" spans="1:43" x14ac:dyDescent="0.15">
      <c r="A262" s="37" t="s">
        <v>81</v>
      </c>
      <c r="B262" s="37" t="s">
        <v>672</v>
      </c>
      <c r="C262" s="37" t="s">
        <v>413</v>
      </c>
      <c r="D262" s="37" t="s">
        <v>88</v>
      </c>
      <c r="E262" s="37" t="s">
        <v>415</v>
      </c>
      <c r="F262" s="37" t="s">
        <v>6</v>
      </c>
      <c r="G262" s="37">
        <v>0</v>
      </c>
      <c r="H262" s="37">
        <v>31</v>
      </c>
      <c r="I262" s="41">
        <v>4</v>
      </c>
      <c r="J262" s="45">
        <v>4</v>
      </c>
      <c r="K262" s="45">
        <v>4</v>
      </c>
      <c r="L262" s="45"/>
      <c r="M262" s="45"/>
      <c r="N262" s="45"/>
      <c r="P262" s="39">
        <v>27</v>
      </c>
      <c r="Q262" s="39">
        <v>31</v>
      </c>
      <c r="R262" s="39">
        <v>4</v>
      </c>
      <c r="S262" s="39">
        <v>31</v>
      </c>
      <c r="T262" s="39">
        <v>0</v>
      </c>
      <c r="U262" s="39">
        <v>0</v>
      </c>
      <c r="V262" s="39">
        <v>0</v>
      </c>
      <c r="W262" s="49">
        <v>0</v>
      </c>
      <c r="X262" s="49">
        <v>20</v>
      </c>
      <c r="Y262" s="49">
        <v>20</v>
      </c>
      <c r="Z262" s="49"/>
      <c r="AA262" s="50"/>
      <c r="AB262" s="50"/>
      <c r="AC262" s="50"/>
      <c r="AD262" s="50"/>
      <c r="AE262" s="50"/>
      <c r="AH262" s="39">
        <v>0</v>
      </c>
      <c r="AI262" s="39">
        <v>0</v>
      </c>
      <c r="AJ262" s="39">
        <v>0</v>
      </c>
      <c r="AK262" s="39">
        <v>0</v>
      </c>
      <c r="AL262" s="39">
        <v>0</v>
      </c>
      <c r="AM262" s="42">
        <v>0</v>
      </c>
      <c r="AN262" s="42">
        <v>0</v>
      </c>
      <c r="AO262" s="42" t="s">
        <v>416</v>
      </c>
      <c r="AP262" s="42">
        <v>31</v>
      </c>
      <c r="AQ262" s="42">
        <v>0</v>
      </c>
    </row>
    <row r="263" spans="1:43" x14ac:dyDescent="0.15">
      <c r="A263" s="37" t="s">
        <v>81</v>
      </c>
      <c r="B263" s="37" t="s">
        <v>672</v>
      </c>
      <c r="C263" s="37" t="s">
        <v>413</v>
      </c>
      <c r="D263" s="37" t="s">
        <v>89</v>
      </c>
      <c r="E263" s="37" t="s">
        <v>415</v>
      </c>
      <c r="F263" s="37" t="s">
        <v>6</v>
      </c>
      <c r="G263" s="37">
        <v>0</v>
      </c>
      <c r="H263" s="37">
        <v>31</v>
      </c>
      <c r="I263" s="41">
        <v>4</v>
      </c>
      <c r="J263" s="45">
        <v>4</v>
      </c>
      <c r="K263" s="45">
        <v>4</v>
      </c>
      <c r="L263" s="45"/>
      <c r="M263" s="45"/>
      <c r="N263" s="45"/>
      <c r="P263" s="39">
        <v>27</v>
      </c>
      <c r="Q263" s="39">
        <v>31</v>
      </c>
      <c r="R263" s="39">
        <v>4</v>
      </c>
      <c r="S263" s="39">
        <v>31</v>
      </c>
      <c r="T263" s="39">
        <v>0</v>
      </c>
      <c r="U263" s="39">
        <v>0</v>
      </c>
      <c r="V263" s="39">
        <v>0</v>
      </c>
      <c r="W263" s="49">
        <v>0</v>
      </c>
      <c r="X263" s="49"/>
      <c r="Y263" s="49"/>
      <c r="Z263" s="49"/>
      <c r="AA263" s="50"/>
      <c r="AB263" s="50"/>
      <c r="AC263" s="50"/>
      <c r="AD263" s="50"/>
      <c r="AE263" s="50"/>
      <c r="AH263" s="39">
        <v>0</v>
      </c>
      <c r="AI263" s="39">
        <v>0</v>
      </c>
      <c r="AJ263" s="39">
        <v>0</v>
      </c>
      <c r="AK263" s="39">
        <v>0</v>
      </c>
      <c r="AL263" s="39">
        <v>0</v>
      </c>
      <c r="AM263" s="42">
        <v>0</v>
      </c>
      <c r="AN263" s="42">
        <v>0</v>
      </c>
      <c r="AO263" s="42" t="s">
        <v>416</v>
      </c>
      <c r="AP263" s="42">
        <v>31</v>
      </c>
      <c r="AQ263" s="42">
        <v>0</v>
      </c>
    </row>
    <row r="264" spans="1:43" x14ac:dyDescent="0.15">
      <c r="A264" s="37" t="s">
        <v>90</v>
      </c>
      <c r="B264" s="37" t="s">
        <v>12</v>
      </c>
      <c r="C264" s="37" t="s">
        <v>413</v>
      </c>
      <c r="D264" s="37" t="s">
        <v>91</v>
      </c>
      <c r="E264" s="37" t="s">
        <v>415</v>
      </c>
      <c r="F264" s="37" t="s">
        <v>6</v>
      </c>
      <c r="G264" s="37">
        <v>0</v>
      </c>
      <c r="H264" s="37">
        <v>31</v>
      </c>
      <c r="I264" s="41">
        <v>4</v>
      </c>
      <c r="J264" s="45">
        <v>4</v>
      </c>
      <c r="K264" s="45">
        <v>4</v>
      </c>
      <c r="L264" s="45"/>
      <c r="M264" s="45"/>
      <c r="N264" s="45"/>
      <c r="P264" s="39">
        <v>27</v>
      </c>
      <c r="Q264" s="39">
        <v>31</v>
      </c>
      <c r="R264" s="39">
        <v>4</v>
      </c>
      <c r="S264" s="39">
        <v>31</v>
      </c>
      <c r="T264" s="39">
        <v>0</v>
      </c>
      <c r="U264" s="39">
        <v>0</v>
      </c>
      <c r="V264" s="39">
        <v>0</v>
      </c>
      <c r="W264" s="49">
        <v>0</v>
      </c>
      <c r="X264" s="49">
        <v>20</v>
      </c>
      <c r="Y264" s="49"/>
      <c r="Z264" s="49"/>
      <c r="AA264" s="50"/>
      <c r="AB264" s="50"/>
      <c r="AC264" s="50"/>
      <c r="AD264" s="50"/>
      <c r="AE264" s="50"/>
      <c r="AH264" s="39">
        <v>0</v>
      </c>
      <c r="AI264" s="39">
        <v>0</v>
      </c>
      <c r="AJ264" s="39">
        <v>0</v>
      </c>
      <c r="AK264" s="39">
        <v>0</v>
      </c>
      <c r="AL264" s="39">
        <v>0</v>
      </c>
      <c r="AM264" s="42">
        <v>0</v>
      </c>
      <c r="AN264" s="42">
        <v>0</v>
      </c>
      <c r="AO264" s="42" t="s">
        <v>416</v>
      </c>
      <c r="AP264" s="42">
        <v>31</v>
      </c>
      <c r="AQ264" s="42">
        <v>0</v>
      </c>
    </row>
    <row r="265" spans="1:43" x14ac:dyDescent="0.15">
      <c r="A265" s="37" t="s">
        <v>90</v>
      </c>
      <c r="B265" s="37" t="s">
        <v>672</v>
      </c>
      <c r="C265" s="37" t="s">
        <v>413</v>
      </c>
      <c r="D265" s="37" t="s">
        <v>92</v>
      </c>
      <c r="E265" s="37" t="s">
        <v>415</v>
      </c>
      <c r="F265" s="37" t="s">
        <v>6</v>
      </c>
      <c r="G265" s="37">
        <v>0</v>
      </c>
      <c r="H265" s="37">
        <v>31</v>
      </c>
      <c r="I265" s="41">
        <v>4</v>
      </c>
      <c r="J265" s="45">
        <v>4</v>
      </c>
      <c r="K265" s="45">
        <v>4</v>
      </c>
      <c r="L265" s="45"/>
      <c r="M265" s="45"/>
      <c r="N265" s="45"/>
      <c r="P265" s="39">
        <v>27</v>
      </c>
      <c r="Q265" s="39">
        <v>31</v>
      </c>
      <c r="R265" s="39">
        <v>4</v>
      </c>
      <c r="S265" s="39">
        <v>31</v>
      </c>
      <c r="T265" s="39">
        <v>0</v>
      </c>
      <c r="U265" s="39">
        <v>0</v>
      </c>
      <c r="V265" s="39">
        <v>0</v>
      </c>
      <c r="W265" s="49">
        <v>0</v>
      </c>
      <c r="X265" s="49"/>
      <c r="Y265" s="49">
        <v>10</v>
      </c>
      <c r="Z265" s="49"/>
      <c r="AA265" s="50"/>
      <c r="AB265" s="50"/>
      <c r="AC265" s="50"/>
      <c r="AD265" s="50"/>
      <c r="AE265" s="50"/>
      <c r="AH265" s="39">
        <v>0</v>
      </c>
      <c r="AI265" s="39">
        <v>0</v>
      </c>
      <c r="AJ265" s="39">
        <v>0</v>
      </c>
      <c r="AK265" s="39">
        <v>0</v>
      </c>
      <c r="AL265" s="39">
        <v>0</v>
      </c>
      <c r="AM265" s="42">
        <v>0</v>
      </c>
      <c r="AN265" s="42">
        <v>0</v>
      </c>
      <c r="AO265" s="42" t="s">
        <v>416</v>
      </c>
      <c r="AP265" s="42">
        <v>31</v>
      </c>
      <c r="AQ265" s="42">
        <v>0</v>
      </c>
    </row>
    <row r="266" spans="1:43" x14ac:dyDescent="0.15">
      <c r="A266" s="37" t="s">
        <v>90</v>
      </c>
      <c r="B266" s="37" t="s">
        <v>672</v>
      </c>
      <c r="C266" s="37" t="s">
        <v>413</v>
      </c>
      <c r="D266" s="37" t="s">
        <v>93</v>
      </c>
      <c r="E266" s="37" t="s">
        <v>415</v>
      </c>
      <c r="F266" s="37" t="s">
        <v>6</v>
      </c>
      <c r="G266" s="37">
        <v>0</v>
      </c>
      <c r="H266" s="37">
        <v>31</v>
      </c>
      <c r="I266" s="41">
        <v>4</v>
      </c>
      <c r="J266" s="45">
        <v>4</v>
      </c>
      <c r="K266" s="45">
        <v>4</v>
      </c>
      <c r="L266" s="45"/>
      <c r="M266" s="45"/>
      <c r="N266" s="45"/>
      <c r="P266" s="39">
        <v>27</v>
      </c>
      <c r="Q266" s="39">
        <v>31</v>
      </c>
      <c r="R266" s="39">
        <v>4</v>
      </c>
      <c r="S266" s="39">
        <v>31</v>
      </c>
      <c r="T266" s="39">
        <v>0</v>
      </c>
      <c r="U266" s="39">
        <v>0</v>
      </c>
      <c r="V266" s="39">
        <v>0</v>
      </c>
      <c r="W266" s="49">
        <v>0</v>
      </c>
      <c r="X266" s="49"/>
      <c r="Y266" s="49">
        <v>30</v>
      </c>
      <c r="Z266" s="49"/>
      <c r="AA266" s="50"/>
      <c r="AB266" s="50"/>
      <c r="AC266" s="50"/>
      <c r="AD266" s="50"/>
      <c r="AE266" s="50"/>
      <c r="AH266" s="39">
        <v>0</v>
      </c>
      <c r="AI266" s="39">
        <v>0</v>
      </c>
      <c r="AJ266" s="39">
        <v>0</v>
      </c>
      <c r="AK266" s="39">
        <v>0</v>
      </c>
      <c r="AL266" s="39">
        <v>0</v>
      </c>
      <c r="AM266" s="42">
        <v>0</v>
      </c>
      <c r="AN266" s="42">
        <v>0</v>
      </c>
      <c r="AO266" s="42" t="s">
        <v>416</v>
      </c>
      <c r="AP266" s="42">
        <v>31</v>
      </c>
      <c r="AQ266" s="42">
        <v>0</v>
      </c>
    </row>
    <row r="267" spans="1:43" x14ac:dyDescent="0.15">
      <c r="A267" s="37" t="s">
        <v>90</v>
      </c>
      <c r="B267" s="37" t="s">
        <v>672</v>
      </c>
      <c r="C267" s="37" t="s">
        <v>413</v>
      </c>
      <c r="D267" s="37" t="s">
        <v>94</v>
      </c>
      <c r="E267" s="37" t="s">
        <v>415</v>
      </c>
      <c r="F267" s="37" t="s">
        <v>6</v>
      </c>
      <c r="G267" s="37">
        <v>0</v>
      </c>
      <c r="H267" s="37">
        <v>31</v>
      </c>
      <c r="I267" s="41">
        <v>4</v>
      </c>
      <c r="J267" s="45">
        <v>4</v>
      </c>
      <c r="K267" s="45">
        <v>4</v>
      </c>
      <c r="L267" s="45"/>
      <c r="M267" s="45"/>
      <c r="N267" s="45"/>
      <c r="P267" s="39">
        <v>27</v>
      </c>
      <c r="Q267" s="39">
        <v>31</v>
      </c>
      <c r="R267" s="39">
        <v>4</v>
      </c>
      <c r="S267" s="39">
        <v>31</v>
      </c>
      <c r="T267" s="39">
        <v>0</v>
      </c>
      <c r="U267" s="39">
        <v>0</v>
      </c>
      <c r="V267" s="39">
        <v>0</v>
      </c>
      <c r="W267" s="49">
        <v>0</v>
      </c>
      <c r="X267" s="49"/>
      <c r="Y267" s="49"/>
      <c r="Z267" s="49"/>
      <c r="AA267" s="50"/>
      <c r="AB267" s="50"/>
      <c r="AC267" s="50"/>
      <c r="AD267" s="50"/>
      <c r="AE267" s="50"/>
      <c r="AH267" s="39">
        <v>0</v>
      </c>
      <c r="AI267" s="39">
        <v>0</v>
      </c>
      <c r="AJ267" s="39">
        <v>0</v>
      </c>
      <c r="AK267" s="39">
        <v>0</v>
      </c>
      <c r="AL267" s="39">
        <v>0</v>
      </c>
      <c r="AM267" s="42">
        <v>0</v>
      </c>
      <c r="AN267" s="42">
        <v>0</v>
      </c>
      <c r="AO267" s="42" t="s">
        <v>416</v>
      </c>
      <c r="AP267" s="42">
        <v>31</v>
      </c>
      <c r="AQ267" s="42">
        <v>0</v>
      </c>
    </row>
    <row r="268" spans="1:43" x14ac:dyDescent="0.15">
      <c r="A268" s="37" t="s">
        <v>90</v>
      </c>
      <c r="B268" s="37" t="s">
        <v>672</v>
      </c>
      <c r="C268" s="37" t="s">
        <v>413</v>
      </c>
      <c r="D268" s="37" t="s">
        <v>311</v>
      </c>
      <c r="E268" s="37" t="s">
        <v>415</v>
      </c>
      <c r="F268" s="37" t="s">
        <v>6</v>
      </c>
      <c r="G268" s="37">
        <v>0</v>
      </c>
      <c r="H268" s="37">
        <v>31</v>
      </c>
      <c r="I268" s="41">
        <v>4</v>
      </c>
      <c r="J268" s="45">
        <v>4</v>
      </c>
      <c r="K268" s="45">
        <v>4</v>
      </c>
      <c r="L268" s="45"/>
      <c r="M268" s="45"/>
      <c r="N268" s="45"/>
      <c r="P268" s="39">
        <v>27</v>
      </c>
      <c r="Q268" s="39">
        <v>31</v>
      </c>
      <c r="R268" s="39">
        <v>4</v>
      </c>
      <c r="S268" s="39">
        <v>31</v>
      </c>
      <c r="T268" s="39">
        <v>0</v>
      </c>
      <c r="U268" s="39">
        <v>0</v>
      </c>
      <c r="V268" s="39">
        <v>0</v>
      </c>
      <c r="W268" s="49">
        <v>0</v>
      </c>
      <c r="X268" s="49">
        <v>20</v>
      </c>
      <c r="Y268" s="49">
        <v>30</v>
      </c>
      <c r="Z268" s="49"/>
      <c r="AA268" s="50"/>
      <c r="AB268" s="50"/>
      <c r="AC268" s="50"/>
      <c r="AD268" s="50"/>
      <c r="AE268" s="50"/>
      <c r="AH268" s="39">
        <v>0</v>
      </c>
      <c r="AI268" s="39">
        <v>0</v>
      </c>
      <c r="AJ268" s="39">
        <v>0</v>
      </c>
      <c r="AK268" s="39">
        <v>0</v>
      </c>
      <c r="AL268" s="39">
        <v>0</v>
      </c>
      <c r="AM268" s="42">
        <v>0</v>
      </c>
      <c r="AN268" s="42">
        <v>0</v>
      </c>
      <c r="AO268" s="42" t="s">
        <v>416</v>
      </c>
      <c r="AP268" s="42">
        <v>31</v>
      </c>
      <c r="AQ268" s="42">
        <v>0</v>
      </c>
    </row>
    <row r="269" spans="1:43" x14ac:dyDescent="0.15">
      <c r="A269" s="37" t="s">
        <v>90</v>
      </c>
      <c r="B269" s="37" t="s">
        <v>672</v>
      </c>
      <c r="C269" s="37" t="s">
        <v>413</v>
      </c>
      <c r="D269" s="37" t="s">
        <v>95</v>
      </c>
      <c r="E269" s="37" t="s">
        <v>415</v>
      </c>
      <c r="F269" s="37" t="s">
        <v>6</v>
      </c>
      <c r="G269" s="37">
        <v>0</v>
      </c>
      <c r="H269" s="37">
        <v>31</v>
      </c>
      <c r="I269" s="41">
        <v>4</v>
      </c>
      <c r="J269" s="45">
        <v>4</v>
      </c>
      <c r="K269" s="45">
        <v>4</v>
      </c>
      <c r="L269" s="45"/>
      <c r="M269" s="45"/>
      <c r="N269" s="45"/>
      <c r="P269" s="39">
        <v>27</v>
      </c>
      <c r="Q269" s="39">
        <v>31</v>
      </c>
      <c r="R269" s="39">
        <v>4</v>
      </c>
      <c r="S269" s="39">
        <v>31</v>
      </c>
      <c r="T269" s="39">
        <v>0</v>
      </c>
      <c r="U269" s="39">
        <v>0</v>
      </c>
      <c r="V269" s="39">
        <v>0</v>
      </c>
      <c r="W269" s="49">
        <v>0</v>
      </c>
      <c r="X269" s="49"/>
      <c r="Y269" s="49">
        <v>10</v>
      </c>
      <c r="Z269" s="49"/>
      <c r="AA269" s="50"/>
      <c r="AB269" s="50"/>
      <c r="AC269" s="50"/>
      <c r="AD269" s="50"/>
      <c r="AE269" s="50"/>
      <c r="AH269" s="39">
        <v>0</v>
      </c>
      <c r="AI269" s="39">
        <v>0</v>
      </c>
      <c r="AJ269" s="39">
        <v>0</v>
      </c>
      <c r="AK269" s="39">
        <v>0</v>
      </c>
      <c r="AL269" s="39">
        <v>0</v>
      </c>
      <c r="AM269" s="42">
        <v>0</v>
      </c>
      <c r="AN269" s="42">
        <v>0</v>
      </c>
      <c r="AO269" s="42" t="s">
        <v>416</v>
      </c>
      <c r="AP269" s="42">
        <v>31</v>
      </c>
      <c r="AQ269" s="42">
        <v>0</v>
      </c>
    </row>
    <row r="270" spans="1:43" x14ac:dyDescent="0.15">
      <c r="A270" s="37" t="s">
        <v>96</v>
      </c>
      <c r="B270" s="37" t="s">
        <v>673</v>
      </c>
      <c r="C270" s="37">
        <v>0</v>
      </c>
      <c r="D270" s="37" t="s">
        <v>674</v>
      </c>
      <c r="E270" s="37" t="s">
        <v>415</v>
      </c>
      <c r="F270" s="37" t="s">
        <v>6</v>
      </c>
      <c r="G270" s="37">
        <v>0</v>
      </c>
      <c r="H270" s="37">
        <v>31</v>
      </c>
      <c r="I270" s="41">
        <v>4</v>
      </c>
      <c r="J270" s="45">
        <v>0</v>
      </c>
      <c r="K270" s="45"/>
      <c r="L270" s="45"/>
      <c r="M270" s="45"/>
      <c r="N270" s="45"/>
      <c r="P270" s="39">
        <v>31</v>
      </c>
      <c r="Q270" s="39">
        <v>31</v>
      </c>
      <c r="R270" s="39">
        <v>4</v>
      </c>
      <c r="S270" s="39">
        <v>31</v>
      </c>
      <c r="T270" s="39">
        <v>0</v>
      </c>
      <c r="U270" s="39">
        <v>0</v>
      </c>
      <c r="V270" s="39">
        <v>0</v>
      </c>
      <c r="W270" s="49">
        <v>0</v>
      </c>
      <c r="X270" s="49"/>
      <c r="Y270" s="49"/>
      <c r="Z270" s="49"/>
      <c r="AA270" s="50"/>
      <c r="AB270" s="50"/>
      <c r="AC270" s="50"/>
      <c r="AD270" s="50"/>
      <c r="AE270" s="50"/>
      <c r="AH270" s="39">
        <v>600</v>
      </c>
      <c r="AI270" s="39">
        <v>0</v>
      </c>
      <c r="AJ270" s="39">
        <v>0</v>
      </c>
      <c r="AK270" s="39">
        <v>0</v>
      </c>
      <c r="AL270" s="39">
        <v>0</v>
      </c>
      <c r="AM270" s="42">
        <v>0</v>
      </c>
      <c r="AN270" s="42">
        <v>0</v>
      </c>
      <c r="AO270" s="42" t="s">
        <v>416</v>
      </c>
      <c r="AP270" s="42">
        <v>31</v>
      </c>
      <c r="AQ270" s="42">
        <v>0</v>
      </c>
    </row>
    <row r="271" spans="1:43" x14ac:dyDescent="0.15">
      <c r="A271" s="37" t="s">
        <v>46</v>
      </c>
      <c r="B271" s="37" t="s">
        <v>673</v>
      </c>
      <c r="C271" s="37">
        <v>0</v>
      </c>
      <c r="D271" s="37" t="s">
        <v>675</v>
      </c>
      <c r="E271" s="37" t="s">
        <v>415</v>
      </c>
      <c r="F271" s="37" t="s">
        <v>6</v>
      </c>
      <c r="G271" s="37">
        <v>0</v>
      </c>
      <c r="H271" s="37">
        <v>31</v>
      </c>
      <c r="I271" s="41">
        <v>4</v>
      </c>
      <c r="J271" s="45">
        <v>0</v>
      </c>
      <c r="K271" s="45"/>
      <c r="L271" s="45"/>
      <c r="M271" s="45"/>
      <c r="N271" s="45"/>
      <c r="P271" s="39">
        <v>31</v>
      </c>
      <c r="Q271" s="39">
        <v>31</v>
      </c>
      <c r="R271" s="39">
        <v>4</v>
      </c>
      <c r="S271" s="39">
        <v>31</v>
      </c>
      <c r="T271" s="39">
        <v>0</v>
      </c>
      <c r="U271" s="39">
        <v>0</v>
      </c>
      <c r="V271" s="39">
        <v>0</v>
      </c>
      <c r="W271" s="49">
        <v>0</v>
      </c>
      <c r="X271" s="49"/>
      <c r="Y271" s="49"/>
      <c r="Z271" s="49"/>
      <c r="AA271" s="50"/>
      <c r="AB271" s="50"/>
      <c r="AC271" s="50"/>
      <c r="AD271" s="50"/>
      <c r="AE271" s="50"/>
      <c r="AH271" s="39">
        <v>1400</v>
      </c>
      <c r="AI271" s="39">
        <v>0</v>
      </c>
      <c r="AJ271" s="39">
        <v>0</v>
      </c>
      <c r="AK271" s="39">
        <v>0</v>
      </c>
      <c r="AL271" s="39">
        <v>0</v>
      </c>
      <c r="AM271" s="42">
        <v>0</v>
      </c>
      <c r="AN271" s="42">
        <v>0</v>
      </c>
      <c r="AO271" s="42" t="s">
        <v>416</v>
      </c>
      <c r="AP271" s="42">
        <v>31</v>
      </c>
      <c r="AQ271" s="42">
        <v>0</v>
      </c>
    </row>
    <row r="272" spans="1:43" x14ac:dyDescent="0.15">
      <c r="A272" s="37" t="s">
        <v>37</v>
      </c>
      <c r="B272" s="37" t="s">
        <v>673</v>
      </c>
      <c r="C272" s="37">
        <v>0</v>
      </c>
      <c r="D272" s="37" t="s">
        <v>676</v>
      </c>
      <c r="E272" s="37" t="s">
        <v>415</v>
      </c>
      <c r="F272" s="37" t="s">
        <v>6</v>
      </c>
      <c r="G272" s="37">
        <v>0</v>
      </c>
      <c r="H272" s="37">
        <v>31</v>
      </c>
      <c r="I272" s="41">
        <v>4</v>
      </c>
      <c r="J272" s="45">
        <v>0</v>
      </c>
      <c r="K272" s="45"/>
      <c r="L272" s="45"/>
      <c r="M272" s="45"/>
      <c r="N272" s="45"/>
      <c r="P272" s="39">
        <v>31</v>
      </c>
      <c r="Q272" s="39">
        <v>31</v>
      </c>
      <c r="R272" s="39">
        <v>4</v>
      </c>
      <c r="S272" s="39">
        <v>31</v>
      </c>
      <c r="T272" s="39">
        <v>0</v>
      </c>
      <c r="U272" s="39">
        <v>0</v>
      </c>
      <c r="V272" s="39">
        <v>0</v>
      </c>
      <c r="W272" s="49">
        <v>0</v>
      </c>
      <c r="X272" s="49"/>
      <c r="Y272" s="49"/>
      <c r="Z272" s="49"/>
      <c r="AA272" s="50"/>
      <c r="AB272" s="50"/>
      <c r="AC272" s="50"/>
      <c r="AD272" s="50"/>
      <c r="AE272" s="50"/>
      <c r="AH272" s="39">
        <v>1000</v>
      </c>
      <c r="AI272" s="39">
        <v>0</v>
      </c>
      <c r="AJ272" s="39">
        <v>0</v>
      </c>
      <c r="AK272" s="39">
        <v>0</v>
      </c>
      <c r="AL272" s="39">
        <v>0</v>
      </c>
      <c r="AM272" s="42">
        <v>0</v>
      </c>
      <c r="AN272" s="42">
        <v>0</v>
      </c>
      <c r="AO272" s="42" t="s">
        <v>416</v>
      </c>
      <c r="AP272" s="42">
        <v>31</v>
      </c>
      <c r="AQ272" s="42">
        <v>0</v>
      </c>
    </row>
    <row r="273" spans="1:43" x14ac:dyDescent="0.15">
      <c r="A273" s="37">
        <v>468</v>
      </c>
      <c r="B273" s="37" t="s">
        <v>673</v>
      </c>
      <c r="C273" s="37">
        <v>0</v>
      </c>
      <c r="D273" s="37" t="s">
        <v>676</v>
      </c>
      <c r="E273" s="37" t="s">
        <v>415</v>
      </c>
      <c r="F273" s="37" t="s">
        <v>6</v>
      </c>
      <c r="G273" s="37">
        <v>0</v>
      </c>
      <c r="H273" s="37">
        <v>31</v>
      </c>
      <c r="I273" s="41">
        <v>4</v>
      </c>
      <c r="J273" s="45">
        <v>0</v>
      </c>
      <c r="K273" s="45"/>
      <c r="L273" s="45"/>
      <c r="M273" s="45"/>
      <c r="N273" s="45"/>
      <c r="P273" s="39">
        <v>31</v>
      </c>
      <c r="Q273" s="39">
        <v>31</v>
      </c>
      <c r="R273" s="39">
        <v>4</v>
      </c>
      <c r="S273" s="39">
        <v>31</v>
      </c>
      <c r="T273" s="39">
        <v>0</v>
      </c>
      <c r="U273" s="39">
        <v>0</v>
      </c>
      <c r="V273" s="39">
        <v>0</v>
      </c>
      <c r="W273" s="49">
        <v>0</v>
      </c>
      <c r="X273" s="49"/>
      <c r="Y273" s="49"/>
      <c r="Z273" s="49"/>
      <c r="AA273" s="50"/>
      <c r="AB273" s="50"/>
      <c r="AC273" s="50"/>
      <c r="AD273" s="50"/>
      <c r="AE273" s="50"/>
      <c r="AH273" s="39">
        <v>1000</v>
      </c>
      <c r="AI273" s="39">
        <v>0</v>
      </c>
      <c r="AJ273" s="39">
        <v>0</v>
      </c>
      <c r="AK273" s="39">
        <v>0</v>
      </c>
      <c r="AL273" s="39">
        <v>0</v>
      </c>
      <c r="AM273" s="42">
        <v>0</v>
      </c>
      <c r="AN273" s="42">
        <v>0</v>
      </c>
      <c r="AO273" s="42" t="s">
        <v>416</v>
      </c>
      <c r="AP273" s="42">
        <v>31</v>
      </c>
      <c r="AQ273" s="42">
        <v>0</v>
      </c>
    </row>
    <row r="274" spans="1:43" x14ac:dyDescent="0.15">
      <c r="A274" s="37" t="s">
        <v>19</v>
      </c>
      <c r="B274" s="37" t="s">
        <v>673</v>
      </c>
      <c r="C274" s="37">
        <v>0</v>
      </c>
      <c r="D274" s="37" t="s">
        <v>677</v>
      </c>
      <c r="E274" s="37" t="s">
        <v>415</v>
      </c>
      <c r="F274" s="37" t="s">
        <v>6</v>
      </c>
      <c r="G274" s="37">
        <v>0</v>
      </c>
      <c r="H274" s="37">
        <v>31</v>
      </c>
      <c r="I274" s="41">
        <v>4</v>
      </c>
      <c r="J274" s="45">
        <v>0</v>
      </c>
      <c r="K274" s="45"/>
      <c r="L274" s="45"/>
      <c r="M274" s="45"/>
      <c r="N274" s="45"/>
      <c r="P274" s="39">
        <v>31</v>
      </c>
      <c r="Q274" s="39">
        <v>31</v>
      </c>
      <c r="R274" s="39">
        <v>4</v>
      </c>
      <c r="S274" s="39">
        <v>31</v>
      </c>
      <c r="T274" s="39">
        <v>0</v>
      </c>
      <c r="U274" s="39">
        <v>0</v>
      </c>
      <c r="V274" s="39">
        <v>0</v>
      </c>
      <c r="W274" s="49">
        <v>0</v>
      </c>
      <c r="X274" s="49"/>
      <c r="Y274" s="49"/>
      <c r="Z274" s="49"/>
      <c r="AA274" s="50"/>
      <c r="AB274" s="50"/>
      <c r="AC274" s="50"/>
      <c r="AD274" s="50"/>
      <c r="AE274" s="50"/>
      <c r="AH274" s="39">
        <v>3200</v>
      </c>
      <c r="AI274" s="39">
        <v>0</v>
      </c>
      <c r="AJ274" s="39">
        <v>0</v>
      </c>
      <c r="AK274" s="39">
        <v>0</v>
      </c>
      <c r="AL274" s="39">
        <v>0</v>
      </c>
      <c r="AM274" s="42">
        <v>0</v>
      </c>
      <c r="AN274" s="42">
        <v>0</v>
      </c>
      <c r="AO274" s="42" t="s">
        <v>416</v>
      </c>
      <c r="AP274" s="42">
        <v>31</v>
      </c>
      <c r="AQ274" s="42">
        <v>0</v>
      </c>
    </row>
    <row r="275" spans="1:43" x14ac:dyDescent="0.15">
      <c r="A275" s="37" t="s">
        <v>40</v>
      </c>
      <c r="B275" s="37" t="s">
        <v>673</v>
      </c>
      <c r="C275" s="37">
        <v>0</v>
      </c>
      <c r="D275" s="37" t="s">
        <v>678</v>
      </c>
      <c r="E275" s="37" t="s">
        <v>415</v>
      </c>
      <c r="F275" s="37" t="s">
        <v>6</v>
      </c>
      <c r="G275" s="37">
        <v>0</v>
      </c>
      <c r="H275" s="37">
        <v>31</v>
      </c>
      <c r="I275" s="41">
        <v>4</v>
      </c>
      <c r="J275" s="45">
        <v>0</v>
      </c>
      <c r="K275" s="45"/>
      <c r="L275" s="45"/>
      <c r="M275" s="45"/>
      <c r="N275" s="45"/>
      <c r="P275" s="39">
        <v>31</v>
      </c>
      <c r="Q275" s="39">
        <v>31</v>
      </c>
      <c r="R275" s="39">
        <v>4</v>
      </c>
      <c r="S275" s="39">
        <v>31</v>
      </c>
      <c r="T275" s="39">
        <v>0</v>
      </c>
      <c r="U275" s="39">
        <v>0</v>
      </c>
      <c r="V275" s="39">
        <v>0</v>
      </c>
      <c r="W275" s="49">
        <v>0</v>
      </c>
      <c r="X275" s="49"/>
      <c r="Y275" s="49"/>
      <c r="Z275" s="49"/>
      <c r="AA275" s="50"/>
      <c r="AB275" s="50"/>
      <c r="AC275" s="50"/>
      <c r="AD275" s="50"/>
      <c r="AE275" s="50"/>
      <c r="AH275" s="39">
        <v>3200</v>
      </c>
      <c r="AI275" s="39">
        <v>0</v>
      </c>
      <c r="AJ275" s="39">
        <v>0</v>
      </c>
      <c r="AK275" s="39">
        <v>0</v>
      </c>
      <c r="AL275" s="39">
        <v>0</v>
      </c>
      <c r="AM275" s="42">
        <v>0</v>
      </c>
      <c r="AN275" s="42">
        <v>0</v>
      </c>
      <c r="AO275" s="42" t="s">
        <v>416</v>
      </c>
      <c r="AP275" s="42">
        <v>31</v>
      </c>
      <c r="AQ275" s="42">
        <v>0</v>
      </c>
    </row>
    <row r="276" spans="1:43" x14ac:dyDescent="0.15">
      <c r="A276" s="37" t="s">
        <v>35</v>
      </c>
      <c r="B276" s="37" t="s">
        <v>673</v>
      </c>
      <c r="C276" s="37">
        <v>0</v>
      </c>
      <c r="D276" s="37" t="s">
        <v>679</v>
      </c>
      <c r="E276" s="37" t="s">
        <v>415</v>
      </c>
      <c r="F276" s="37" t="s">
        <v>6</v>
      </c>
      <c r="G276" s="37">
        <v>0</v>
      </c>
      <c r="H276" s="37">
        <v>31</v>
      </c>
      <c r="I276" s="41">
        <v>4</v>
      </c>
      <c r="J276" s="45">
        <v>0</v>
      </c>
      <c r="K276" s="45"/>
      <c r="L276" s="45"/>
      <c r="M276" s="45"/>
      <c r="N276" s="45"/>
      <c r="P276" s="39">
        <v>31</v>
      </c>
      <c r="Q276" s="39">
        <v>31</v>
      </c>
      <c r="R276" s="39">
        <v>4</v>
      </c>
      <c r="S276" s="39">
        <v>31</v>
      </c>
      <c r="T276" s="39">
        <v>0</v>
      </c>
      <c r="U276" s="39">
        <v>0</v>
      </c>
      <c r="V276" s="39">
        <v>0</v>
      </c>
      <c r="W276" s="49">
        <v>0</v>
      </c>
      <c r="X276" s="49"/>
      <c r="Y276" s="49"/>
      <c r="Z276" s="49"/>
      <c r="AA276" s="50"/>
      <c r="AB276" s="50"/>
      <c r="AC276" s="50"/>
      <c r="AD276" s="50"/>
      <c r="AE276" s="50"/>
      <c r="AH276" s="39">
        <v>1200</v>
      </c>
      <c r="AI276" s="39">
        <v>0</v>
      </c>
      <c r="AJ276" s="39">
        <v>0</v>
      </c>
      <c r="AK276" s="39">
        <v>0</v>
      </c>
      <c r="AL276" s="39">
        <v>0</v>
      </c>
      <c r="AM276" s="42">
        <v>0</v>
      </c>
      <c r="AN276" s="42">
        <v>0</v>
      </c>
      <c r="AO276" s="42" t="s">
        <v>416</v>
      </c>
      <c r="AP276" s="42">
        <v>31</v>
      </c>
      <c r="AQ276" s="42">
        <v>0</v>
      </c>
    </row>
    <row r="277" spans="1:43" x14ac:dyDescent="0.15">
      <c r="A277" s="37" t="s">
        <v>49</v>
      </c>
      <c r="B277" s="37" t="s">
        <v>673</v>
      </c>
      <c r="C277" s="37">
        <v>0</v>
      </c>
      <c r="D277" s="37" t="s">
        <v>680</v>
      </c>
      <c r="E277" s="37" t="s">
        <v>415</v>
      </c>
      <c r="F277" s="37" t="s">
        <v>6</v>
      </c>
      <c r="G277" s="37">
        <v>0</v>
      </c>
      <c r="H277" s="37">
        <v>31</v>
      </c>
      <c r="I277" s="41">
        <v>4</v>
      </c>
      <c r="J277" s="45">
        <v>0</v>
      </c>
      <c r="K277" s="45"/>
      <c r="L277" s="45"/>
      <c r="M277" s="45"/>
      <c r="N277" s="45"/>
      <c r="P277" s="39">
        <v>31</v>
      </c>
      <c r="Q277" s="39">
        <v>31</v>
      </c>
      <c r="R277" s="39">
        <v>4</v>
      </c>
      <c r="S277" s="39">
        <v>31</v>
      </c>
      <c r="T277" s="39">
        <v>0</v>
      </c>
      <c r="U277" s="39">
        <v>0</v>
      </c>
      <c r="V277" s="39">
        <v>0</v>
      </c>
      <c r="W277" s="49">
        <v>0</v>
      </c>
      <c r="X277" s="49"/>
      <c r="Y277" s="49"/>
      <c r="Z277" s="49"/>
      <c r="AA277" s="50"/>
      <c r="AB277" s="50"/>
      <c r="AC277" s="50"/>
      <c r="AD277" s="50"/>
      <c r="AE277" s="50"/>
      <c r="AH277" s="39">
        <v>1200</v>
      </c>
      <c r="AI277" s="39">
        <v>0</v>
      </c>
      <c r="AJ277" s="39">
        <v>0</v>
      </c>
      <c r="AK277" s="39">
        <v>0</v>
      </c>
      <c r="AL277" s="39">
        <v>0</v>
      </c>
      <c r="AM277" s="42">
        <v>0</v>
      </c>
      <c r="AN277" s="42">
        <v>0</v>
      </c>
      <c r="AO277" s="42" t="s">
        <v>416</v>
      </c>
      <c r="AP277" s="42">
        <v>31</v>
      </c>
      <c r="AQ277" s="42">
        <v>0</v>
      </c>
    </row>
    <row r="278" spans="1:43" x14ac:dyDescent="0.15">
      <c r="A278" s="37" t="s">
        <v>43</v>
      </c>
      <c r="B278" s="37" t="s">
        <v>673</v>
      </c>
      <c r="C278" s="37">
        <v>0</v>
      </c>
      <c r="D278" s="37" t="s">
        <v>681</v>
      </c>
      <c r="E278" s="37" t="s">
        <v>415</v>
      </c>
      <c r="F278" s="37" t="s">
        <v>6</v>
      </c>
      <c r="G278" s="37">
        <v>0</v>
      </c>
      <c r="H278" s="37">
        <v>31</v>
      </c>
      <c r="I278" s="41">
        <v>4</v>
      </c>
      <c r="J278" s="45">
        <v>0</v>
      </c>
      <c r="K278" s="45"/>
      <c r="L278" s="45"/>
      <c r="M278" s="45"/>
      <c r="N278" s="45"/>
      <c r="P278" s="39">
        <v>31</v>
      </c>
      <c r="Q278" s="39">
        <v>31</v>
      </c>
      <c r="R278" s="39">
        <v>4</v>
      </c>
      <c r="S278" s="39">
        <v>31</v>
      </c>
      <c r="T278" s="39">
        <v>0</v>
      </c>
      <c r="U278" s="39">
        <v>0</v>
      </c>
      <c r="V278" s="39">
        <v>0</v>
      </c>
      <c r="W278" s="49">
        <v>0</v>
      </c>
      <c r="X278" s="49"/>
      <c r="Y278" s="49"/>
      <c r="Z278" s="49"/>
      <c r="AA278" s="50"/>
      <c r="AB278" s="50"/>
      <c r="AC278" s="50"/>
      <c r="AD278" s="50"/>
      <c r="AE278" s="50"/>
      <c r="AH278" s="39">
        <v>1300</v>
      </c>
      <c r="AI278" s="39">
        <v>0</v>
      </c>
      <c r="AJ278" s="39">
        <v>0</v>
      </c>
      <c r="AK278" s="39">
        <v>0</v>
      </c>
      <c r="AL278" s="39">
        <v>0</v>
      </c>
      <c r="AM278" s="42">
        <v>0</v>
      </c>
      <c r="AN278" s="42">
        <v>0</v>
      </c>
      <c r="AO278" s="42" t="s">
        <v>416</v>
      </c>
      <c r="AP278" s="42">
        <v>31</v>
      </c>
      <c r="AQ278" s="42">
        <v>0</v>
      </c>
    </row>
    <row r="279" spans="1:43" x14ac:dyDescent="0.15">
      <c r="A279" s="37" t="s">
        <v>57</v>
      </c>
      <c r="B279" s="37" t="s">
        <v>673</v>
      </c>
      <c r="C279" s="37">
        <v>0</v>
      </c>
      <c r="D279" s="37" t="s">
        <v>682</v>
      </c>
      <c r="E279" s="37" t="s">
        <v>415</v>
      </c>
      <c r="F279" s="37" t="s">
        <v>6</v>
      </c>
      <c r="G279" s="37">
        <v>0</v>
      </c>
      <c r="H279" s="37">
        <v>31</v>
      </c>
      <c r="I279" s="41">
        <v>4</v>
      </c>
      <c r="J279" s="45">
        <v>0</v>
      </c>
      <c r="K279" s="45"/>
      <c r="L279" s="45"/>
      <c r="M279" s="45"/>
      <c r="N279" s="45"/>
      <c r="P279" s="39">
        <v>31</v>
      </c>
      <c r="Q279" s="39">
        <v>31</v>
      </c>
      <c r="R279" s="39">
        <v>4</v>
      </c>
      <c r="S279" s="39">
        <v>31</v>
      </c>
      <c r="T279" s="39">
        <v>0</v>
      </c>
      <c r="U279" s="39">
        <v>0</v>
      </c>
      <c r="V279" s="39">
        <v>0</v>
      </c>
      <c r="W279" s="49">
        <v>0</v>
      </c>
      <c r="X279" s="49"/>
      <c r="Y279" s="49"/>
      <c r="Z279" s="49"/>
      <c r="AA279" s="50"/>
      <c r="AB279" s="50"/>
      <c r="AC279" s="50"/>
      <c r="AD279" s="50"/>
      <c r="AE279" s="50"/>
      <c r="AH279" s="39">
        <v>1000</v>
      </c>
      <c r="AI279" s="39">
        <v>0</v>
      </c>
      <c r="AJ279" s="39">
        <v>0</v>
      </c>
      <c r="AK279" s="39">
        <v>0</v>
      </c>
      <c r="AL279" s="39">
        <v>0</v>
      </c>
      <c r="AM279" s="42">
        <v>0</v>
      </c>
      <c r="AN279" s="42">
        <v>0</v>
      </c>
      <c r="AO279" s="42" t="s">
        <v>416</v>
      </c>
      <c r="AP279" s="42">
        <v>31</v>
      </c>
      <c r="AQ279" s="42">
        <v>0</v>
      </c>
    </row>
    <row r="280" spans="1:43" x14ac:dyDescent="0.15">
      <c r="A280" s="37" t="s">
        <v>36</v>
      </c>
      <c r="B280" s="37" t="s">
        <v>673</v>
      </c>
      <c r="C280" s="37">
        <v>0</v>
      </c>
      <c r="D280" s="37" t="s">
        <v>683</v>
      </c>
      <c r="E280" s="37" t="s">
        <v>415</v>
      </c>
      <c r="F280" s="37" t="s">
        <v>6</v>
      </c>
      <c r="G280" s="37">
        <v>0</v>
      </c>
      <c r="H280" s="37">
        <v>31</v>
      </c>
      <c r="I280" s="41">
        <v>4</v>
      </c>
      <c r="J280" s="45">
        <v>0</v>
      </c>
      <c r="K280" s="45"/>
      <c r="L280" s="45"/>
      <c r="M280" s="45"/>
      <c r="N280" s="45"/>
      <c r="P280" s="39">
        <v>31</v>
      </c>
      <c r="Q280" s="39">
        <v>31</v>
      </c>
      <c r="R280" s="39">
        <v>4</v>
      </c>
      <c r="S280" s="39">
        <v>31</v>
      </c>
      <c r="T280" s="39">
        <v>0</v>
      </c>
      <c r="U280" s="39">
        <v>0</v>
      </c>
      <c r="V280" s="39">
        <v>0</v>
      </c>
      <c r="W280" s="49">
        <v>0</v>
      </c>
      <c r="X280" s="49"/>
      <c r="Y280" s="49"/>
      <c r="Z280" s="49"/>
      <c r="AA280" s="50"/>
      <c r="AB280" s="50"/>
      <c r="AC280" s="50"/>
      <c r="AD280" s="50"/>
      <c r="AE280" s="50"/>
      <c r="AH280" s="39">
        <v>320</v>
      </c>
      <c r="AI280" s="39">
        <v>0</v>
      </c>
      <c r="AJ280" s="39">
        <v>0</v>
      </c>
      <c r="AK280" s="39">
        <v>0</v>
      </c>
      <c r="AL280" s="39">
        <v>0</v>
      </c>
      <c r="AM280" s="42">
        <v>0</v>
      </c>
      <c r="AN280" s="42">
        <v>0</v>
      </c>
      <c r="AO280" s="42" t="s">
        <v>416</v>
      </c>
      <c r="AP280" s="42">
        <v>31</v>
      </c>
      <c r="AQ280" s="42">
        <v>0</v>
      </c>
    </row>
    <row r="281" spans="1:43" x14ac:dyDescent="0.15">
      <c r="A281" s="37" t="s">
        <v>33</v>
      </c>
      <c r="B281" s="37" t="s">
        <v>673</v>
      </c>
      <c r="C281" s="37">
        <v>0</v>
      </c>
      <c r="D281" s="37" t="s">
        <v>684</v>
      </c>
      <c r="E281" s="37" t="s">
        <v>415</v>
      </c>
      <c r="F281" s="37" t="s">
        <v>6</v>
      </c>
      <c r="G281" s="37">
        <v>0</v>
      </c>
      <c r="H281" s="37">
        <v>31</v>
      </c>
      <c r="I281" s="41">
        <v>4</v>
      </c>
      <c r="J281" s="45">
        <v>0</v>
      </c>
      <c r="K281" s="45"/>
      <c r="L281" s="45"/>
      <c r="M281" s="45"/>
      <c r="N281" s="45"/>
      <c r="P281" s="39">
        <v>31</v>
      </c>
      <c r="Q281" s="39">
        <v>31</v>
      </c>
      <c r="R281" s="39">
        <v>4</v>
      </c>
      <c r="S281" s="39">
        <v>31</v>
      </c>
      <c r="T281" s="39">
        <v>0</v>
      </c>
      <c r="U281" s="39">
        <v>0</v>
      </c>
      <c r="V281" s="39">
        <v>0</v>
      </c>
      <c r="W281" s="49">
        <v>0</v>
      </c>
      <c r="X281" s="49"/>
      <c r="Y281" s="49"/>
      <c r="Z281" s="49"/>
      <c r="AA281" s="50"/>
      <c r="AB281" s="50"/>
      <c r="AC281" s="50"/>
      <c r="AD281" s="50"/>
      <c r="AE281" s="50"/>
      <c r="AH281" s="39">
        <v>2903.22580645161</v>
      </c>
      <c r="AI281" s="39">
        <v>0</v>
      </c>
      <c r="AJ281" s="39">
        <v>0</v>
      </c>
      <c r="AK281" s="39">
        <v>0</v>
      </c>
      <c r="AL281" s="39">
        <v>0</v>
      </c>
      <c r="AM281" s="42">
        <v>0</v>
      </c>
      <c r="AN281" s="42">
        <v>0</v>
      </c>
      <c r="AO281" s="42" t="s">
        <v>416</v>
      </c>
      <c r="AP281" s="42">
        <v>31</v>
      </c>
      <c r="AQ281" s="42">
        <v>0</v>
      </c>
    </row>
    <row r="282" spans="1:43" x14ac:dyDescent="0.15">
      <c r="A282" s="37" t="s">
        <v>26</v>
      </c>
      <c r="B282" s="37" t="s">
        <v>673</v>
      </c>
      <c r="C282" s="37">
        <v>0</v>
      </c>
      <c r="D282" s="37" t="s">
        <v>685</v>
      </c>
      <c r="E282" s="37" t="s">
        <v>415</v>
      </c>
      <c r="F282" s="37" t="s">
        <v>6</v>
      </c>
      <c r="G282" s="37">
        <v>0</v>
      </c>
      <c r="H282" s="37">
        <v>31</v>
      </c>
      <c r="I282" s="41">
        <v>4</v>
      </c>
      <c r="J282" s="45">
        <v>0</v>
      </c>
      <c r="K282" s="45"/>
      <c r="L282" s="45"/>
      <c r="M282" s="45"/>
      <c r="N282" s="45"/>
      <c r="P282" s="39">
        <v>31</v>
      </c>
      <c r="Q282" s="39">
        <v>31</v>
      </c>
      <c r="R282" s="39">
        <v>4</v>
      </c>
      <c r="S282" s="39">
        <v>31</v>
      </c>
      <c r="T282" s="39">
        <v>0</v>
      </c>
      <c r="U282" s="39">
        <v>0</v>
      </c>
      <c r="V282" s="39">
        <v>0</v>
      </c>
      <c r="W282" s="49">
        <v>0</v>
      </c>
      <c r="X282" s="49"/>
      <c r="Y282" s="49"/>
      <c r="Z282" s="49"/>
      <c r="AA282" s="50"/>
      <c r="AB282" s="50"/>
      <c r="AC282" s="50"/>
      <c r="AD282" s="50"/>
      <c r="AE282" s="50"/>
      <c r="AH282" s="39">
        <v>1200</v>
      </c>
      <c r="AI282" s="39">
        <v>0</v>
      </c>
      <c r="AJ282" s="39">
        <v>0</v>
      </c>
      <c r="AK282" s="39">
        <v>0</v>
      </c>
      <c r="AL282" s="39">
        <v>0</v>
      </c>
      <c r="AM282" s="42">
        <v>0</v>
      </c>
      <c r="AN282" s="42">
        <v>0</v>
      </c>
      <c r="AO282" s="42" t="s">
        <v>416</v>
      </c>
      <c r="AP282" s="42">
        <v>31</v>
      </c>
      <c r="AQ282" s="42">
        <v>0</v>
      </c>
    </row>
    <row r="283" spans="1:43" x14ac:dyDescent="0.15">
      <c r="A283" s="37" t="s">
        <v>51</v>
      </c>
      <c r="B283" s="37" t="s">
        <v>673</v>
      </c>
      <c r="C283" s="37">
        <v>0</v>
      </c>
      <c r="D283" s="37" t="s">
        <v>686</v>
      </c>
      <c r="E283" s="37" t="s">
        <v>415</v>
      </c>
      <c r="F283" s="37" t="s">
        <v>6</v>
      </c>
      <c r="G283" s="37">
        <v>0</v>
      </c>
      <c r="H283" s="37">
        <v>31</v>
      </c>
      <c r="I283" s="41">
        <v>4</v>
      </c>
      <c r="J283" s="45">
        <v>0</v>
      </c>
      <c r="K283" s="45"/>
      <c r="L283" s="45"/>
      <c r="M283" s="45"/>
      <c r="N283" s="45"/>
      <c r="P283" s="39">
        <v>31</v>
      </c>
      <c r="Q283" s="39">
        <v>31</v>
      </c>
      <c r="R283" s="39">
        <v>4</v>
      </c>
      <c r="S283" s="39">
        <v>31</v>
      </c>
      <c r="T283" s="39">
        <v>0</v>
      </c>
      <c r="U283" s="39">
        <v>0</v>
      </c>
      <c r="V283" s="39">
        <v>0</v>
      </c>
      <c r="W283" s="49">
        <v>0</v>
      </c>
      <c r="X283" s="49"/>
      <c r="Y283" s="49"/>
      <c r="Z283" s="49"/>
      <c r="AA283" s="50"/>
      <c r="AB283" s="50"/>
      <c r="AC283" s="50"/>
      <c r="AD283" s="50"/>
      <c r="AE283" s="50"/>
      <c r="AH283" s="39">
        <v>1300</v>
      </c>
      <c r="AI283" s="39">
        <v>0</v>
      </c>
      <c r="AJ283" s="39">
        <v>0</v>
      </c>
      <c r="AK283" s="39">
        <v>0</v>
      </c>
      <c r="AL283" s="39">
        <v>0</v>
      </c>
      <c r="AM283" s="42">
        <v>0</v>
      </c>
      <c r="AN283" s="42">
        <v>0</v>
      </c>
      <c r="AO283" s="42" t="s">
        <v>416</v>
      </c>
      <c r="AP283" s="42">
        <v>31</v>
      </c>
      <c r="AQ283" s="42">
        <v>0</v>
      </c>
    </row>
    <row r="284" spans="1:43" x14ac:dyDescent="0.15">
      <c r="A284" s="37" t="s">
        <v>56</v>
      </c>
      <c r="B284" s="37" t="s">
        <v>673</v>
      </c>
      <c r="C284" s="37">
        <v>0</v>
      </c>
      <c r="D284" s="37" t="s">
        <v>687</v>
      </c>
      <c r="E284" s="37" t="s">
        <v>415</v>
      </c>
      <c r="F284" s="37" t="s">
        <v>6</v>
      </c>
      <c r="G284" s="37">
        <v>0</v>
      </c>
      <c r="H284" s="37">
        <v>31</v>
      </c>
      <c r="I284" s="41">
        <v>4</v>
      </c>
      <c r="J284" s="45">
        <v>0</v>
      </c>
      <c r="K284" s="45"/>
      <c r="L284" s="45"/>
      <c r="M284" s="45"/>
      <c r="N284" s="45"/>
      <c r="P284" s="39">
        <v>31</v>
      </c>
      <c r="Q284" s="39">
        <v>31</v>
      </c>
      <c r="R284" s="39">
        <v>4</v>
      </c>
      <c r="S284" s="39">
        <v>31</v>
      </c>
      <c r="T284" s="39">
        <v>0</v>
      </c>
      <c r="U284" s="39">
        <v>0</v>
      </c>
      <c r="V284" s="39">
        <v>0</v>
      </c>
      <c r="W284" s="49">
        <v>0</v>
      </c>
      <c r="X284" s="49"/>
      <c r="Y284" s="49"/>
      <c r="Z284" s="49"/>
      <c r="AA284" s="50"/>
      <c r="AB284" s="50"/>
      <c r="AC284" s="50"/>
      <c r="AD284" s="50"/>
      <c r="AE284" s="50"/>
      <c r="AH284" s="39">
        <v>1200</v>
      </c>
      <c r="AI284" s="39">
        <v>0</v>
      </c>
      <c r="AJ284" s="39">
        <v>0</v>
      </c>
      <c r="AK284" s="39">
        <v>0</v>
      </c>
      <c r="AL284" s="39">
        <v>0</v>
      </c>
      <c r="AM284" s="42">
        <v>0</v>
      </c>
      <c r="AN284" s="42">
        <v>0</v>
      </c>
      <c r="AO284" s="42" t="s">
        <v>416</v>
      </c>
      <c r="AP284" s="42">
        <v>31</v>
      </c>
      <c r="AQ284" s="42">
        <v>0</v>
      </c>
    </row>
    <row r="285" spans="1:43" x14ac:dyDescent="0.15">
      <c r="A285" s="37" t="s">
        <v>38</v>
      </c>
      <c r="B285" s="37" t="s">
        <v>673</v>
      </c>
      <c r="C285" s="37">
        <v>0</v>
      </c>
      <c r="D285" s="37" t="s">
        <v>688</v>
      </c>
      <c r="E285" s="37" t="s">
        <v>415</v>
      </c>
      <c r="F285" s="37" t="s">
        <v>6</v>
      </c>
      <c r="G285" s="37">
        <v>0</v>
      </c>
      <c r="H285" s="37">
        <v>31</v>
      </c>
      <c r="I285" s="41">
        <v>4</v>
      </c>
      <c r="J285" s="45">
        <v>0</v>
      </c>
      <c r="K285" s="45"/>
      <c r="L285" s="45"/>
      <c r="M285" s="45"/>
      <c r="N285" s="45"/>
      <c r="P285" s="39">
        <v>31</v>
      </c>
      <c r="Q285" s="39">
        <v>31</v>
      </c>
      <c r="R285" s="39">
        <v>4</v>
      </c>
      <c r="S285" s="39">
        <v>31</v>
      </c>
      <c r="T285" s="39">
        <v>0</v>
      </c>
      <c r="U285" s="39">
        <v>0</v>
      </c>
      <c r="V285" s="39">
        <v>0</v>
      </c>
      <c r="W285" s="49">
        <v>0</v>
      </c>
      <c r="X285" s="49"/>
      <c r="Y285" s="49"/>
      <c r="Z285" s="49"/>
      <c r="AA285" s="50"/>
      <c r="AB285" s="50"/>
      <c r="AC285" s="50"/>
      <c r="AD285" s="50"/>
      <c r="AE285" s="50"/>
      <c r="AH285" s="39">
        <v>1200</v>
      </c>
      <c r="AI285" s="39">
        <v>0</v>
      </c>
      <c r="AJ285" s="39">
        <v>0</v>
      </c>
      <c r="AK285" s="39">
        <v>0</v>
      </c>
      <c r="AL285" s="39">
        <v>0</v>
      </c>
      <c r="AM285" s="42">
        <v>0</v>
      </c>
      <c r="AN285" s="42">
        <v>0</v>
      </c>
      <c r="AO285" s="42" t="s">
        <v>416</v>
      </c>
      <c r="AP285" s="42">
        <v>31</v>
      </c>
      <c r="AQ285" s="42">
        <v>0</v>
      </c>
    </row>
    <row r="286" spans="1:43" x14ac:dyDescent="0.15">
      <c r="A286" s="37" t="s">
        <v>47</v>
      </c>
      <c r="B286" s="37" t="s">
        <v>673</v>
      </c>
      <c r="C286" s="37">
        <v>0</v>
      </c>
      <c r="D286" s="37" t="s">
        <v>689</v>
      </c>
      <c r="E286" s="37" t="s">
        <v>415</v>
      </c>
      <c r="F286" s="37" t="s">
        <v>6</v>
      </c>
      <c r="G286" s="37">
        <v>0</v>
      </c>
      <c r="H286" s="37">
        <v>31</v>
      </c>
      <c r="I286" s="41">
        <v>4</v>
      </c>
      <c r="J286" s="45">
        <v>0</v>
      </c>
      <c r="K286" s="45"/>
      <c r="L286" s="45"/>
      <c r="M286" s="45"/>
      <c r="N286" s="45"/>
      <c r="P286" s="39">
        <v>31</v>
      </c>
      <c r="Q286" s="39">
        <v>31</v>
      </c>
      <c r="R286" s="39">
        <v>4</v>
      </c>
      <c r="S286" s="39">
        <v>31</v>
      </c>
      <c r="T286" s="39">
        <v>0</v>
      </c>
      <c r="U286" s="39">
        <v>0</v>
      </c>
      <c r="V286" s="39">
        <v>0</v>
      </c>
      <c r="W286" s="49">
        <v>0</v>
      </c>
      <c r="X286" s="49"/>
      <c r="Y286" s="49"/>
      <c r="Z286" s="49"/>
      <c r="AA286" s="50"/>
      <c r="AB286" s="50"/>
      <c r="AC286" s="50"/>
      <c r="AD286" s="50"/>
      <c r="AE286" s="50"/>
      <c r="AH286" s="39">
        <v>1400</v>
      </c>
      <c r="AI286" s="39">
        <v>0</v>
      </c>
      <c r="AJ286" s="39">
        <v>0</v>
      </c>
      <c r="AK286" s="39">
        <v>0</v>
      </c>
      <c r="AL286" s="39">
        <v>0</v>
      </c>
      <c r="AM286" s="42">
        <v>0</v>
      </c>
      <c r="AN286" s="42">
        <v>0</v>
      </c>
      <c r="AO286" s="42" t="s">
        <v>416</v>
      </c>
      <c r="AP286" s="42">
        <v>31</v>
      </c>
      <c r="AQ286" s="42">
        <v>0</v>
      </c>
    </row>
    <row r="287" spans="1:43" x14ac:dyDescent="0.15">
      <c r="A287" s="37" t="s">
        <v>52</v>
      </c>
      <c r="B287" s="37" t="s">
        <v>673</v>
      </c>
      <c r="C287" s="37">
        <v>0</v>
      </c>
      <c r="D287" s="37" t="s">
        <v>690</v>
      </c>
      <c r="E287" s="37" t="s">
        <v>415</v>
      </c>
      <c r="F287" s="37" t="s">
        <v>6</v>
      </c>
      <c r="G287" s="37">
        <v>0</v>
      </c>
      <c r="H287" s="37">
        <v>31</v>
      </c>
      <c r="I287" s="41">
        <v>4</v>
      </c>
      <c r="J287" s="45">
        <v>0</v>
      </c>
      <c r="K287" s="45"/>
      <c r="L287" s="45"/>
      <c r="M287" s="45"/>
      <c r="N287" s="45"/>
      <c r="P287" s="39">
        <v>31</v>
      </c>
      <c r="Q287" s="39">
        <v>31</v>
      </c>
      <c r="R287" s="39">
        <v>4</v>
      </c>
      <c r="S287" s="39">
        <v>31</v>
      </c>
      <c r="T287" s="39">
        <v>0</v>
      </c>
      <c r="U287" s="39">
        <v>0</v>
      </c>
      <c r="V287" s="39">
        <v>0</v>
      </c>
      <c r="W287" s="49">
        <v>0</v>
      </c>
      <c r="X287" s="49"/>
      <c r="Y287" s="49"/>
      <c r="Z287" s="49"/>
      <c r="AA287" s="50"/>
      <c r="AB287" s="50"/>
      <c r="AC287" s="50"/>
      <c r="AD287" s="50"/>
      <c r="AE287" s="50"/>
      <c r="AH287" s="39">
        <v>1500</v>
      </c>
      <c r="AI287" s="39">
        <v>0</v>
      </c>
      <c r="AJ287" s="39">
        <v>0</v>
      </c>
      <c r="AK287" s="39">
        <v>0</v>
      </c>
      <c r="AL287" s="39">
        <v>0</v>
      </c>
      <c r="AM287" s="42">
        <v>0</v>
      </c>
      <c r="AN287" s="42">
        <v>0</v>
      </c>
      <c r="AO287" s="42" t="s">
        <v>416</v>
      </c>
      <c r="AP287" s="42">
        <v>31</v>
      </c>
      <c r="AQ287" s="42">
        <v>0</v>
      </c>
    </row>
    <row r="288" spans="1:43" x14ac:dyDescent="0.15">
      <c r="A288" s="37" t="s">
        <v>55</v>
      </c>
      <c r="B288" s="37" t="s">
        <v>673</v>
      </c>
      <c r="C288" s="37">
        <v>0</v>
      </c>
      <c r="D288" s="37" t="s">
        <v>691</v>
      </c>
      <c r="E288" s="37" t="s">
        <v>415</v>
      </c>
      <c r="F288" s="37" t="s">
        <v>6</v>
      </c>
      <c r="G288" s="37">
        <v>0</v>
      </c>
      <c r="H288" s="37">
        <v>31</v>
      </c>
      <c r="I288" s="41">
        <v>4</v>
      </c>
      <c r="J288" s="45">
        <v>0</v>
      </c>
      <c r="K288" s="45"/>
      <c r="L288" s="45"/>
      <c r="M288" s="45"/>
      <c r="N288" s="45"/>
      <c r="P288" s="39">
        <v>31</v>
      </c>
      <c r="Q288" s="39">
        <v>31</v>
      </c>
      <c r="R288" s="39">
        <v>4</v>
      </c>
      <c r="S288" s="39">
        <v>31</v>
      </c>
      <c r="T288" s="39">
        <v>0</v>
      </c>
      <c r="U288" s="39">
        <v>0</v>
      </c>
      <c r="V288" s="39">
        <v>0</v>
      </c>
      <c r="W288" s="49">
        <v>0</v>
      </c>
      <c r="X288" s="49"/>
      <c r="Y288" s="49"/>
      <c r="Z288" s="49"/>
      <c r="AA288" s="50"/>
      <c r="AB288" s="50"/>
      <c r="AC288" s="50"/>
      <c r="AD288" s="50"/>
      <c r="AE288" s="50"/>
      <c r="AH288" s="39">
        <v>1400</v>
      </c>
      <c r="AI288" s="39">
        <v>0</v>
      </c>
      <c r="AJ288" s="39">
        <v>0</v>
      </c>
      <c r="AK288" s="39">
        <v>0</v>
      </c>
      <c r="AL288" s="39">
        <v>0</v>
      </c>
      <c r="AM288" s="42">
        <v>0</v>
      </c>
      <c r="AN288" s="42">
        <v>0</v>
      </c>
      <c r="AO288" s="42" t="s">
        <v>416</v>
      </c>
      <c r="AP288" s="42">
        <v>31</v>
      </c>
      <c r="AQ288" s="42">
        <v>0</v>
      </c>
    </row>
    <row r="289" spans="1:43" x14ac:dyDescent="0.15">
      <c r="A289" s="37" t="s">
        <v>23</v>
      </c>
      <c r="B289" s="37" t="s">
        <v>673</v>
      </c>
      <c r="C289" s="37">
        <v>0</v>
      </c>
      <c r="D289" s="37" t="s">
        <v>692</v>
      </c>
      <c r="E289" s="37" t="s">
        <v>415</v>
      </c>
      <c r="F289" s="37" t="s">
        <v>6</v>
      </c>
      <c r="G289" s="37">
        <v>0</v>
      </c>
      <c r="H289" s="37">
        <v>31</v>
      </c>
      <c r="I289" s="41">
        <v>4</v>
      </c>
      <c r="J289" s="45">
        <v>0</v>
      </c>
      <c r="K289" s="45"/>
      <c r="L289" s="45"/>
      <c r="M289" s="45"/>
      <c r="N289" s="45"/>
      <c r="P289" s="39">
        <v>31</v>
      </c>
      <c r="Q289" s="39">
        <v>31</v>
      </c>
      <c r="R289" s="39">
        <v>4</v>
      </c>
      <c r="S289" s="39">
        <v>31</v>
      </c>
      <c r="T289" s="39">
        <v>0</v>
      </c>
      <c r="U289" s="39">
        <v>0</v>
      </c>
      <c r="V289" s="39">
        <v>0</v>
      </c>
      <c r="W289" s="49">
        <v>0</v>
      </c>
      <c r="X289" s="49"/>
      <c r="Y289" s="49"/>
      <c r="Z289" s="49"/>
      <c r="AA289" s="50"/>
      <c r="AB289" s="50"/>
      <c r="AC289" s="50"/>
      <c r="AD289" s="50"/>
      <c r="AE289" s="50"/>
      <c r="AH289" s="39">
        <v>1300</v>
      </c>
      <c r="AI289" s="39">
        <v>0</v>
      </c>
      <c r="AJ289" s="39">
        <v>0</v>
      </c>
      <c r="AK289" s="39">
        <v>0</v>
      </c>
      <c r="AL289" s="39">
        <v>0</v>
      </c>
      <c r="AM289" s="42">
        <v>0</v>
      </c>
      <c r="AN289" s="42">
        <v>0</v>
      </c>
      <c r="AO289" s="42" t="s">
        <v>416</v>
      </c>
      <c r="AP289" s="42">
        <v>31</v>
      </c>
      <c r="AQ289" s="42">
        <v>0</v>
      </c>
    </row>
    <row r="290" spans="1:43" x14ac:dyDescent="0.15">
      <c r="A290" s="37" t="s">
        <v>39</v>
      </c>
      <c r="B290" s="37" t="s">
        <v>673</v>
      </c>
      <c r="C290" s="37">
        <v>0</v>
      </c>
      <c r="D290" s="37" t="s">
        <v>693</v>
      </c>
      <c r="E290" s="37" t="s">
        <v>415</v>
      </c>
      <c r="F290" s="37" t="s">
        <v>6</v>
      </c>
      <c r="G290" s="37">
        <v>0</v>
      </c>
      <c r="H290" s="37">
        <v>31</v>
      </c>
      <c r="I290" s="41">
        <v>4</v>
      </c>
      <c r="J290" s="45">
        <v>0</v>
      </c>
      <c r="K290" s="45"/>
      <c r="L290" s="45"/>
      <c r="M290" s="45"/>
      <c r="N290" s="45"/>
      <c r="P290" s="39">
        <v>31</v>
      </c>
      <c r="Q290" s="39">
        <v>31</v>
      </c>
      <c r="R290" s="39">
        <v>4</v>
      </c>
      <c r="S290" s="39">
        <v>31</v>
      </c>
      <c r="T290" s="39">
        <v>0</v>
      </c>
      <c r="U290" s="39">
        <v>0</v>
      </c>
      <c r="V290" s="39">
        <v>0</v>
      </c>
      <c r="W290" s="49">
        <v>0</v>
      </c>
      <c r="X290" s="49"/>
      <c r="Y290" s="49"/>
      <c r="Z290" s="49"/>
      <c r="AA290" s="50"/>
      <c r="AB290" s="50"/>
      <c r="AC290" s="50"/>
      <c r="AD290" s="50"/>
      <c r="AE290" s="50"/>
      <c r="AH290" s="39">
        <v>1200</v>
      </c>
      <c r="AI290" s="39">
        <v>0</v>
      </c>
      <c r="AJ290" s="39">
        <v>0</v>
      </c>
      <c r="AK290" s="39">
        <v>0</v>
      </c>
      <c r="AL290" s="39">
        <v>0</v>
      </c>
      <c r="AM290" s="42">
        <v>0</v>
      </c>
      <c r="AN290" s="42">
        <v>0</v>
      </c>
      <c r="AO290" s="42" t="s">
        <v>416</v>
      </c>
      <c r="AP290" s="42">
        <v>31</v>
      </c>
      <c r="AQ290" s="42">
        <v>0</v>
      </c>
    </row>
    <row r="291" spans="1:43" x14ac:dyDescent="0.15">
      <c r="A291" s="37" t="s">
        <v>30</v>
      </c>
      <c r="B291" s="37" t="s">
        <v>673</v>
      </c>
      <c r="C291" s="37">
        <v>0</v>
      </c>
      <c r="D291" s="37" t="s">
        <v>694</v>
      </c>
      <c r="E291" s="37" t="s">
        <v>415</v>
      </c>
      <c r="F291" s="37" t="s">
        <v>6</v>
      </c>
      <c r="G291" s="37">
        <v>0</v>
      </c>
      <c r="H291" s="37">
        <v>31</v>
      </c>
      <c r="I291" s="41">
        <v>4</v>
      </c>
      <c r="J291" s="45">
        <v>0</v>
      </c>
      <c r="K291" s="45"/>
      <c r="L291" s="45"/>
      <c r="M291" s="45"/>
      <c r="N291" s="45"/>
      <c r="P291" s="39">
        <v>31</v>
      </c>
      <c r="Q291" s="39">
        <v>31</v>
      </c>
      <c r="R291" s="39">
        <v>4</v>
      </c>
      <c r="S291" s="39">
        <v>31</v>
      </c>
      <c r="T291" s="39">
        <v>0</v>
      </c>
      <c r="U291" s="39">
        <v>0</v>
      </c>
      <c r="V291" s="39">
        <v>0</v>
      </c>
      <c r="W291" s="49">
        <v>0</v>
      </c>
      <c r="X291" s="49"/>
      <c r="Y291" s="49"/>
      <c r="Z291" s="49"/>
      <c r="AA291" s="50"/>
      <c r="AB291" s="50"/>
      <c r="AC291" s="50"/>
      <c r="AD291" s="50"/>
      <c r="AE291" s="50"/>
      <c r="AH291" s="39">
        <v>1100</v>
      </c>
      <c r="AI291" s="39">
        <v>0</v>
      </c>
      <c r="AJ291" s="39">
        <v>0</v>
      </c>
      <c r="AK291" s="39">
        <v>0</v>
      </c>
      <c r="AL291" s="39">
        <v>0</v>
      </c>
      <c r="AM291" s="42">
        <v>0</v>
      </c>
      <c r="AN291" s="42">
        <v>0</v>
      </c>
      <c r="AO291" s="42" t="s">
        <v>416</v>
      </c>
      <c r="AP291" s="42">
        <v>31</v>
      </c>
      <c r="AQ291" s="42">
        <v>0</v>
      </c>
    </row>
    <row r="292" spans="1:43" x14ac:dyDescent="0.15">
      <c r="A292" s="37" t="s">
        <v>32</v>
      </c>
      <c r="B292" s="37" t="s">
        <v>673</v>
      </c>
      <c r="C292" s="37">
        <v>0</v>
      </c>
      <c r="D292" s="37" t="s">
        <v>695</v>
      </c>
      <c r="E292" s="37" t="s">
        <v>415</v>
      </c>
      <c r="F292" s="37" t="s">
        <v>6</v>
      </c>
      <c r="G292" s="37">
        <v>0</v>
      </c>
      <c r="H292" s="37">
        <v>31</v>
      </c>
      <c r="I292" s="41">
        <v>4</v>
      </c>
      <c r="J292" s="45">
        <v>0</v>
      </c>
      <c r="K292" s="45"/>
      <c r="L292" s="45"/>
      <c r="M292" s="45"/>
      <c r="N292" s="45"/>
      <c r="P292" s="39">
        <v>31</v>
      </c>
      <c r="Q292" s="39">
        <v>31</v>
      </c>
      <c r="R292" s="39">
        <v>4</v>
      </c>
      <c r="S292" s="39">
        <v>31</v>
      </c>
      <c r="T292" s="39">
        <v>0</v>
      </c>
      <c r="U292" s="39">
        <v>0</v>
      </c>
      <c r="V292" s="39">
        <v>0</v>
      </c>
      <c r="W292" s="49">
        <v>0</v>
      </c>
      <c r="X292" s="49"/>
      <c r="Y292" s="49"/>
      <c r="Z292" s="49"/>
      <c r="AA292" s="50"/>
      <c r="AB292" s="50"/>
      <c r="AC292" s="50"/>
      <c r="AD292" s="50"/>
      <c r="AE292" s="50"/>
      <c r="AH292" s="39">
        <v>1400</v>
      </c>
      <c r="AI292" s="39">
        <v>0</v>
      </c>
      <c r="AJ292" s="39">
        <v>0</v>
      </c>
      <c r="AK292" s="39">
        <v>0</v>
      </c>
      <c r="AL292" s="39">
        <v>0</v>
      </c>
      <c r="AM292" s="42">
        <v>0</v>
      </c>
      <c r="AN292" s="42">
        <v>0</v>
      </c>
      <c r="AO292" s="42" t="s">
        <v>416</v>
      </c>
      <c r="AP292" s="42">
        <v>31</v>
      </c>
      <c r="AQ292" s="42">
        <v>0</v>
      </c>
    </row>
    <row r="293" spans="1:43" x14ac:dyDescent="0.15">
      <c r="A293" s="37" t="s">
        <v>45</v>
      </c>
      <c r="B293" s="37" t="s">
        <v>673</v>
      </c>
      <c r="C293" s="37">
        <v>0</v>
      </c>
      <c r="D293" s="37" t="s">
        <v>696</v>
      </c>
      <c r="E293" s="37" t="s">
        <v>415</v>
      </c>
      <c r="F293" s="37" t="s">
        <v>6</v>
      </c>
      <c r="G293" s="37">
        <v>0</v>
      </c>
      <c r="H293" s="37">
        <v>31</v>
      </c>
      <c r="I293" s="41">
        <v>4</v>
      </c>
      <c r="J293" s="45">
        <v>0</v>
      </c>
      <c r="K293" s="45"/>
      <c r="L293" s="45"/>
      <c r="M293" s="45"/>
      <c r="N293" s="45"/>
      <c r="P293" s="39">
        <v>31</v>
      </c>
      <c r="Q293" s="39">
        <v>31</v>
      </c>
      <c r="R293" s="39">
        <v>4</v>
      </c>
      <c r="S293" s="39">
        <v>31</v>
      </c>
      <c r="T293" s="39">
        <v>0</v>
      </c>
      <c r="U293" s="39">
        <v>0</v>
      </c>
      <c r="V293" s="39">
        <v>0</v>
      </c>
      <c r="W293" s="49">
        <v>0</v>
      </c>
      <c r="X293" s="49"/>
      <c r="Y293" s="49"/>
      <c r="Z293" s="49"/>
      <c r="AA293" s="50"/>
      <c r="AB293" s="50"/>
      <c r="AC293" s="50"/>
      <c r="AD293" s="50"/>
      <c r="AE293" s="50"/>
      <c r="AH293" s="39">
        <v>1445.16129032258</v>
      </c>
      <c r="AI293" s="39">
        <v>0</v>
      </c>
      <c r="AJ293" s="39">
        <v>0</v>
      </c>
      <c r="AK293" s="39">
        <v>0</v>
      </c>
      <c r="AL293" s="39">
        <v>0</v>
      </c>
      <c r="AM293" s="42">
        <v>0</v>
      </c>
      <c r="AN293" s="42">
        <v>0</v>
      </c>
      <c r="AO293" s="42" t="s">
        <v>416</v>
      </c>
      <c r="AP293" s="42">
        <v>31</v>
      </c>
      <c r="AQ293" s="42">
        <v>0</v>
      </c>
    </row>
    <row r="294" spans="1:43" x14ac:dyDescent="0.15">
      <c r="A294" s="37" t="s">
        <v>53</v>
      </c>
      <c r="B294" s="37" t="s">
        <v>673</v>
      </c>
      <c r="C294" s="37">
        <v>0</v>
      </c>
      <c r="D294" s="37" t="s">
        <v>697</v>
      </c>
      <c r="E294" s="37" t="s">
        <v>415</v>
      </c>
      <c r="F294" s="37" t="s">
        <v>6</v>
      </c>
      <c r="G294" s="37">
        <v>0</v>
      </c>
      <c r="H294" s="37">
        <v>31</v>
      </c>
      <c r="I294" s="41">
        <v>4</v>
      </c>
      <c r="J294" s="45">
        <v>0</v>
      </c>
      <c r="K294" s="45"/>
      <c r="L294" s="45"/>
      <c r="M294" s="45"/>
      <c r="N294" s="45"/>
      <c r="P294" s="39">
        <v>31</v>
      </c>
      <c r="Q294" s="39">
        <v>31</v>
      </c>
      <c r="R294" s="39">
        <v>4</v>
      </c>
      <c r="S294" s="39">
        <v>31</v>
      </c>
      <c r="T294" s="39">
        <v>0</v>
      </c>
      <c r="U294" s="39">
        <v>0</v>
      </c>
      <c r="V294" s="39">
        <v>0</v>
      </c>
      <c r="W294" s="49">
        <v>0</v>
      </c>
      <c r="X294" s="49"/>
      <c r="Y294" s="49"/>
      <c r="Z294" s="49"/>
      <c r="AA294" s="50"/>
      <c r="AB294" s="50"/>
      <c r="AC294" s="50"/>
      <c r="AD294" s="50"/>
      <c r="AE294" s="50"/>
      <c r="AH294" s="39">
        <v>1200</v>
      </c>
      <c r="AI294" s="39">
        <v>0</v>
      </c>
      <c r="AJ294" s="39">
        <v>0</v>
      </c>
      <c r="AK294" s="39">
        <v>0</v>
      </c>
      <c r="AL294" s="39">
        <v>0</v>
      </c>
      <c r="AM294" s="42">
        <v>0</v>
      </c>
      <c r="AN294" s="42">
        <v>0</v>
      </c>
      <c r="AO294" s="42" t="s">
        <v>416</v>
      </c>
      <c r="AP294" s="42">
        <v>31</v>
      </c>
      <c r="AQ294" s="42">
        <v>0</v>
      </c>
    </row>
    <row r="295" spans="1:43" x14ac:dyDescent="0.15">
      <c r="A295" s="37" t="s">
        <v>29</v>
      </c>
      <c r="B295" s="37" t="s">
        <v>673</v>
      </c>
      <c r="C295" s="37">
        <v>0</v>
      </c>
      <c r="D295" s="37" t="s">
        <v>698</v>
      </c>
      <c r="E295" s="37" t="s">
        <v>415</v>
      </c>
      <c r="F295" s="37" t="s">
        <v>6</v>
      </c>
      <c r="G295" s="37">
        <v>0</v>
      </c>
      <c r="H295" s="37">
        <v>31</v>
      </c>
      <c r="I295" s="41">
        <v>4</v>
      </c>
      <c r="J295" s="45">
        <v>0</v>
      </c>
      <c r="K295" s="45"/>
      <c r="L295" s="45"/>
      <c r="M295" s="45"/>
      <c r="N295" s="45"/>
      <c r="P295" s="39">
        <v>31</v>
      </c>
      <c r="Q295" s="39">
        <v>31</v>
      </c>
      <c r="R295" s="39">
        <v>4</v>
      </c>
      <c r="S295" s="39">
        <v>31</v>
      </c>
      <c r="T295" s="39">
        <v>0</v>
      </c>
      <c r="U295" s="39">
        <v>0</v>
      </c>
      <c r="V295" s="39">
        <v>0</v>
      </c>
      <c r="W295" s="49">
        <v>0</v>
      </c>
      <c r="X295" s="49"/>
      <c r="Y295" s="49"/>
      <c r="Z295" s="49"/>
      <c r="AA295" s="50"/>
      <c r="AB295" s="50"/>
      <c r="AC295" s="50"/>
      <c r="AD295" s="50"/>
      <c r="AE295" s="50"/>
      <c r="AH295" s="39">
        <v>1161.2903225806499</v>
      </c>
      <c r="AI295" s="39">
        <v>0</v>
      </c>
      <c r="AJ295" s="39">
        <v>0</v>
      </c>
      <c r="AK295" s="39">
        <v>0</v>
      </c>
      <c r="AL295" s="39">
        <v>0</v>
      </c>
      <c r="AM295" s="42">
        <v>0</v>
      </c>
      <c r="AN295" s="42">
        <v>0</v>
      </c>
      <c r="AO295" s="42" t="s">
        <v>416</v>
      </c>
      <c r="AP295" s="42">
        <v>31</v>
      </c>
      <c r="AQ295" s="42">
        <v>0</v>
      </c>
    </row>
    <row r="296" spans="1:43" x14ac:dyDescent="0.15">
      <c r="A296" s="37" t="s">
        <v>59</v>
      </c>
      <c r="B296" s="37" t="s">
        <v>673</v>
      </c>
      <c r="C296" s="37">
        <v>0</v>
      </c>
      <c r="D296" s="37" t="s">
        <v>699</v>
      </c>
      <c r="E296" s="37" t="s">
        <v>415</v>
      </c>
      <c r="F296" s="37" t="s">
        <v>6</v>
      </c>
      <c r="G296" s="37">
        <v>0</v>
      </c>
      <c r="H296" s="37">
        <v>31</v>
      </c>
      <c r="I296" s="41">
        <v>4</v>
      </c>
      <c r="J296" s="45">
        <v>0</v>
      </c>
      <c r="K296" s="45"/>
      <c r="L296" s="45"/>
      <c r="M296" s="45"/>
      <c r="N296" s="45"/>
      <c r="P296" s="39">
        <v>31</v>
      </c>
      <c r="Q296" s="39">
        <v>31</v>
      </c>
      <c r="R296" s="39">
        <v>4</v>
      </c>
      <c r="S296" s="39">
        <v>31</v>
      </c>
      <c r="T296" s="39">
        <v>0</v>
      </c>
      <c r="U296" s="39">
        <v>0</v>
      </c>
      <c r="V296" s="39">
        <v>0</v>
      </c>
      <c r="W296" s="49">
        <v>0</v>
      </c>
      <c r="X296" s="49"/>
      <c r="Y296" s="49"/>
      <c r="Z296" s="49"/>
      <c r="AA296" s="50"/>
      <c r="AB296" s="50"/>
      <c r="AC296" s="50"/>
      <c r="AD296" s="50"/>
      <c r="AE296" s="50"/>
      <c r="AH296" s="39">
        <v>1064.5161290322601</v>
      </c>
      <c r="AI296" s="39">
        <v>0</v>
      </c>
      <c r="AJ296" s="39">
        <v>0</v>
      </c>
      <c r="AK296" s="39">
        <v>0</v>
      </c>
      <c r="AL296" s="39">
        <v>0</v>
      </c>
      <c r="AM296" s="42">
        <v>0</v>
      </c>
      <c r="AN296" s="42">
        <v>0</v>
      </c>
      <c r="AO296" s="42" t="s">
        <v>416</v>
      </c>
      <c r="AP296" s="42">
        <v>31</v>
      </c>
      <c r="AQ296" s="42">
        <v>0</v>
      </c>
    </row>
    <row r="297" spans="1:43" x14ac:dyDescent="0.15">
      <c r="A297" s="37" t="s">
        <v>48</v>
      </c>
      <c r="B297" s="37" t="s">
        <v>673</v>
      </c>
      <c r="C297" s="37">
        <v>0</v>
      </c>
      <c r="D297" s="37" t="s">
        <v>700</v>
      </c>
      <c r="E297" s="37" t="s">
        <v>415</v>
      </c>
      <c r="F297" s="37" t="s">
        <v>6</v>
      </c>
      <c r="G297" s="37">
        <v>0</v>
      </c>
      <c r="H297" s="37">
        <v>31</v>
      </c>
      <c r="I297" s="41">
        <v>4</v>
      </c>
      <c r="J297" s="45">
        <v>0</v>
      </c>
      <c r="K297" s="45"/>
      <c r="L297" s="45"/>
      <c r="M297" s="45"/>
      <c r="N297" s="45"/>
      <c r="P297" s="39">
        <v>31</v>
      </c>
      <c r="Q297" s="39">
        <v>31</v>
      </c>
      <c r="R297" s="39">
        <v>4</v>
      </c>
      <c r="S297" s="39">
        <v>31</v>
      </c>
      <c r="T297" s="39">
        <v>0</v>
      </c>
      <c r="U297" s="39">
        <v>0</v>
      </c>
      <c r="V297" s="39">
        <v>0</v>
      </c>
      <c r="W297" s="49">
        <v>0</v>
      </c>
      <c r="X297" s="49"/>
      <c r="Y297" s="49"/>
      <c r="Z297" s="49"/>
      <c r="AA297" s="50"/>
      <c r="AB297" s="50"/>
      <c r="AC297" s="50"/>
      <c r="AD297" s="50"/>
      <c r="AE297" s="50"/>
      <c r="AH297" s="39">
        <v>1300</v>
      </c>
      <c r="AI297" s="39">
        <v>0</v>
      </c>
      <c r="AJ297" s="39">
        <v>0</v>
      </c>
      <c r="AK297" s="39">
        <v>0</v>
      </c>
      <c r="AL297" s="39">
        <v>0</v>
      </c>
      <c r="AM297" s="42">
        <v>0</v>
      </c>
      <c r="AN297" s="42">
        <v>0</v>
      </c>
      <c r="AO297" s="42" t="s">
        <v>416</v>
      </c>
      <c r="AP297" s="42">
        <v>31</v>
      </c>
      <c r="AQ297" s="42">
        <v>0</v>
      </c>
    </row>
    <row r="298" spans="1:43" x14ac:dyDescent="0.15">
      <c r="A298" s="37" t="s">
        <v>60</v>
      </c>
      <c r="B298" s="37" t="s">
        <v>673</v>
      </c>
      <c r="C298" s="37">
        <v>0</v>
      </c>
      <c r="D298" s="37" t="s">
        <v>701</v>
      </c>
      <c r="E298" s="37" t="s">
        <v>415</v>
      </c>
      <c r="F298" s="37" t="s">
        <v>6</v>
      </c>
      <c r="G298" s="37">
        <v>0</v>
      </c>
      <c r="H298" s="37">
        <v>31</v>
      </c>
      <c r="I298" s="41">
        <v>4</v>
      </c>
      <c r="J298" s="45">
        <v>0</v>
      </c>
      <c r="K298" s="45"/>
      <c r="L298" s="45"/>
      <c r="M298" s="45"/>
      <c r="N298" s="45"/>
      <c r="P298" s="39">
        <v>31</v>
      </c>
      <c r="Q298" s="39">
        <v>31</v>
      </c>
      <c r="R298" s="39">
        <v>4</v>
      </c>
      <c r="S298" s="39">
        <v>31</v>
      </c>
      <c r="T298" s="39">
        <v>0</v>
      </c>
      <c r="U298" s="39">
        <v>0</v>
      </c>
      <c r="V298" s="39">
        <v>0</v>
      </c>
      <c r="W298" s="49">
        <v>0</v>
      </c>
      <c r="X298" s="49"/>
      <c r="Y298" s="49"/>
      <c r="Z298" s="49"/>
      <c r="AA298" s="50"/>
      <c r="AB298" s="50"/>
      <c r="AC298" s="50"/>
      <c r="AD298" s="50"/>
      <c r="AE298" s="50"/>
      <c r="AH298" s="39">
        <v>1200</v>
      </c>
      <c r="AI298" s="39">
        <v>0</v>
      </c>
      <c r="AJ298" s="39">
        <v>0</v>
      </c>
      <c r="AK298" s="39">
        <v>0</v>
      </c>
      <c r="AL298" s="39">
        <v>0</v>
      </c>
      <c r="AM298" s="42">
        <v>0</v>
      </c>
      <c r="AN298" s="42">
        <v>0</v>
      </c>
      <c r="AO298" s="42" t="s">
        <v>416</v>
      </c>
      <c r="AP298" s="42">
        <v>31</v>
      </c>
      <c r="AQ298" s="42">
        <v>0</v>
      </c>
    </row>
    <row r="299" spans="1:43" x14ac:dyDescent="0.15">
      <c r="A299" s="37" t="s">
        <v>42</v>
      </c>
      <c r="B299" s="37" t="s">
        <v>673</v>
      </c>
      <c r="C299" s="37">
        <v>0</v>
      </c>
      <c r="D299" s="37" t="s">
        <v>702</v>
      </c>
      <c r="E299" s="37" t="s">
        <v>415</v>
      </c>
      <c r="F299" s="37" t="s">
        <v>6</v>
      </c>
      <c r="G299" s="37">
        <v>0</v>
      </c>
      <c r="H299" s="37">
        <v>31</v>
      </c>
      <c r="I299" s="41">
        <v>4</v>
      </c>
      <c r="J299" s="45">
        <v>0</v>
      </c>
      <c r="K299" s="45"/>
      <c r="L299" s="45"/>
      <c r="M299" s="45"/>
      <c r="N299" s="45"/>
      <c r="P299" s="39">
        <v>31</v>
      </c>
      <c r="Q299" s="39">
        <v>31</v>
      </c>
      <c r="R299" s="39">
        <v>4</v>
      </c>
      <c r="S299" s="39">
        <v>31</v>
      </c>
      <c r="T299" s="39">
        <v>0</v>
      </c>
      <c r="U299" s="39">
        <v>0</v>
      </c>
      <c r="V299" s="39">
        <v>0</v>
      </c>
      <c r="W299" s="49">
        <v>0</v>
      </c>
      <c r="X299" s="49"/>
      <c r="Y299" s="49"/>
      <c r="Z299" s="49"/>
      <c r="AA299" s="50"/>
      <c r="AB299" s="50"/>
      <c r="AC299" s="50"/>
      <c r="AD299" s="50"/>
      <c r="AE299" s="50"/>
      <c r="AH299" s="39">
        <v>3000</v>
      </c>
      <c r="AI299" s="39">
        <v>0</v>
      </c>
      <c r="AJ299" s="39">
        <v>0</v>
      </c>
      <c r="AK299" s="39">
        <v>0</v>
      </c>
      <c r="AL299" s="39">
        <v>0</v>
      </c>
      <c r="AM299" s="42">
        <v>0</v>
      </c>
      <c r="AN299" s="42">
        <v>0</v>
      </c>
      <c r="AO299" s="42" t="s">
        <v>416</v>
      </c>
      <c r="AP299" s="42">
        <v>31</v>
      </c>
      <c r="AQ299" s="42">
        <v>0</v>
      </c>
    </row>
    <row r="300" spans="1:43" x14ac:dyDescent="0.15">
      <c r="A300" s="37" t="s">
        <v>32</v>
      </c>
      <c r="B300" s="37" t="s">
        <v>419</v>
      </c>
      <c r="C300" s="37" t="s">
        <v>417</v>
      </c>
      <c r="D300" s="37" t="s">
        <v>703</v>
      </c>
      <c r="E300" s="37" t="s">
        <v>415</v>
      </c>
      <c r="F300" s="37" t="s">
        <v>6</v>
      </c>
      <c r="G300" s="37">
        <v>0</v>
      </c>
      <c r="H300" s="37">
        <v>31</v>
      </c>
      <c r="I300" s="41">
        <v>4</v>
      </c>
      <c r="J300" s="45">
        <v>0</v>
      </c>
      <c r="K300" s="45"/>
      <c r="L300" s="45"/>
      <c r="M300" s="45"/>
      <c r="N300" s="45"/>
      <c r="P300" s="39">
        <v>31</v>
      </c>
      <c r="Q300" s="39">
        <v>31</v>
      </c>
      <c r="R300" s="39">
        <v>4</v>
      </c>
      <c r="S300" s="39">
        <v>31</v>
      </c>
      <c r="T300" s="39">
        <v>0</v>
      </c>
      <c r="U300" s="39">
        <v>0</v>
      </c>
      <c r="V300" s="39">
        <v>4</v>
      </c>
      <c r="W300" s="49">
        <v>80</v>
      </c>
      <c r="X300" s="49"/>
      <c r="Y300" s="49"/>
      <c r="Z300" s="49"/>
      <c r="AA300" s="50"/>
      <c r="AB300" s="50"/>
      <c r="AC300" s="50"/>
      <c r="AD300" s="50">
        <v>130</v>
      </c>
      <c r="AE300" s="50"/>
      <c r="AH300" s="39">
        <v>0</v>
      </c>
      <c r="AI300" s="39">
        <v>120</v>
      </c>
      <c r="AJ300" s="39">
        <v>0</v>
      </c>
      <c r="AK300" s="39">
        <v>540</v>
      </c>
      <c r="AL300" s="39">
        <v>0</v>
      </c>
      <c r="AM300" s="42">
        <v>0</v>
      </c>
      <c r="AN300" s="42">
        <v>0</v>
      </c>
      <c r="AO300" s="42" t="s">
        <v>416</v>
      </c>
      <c r="AP300" s="42">
        <v>31</v>
      </c>
      <c r="AQ300" s="42" t="s">
        <v>732</v>
      </c>
    </row>
    <row r="301" spans="1:43" x14ac:dyDescent="0.15">
      <c r="A301" s="37" t="s">
        <v>46</v>
      </c>
      <c r="B301" s="37" t="s">
        <v>419</v>
      </c>
      <c r="C301" s="37" t="s">
        <v>417</v>
      </c>
      <c r="D301" s="37" t="s">
        <v>704</v>
      </c>
      <c r="E301" s="37" t="s">
        <v>415</v>
      </c>
      <c r="F301" s="37" t="s">
        <v>6</v>
      </c>
      <c r="G301" s="37">
        <v>0</v>
      </c>
      <c r="H301" s="37">
        <v>29</v>
      </c>
      <c r="I301" s="41">
        <v>4</v>
      </c>
      <c r="J301" s="45">
        <v>2</v>
      </c>
      <c r="K301" s="45">
        <v>2</v>
      </c>
      <c r="L301" s="45"/>
      <c r="M301" s="45"/>
      <c r="N301" s="45"/>
      <c r="P301" s="39">
        <v>27</v>
      </c>
      <c r="Q301" s="39">
        <v>29</v>
      </c>
      <c r="R301" s="39">
        <v>4</v>
      </c>
      <c r="S301" s="39">
        <v>29</v>
      </c>
      <c r="T301" s="39">
        <v>0</v>
      </c>
      <c r="U301" s="39">
        <v>0</v>
      </c>
      <c r="V301" s="39">
        <v>2</v>
      </c>
      <c r="W301" s="49">
        <v>40</v>
      </c>
      <c r="X301" s="49"/>
      <c r="Y301" s="49"/>
      <c r="Z301" s="49"/>
      <c r="AA301" s="50"/>
      <c r="AB301" s="50"/>
      <c r="AC301" s="50"/>
      <c r="AD301" s="50">
        <v>130</v>
      </c>
      <c r="AE301" s="50"/>
      <c r="AH301" s="39">
        <v>0</v>
      </c>
      <c r="AI301" s="39">
        <v>660</v>
      </c>
      <c r="AJ301" s="39">
        <v>0</v>
      </c>
      <c r="AK301" s="39">
        <v>0</v>
      </c>
      <c r="AL301" s="39">
        <v>0</v>
      </c>
      <c r="AM301" s="42">
        <v>0</v>
      </c>
      <c r="AN301" s="42">
        <v>0</v>
      </c>
      <c r="AO301" s="42" t="s">
        <v>416</v>
      </c>
      <c r="AP301" s="42">
        <v>29</v>
      </c>
      <c r="AQ301" s="42" t="s">
        <v>732</v>
      </c>
    </row>
    <row r="302" spans="1:43" x14ac:dyDescent="0.15">
      <c r="A302" s="37" t="s">
        <v>43</v>
      </c>
      <c r="B302" s="37" t="s">
        <v>15</v>
      </c>
      <c r="C302" s="37" t="s">
        <v>417</v>
      </c>
      <c r="D302" s="37" t="s">
        <v>705</v>
      </c>
      <c r="E302" s="37" t="s">
        <v>415</v>
      </c>
      <c r="F302" s="37" t="s">
        <v>6</v>
      </c>
      <c r="G302" s="37">
        <v>0</v>
      </c>
      <c r="H302" s="37">
        <v>23</v>
      </c>
      <c r="I302" s="41">
        <v>3</v>
      </c>
      <c r="J302" s="45">
        <v>2</v>
      </c>
      <c r="K302" s="45">
        <v>2</v>
      </c>
      <c r="L302" s="45"/>
      <c r="M302" s="45"/>
      <c r="N302" s="45"/>
      <c r="P302" s="39">
        <v>21</v>
      </c>
      <c r="Q302" s="39">
        <v>23</v>
      </c>
      <c r="R302" s="39">
        <v>3</v>
      </c>
      <c r="S302" s="39">
        <v>23</v>
      </c>
      <c r="T302" s="39">
        <v>0</v>
      </c>
      <c r="U302" s="39">
        <v>0</v>
      </c>
      <c r="V302" s="39">
        <v>0</v>
      </c>
      <c r="W302" s="49">
        <v>0</v>
      </c>
      <c r="X302" s="49"/>
      <c r="Y302" s="49"/>
      <c r="Z302" s="49"/>
      <c r="AA302" s="50"/>
      <c r="AB302" s="50"/>
      <c r="AC302" s="50"/>
      <c r="AD302" s="50">
        <v>130</v>
      </c>
      <c r="AE302" s="50"/>
      <c r="AH302" s="39">
        <v>1806.4516129032299</v>
      </c>
      <c r="AI302" s="39">
        <v>420</v>
      </c>
      <c r="AJ302" s="39">
        <v>0</v>
      </c>
      <c r="AK302" s="39">
        <v>0</v>
      </c>
      <c r="AL302" s="39">
        <v>0</v>
      </c>
      <c r="AM302" s="42">
        <v>0</v>
      </c>
      <c r="AN302" s="42">
        <v>0</v>
      </c>
      <c r="AO302" s="42" t="s">
        <v>416</v>
      </c>
      <c r="AP302" s="42">
        <v>23</v>
      </c>
      <c r="AQ302" s="42" t="s">
        <v>732</v>
      </c>
    </row>
    <row r="303" spans="1:43" x14ac:dyDescent="0.15">
      <c r="A303" s="37" t="s">
        <v>51</v>
      </c>
      <c r="B303" s="37" t="s">
        <v>419</v>
      </c>
      <c r="C303" s="37" t="s">
        <v>417</v>
      </c>
      <c r="D303" s="37" t="s">
        <v>706</v>
      </c>
      <c r="E303" s="37" t="s">
        <v>415</v>
      </c>
      <c r="F303" s="37" t="s">
        <v>6</v>
      </c>
      <c r="G303" s="37">
        <v>0</v>
      </c>
      <c r="H303" s="37">
        <v>21</v>
      </c>
      <c r="I303" s="41">
        <v>3</v>
      </c>
      <c r="J303" s="45">
        <v>2</v>
      </c>
      <c r="K303" s="45">
        <v>2</v>
      </c>
      <c r="L303" s="45"/>
      <c r="M303" s="45"/>
      <c r="N303" s="45"/>
      <c r="P303" s="39">
        <v>19</v>
      </c>
      <c r="Q303" s="39">
        <v>21</v>
      </c>
      <c r="R303" s="39">
        <v>3</v>
      </c>
      <c r="S303" s="39">
        <v>21</v>
      </c>
      <c r="T303" s="39">
        <v>0</v>
      </c>
      <c r="U303" s="39">
        <v>0</v>
      </c>
      <c r="V303" s="39">
        <v>1</v>
      </c>
      <c r="W303" s="49">
        <v>20</v>
      </c>
      <c r="X303" s="49"/>
      <c r="Y303" s="49"/>
      <c r="Z303" s="49"/>
      <c r="AA303" s="50"/>
      <c r="AB303" s="50"/>
      <c r="AC303" s="50"/>
      <c r="AD303" s="50">
        <v>130</v>
      </c>
      <c r="AE303" s="50"/>
      <c r="AH303" s="39">
        <v>0</v>
      </c>
      <c r="AI303" s="39">
        <v>480</v>
      </c>
      <c r="AJ303" s="39">
        <v>0</v>
      </c>
      <c r="AK303" s="39">
        <v>0</v>
      </c>
      <c r="AL303" s="39">
        <v>0</v>
      </c>
      <c r="AM303" s="42">
        <v>0</v>
      </c>
      <c r="AN303" s="42">
        <v>0</v>
      </c>
      <c r="AO303" s="42" t="s">
        <v>416</v>
      </c>
      <c r="AP303" s="42">
        <v>21</v>
      </c>
      <c r="AQ303" s="42" t="s">
        <v>732</v>
      </c>
    </row>
    <row r="304" spans="1:43" x14ac:dyDescent="0.15">
      <c r="A304" s="37" t="s">
        <v>53</v>
      </c>
      <c r="B304" s="37" t="s">
        <v>419</v>
      </c>
      <c r="C304" s="37" t="s">
        <v>417</v>
      </c>
      <c r="D304" s="37" t="s">
        <v>707</v>
      </c>
      <c r="E304" s="37" t="s">
        <v>415</v>
      </c>
      <c r="F304" s="37" t="s">
        <v>6</v>
      </c>
      <c r="G304" s="37">
        <v>0</v>
      </c>
      <c r="H304" s="37">
        <v>20</v>
      </c>
      <c r="I304" s="41">
        <v>2</v>
      </c>
      <c r="J304" s="45">
        <v>2</v>
      </c>
      <c r="K304" s="45">
        <v>2</v>
      </c>
      <c r="L304" s="45"/>
      <c r="M304" s="45"/>
      <c r="N304" s="45"/>
      <c r="P304" s="39">
        <v>18</v>
      </c>
      <c r="Q304" s="39">
        <v>20</v>
      </c>
      <c r="R304" s="39">
        <v>2</v>
      </c>
      <c r="S304" s="39">
        <v>20</v>
      </c>
      <c r="T304" s="39">
        <v>0</v>
      </c>
      <c r="U304" s="39">
        <v>0</v>
      </c>
      <c r="V304" s="39">
        <v>0</v>
      </c>
      <c r="W304" s="49">
        <v>0</v>
      </c>
      <c r="X304" s="49"/>
      <c r="Y304" s="49"/>
      <c r="Z304" s="49"/>
      <c r="AA304" s="50"/>
      <c r="AB304" s="50"/>
      <c r="AC304" s="50"/>
      <c r="AD304" s="50">
        <v>130</v>
      </c>
      <c r="AE304" s="50"/>
      <c r="AH304" s="39">
        <v>0</v>
      </c>
      <c r="AI304" s="39">
        <v>300</v>
      </c>
      <c r="AJ304" s="39">
        <v>200</v>
      </c>
      <c r="AK304" s="39">
        <v>0</v>
      </c>
      <c r="AL304" s="39">
        <v>0</v>
      </c>
      <c r="AM304" s="42">
        <v>0</v>
      </c>
      <c r="AN304" s="42">
        <v>0</v>
      </c>
      <c r="AO304" s="42" t="s">
        <v>416</v>
      </c>
      <c r="AP304" s="42">
        <v>20</v>
      </c>
      <c r="AQ304" s="42" t="s">
        <v>732</v>
      </c>
    </row>
    <row r="305" spans="1:43" x14ac:dyDescent="0.15">
      <c r="A305" s="37" t="s">
        <v>90</v>
      </c>
      <c r="B305" s="37" t="s">
        <v>672</v>
      </c>
      <c r="C305" s="37" t="s">
        <v>413</v>
      </c>
      <c r="D305" s="37" t="s">
        <v>708</v>
      </c>
      <c r="E305" s="37" t="s">
        <v>80</v>
      </c>
      <c r="F305" s="37" t="s">
        <v>6</v>
      </c>
      <c r="G305" s="37">
        <v>0</v>
      </c>
      <c r="H305" s="37">
        <v>15</v>
      </c>
      <c r="I305" s="41">
        <v>2</v>
      </c>
      <c r="J305" s="45">
        <v>2</v>
      </c>
      <c r="K305" s="45">
        <v>2</v>
      </c>
      <c r="L305" s="45"/>
      <c r="M305" s="45"/>
      <c r="N305" s="45"/>
      <c r="P305" s="39">
        <v>13</v>
      </c>
      <c r="Q305" s="39">
        <v>15</v>
      </c>
      <c r="R305" s="39">
        <v>2</v>
      </c>
      <c r="S305" s="39">
        <v>15</v>
      </c>
      <c r="T305" s="39">
        <v>0</v>
      </c>
      <c r="U305" s="39">
        <v>0</v>
      </c>
      <c r="V305" s="39">
        <v>0</v>
      </c>
      <c r="W305" s="49">
        <v>0</v>
      </c>
      <c r="X305" s="49"/>
      <c r="Y305" s="49"/>
      <c r="Z305" s="49"/>
      <c r="AA305" s="50"/>
      <c r="AB305" s="50"/>
      <c r="AC305" s="50"/>
      <c r="AD305" s="50"/>
      <c r="AE305" s="50">
        <v>300</v>
      </c>
      <c r="AH305" s="39">
        <v>0</v>
      </c>
      <c r="AI305" s="39">
        <v>560</v>
      </c>
      <c r="AJ305" s="39">
        <v>0</v>
      </c>
      <c r="AK305" s="39">
        <v>0</v>
      </c>
      <c r="AL305" s="39">
        <v>0</v>
      </c>
      <c r="AM305" s="42">
        <v>0</v>
      </c>
      <c r="AN305" s="42">
        <v>0</v>
      </c>
      <c r="AO305" s="42" t="s">
        <v>416</v>
      </c>
      <c r="AP305" s="42">
        <v>15</v>
      </c>
      <c r="AQ305" s="42" t="s">
        <v>733</v>
      </c>
    </row>
    <row r="306" spans="1:43" x14ac:dyDescent="0.15">
      <c r="A306" s="37" t="s">
        <v>42</v>
      </c>
      <c r="B306" s="37" t="s">
        <v>419</v>
      </c>
      <c r="C306" s="37" t="s">
        <v>417</v>
      </c>
      <c r="D306" s="37" t="s">
        <v>709</v>
      </c>
      <c r="E306" s="37" t="s">
        <v>415</v>
      </c>
      <c r="F306" s="37" t="s">
        <v>6</v>
      </c>
      <c r="G306" s="37">
        <v>0</v>
      </c>
      <c r="H306" s="37">
        <v>18</v>
      </c>
      <c r="I306" s="41">
        <v>2</v>
      </c>
      <c r="J306" s="45">
        <v>2</v>
      </c>
      <c r="K306" s="45">
        <v>2</v>
      </c>
      <c r="L306" s="45"/>
      <c r="M306" s="45"/>
      <c r="N306" s="45"/>
      <c r="P306" s="39">
        <v>16</v>
      </c>
      <c r="Q306" s="39">
        <v>18</v>
      </c>
      <c r="R306" s="39">
        <v>2</v>
      </c>
      <c r="S306" s="39">
        <v>18</v>
      </c>
      <c r="T306" s="39">
        <v>0</v>
      </c>
      <c r="U306" s="39">
        <v>0</v>
      </c>
      <c r="V306" s="39">
        <v>0</v>
      </c>
      <c r="W306" s="49">
        <v>0</v>
      </c>
      <c r="X306" s="49"/>
      <c r="Y306" s="49"/>
      <c r="Z306" s="49"/>
      <c r="AA306" s="50"/>
      <c r="AB306" s="50"/>
      <c r="AC306" s="50"/>
      <c r="AD306" s="50">
        <v>130</v>
      </c>
      <c r="AE306" s="50"/>
      <c r="AH306" s="39">
        <v>0</v>
      </c>
      <c r="AI306" s="39">
        <v>540</v>
      </c>
      <c r="AJ306" s="39">
        <v>0</v>
      </c>
      <c r="AK306" s="39">
        <v>0</v>
      </c>
      <c r="AL306" s="39">
        <v>0</v>
      </c>
      <c r="AM306" s="42">
        <v>0</v>
      </c>
      <c r="AN306" s="42">
        <v>0</v>
      </c>
      <c r="AO306" s="42" t="s">
        <v>416</v>
      </c>
      <c r="AP306" s="42">
        <v>18</v>
      </c>
      <c r="AQ306" s="42" t="s">
        <v>732</v>
      </c>
    </row>
    <row r="307" spans="1:43" x14ac:dyDescent="0.15">
      <c r="A307" s="37" t="s">
        <v>51</v>
      </c>
      <c r="B307" s="37" t="s">
        <v>419</v>
      </c>
      <c r="C307" s="37" t="s">
        <v>417</v>
      </c>
      <c r="D307" s="37" t="s">
        <v>710</v>
      </c>
      <c r="E307" s="37" t="s">
        <v>415</v>
      </c>
      <c r="F307" s="37" t="s">
        <v>6</v>
      </c>
      <c r="G307" s="37">
        <v>0</v>
      </c>
      <c r="H307" s="37">
        <v>18</v>
      </c>
      <c r="I307" s="41">
        <v>2</v>
      </c>
      <c r="J307" s="45">
        <v>1</v>
      </c>
      <c r="K307" s="45">
        <v>1</v>
      </c>
      <c r="L307" s="45"/>
      <c r="M307" s="45"/>
      <c r="N307" s="45"/>
      <c r="P307" s="39">
        <v>17</v>
      </c>
      <c r="Q307" s="39">
        <v>18</v>
      </c>
      <c r="R307" s="39">
        <v>2</v>
      </c>
      <c r="S307" s="39">
        <v>18</v>
      </c>
      <c r="T307" s="39">
        <v>0</v>
      </c>
      <c r="U307" s="39">
        <v>0</v>
      </c>
      <c r="V307" s="39">
        <v>1</v>
      </c>
      <c r="W307" s="49">
        <v>20</v>
      </c>
      <c r="X307" s="49"/>
      <c r="Y307" s="49"/>
      <c r="Z307" s="49"/>
      <c r="AA307" s="50"/>
      <c r="AB307" s="50"/>
      <c r="AC307" s="50"/>
      <c r="AD307" s="50">
        <v>130</v>
      </c>
      <c r="AE307" s="50"/>
      <c r="AH307" s="39">
        <v>0</v>
      </c>
      <c r="AI307" s="39">
        <v>600</v>
      </c>
      <c r="AJ307" s="39">
        <v>0</v>
      </c>
      <c r="AK307" s="39">
        <v>0</v>
      </c>
      <c r="AL307" s="39">
        <v>0</v>
      </c>
      <c r="AM307" s="42">
        <v>0</v>
      </c>
      <c r="AN307" s="42">
        <v>0</v>
      </c>
      <c r="AO307" s="42" t="s">
        <v>416</v>
      </c>
      <c r="AP307" s="42">
        <v>18</v>
      </c>
      <c r="AQ307" s="42" t="s">
        <v>732</v>
      </c>
    </row>
    <row r="308" spans="1:43" x14ac:dyDescent="0.15">
      <c r="A308" s="37" t="s">
        <v>96</v>
      </c>
      <c r="B308" s="37" t="s">
        <v>666</v>
      </c>
      <c r="C308" s="37" t="s">
        <v>413</v>
      </c>
      <c r="D308" s="37" t="s">
        <v>711</v>
      </c>
      <c r="E308" s="37" t="s">
        <v>415</v>
      </c>
      <c r="F308" s="37" t="s">
        <v>96</v>
      </c>
      <c r="G308" s="37">
        <v>0</v>
      </c>
      <c r="H308" s="37">
        <v>18</v>
      </c>
      <c r="I308" s="41">
        <v>3</v>
      </c>
      <c r="J308" s="45">
        <v>2</v>
      </c>
      <c r="K308" s="45">
        <v>2</v>
      </c>
      <c r="L308" s="45"/>
      <c r="M308" s="45"/>
      <c r="N308" s="45"/>
      <c r="P308" s="39">
        <v>16</v>
      </c>
      <c r="Q308" s="39">
        <v>18</v>
      </c>
      <c r="R308" s="39">
        <v>3</v>
      </c>
      <c r="S308" s="39">
        <v>18</v>
      </c>
      <c r="T308" s="39">
        <v>0</v>
      </c>
      <c r="U308" s="39">
        <v>0</v>
      </c>
      <c r="V308" s="39">
        <v>0</v>
      </c>
      <c r="W308" s="49">
        <v>0</v>
      </c>
      <c r="X308" s="49"/>
      <c r="Y308" s="49"/>
      <c r="Z308" s="49"/>
      <c r="AA308" s="50"/>
      <c r="AB308" s="50"/>
      <c r="AC308" s="50"/>
      <c r="AD308" s="50"/>
      <c r="AE308" s="50"/>
      <c r="AH308" s="39">
        <v>2483.8709677419401</v>
      </c>
      <c r="AI308" s="39">
        <v>560</v>
      </c>
      <c r="AJ308" s="39">
        <v>0</v>
      </c>
      <c r="AK308" s="39">
        <v>0</v>
      </c>
      <c r="AL308" s="39">
        <v>0</v>
      </c>
      <c r="AM308" s="42">
        <v>0</v>
      </c>
      <c r="AN308" s="42">
        <v>0</v>
      </c>
      <c r="AO308" s="42" t="s">
        <v>416</v>
      </c>
      <c r="AP308" s="42">
        <v>18</v>
      </c>
      <c r="AQ308" s="42" t="s">
        <v>733</v>
      </c>
    </row>
    <row r="309" spans="1:43" x14ac:dyDescent="0.15">
      <c r="A309" s="37" t="s">
        <v>57</v>
      </c>
      <c r="B309" s="37" t="s">
        <v>419</v>
      </c>
      <c r="C309" s="37" t="s">
        <v>417</v>
      </c>
      <c r="D309" s="37" t="s">
        <v>712</v>
      </c>
      <c r="E309" s="37" t="s">
        <v>415</v>
      </c>
      <c r="F309" s="37" t="s">
        <v>6</v>
      </c>
      <c r="G309" s="37">
        <v>0</v>
      </c>
      <c r="H309" s="37">
        <v>17</v>
      </c>
      <c r="I309" s="41">
        <v>2</v>
      </c>
      <c r="J309" s="45">
        <v>2</v>
      </c>
      <c r="K309" s="45">
        <v>2</v>
      </c>
      <c r="L309" s="45"/>
      <c r="M309" s="45"/>
      <c r="N309" s="45"/>
      <c r="P309" s="39">
        <v>15</v>
      </c>
      <c r="Q309" s="39">
        <v>17</v>
      </c>
      <c r="R309" s="39">
        <v>2</v>
      </c>
      <c r="S309" s="39">
        <v>17</v>
      </c>
      <c r="T309" s="39">
        <v>0</v>
      </c>
      <c r="U309" s="39">
        <v>0</v>
      </c>
      <c r="V309" s="39">
        <v>0</v>
      </c>
      <c r="W309" s="49">
        <v>0</v>
      </c>
      <c r="X309" s="49"/>
      <c r="Y309" s="49"/>
      <c r="Z309" s="49"/>
      <c r="AA309" s="50"/>
      <c r="AB309" s="50"/>
      <c r="AC309" s="50"/>
      <c r="AD309" s="50">
        <v>130</v>
      </c>
      <c r="AE309" s="50"/>
      <c r="AH309" s="39">
        <v>0</v>
      </c>
      <c r="AI309" s="39">
        <v>420</v>
      </c>
      <c r="AJ309" s="39">
        <v>240</v>
      </c>
      <c r="AK309" s="39">
        <v>0</v>
      </c>
      <c r="AL309" s="39">
        <v>0</v>
      </c>
      <c r="AM309" s="42">
        <v>0</v>
      </c>
      <c r="AN309" s="42">
        <v>0</v>
      </c>
      <c r="AO309" s="42" t="s">
        <v>416</v>
      </c>
      <c r="AP309" s="42">
        <v>17</v>
      </c>
      <c r="AQ309" s="42" t="s">
        <v>732</v>
      </c>
    </row>
    <row r="310" spans="1:43" x14ac:dyDescent="0.15">
      <c r="A310" s="37" t="s">
        <v>48</v>
      </c>
      <c r="B310" s="37" t="s">
        <v>419</v>
      </c>
      <c r="C310" s="37" t="s">
        <v>417</v>
      </c>
      <c r="D310" s="37" t="s">
        <v>713</v>
      </c>
      <c r="E310" s="37" t="s">
        <v>80</v>
      </c>
      <c r="F310" s="37" t="s">
        <v>6</v>
      </c>
      <c r="G310" s="37">
        <v>0</v>
      </c>
      <c r="H310" s="37">
        <v>17</v>
      </c>
      <c r="I310" s="41">
        <v>2</v>
      </c>
      <c r="J310" s="45">
        <v>1</v>
      </c>
      <c r="K310" s="45">
        <v>1</v>
      </c>
      <c r="L310" s="45"/>
      <c r="M310" s="45"/>
      <c r="N310" s="45"/>
      <c r="P310" s="39">
        <v>16</v>
      </c>
      <c r="Q310" s="39">
        <v>17</v>
      </c>
      <c r="R310" s="39">
        <v>2</v>
      </c>
      <c r="S310" s="39">
        <v>17</v>
      </c>
      <c r="T310" s="39">
        <v>0</v>
      </c>
      <c r="U310" s="39">
        <v>0</v>
      </c>
      <c r="V310" s="39">
        <v>0</v>
      </c>
      <c r="W310" s="49">
        <v>0</v>
      </c>
      <c r="X310" s="49"/>
      <c r="Y310" s="49"/>
      <c r="Z310" s="49"/>
      <c r="AA310" s="50"/>
      <c r="AB310" s="50"/>
      <c r="AC310" s="50"/>
      <c r="AD310" s="50">
        <v>130</v>
      </c>
      <c r="AE310" s="50"/>
      <c r="AH310" s="39">
        <v>0</v>
      </c>
      <c r="AI310" s="39">
        <v>0</v>
      </c>
      <c r="AJ310" s="39">
        <v>0</v>
      </c>
      <c r="AK310" s="39">
        <v>0</v>
      </c>
      <c r="AL310" s="39">
        <v>0</v>
      </c>
      <c r="AM310" s="42">
        <v>0</v>
      </c>
      <c r="AN310" s="42">
        <v>0</v>
      </c>
      <c r="AO310" s="42" t="s">
        <v>416</v>
      </c>
      <c r="AP310" s="42">
        <v>17</v>
      </c>
      <c r="AQ310" s="42" t="s">
        <v>734</v>
      </c>
    </row>
    <row r="311" spans="1:43" x14ac:dyDescent="0.15">
      <c r="A311" s="37" t="s">
        <v>33</v>
      </c>
      <c r="B311" s="37" t="s">
        <v>16</v>
      </c>
      <c r="C311" s="37" t="s">
        <v>413</v>
      </c>
      <c r="D311" s="37" t="s">
        <v>714</v>
      </c>
      <c r="E311" s="37" t="s">
        <v>415</v>
      </c>
      <c r="F311" s="37" t="s">
        <v>6</v>
      </c>
      <c r="G311" s="37">
        <v>0</v>
      </c>
      <c r="H311" s="37">
        <v>16</v>
      </c>
      <c r="I311" s="41">
        <v>2</v>
      </c>
      <c r="J311" s="45">
        <v>1</v>
      </c>
      <c r="K311" s="45">
        <v>1</v>
      </c>
      <c r="L311" s="45"/>
      <c r="M311" s="45"/>
      <c r="N311" s="45"/>
      <c r="P311" s="39">
        <v>15</v>
      </c>
      <c r="Q311" s="39">
        <v>16</v>
      </c>
      <c r="R311" s="39">
        <v>2</v>
      </c>
      <c r="S311" s="39">
        <v>16</v>
      </c>
      <c r="T311" s="39">
        <v>0</v>
      </c>
      <c r="U311" s="39">
        <v>0</v>
      </c>
      <c r="V311" s="39">
        <v>1</v>
      </c>
      <c r="W311" s="49">
        <v>20</v>
      </c>
      <c r="X311" s="49"/>
      <c r="Y311" s="49"/>
      <c r="Z311" s="49"/>
      <c r="AA311" s="50"/>
      <c r="AB311" s="50"/>
      <c r="AC311" s="50"/>
      <c r="AD311" s="50"/>
      <c r="AE311" s="50"/>
      <c r="AH311" s="39">
        <v>0</v>
      </c>
      <c r="AI311" s="39">
        <v>0</v>
      </c>
      <c r="AJ311" s="39">
        <v>0</v>
      </c>
      <c r="AK311" s="39">
        <v>0</v>
      </c>
      <c r="AL311" s="39">
        <v>0</v>
      </c>
      <c r="AM311" s="42">
        <v>0</v>
      </c>
      <c r="AN311" s="42">
        <v>0</v>
      </c>
      <c r="AO311" s="42" t="s">
        <v>416</v>
      </c>
      <c r="AP311" s="42">
        <v>16</v>
      </c>
      <c r="AQ311" s="42">
        <v>0</v>
      </c>
    </row>
    <row r="312" spans="1:43" x14ac:dyDescent="0.15">
      <c r="A312" s="37" t="s">
        <v>81</v>
      </c>
      <c r="B312" s="37" t="s">
        <v>672</v>
      </c>
      <c r="C312" s="37" t="s">
        <v>413</v>
      </c>
      <c r="D312" s="37" t="s">
        <v>715</v>
      </c>
      <c r="E312" s="37" t="s">
        <v>415</v>
      </c>
      <c r="F312" s="37" t="s">
        <v>6</v>
      </c>
      <c r="G312" s="37">
        <v>0</v>
      </c>
      <c r="H312" s="37">
        <v>17</v>
      </c>
      <c r="I312" s="41">
        <v>2</v>
      </c>
      <c r="J312" s="45">
        <v>1</v>
      </c>
      <c r="K312" s="45">
        <v>1</v>
      </c>
      <c r="L312" s="45"/>
      <c r="M312" s="45"/>
      <c r="N312" s="45"/>
      <c r="P312" s="39">
        <v>16</v>
      </c>
      <c r="Q312" s="39">
        <v>17</v>
      </c>
      <c r="R312" s="39">
        <v>2</v>
      </c>
      <c r="S312" s="39">
        <v>17</v>
      </c>
      <c r="T312" s="39">
        <v>0</v>
      </c>
      <c r="U312" s="39">
        <v>0</v>
      </c>
      <c r="V312" s="39">
        <v>0</v>
      </c>
      <c r="W312" s="49">
        <v>0</v>
      </c>
      <c r="X312" s="49"/>
      <c r="Y312" s="49"/>
      <c r="Z312" s="49"/>
      <c r="AA312" s="50"/>
      <c r="AB312" s="50"/>
      <c r="AC312" s="50"/>
      <c r="AD312" s="50"/>
      <c r="AE312" s="50"/>
      <c r="AH312" s="39">
        <v>1774.1935483871</v>
      </c>
      <c r="AI312" s="39">
        <v>560</v>
      </c>
      <c r="AJ312" s="39">
        <v>0</v>
      </c>
      <c r="AK312" s="39">
        <v>0</v>
      </c>
      <c r="AL312" s="39">
        <v>0</v>
      </c>
      <c r="AM312" s="42">
        <v>0</v>
      </c>
      <c r="AN312" s="42">
        <v>0</v>
      </c>
      <c r="AO312" s="42" t="s">
        <v>416</v>
      </c>
      <c r="AP312" s="42">
        <v>17</v>
      </c>
      <c r="AQ312" s="42" t="s">
        <v>733</v>
      </c>
    </row>
    <row r="313" spans="1:43" x14ac:dyDescent="0.15">
      <c r="A313" s="37" t="s">
        <v>81</v>
      </c>
      <c r="B313" s="37" t="s">
        <v>672</v>
      </c>
      <c r="C313" s="37" t="s">
        <v>413</v>
      </c>
      <c r="D313" s="37" t="s">
        <v>279</v>
      </c>
      <c r="E313" s="37" t="s">
        <v>415</v>
      </c>
      <c r="F313" s="37" t="s">
        <v>6</v>
      </c>
      <c r="G313" s="37">
        <v>0</v>
      </c>
      <c r="H313" s="37">
        <v>29</v>
      </c>
      <c r="I313" s="41">
        <v>4</v>
      </c>
      <c r="J313" s="45">
        <v>1</v>
      </c>
      <c r="K313" s="45">
        <v>1</v>
      </c>
      <c r="L313" s="45"/>
      <c r="M313" s="45"/>
      <c r="N313" s="45"/>
      <c r="P313" s="39">
        <v>28</v>
      </c>
      <c r="Q313" s="39">
        <v>29</v>
      </c>
      <c r="R313" s="39">
        <v>4</v>
      </c>
      <c r="S313" s="39">
        <v>29</v>
      </c>
      <c r="T313" s="39">
        <v>0</v>
      </c>
      <c r="U313" s="39">
        <v>0</v>
      </c>
      <c r="V313" s="39">
        <v>3</v>
      </c>
      <c r="W313" s="49">
        <v>60</v>
      </c>
      <c r="X313" s="49"/>
      <c r="Y313" s="49"/>
      <c r="Z313" s="49"/>
      <c r="AA313" s="50"/>
      <c r="AB313" s="50"/>
      <c r="AC313" s="50"/>
      <c r="AD313" s="50"/>
      <c r="AE313" s="50"/>
      <c r="AH313" s="39">
        <v>0</v>
      </c>
      <c r="AI313" s="39">
        <v>0</v>
      </c>
      <c r="AJ313" s="39">
        <v>0</v>
      </c>
      <c r="AK313" s="39">
        <v>0</v>
      </c>
      <c r="AL313" s="39">
        <v>0</v>
      </c>
      <c r="AM313" s="42">
        <v>0</v>
      </c>
      <c r="AN313" s="42">
        <v>0</v>
      </c>
      <c r="AO313" s="42" t="s">
        <v>416</v>
      </c>
      <c r="AP313" s="42">
        <v>29</v>
      </c>
      <c r="AQ313" s="42" t="s">
        <v>734</v>
      </c>
    </row>
    <row r="314" spans="1:43" x14ac:dyDescent="0.15">
      <c r="A314" s="37" t="s">
        <v>90</v>
      </c>
      <c r="B314" s="37" t="s">
        <v>672</v>
      </c>
      <c r="C314" s="37" t="s">
        <v>413</v>
      </c>
      <c r="D314" s="37" t="s">
        <v>716</v>
      </c>
      <c r="E314" s="37" t="s">
        <v>415</v>
      </c>
      <c r="F314" s="37" t="s">
        <v>6</v>
      </c>
      <c r="G314" s="37" t="s">
        <v>561</v>
      </c>
      <c r="H314" s="37">
        <v>12</v>
      </c>
      <c r="I314" s="41">
        <v>1</v>
      </c>
      <c r="J314" s="45">
        <v>1</v>
      </c>
      <c r="K314" s="45">
        <v>1</v>
      </c>
      <c r="L314" s="45"/>
      <c r="M314" s="45"/>
      <c r="N314" s="45"/>
      <c r="P314" s="39">
        <v>11</v>
      </c>
      <c r="Q314" s="39">
        <v>12</v>
      </c>
      <c r="R314" s="39">
        <v>1</v>
      </c>
      <c r="S314" s="39">
        <v>12</v>
      </c>
      <c r="T314" s="39">
        <v>0</v>
      </c>
      <c r="U314" s="39">
        <v>0</v>
      </c>
      <c r="V314" s="39">
        <v>0</v>
      </c>
      <c r="W314" s="49">
        <v>0</v>
      </c>
      <c r="X314" s="49"/>
      <c r="Y314" s="49"/>
      <c r="Z314" s="49"/>
      <c r="AA314" s="50"/>
      <c r="AB314" s="50"/>
      <c r="AC314" s="50"/>
      <c r="AD314" s="50"/>
      <c r="AE314" s="50"/>
      <c r="AH314" s="39">
        <v>1129.03225806452</v>
      </c>
      <c r="AI314" s="39">
        <v>560</v>
      </c>
      <c r="AJ314" s="39">
        <v>0</v>
      </c>
      <c r="AK314" s="39">
        <v>0</v>
      </c>
      <c r="AL314" s="39">
        <v>0</v>
      </c>
      <c r="AM314" s="42">
        <v>0</v>
      </c>
      <c r="AN314" s="42">
        <v>0</v>
      </c>
      <c r="AO314" s="42" t="s">
        <v>416</v>
      </c>
      <c r="AP314" s="42">
        <v>12</v>
      </c>
      <c r="AQ314" s="42" t="s">
        <v>733</v>
      </c>
    </row>
    <row r="315" spans="1:43" x14ac:dyDescent="0.15">
      <c r="A315" s="37" t="s">
        <v>81</v>
      </c>
      <c r="B315" s="37" t="s">
        <v>672</v>
      </c>
      <c r="C315" s="37" t="s">
        <v>413</v>
      </c>
      <c r="D315" s="37" t="s">
        <v>717</v>
      </c>
      <c r="E315" s="37" t="s">
        <v>415</v>
      </c>
      <c r="F315" s="37" t="s">
        <v>6</v>
      </c>
      <c r="G315" s="37">
        <v>0</v>
      </c>
      <c r="H315" s="37">
        <v>17</v>
      </c>
      <c r="I315" s="41">
        <v>2</v>
      </c>
      <c r="J315" s="45">
        <v>1</v>
      </c>
      <c r="K315" s="45">
        <v>1</v>
      </c>
      <c r="L315" s="45"/>
      <c r="M315" s="45"/>
      <c r="N315" s="45"/>
      <c r="P315" s="39">
        <v>16</v>
      </c>
      <c r="Q315" s="39">
        <v>17</v>
      </c>
      <c r="R315" s="39">
        <v>2</v>
      </c>
      <c r="S315" s="39">
        <v>17</v>
      </c>
      <c r="T315" s="39">
        <v>0</v>
      </c>
      <c r="U315" s="39">
        <v>0</v>
      </c>
      <c r="V315" s="39">
        <v>0</v>
      </c>
      <c r="W315" s="49">
        <v>0</v>
      </c>
      <c r="X315" s="49"/>
      <c r="Y315" s="49"/>
      <c r="Z315" s="49"/>
      <c r="AA315" s="50"/>
      <c r="AB315" s="50"/>
      <c r="AC315" s="50"/>
      <c r="AD315" s="50"/>
      <c r="AE315" s="50"/>
      <c r="AH315" s="39">
        <v>2258.0645161290299</v>
      </c>
      <c r="AI315" s="39">
        <v>560</v>
      </c>
      <c r="AJ315" s="39">
        <v>0</v>
      </c>
      <c r="AK315" s="39">
        <v>0</v>
      </c>
      <c r="AL315" s="39">
        <v>0</v>
      </c>
      <c r="AM315" s="42">
        <v>0</v>
      </c>
      <c r="AN315" s="42">
        <v>0</v>
      </c>
      <c r="AO315" s="42" t="s">
        <v>416</v>
      </c>
      <c r="AP315" s="42">
        <v>17</v>
      </c>
      <c r="AQ315" s="42" t="s">
        <v>733</v>
      </c>
    </row>
    <row r="316" spans="1:43" x14ac:dyDescent="0.15">
      <c r="A316" s="37" t="s">
        <v>47</v>
      </c>
      <c r="B316" s="37" t="s">
        <v>419</v>
      </c>
      <c r="C316" s="37" t="s">
        <v>417</v>
      </c>
      <c r="D316" s="37" t="s">
        <v>718</v>
      </c>
      <c r="E316" s="37" t="s">
        <v>415</v>
      </c>
      <c r="F316" s="37" t="s">
        <v>6</v>
      </c>
      <c r="G316" s="37">
        <v>0</v>
      </c>
      <c r="H316" s="37">
        <v>13</v>
      </c>
      <c r="I316" s="41">
        <v>1</v>
      </c>
      <c r="J316" s="41">
        <v>0</v>
      </c>
      <c r="K316" s="41">
        <v>0</v>
      </c>
      <c r="P316" s="39">
        <v>13</v>
      </c>
      <c r="Q316" s="39">
        <v>13</v>
      </c>
      <c r="R316" s="39">
        <v>1</v>
      </c>
      <c r="S316" s="39">
        <v>13</v>
      </c>
      <c r="T316" s="39">
        <v>0</v>
      </c>
      <c r="U316" s="39">
        <v>0</v>
      </c>
      <c r="V316" s="39">
        <v>1</v>
      </c>
      <c r="W316" s="41">
        <v>20</v>
      </c>
      <c r="AD316" s="42">
        <v>130</v>
      </c>
      <c r="AH316" s="39">
        <v>0</v>
      </c>
      <c r="AI316" s="39">
        <v>780</v>
      </c>
      <c r="AJ316" s="39">
        <v>0</v>
      </c>
      <c r="AK316" s="39">
        <v>0</v>
      </c>
      <c r="AL316" s="39">
        <v>0</v>
      </c>
      <c r="AM316" s="42">
        <v>0</v>
      </c>
      <c r="AN316" s="42">
        <v>0</v>
      </c>
      <c r="AO316" s="42" t="s">
        <v>416</v>
      </c>
      <c r="AP316" s="42">
        <v>13</v>
      </c>
      <c r="AQ316" s="42" t="s">
        <v>732</v>
      </c>
    </row>
    <row r="317" spans="1:43" x14ac:dyDescent="0.15">
      <c r="A317" s="37" t="s">
        <v>52</v>
      </c>
      <c r="B317" s="37" t="s">
        <v>419</v>
      </c>
      <c r="C317" s="37" t="s">
        <v>417</v>
      </c>
      <c r="D317" s="37" t="s">
        <v>719</v>
      </c>
      <c r="E317" s="37" t="s">
        <v>415</v>
      </c>
      <c r="F317" s="37" t="s">
        <v>6</v>
      </c>
      <c r="G317" s="37" t="s">
        <v>561</v>
      </c>
      <c r="H317" s="37">
        <v>12</v>
      </c>
      <c r="I317" s="41">
        <v>1</v>
      </c>
      <c r="J317" s="41">
        <v>0</v>
      </c>
      <c r="P317" s="39">
        <v>12</v>
      </c>
      <c r="Q317" s="39">
        <v>12</v>
      </c>
      <c r="R317" s="39">
        <v>1</v>
      </c>
      <c r="S317" s="39">
        <v>12</v>
      </c>
      <c r="T317" s="39">
        <v>0</v>
      </c>
      <c r="U317" s="39">
        <v>0</v>
      </c>
      <c r="V317" s="39">
        <v>1</v>
      </c>
      <c r="W317" s="41">
        <v>20</v>
      </c>
      <c r="AH317" s="39">
        <v>0</v>
      </c>
      <c r="AI317" s="39">
        <v>720</v>
      </c>
      <c r="AJ317" s="39">
        <v>0</v>
      </c>
      <c r="AK317" s="39">
        <v>0</v>
      </c>
      <c r="AL317" s="39">
        <v>0</v>
      </c>
      <c r="AM317" s="42">
        <v>0</v>
      </c>
      <c r="AN317" s="42">
        <v>0</v>
      </c>
      <c r="AO317" s="42" t="s">
        <v>416</v>
      </c>
      <c r="AP317" s="42">
        <v>12</v>
      </c>
      <c r="AQ317" s="42" t="s">
        <v>732</v>
      </c>
    </row>
    <row r="318" spans="1:43" x14ac:dyDescent="0.15">
      <c r="A318" s="37" t="s">
        <v>49</v>
      </c>
      <c r="B318" s="37" t="s">
        <v>419</v>
      </c>
      <c r="C318" s="37" t="s">
        <v>417</v>
      </c>
      <c r="D318" s="37" t="s">
        <v>720</v>
      </c>
      <c r="E318" s="37" t="s">
        <v>415</v>
      </c>
      <c r="F318" s="37" t="s">
        <v>6</v>
      </c>
      <c r="G318" s="37" t="s">
        <v>561</v>
      </c>
      <c r="H318" s="37">
        <v>12</v>
      </c>
      <c r="I318" s="41">
        <v>1</v>
      </c>
      <c r="J318" s="41">
        <v>0</v>
      </c>
      <c r="P318" s="39">
        <v>12</v>
      </c>
      <c r="Q318" s="39">
        <v>12</v>
      </c>
      <c r="R318" s="39">
        <v>1</v>
      </c>
      <c r="S318" s="39">
        <v>12</v>
      </c>
      <c r="T318" s="39">
        <v>0</v>
      </c>
      <c r="U318" s="39">
        <v>0</v>
      </c>
      <c r="V318" s="39">
        <v>1</v>
      </c>
      <c r="W318" s="41">
        <v>20</v>
      </c>
      <c r="AH318" s="39">
        <v>0</v>
      </c>
      <c r="AI318" s="39">
        <v>720</v>
      </c>
      <c r="AJ318" s="39">
        <v>0</v>
      </c>
      <c r="AK318" s="39">
        <v>0</v>
      </c>
      <c r="AL318" s="39">
        <v>0</v>
      </c>
      <c r="AM318" s="42">
        <v>0</v>
      </c>
      <c r="AN318" s="42">
        <v>0</v>
      </c>
      <c r="AO318" s="42" t="s">
        <v>416</v>
      </c>
      <c r="AP318" s="42">
        <v>12</v>
      </c>
      <c r="AQ318" s="42" t="s">
        <v>732</v>
      </c>
    </row>
    <row r="319" spans="1:43" x14ac:dyDescent="0.15">
      <c r="A319" s="37" t="s">
        <v>53</v>
      </c>
      <c r="B319" s="37" t="s">
        <v>419</v>
      </c>
      <c r="C319" s="37" t="s">
        <v>417</v>
      </c>
      <c r="D319" s="37" t="s">
        <v>721</v>
      </c>
      <c r="E319" s="37" t="s">
        <v>415</v>
      </c>
      <c r="F319" s="37" t="s">
        <v>6</v>
      </c>
      <c r="G319" s="37" t="s">
        <v>561</v>
      </c>
      <c r="H319" s="37">
        <v>9</v>
      </c>
      <c r="I319" s="41">
        <v>1</v>
      </c>
      <c r="J319" s="41">
        <v>0</v>
      </c>
      <c r="P319" s="39">
        <v>9</v>
      </c>
      <c r="Q319" s="39">
        <v>9</v>
      </c>
      <c r="R319" s="39">
        <v>1</v>
      </c>
      <c r="S319" s="39">
        <v>9</v>
      </c>
      <c r="T319" s="39">
        <v>0</v>
      </c>
      <c r="U319" s="39">
        <v>0</v>
      </c>
      <c r="V319" s="39">
        <v>1</v>
      </c>
      <c r="W319" s="41">
        <v>20</v>
      </c>
      <c r="AH319" s="39">
        <v>0</v>
      </c>
      <c r="AI319" s="39">
        <v>540</v>
      </c>
      <c r="AJ319" s="39">
        <v>0</v>
      </c>
      <c r="AK319" s="39">
        <v>0</v>
      </c>
      <c r="AL319" s="39">
        <v>0</v>
      </c>
      <c r="AM319" s="42">
        <v>0</v>
      </c>
      <c r="AN319" s="42">
        <v>0</v>
      </c>
      <c r="AO319" s="42" t="s">
        <v>416</v>
      </c>
      <c r="AP319" s="42">
        <v>9</v>
      </c>
      <c r="AQ319" s="42" t="s">
        <v>732</v>
      </c>
    </row>
    <row r="320" spans="1:43" x14ac:dyDescent="0.15">
      <c r="A320" s="37" t="s">
        <v>59</v>
      </c>
      <c r="B320" s="37" t="s">
        <v>419</v>
      </c>
      <c r="C320" s="37" t="s">
        <v>417</v>
      </c>
      <c r="D320" s="37" t="s">
        <v>722</v>
      </c>
      <c r="E320" s="37" t="s">
        <v>415</v>
      </c>
      <c r="F320" s="37" t="s">
        <v>6</v>
      </c>
      <c r="G320" s="37" t="s">
        <v>561</v>
      </c>
      <c r="H320" s="37">
        <v>9</v>
      </c>
      <c r="I320" s="41">
        <v>1</v>
      </c>
      <c r="J320" s="41">
        <v>0</v>
      </c>
      <c r="P320" s="39">
        <v>9</v>
      </c>
      <c r="Q320" s="39">
        <v>9</v>
      </c>
      <c r="R320" s="39">
        <v>1</v>
      </c>
      <c r="S320" s="39">
        <v>9</v>
      </c>
      <c r="T320" s="39">
        <v>0</v>
      </c>
      <c r="U320" s="39">
        <v>0</v>
      </c>
      <c r="V320" s="39">
        <v>1</v>
      </c>
      <c r="W320" s="41">
        <v>20</v>
      </c>
      <c r="AH320" s="39">
        <v>0</v>
      </c>
      <c r="AI320" s="39">
        <v>540</v>
      </c>
      <c r="AJ320" s="39">
        <v>0</v>
      </c>
      <c r="AK320" s="39">
        <v>0</v>
      </c>
      <c r="AL320" s="39">
        <v>0</v>
      </c>
      <c r="AM320" s="42">
        <v>0</v>
      </c>
      <c r="AN320" s="42">
        <v>0</v>
      </c>
      <c r="AO320" s="42" t="s">
        <v>416</v>
      </c>
      <c r="AP320" s="42">
        <v>9</v>
      </c>
      <c r="AQ320" s="42" t="s">
        <v>732</v>
      </c>
    </row>
    <row r="321" spans="1:43" x14ac:dyDescent="0.15">
      <c r="A321" s="37" t="s">
        <v>47</v>
      </c>
      <c r="B321" s="37" t="s">
        <v>419</v>
      </c>
      <c r="C321" s="37" t="s">
        <v>417</v>
      </c>
      <c r="D321" s="37" t="s">
        <v>723</v>
      </c>
      <c r="E321" s="37" t="s">
        <v>415</v>
      </c>
      <c r="F321" s="37" t="s">
        <v>6</v>
      </c>
      <c r="G321" s="37" t="s">
        <v>561</v>
      </c>
      <c r="H321" s="37">
        <v>9</v>
      </c>
      <c r="I321" s="41">
        <v>1</v>
      </c>
      <c r="J321" s="41">
        <v>0</v>
      </c>
      <c r="P321" s="39">
        <v>9</v>
      </c>
      <c r="Q321" s="39">
        <v>9</v>
      </c>
      <c r="R321" s="39">
        <v>1</v>
      </c>
      <c r="S321" s="39">
        <v>9</v>
      </c>
      <c r="T321" s="39">
        <v>0</v>
      </c>
      <c r="U321" s="39">
        <v>0</v>
      </c>
      <c r="V321" s="39">
        <v>1</v>
      </c>
      <c r="W321" s="41">
        <v>20</v>
      </c>
      <c r="AH321" s="39">
        <v>0</v>
      </c>
      <c r="AI321" s="39">
        <v>540</v>
      </c>
      <c r="AJ321" s="39">
        <v>0</v>
      </c>
      <c r="AK321" s="39">
        <v>0</v>
      </c>
      <c r="AL321" s="39">
        <v>0</v>
      </c>
      <c r="AM321" s="42">
        <v>0</v>
      </c>
      <c r="AN321" s="42">
        <v>0</v>
      </c>
      <c r="AO321" s="42" t="s">
        <v>416</v>
      </c>
      <c r="AP321" s="42">
        <v>9</v>
      </c>
      <c r="AQ321" s="42" t="s">
        <v>732</v>
      </c>
    </row>
    <row r="322" spans="1:43" x14ac:dyDescent="0.15">
      <c r="A322" s="37" t="s">
        <v>39</v>
      </c>
      <c r="B322" s="37" t="s">
        <v>419</v>
      </c>
      <c r="C322" s="37" t="s">
        <v>417</v>
      </c>
      <c r="D322" s="37" t="s">
        <v>724</v>
      </c>
      <c r="E322" s="37" t="s">
        <v>415</v>
      </c>
      <c r="F322" s="37" t="s">
        <v>6</v>
      </c>
      <c r="G322" s="37" t="s">
        <v>561</v>
      </c>
      <c r="H322" s="37">
        <v>8</v>
      </c>
      <c r="I322" s="41">
        <v>1</v>
      </c>
      <c r="J322" s="41">
        <v>0</v>
      </c>
      <c r="P322" s="39">
        <v>8</v>
      </c>
      <c r="Q322" s="39">
        <v>8</v>
      </c>
      <c r="R322" s="39">
        <v>1</v>
      </c>
      <c r="S322" s="39">
        <v>8</v>
      </c>
      <c r="T322" s="39">
        <v>0</v>
      </c>
      <c r="U322" s="39">
        <v>0</v>
      </c>
      <c r="V322" s="39">
        <v>1</v>
      </c>
      <c r="W322" s="41">
        <v>20</v>
      </c>
      <c r="AH322" s="39">
        <v>0</v>
      </c>
      <c r="AI322" s="39">
        <v>480</v>
      </c>
      <c r="AJ322" s="39">
        <v>0</v>
      </c>
      <c r="AK322" s="39">
        <v>0</v>
      </c>
      <c r="AL322" s="39">
        <v>0</v>
      </c>
      <c r="AM322" s="42">
        <v>0</v>
      </c>
      <c r="AN322" s="42">
        <v>0</v>
      </c>
      <c r="AO322" s="42" t="s">
        <v>416</v>
      </c>
      <c r="AP322" s="42">
        <v>8</v>
      </c>
      <c r="AQ322" s="42" t="s">
        <v>732</v>
      </c>
    </row>
    <row r="323" spans="1:43" x14ac:dyDescent="0.15">
      <c r="A323" s="37" t="s">
        <v>46</v>
      </c>
      <c r="B323" s="37" t="s">
        <v>419</v>
      </c>
      <c r="C323" s="37" t="s">
        <v>417</v>
      </c>
      <c r="D323" s="37" t="s">
        <v>725</v>
      </c>
      <c r="E323" s="37" t="s">
        <v>415</v>
      </c>
      <c r="F323" s="37" t="s">
        <v>6</v>
      </c>
      <c r="G323" s="37" t="s">
        <v>561</v>
      </c>
      <c r="H323" s="37">
        <v>4</v>
      </c>
      <c r="I323" s="41">
        <v>0</v>
      </c>
      <c r="J323" s="41">
        <v>0</v>
      </c>
      <c r="P323" s="39">
        <v>4</v>
      </c>
      <c r="Q323" s="39">
        <v>4</v>
      </c>
      <c r="R323" s="39">
        <v>0</v>
      </c>
      <c r="S323" s="39">
        <v>4</v>
      </c>
      <c r="T323" s="39">
        <v>0</v>
      </c>
      <c r="U323" s="39">
        <v>0</v>
      </c>
      <c r="V323" s="39">
        <v>0</v>
      </c>
      <c r="W323" s="41">
        <v>0</v>
      </c>
      <c r="AH323" s="39">
        <v>0</v>
      </c>
      <c r="AI323" s="39">
        <v>240</v>
      </c>
      <c r="AJ323" s="39">
        <v>0</v>
      </c>
      <c r="AK323" s="39">
        <v>0</v>
      </c>
      <c r="AL323" s="39">
        <v>0</v>
      </c>
      <c r="AM323" s="42">
        <v>0</v>
      </c>
      <c r="AN323" s="42">
        <v>0</v>
      </c>
      <c r="AO323" s="42" t="s">
        <v>416</v>
      </c>
      <c r="AP323" s="42">
        <v>4</v>
      </c>
      <c r="AQ323" s="42" t="s">
        <v>732</v>
      </c>
    </row>
    <row r="324" spans="1:43" x14ac:dyDescent="0.15">
      <c r="A324" s="37" t="s">
        <v>57</v>
      </c>
      <c r="B324" s="37" t="s">
        <v>419</v>
      </c>
      <c r="C324" s="37" t="s">
        <v>417</v>
      </c>
      <c r="D324" s="37" t="s">
        <v>726</v>
      </c>
      <c r="E324" s="37" t="s">
        <v>415</v>
      </c>
      <c r="F324" s="37" t="s">
        <v>6</v>
      </c>
      <c r="G324" s="37" t="s">
        <v>561</v>
      </c>
      <c r="H324" s="37">
        <v>7</v>
      </c>
      <c r="I324" s="41">
        <v>1</v>
      </c>
      <c r="J324" s="41">
        <v>0</v>
      </c>
      <c r="P324" s="39">
        <v>7</v>
      </c>
      <c r="Q324" s="39">
        <v>7</v>
      </c>
      <c r="R324" s="39">
        <v>1</v>
      </c>
      <c r="S324" s="39">
        <v>7</v>
      </c>
      <c r="T324" s="39">
        <v>0</v>
      </c>
      <c r="U324" s="39">
        <v>0</v>
      </c>
      <c r="V324" s="39">
        <v>1</v>
      </c>
      <c r="W324" s="41">
        <v>20</v>
      </c>
      <c r="AH324" s="39">
        <v>0</v>
      </c>
      <c r="AI324" s="39">
        <v>420</v>
      </c>
      <c r="AJ324" s="39">
        <v>0</v>
      </c>
      <c r="AK324" s="39">
        <v>0</v>
      </c>
      <c r="AL324" s="39">
        <v>0</v>
      </c>
      <c r="AM324" s="42">
        <v>0</v>
      </c>
      <c r="AN324" s="42">
        <v>0</v>
      </c>
      <c r="AO324" s="42" t="s">
        <v>416</v>
      </c>
      <c r="AP324" s="42">
        <v>7</v>
      </c>
      <c r="AQ324" s="42" t="s">
        <v>732</v>
      </c>
    </row>
    <row r="325" spans="1:43" x14ac:dyDescent="0.15">
      <c r="A325" s="37" t="s">
        <v>39</v>
      </c>
      <c r="B325" s="37" t="s">
        <v>419</v>
      </c>
      <c r="C325" s="37" t="s">
        <v>417</v>
      </c>
      <c r="D325" s="37" t="s">
        <v>727</v>
      </c>
      <c r="E325" s="37" t="s">
        <v>415</v>
      </c>
      <c r="F325" s="37" t="s">
        <v>6</v>
      </c>
      <c r="G325" s="37" t="s">
        <v>561</v>
      </c>
      <c r="H325" s="37">
        <v>5</v>
      </c>
      <c r="I325" s="41">
        <v>0</v>
      </c>
      <c r="J325" s="41">
        <v>0</v>
      </c>
      <c r="P325" s="39">
        <v>5</v>
      </c>
      <c r="Q325" s="39">
        <v>5</v>
      </c>
      <c r="R325" s="39">
        <v>0</v>
      </c>
      <c r="S325" s="39">
        <v>5</v>
      </c>
      <c r="T325" s="39">
        <v>0</v>
      </c>
      <c r="U325" s="39">
        <v>0</v>
      </c>
      <c r="V325" s="39">
        <v>0</v>
      </c>
      <c r="W325" s="41">
        <v>0</v>
      </c>
      <c r="AH325" s="39">
        <v>0</v>
      </c>
      <c r="AI325" s="39">
        <v>300</v>
      </c>
      <c r="AJ325" s="39">
        <v>0</v>
      </c>
      <c r="AK325" s="39">
        <v>0</v>
      </c>
      <c r="AL325" s="39">
        <v>0</v>
      </c>
      <c r="AM325" s="42">
        <v>0</v>
      </c>
      <c r="AN325" s="42">
        <v>0</v>
      </c>
      <c r="AO325" s="42" t="s">
        <v>416</v>
      </c>
      <c r="AP325" s="42">
        <v>5</v>
      </c>
      <c r="AQ325" s="42" t="s">
        <v>732</v>
      </c>
    </row>
    <row r="326" spans="1:43" x14ac:dyDescent="0.15">
      <c r="A326" s="37" t="s">
        <v>57</v>
      </c>
      <c r="B326" s="37" t="s">
        <v>419</v>
      </c>
      <c r="C326" s="37" t="s">
        <v>417</v>
      </c>
      <c r="D326" s="37" t="s">
        <v>735</v>
      </c>
      <c r="E326" s="37" t="s">
        <v>80</v>
      </c>
      <c r="F326" s="37" t="s">
        <v>6</v>
      </c>
      <c r="G326" s="37">
        <v>0</v>
      </c>
      <c r="H326" s="37">
        <v>9</v>
      </c>
      <c r="I326" s="41">
        <v>0</v>
      </c>
      <c r="J326" s="41">
        <v>0</v>
      </c>
      <c r="P326" s="39">
        <v>9</v>
      </c>
      <c r="Q326" s="39">
        <v>9</v>
      </c>
      <c r="R326" s="39">
        <v>1</v>
      </c>
      <c r="S326" s="39">
        <v>9</v>
      </c>
      <c r="T326" s="39">
        <v>0</v>
      </c>
      <c r="U326" s="39">
        <v>0</v>
      </c>
      <c r="V326" s="39">
        <v>0</v>
      </c>
      <c r="W326" s="41">
        <v>0</v>
      </c>
      <c r="AQ326" s="42" t="s">
        <v>731</v>
      </c>
    </row>
  </sheetData>
  <autoFilter ref="A3:AM315" xr:uid="{00000000-0001-0000-0200-000000000000}"/>
  <phoneticPr fontId="3" type="noConversion"/>
  <conditionalFormatting sqref="E324:F1048576 E1:F1 E2:E323">
    <cfRule type="duplicateValues" dxfId="27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Y34"/>
  <sheetViews>
    <sheetView workbookViewId="0">
      <selection activeCell="A4" sqref="A4:XFD4"/>
    </sheetView>
  </sheetViews>
  <sheetFormatPr defaultColWidth="9" defaultRowHeight="14.25" x14ac:dyDescent="0.15"/>
  <cols>
    <col min="1" max="15" width="9" style="76"/>
    <col min="16" max="16" width="9.5" style="122" customWidth="1"/>
    <col min="17" max="16384" width="9" style="76"/>
  </cols>
  <sheetData>
    <row r="1" spans="1:25" s="72" customFormat="1" x14ac:dyDescent="0.15">
      <c r="A1" s="107" t="s">
        <v>13</v>
      </c>
      <c r="B1" s="107" t="s">
        <v>7</v>
      </c>
      <c r="C1" s="107" t="s">
        <v>63</v>
      </c>
      <c r="D1" s="144" t="s">
        <v>154</v>
      </c>
      <c r="E1" s="144" t="s">
        <v>155</v>
      </c>
      <c r="F1" s="144" t="s">
        <v>156</v>
      </c>
      <c r="G1" s="145" t="s">
        <v>192</v>
      </c>
      <c r="H1" s="145" t="s">
        <v>193</v>
      </c>
      <c r="I1" s="145" t="s">
        <v>194</v>
      </c>
      <c r="J1" s="145" t="s">
        <v>195</v>
      </c>
      <c r="K1" s="145" t="s">
        <v>196</v>
      </c>
      <c r="L1" s="145" t="s">
        <v>197</v>
      </c>
      <c r="M1" s="145" t="s">
        <v>165</v>
      </c>
      <c r="N1" s="109" t="s">
        <v>198</v>
      </c>
      <c r="O1" s="111" t="s">
        <v>199</v>
      </c>
      <c r="P1" s="145" t="s">
        <v>200</v>
      </c>
      <c r="Q1" s="107" t="s">
        <v>201</v>
      </c>
      <c r="R1" s="107" t="s">
        <v>71</v>
      </c>
      <c r="S1" s="146" t="s">
        <v>202</v>
      </c>
      <c r="T1" s="147" t="s">
        <v>203</v>
      </c>
      <c r="U1" s="107" t="s">
        <v>73</v>
      </c>
      <c r="V1" s="148" t="s">
        <v>204</v>
      </c>
      <c r="W1" s="148" t="s">
        <v>77</v>
      </c>
      <c r="X1" s="109" t="s">
        <v>205</v>
      </c>
      <c r="Y1" s="107" t="s">
        <v>64</v>
      </c>
    </row>
    <row r="2" spans="1:25" x14ac:dyDescent="0.15">
      <c r="B2" s="72" t="str">
        <f>②当月数据及门店毛利!B4</f>
        <v>紫荆</v>
      </c>
      <c r="C2" s="76">
        <f>_xlfn.XLOOKUP(B2,'经理核算-门店口径核算'!B:B,'经理核算-门店口径核算'!P:P,0)</f>
        <v>0</v>
      </c>
      <c r="D2" s="76">
        <f>②当月数据及门店毛利!C4</f>
        <v>522756</v>
      </c>
      <c r="E2" s="76">
        <f>②当月数据及门店毛利!D4</f>
        <v>368762.45</v>
      </c>
      <c r="F2" s="76">
        <f>②当月数据及门店毛利!E4</f>
        <v>210</v>
      </c>
      <c r="G2" s="76">
        <f>②当月数据及门店毛利!G4</f>
        <v>2025</v>
      </c>
      <c r="H2" s="76">
        <f>②当月数据及门店毛利!H4</f>
        <v>1715.29</v>
      </c>
      <c r="I2" s="76">
        <f>②当月数据及门店毛利!I4</f>
        <v>3589.34</v>
      </c>
      <c r="J2" s="76">
        <f>②当月数据及门店毛利!J4</f>
        <v>23805</v>
      </c>
      <c r="K2" s="76">
        <f>②当月数据及门店毛利!K4</f>
        <v>0</v>
      </c>
      <c r="L2" s="76">
        <f>②当月数据及门店毛利!L4</f>
        <v>961.8</v>
      </c>
      <c r="M2" s="76">
        <f>②当月数据及门店毛利!N4</f>
        <v>490659.57</v>
      </c>
      <c r="N2" s="76">
        <f>_xlfn.XLOOKUP(B2,'经理核算-门店口径核算'!B:B,'经理核算-门店口径核算'!Q:Q,0)</f>
        <v>0</v>
      </c>
      <c r="P2" s="122">
        <f>_xlfn.XLOOKUP(B2,'经理核算-门店口径核算'!B:B,'经理核算-门店口径核算'!V:V,0)</f>
        <v>0</v>
      </c>
    </row>
    <row r="3" spans="1:25" x14ac:dyDescent="0.15">
      <c r="B3" s="72" t="str">
        <f>②当月数据及门店毛利!B5</f>
        <v>龙湖</v>
      </c>
      <c r="C3" s="76">
        <f>_xlfn.XLOOKUP(B3,'经理核算-门店口径核算'!B:B,'经理核算-门店口径核算'!P:P,0)</f>
        <v>0</v>
      </c>
      <c r="D3" s="76">
        <f>②当月数据及门店毛利!C5</f>
        <v>220223</v>
      </c>
      <c r="E3" s="76">
        <f>②当月数据及门店毛利!D5</f>
        <v>210203.02</v>
      </c>
      <c r="F3" s="76">
        <f>②当月数据及门店毛利!E5</f>
        <v>205</v>
      </c>
      <c r="G3" s="76">
        <f>②当月数据及门店毛利!G5</f>
        <v>2426.79</v>
      </c>
      <c r="H3" s="76">
        <f>②当月数据及门店毛利!H5</f>
        <v>997.28</v>
      </c>
      <c r="I3" s="76">
        <f>②当月数据及门店毛利!I5</f>
        <v>3222.84</v>
      </c>
      <c r="J3" s="76">
        <f>②当月数据及门店毛利!J5</f>
        <v>8600</v>
      </c>
      <c r="K3" s="76">
        <f>②当月数据及门店毛利!K5</f>
        <v>0</v>
      </c>
      <c r="L3" s="76">
        <f>②当月数据及门店毛利!L5</f>
        <v>775.2</v>
      </c>
      <c r="M3" s="76">
        <f>②当月数据及门店毛利!N5</f>
        <v>204200.89</v>
      </c>
      <c r="N3" s="76">
        <f>_xlfn.XLOOKUP(B3,'经理核算-门店口径核算'!B:B,'经理核算-门店口径核算'!Q:Q,0)</f>
        <v>0</v>
      </c>
      <c r="P3" s="122">
        <f>_xlfn.XLOOKUP(B3,'经理核算-门店口径核算'!B:B,'经理核算-门店口径核算'!V:V,0)</f>
        <v>0</v>
      </c>
    </row>
    <row r="4" spans="1:25" x14ac:dyDescent="0.15">
      <c r="B4" s="72" t="str">
        <f>②当月数据及门店毛利!B6</f>
        <v>沙河</v>
      </c>
      <c r="C4" s="76">
        <f>_xlfn.XLOOKUP(B4,'经理核算-门店口径核算'!B:B,'经理核算-门店口径核算'!P:P,0)</f>
        <v>0</v>
      </c>
      <c r="D4" s="76">
        <f>②当月数据及门店毛利!C6</f>
        <v>150694</v>
      </c>
      <c r="E4" s="76">
        <f>②当月数据及门店毛利!D6</f>
        <v>142453.84</v>
      </c>
      <c r="F4" s="76">
        <f>②当月数据及门店毛利!E6</f>
        <v>160</v>
      </c>
      <c r="G4" s="76">
        <f>②当月数据及门店毛利!G6</f>
        <v>2001</v>
      </c>
      <c r="H4" s="76">
        <f>②当月数据及门店毛利!H6</f>
        <v>2190.15</v>
      </c>
      <c r="I4" s="76">
        <f>②当月数据及门店毛利!I6</f>
        <v>11665.32</v>
      </c>
      <c r="J4" s="76">
        <f>②当月数据及门店毛利!J6</f>
        <v>2450</v>
      </c>
      <c r="K4" s="76">
        <f>②当月数据及门店毛利!K6</f>
        <v>0</v>
      </c>
      <c r="L4" s="76">
        <f>②当月数据及门店毛利!L6</f>
        <v>1113.3</v>
      </c>
      <c r="M4" s="76">
        <f>②当月数据及门店毛利!N6</f>
        <v>131274.23000000001</v>
      </c>
      <c r="N4" s="76">
        <f>_xlfn.XLOOKUP(B4,'经理核算-门店口径核算'!B:B,'经理核算-门店口径核算'!Q:Q,0)</f>
        <v>0</v>
      </c>
      <c r="P4" s="122">
        <f>_xlfn.XLOOKUP(B4,'经理核算-门店口径核算'!B:B,'经理核算-门店口径核算'!V:V,0)</f>
        <v>0</v>
      </c>
    </row>
    <row r="5" spans="1:25" x14ac:dyDescent="0.15">
      <c r="B5" s="72" t="str">
        <f>②当月数据及门店毛利!B7</f>
        <v>华润</v>
      </c>
      <c r="C5" s="76">
        <f>_xlfn.XLOOKUP(B5,'经理核算-门店口径核算'!B:B,'经理核算-门店口径核算'!P:P,0)</f>
        <v>0</v>
      </c>
      <c r="D5" s="76">
        <f>②当月数据及门店毛利!C7</f>
        <v>201952.3</v>
      </c>
      <c r="E5" s="76">
        <f>②当月数据及门店毛利!D7</f>
        <v>179433.01</v>
      </c>
      <c r="F5" s="76">
        <f>②当月数据及门店毛利!E7</f>
        <v>195</v>
      </c>
      <c r="G5" s="76">
        <f>②当月数据及门店毛利!G7</f>
        <v>2114.34</v>
      </c>
      <c r="H5" s="76">
        <f>②当月数据及门店毛利!H7</f>
        <v>701.6</v>
      </c>
      <c r="I5" s="76">
        <f>②当月数据及门店毛利!I7</f>
        <v>2895.52</v>
      </c>
      <c r="J5" s="76">
        <f>②当月数据及门店毛利!J7</f>
        <v>4750</v>
      </c>
      <c r="K5" s="76">
        <f>②当月数据及门店毛利!K7</f>
        <v>0</v>
      </c>
      <c r="L5" s="76">
        <f>②当月数据及门店毛利!L7</f>
        <v>1005.1</v>
      </c>
      <c r="M5" s="76">
        <f>②当月数据及门店毛利!N7</f>
        <v>190485.74</v>
      </c>
      <c r="N5" s="76">
        <f>_xlfn.XLOOKUP(B5,'经理核算-门店口径核算'!B:B,'经理核算-门店口径核算'!Q:Q,0)</f>
        <v>0</v>
      </c>
      <c r="P5" s="122">
        <f>_xlfn.XLOOKUP(B5,'经理核算-门店口径核算'!B:B,'经理核算-门店口径核算'!V:V,0)</f>
        <v>0</v>
      </c>
    </row>
    <row r="6" spans="1:25" x14ac:dyDescent="0.15">
      <c r="B6" s="72" t="str">
        <f>②当月数据及门店毛利!B8</f>
        <v>静居寺</v>
      </c>
      <c r="C6" s="76">
        <f>_xlfn.XLOOKUP(B6,'经理核算-门店口径核算'!B:B,'经理核算-门店口径核算'!P:P,0)</f>
        <v>0</v>
      </c>
      <c r="D6" s="76">
        <f>②当月数据及门店毛利!C8</f>
        <v>407490.19</v>
      </c>
      <c r="E6" s="76">
        <f>②当月数据及门店毛利!D8</f>
        <v>518617.05</v>
      </c>
      <c r="F6" s="76">
        <f>②当月数据及门店毛利!E8</f>
        <v>206</v>
      </c>
      <c r="G6" s="76">
        <f>②当月数据及门店毛利!G8</f>
        <v>4907.0600000000004</v>
      </c>
      <c r="H6" s="76">
        <f>②当月数据及门店毛利!H8</f>
        <v>689.11</v>
      </c>
      <c r="I6" s="76">
        <f>②当月数据及门店毛利!I8</f>
        <v>3515.1</v>
      </c>
      <c r="J6" s="76">
        <f>②当月数据及门店毛利!J8</f>
        <v>25892.5</v>
      </c>
      <c r="K6" s="76">
        <f>②当月数据及门店毛利!K8</f>
        <v>7360</v>
      </c>
      <c r="L6" s="76">
        <f>②当月数据及门店毛利!L8</f>
        <v>1155.3</v>
      </c>
      <c r="M6" s="76">
        <f>②当月数据及门店毛利!N8</f>
        <v>363971.12</v>
      </c>
      <c r="N6" s="76">
        <f>_xlfn.XLOOKUP(B6,'经理核算-门店口径核算'!B:B,'经理核算-门店口径核算'!Q:Q,0)</f>
        <v>0</v>
      </c>
      <c r="P6" s="122">
        <f>_xlfn.XLOOKUP(B6,'经理核算-门店口径核算'!B:B,'经理核算-门店口径核算'!V:V,0)</f>
        <v>0</v>
      </c>
    </row>
    <row r="7" spans="1:25" x14ac:dyDescent="0.15">
      <c r="B7" s="72" t="str">
        <f>②当月数据及门店毛利!B9</f>
        <v>优品道</v>
      </c>
      <c r="C7" s="76">
        <f>_xlfn.XLOOKUP(B7,'经理核算-门店口径核算'!B:B,'经理核算-门店口径核算'!P:P,0)</f>
        <v>0</v>
      </c>
      <c r="D7" s="76">
        <f>②当月数据及门店毛利!C9</f>
        <v>160812</v>
      </c>
      <c r="E7" s="76">
        <f>②当月数据及门店毛利!D9</f>
        <v>146778.57999999999</v>
      </c>
      <c r="F7" s="76">
        <f>②当月数据及门店毛利!E9</f>
        <v>192</v>
      </c>
      <c r="G7" s="76">
        <f>②当月数据及门店毛利!G9</f>
        <v>3500</v>
      </c>
      <c r="H7" s="76">
        <f>②当月数据及门店毛利!H9</f>
        <v>1215.3800000000001</v>
      </c>
      <c r="I7" s="76">
        <f>②当月数据及门店毛利!I9</f>
        <v>3582.9</v>
      </c>
      <c r="J7" s="76">
        <f>②当月数据及门店毛利!J9</f>
        <v>5590</v>
      </c>
      <c r="K7" s="76">
        <f>②当月数据及门店毛利!K9</f>
        <v>0</v>
      </c>
      <c r="L7" s="76">
        <f>②当月数据及门店毛利!L9</f>
        <v>920.3</v>
      </c>
      <c r="M7" s="76">
        <f>②当月数据及门店毛利!N9</f>
        <v>146003.42000000001</v>
      </c>
      <c r="N7" s="76">
        <f>_xlfn.XLOOKUP(B7,'经理核算-门店口径核算'!B:B,'经理核算-门店口径核算'!Q:Q,0)</f>
        <v>0</v>
      </c>
      <c r="P7" s="122">
        <f>_xlfn.XLOOKUP(B7,'经理核算-门店口径核算'!B:B,'经理核算-门店口径核算'!V:V,0)</f>
        <v>0</v>
      </c>
    </row>
    <row r="8" spans="1:25" x14ac:dyDescent="0.15">
      <c r="B8" s="72">
        <f>②当月数据及门店毛利!B10</f>
        <v>468</v>
      </c>
      <c r="C8" s="76">
        <f>_xlfn.XLOOKUP(B8,'经理核算-门店口径核算'!B:B,'经理核算-门店口径核算'!P:P,0)</f>
        <v>0</v>
      </c>
      <c r="D8" s="76">
        <f>②当月数据及门店毛利!C10</f>
        <v>140295</v>
      </c>
      <c r="E8" s="76">
        <f>②当月数据及门店毛利!D10</f>
        <v>190782.77</v>
      </c>
      <c r="F8" s="76">
        <f>②当月数据及门店毛利!E10</f>
        <v>217</v>
      </c>
      <c r="G8" s="76">
        <f>②当月数据及门店毛利!G10</f>
        <v>3754.95</v>
      </c>
      <c r="H8" s="76">
        <f>②当月数据及门店毛利!H10</f>
        <v>1491.04</v>
      </c>
      <c r="I8" s="76">
        <f>②当月数据及门店毛利!I10</f>
        <v>3218.6</v>
      </c>
      <c r="J8" s="76">
        <f>②当月数据及门店毛利!J10</f>
        <v>3600</v>
      </c>
      <c r="K8" s="76">
        <f>②当月数据及门店毛利!K10</f>
        <v>90</v>
      </c>
      <c r="L8" s="76">
        <f>②当月数据及门店毛利!L10</f>
        <v>947.3</v>
      </c>
      <c r="M8" s="76">
        <f>②当月数据及门店毛利!N10</f>
        <v>127193.11</v>
      </c>
      <c r="N8" s="76">
        <f>_xlfn.XLOOKUP(B8,'经理核算-门店口径核算'!B:B,'经理核算-门店口径核算'!Q:Q,0)</f>
        <v>0</v>
      </c>
      <c r="P8" s="122">
        <f>_xlfn.XLOOKUP(B8,'经理核算-门店口径核算'!B:B,'经理核算-门店口径核算'!V:V,0)</f>
        <v>0</v>
      </c>
    </row>
    <row r="9" spans="1:25" x14ac:dyDescent="0.15">
      <c r="B9" s="72" t="str">
        <f>②当月数据及门店毛利!B11</f>
        <v>光华</v>
      </c>
      <c r="C9" s="76">
        <f>_xlfn.XLOOKUP(B9,'经理核算-门店口径核算'!B:B,'经理核算-门店口径核算'!P:P,0)</f>
        <v>0</v>
      </c>
      <c r="D9" s="76">
        <f>②当月数据及门店毛利!C11</f>
        <v>135590</v>
      </c>
      <c r="E9" s="76">
        <f>②当月数据及门店毛利!D11</f>
        <v>120657.22</v>
      </c>
      <c r="F9" s="76">
        <f>②当月数据及门店毛利!E11</f>
        <v>150</v>
      </c>
      <c r="G9" s="76">
        <f>②当月数据及门店毛利!G11</f>
        <v>1259.28</v>
      </c>
      <c r="H9" s="76">
        <f>②当月数据及门店毛利!H11</f>
        <v>1380.21</v>
      </c>
      <c r="I9" s="76">
        <f>②当月数据及门店毛利!I11</f>
        <v>3929.7</v>
      </c>
      <c r="J9" s="76">
        <f>②当月数据及门店毛利!J11</f>
        <v>3240</v>
      </c>
      <c r="K9" s="76">
        <f>②当月数据及门店毛利!K11</f>
        <v>0</v>
      </c>
      <c r="L9" s="76">
        <f>②当月数据及门店毛利!L11</f>
        <v>428.8</v>
      </c>
      <c r="M9" s="76">
        <f>②当月数据及门店毛利!N11</f>
        <v>125352.01000000001</v>
      </c>
      <c r="N9" s="76">
        <f>_xlfn.XLOOKUP(B9,'经理核算-门店口径核算'!B:B,'经理核算-门店口径核算'!Q:Q,0)</f>
        <v>0</v>
      </c>
      <c r="P9" s="122">
        <f>_xlfn.XLOOKUP(B9,'经理核算-门店口径核算'!B:B,'经理核算-门店口径核算'!V:V,0)</f>
        <v>0</v>
      </c>
    </row>
    <row r="10" spans="1:25" x14ac:dyDescent="0.15">
      <c r="B10" s="72" t="str">
        <f>②当月数据及门店毛利!B12</f>
        <v>融创</v>
      </c>
      <c r="C10" s="76" t="str">
        <f>_xlfn.XLOOKUP(B10,'经理核算-门店口径核算'!B:B,'经理核算-门店口径核算'!P:P,0)</f>
        <v>曾雨晴</v>
      </c>
      <c r="D10" s="76">
        <f>②当月数据及门店毛利!C12</f>
        <v>152421</v>
      </c>
      <c r="E10" s="76">
        <f>②当月数据及门店毛利!D12</f>
        <v>117167.22</v>
      </c>
      <c r="F10" s="76">
        <f>②当月数据及门店毛利!E12</f>
        <v>138</v>
      </c>
      <c r="G10" s="76">
        <f>②当月数据及门店毛利!G12</f>
        <v>2889.06</v>
      </c>
      <c r="H10" s="76">
        <f>②当月数据及门店毛利!H12</f>
        <v>981.27</v>
      </c>
      <c r="I10" s="76">
        <f>②当月数据及门店毛利!I12</f>
        <v>2847.42</v>
      </c>
      <c r="J10" s="76">
        <f>②当月数据及门店毛利!J12</f>
        <v>-800</v>
      </c>
      <c r="K10" s="76">
        <f>②当月数据及门店毛利!K12</f>
        <v>0</v>
      </c>
      <c r="L10" s="76">
        <f>②当月数据及门店毛利!L12</f>
        <v>589.20000000000005</v>
      </c>
      <c r="M10" s="76">
        <f>②当月数据及门店毛利!N12</f>
        <v>145914.04999999999</v>
      </c>
      <c r="N10" s="76">
        <f>_xlfn.XLOOKUP(B10,'经理核算-门店口径核算'!B:B,'经理核算-门店口径核算'!Q:Q,0)</f>
        <v>4000</v>
      </c>
      <c r="P10" s="122">
        <f>_xlfn.XLOOKUP(B10,'经理核算-门店口径核算'!B:B,'经理核算-门店口径核算'!V:V,0)</f>
        <v>2188.7107499999997</v>
      </c>
    </row>
    <row r="11" spans="1:25" x14ac:dyDescent="0.15">
      <c r="B11" s="72" t="str">
        <f>②当月数据及门店毛利!B13</f>
        <v>川师</v>
      </c>
      <c r="C11" s="76">
        <f>_xlfn.XLOOKUP(B11,'经理核算-门店口径核算'!B:B,'经理核算-门店口径核算'!P:P,0)</f>
        <v>0</v>
      </c>
      <c r="D11" s="76">
        <f>②当月数据及门店毛利!C13</f>
        <v>205041</v>
      </c>
      <c r="E11" s="76">
        <f>②当月数据及门店毛利!D13</f>
        <v>194741.48</v>
      </c>
      <c r="F11" s="76">
        <f>②当月数据及门店毛利!E13</f>
        <v>157</v>
      </c>
      <c r="G11" s="76">
        <f>②当月数据及门店毛利!G13</f>
        <v>2000</v>
      </c>
      <c r="H11" s="76">
        <f>②当月数据及门店毛利!H13</f>
        <v>902.66</v>
      </c>
      <c r="I11" s="76">
        <f>②当月数据及门店毛利!I13</f>
        <v>1049.7</v>
      </c>
      <c r="J11" s="76">
        <f>②当月数据及门店毛利!J13</f>
        <v>12845</v>
      </c>
      <c r="K11" s="76">
        <f>②当月数据及门店毛利!K13</f>
        <v>3203</v>
      </c>
      <c r="L11" s="76">
        <f>②当月数据及门店毛利!L13</f>
        <v>701.7</v>
      </c>
      <c r="M11" s="76">
        <f>②当月数据及门店毛利!N13</f>
        <v>184338.94</v>
      </c>
      <c r="N11" s="76">
        <f>_xlfn.XLOOKUP(B11,'经理核算-门店口径核算'!B:B,'经理核算-门店口径核算'!Q:Q,0)</f>
        <v>0</v>
      </c>
      <c r="P11" s="122">
        <f>_xlfn.XLOOKUP(B11,'经理核算-门店口径核算'!B:B,'经理核算-门店口径核算'!V:V,0)</f>
        <v>0</v>
      </c>
    </row>
    <row r="12" spans="1:25" x14ac:dyDescent="0.15">
      <c r="B12" s="72" t="str">
        <f>②当月数据及门店毛利!B14</f>
        <v>鹭岛</v>
      </c>
      <c r="C12" s="76">
        <f>_xlfn.XLOOKUP(B12,'经理核算-门店口径核算'!B:B,'经理核算-门店口径核算'!P:P,0)</f>
        <v>0</v>
      </c>
      <c r="D12" s="76">
        <f>②当月数据及门店毛利!C14</f>
        <v>111267</v>
      </c>
      <c r="E12" s="76">
        <f>②当月数据及门店毛利!D14</f>
        <v>87745.89</v>
      </c>
      <c r="F12" s="76">
        <f>②当月数据及门店毛利!E14</f>
        <v>142</v>
      </c>
      <c r="G12" s="76">
        <f>②当月数据及门店毛利!G14</f>
        <v>7901.28</v>
      </c>
      <c r="H12" s="76">
        <f>②当月数据及门店毛利!H14</f>
        <v>896.98</v>
      </c>
      <c r="I12" s="76">
        <f>②当月数据及门店毛利!I14</f>
        <v>3666.72</v>
      </c>
      <c r="J12" s="76">
        <f>②当月数据及门店毛利!J14</f>
        <v>2550</v>
      </c>
      <c r="K12" s="76">
        <f>②当月数据及门店毛利!K14</f>
        <v>0</v>
      </c>
      <c r="L12" s="76">
        <f>②当月数据及门店毛利!L14</f>
        <v>717.2</v>
      </c>
      <c r="M12" s="76">
        <f>②当月数据及门店毛利!N14</f>
        <v>95534.82</v>
      </c>
      <c r="N12" s="76">
        <f>_xlfn.XLOOKUP(B12,'经理核算-门店口径核算'!B:B,'经理核算-门店口径核算'!Q:Q,0)</f>
        <v>0</v>
      </c>
      <c r="P12" s="122">
        <f>_xlfn.XLOOKUP(B12,'经理核算-门店口径核算'!B:B,'经理核算-门店口径核算'!V:V,0)</f>
        <v>0</v>
      </c>
    </row>
    <row r="13" spans="1:25" x14ac:dyDescent="0.15">
      <c r="B13" s="72" t="str">
        <f>②当月数据及门店毛利!B15</f>
        <v>荣华南路</v>
      </c>
      <c r="C13" s="76">
        <f>_xlfn.XLOOKUP(B13,'经理核算-门店口径核算'!B:B,'经理核算-门店口径核算'!P:P,0)</f>
        <v>0</v>
      </c>
      <c r="D13" s="76">
        <f>②当月数据及门店毛利!C15</f>
        <v>180024</v>
      </c>
      <c r="E13" s="76">
        <f>②当月数据及门店毛利!D15</f>
        <v>87671.5</v>
      </c>
      <c r="F13" s="76">
        <f>②当月数据及门店毛利!E15</f>
        <v>140</v>
      </c>
      <c r="G13" s="76">
        <f>②当月数据及门店毛利!G15</f>
        <v>2665.77</v>
      </c>
      <c r="H13" s="76">
        <f>②当月数据及门店毛利!H15</f>
        <v>2365.85</v>
      </c>
      <c r="I13" s="76">
        <f>②当月数据及门店毛利!I15</f>
        <v>2773.14</v>
      </c>
      <c r="J13" s="76">
        <f>②当月数据及门店毛利!J15</f>
        <v>0</v>
      </c>
      <c r="K13" s="76">
        <f>②当月数据及门店毛利!K15</f>
        <v>0</v>
      </c>
      <c r="L13" s="76">
        <f>②当月数据及门店毛利!L15</f>
        <v>858.8</v>
      </c>
      <c r="M13" s="76">
        <f>②当月数据及门店毛利!N15</f>
        <v>171360.44</v>
      </c>
      <c r="N13" s="76">
        <f>_xlfn.XLOOKUP(B13,'经理核算-门店口径核算'!B:B,'经理核算-门店口径核算'!Q:Q,0)</f>
        <v>0</v>
      </c>
      <c r="P13" s="122">
        <f>_xlfn.XLOOKUP(B13,'经理核算-门店口径核算'!B:B,'经理核算-门店口径核算'!V:V,0)</f>
        <v>0</v>
      </c>
    </row>
    <row r="14" spans="1:25" x14ac:dyDescent="0.15">
      <c r="B14" s="72" t="str">
        <f>②当月数据及门店毛利!B16</f>
        <v>荣华北路</v>
      </c>
      <c r="C14" s="76">
        <f>_xlfn.XLOOKUP(B14,'经理核算-门店口径核算'!B:B,'经理核算-门店口径核算'!P:P,0)</f>
        <v>0</v>
      </c>
      <c r="D14" s="76">
        <f>②当月数据及门店毛利!C16</f>
        <v>153950.6</v>
      </c>
      <c r="E14" s="76">
        <f>②当月数据及门店毛利!D16</f>
        <v>140812.54</v>
      </c>
      <c r="F14" s="76">
        <f>②当月数据及门店毛利!E16</f>
        <v>153</v>
      </c>
      <c r="G14" s="76">
        <f>②当月数据及门店毛利!G16</f>
        <v>3263.25</v>
      </c>
      <c r="H14" s="76">
        <f>②当月数据及门店毛利!H16</f>
        <v>1044.5</v>
      </c>
      <c r="I14" s="76">
        <f>②当月数据及门店毛利!I16</f>
        <v>4129.88</v>
      </c>
      <c r="J14" s="76">
        <f>②当月数据及门店毛利!J16</f>
        <v>2040</v>
      </c>
      <c r="K14" s="76">
        <f>②当月数据及门店毛利!K16</f>
        <v>0</v>
      </c>
      <c r="L14" s="76">
        <f>②当月数据及门店毛利!L16</f>
        <v>888.4</v>
      </c>
      <c r="M14" s="76">
        <f>②当月数据及门店毛利!N16</f>
        <v>142584.57</v>
      </c>
      <c r="N14" s="76">
        <f>_xlfn.XLOOKUP(B14,'经理核算-门店口径核算'!B:B,'经理核算-门店口径核算'!Q:Q,0)</f>
        <v>0</v>
      </c>
      <c r="P14" s="122">
        <f>_xlfn.XLOOKUP(B14,'经理核算-门店口径核算'!B:B,'经理核算-门店口径核算'!V:V,0)</f>
        <v>0</v>
      </c>
    </row>
    <row r="15" spans="1:25" x14ac:dyDescent="0.15">
      <c r="B15" s="72" t="str">
        <f>②当月数据及门店毛利!B17</f>
        <v>涌泉</v>
      </c>
      <c r="C15" s="76">
        <f>_xlfn.XLOOKUP(B15,'经理核算-门店口径核算'!B:B,'经理核算-门店口径核算'!P:P,0)</f>
        <v>0</v>
      </c>
      <c r="D15" s="76">
        <f>②当月数据及门店毛利!C17</f>
        <v>169632</v>
      </c>
      <c r="E15" s="76">
        <f>②当月数据及门店毛利!D17</f>
        <v>139162.62</v>
      </c>
      <c r="F15" s="76">
        <f>②当月数据及门店毛利!E17</f>
        <v>180</v>
      </c>
      <c r="G15" s="76">
        <f>②当月数据及门店毛利!G17</f>
        <v>4000</v>
      </c>
      <c r="H15" s="76">
        <f>②当月数据及门店毛利!H17</f>
        <v>869.26</v>
      </c>
      <c r="I15" s="76">
        <f>②当月数据及门店毛利!I17</f>
        <v>4870.34</v>
      </c>
      <c r="J15" s="76">
        <f>②当月数据及门店毛利!J17</f>
        <v>17777.5</v>
      </c>
      <c r="K15" s="76">
        <f>②当月数据及门店毛利!K17</f>
        <v>0</v>
      </c>
      <c r="L15" s="76">
        <f>②当月数据及门店毛利!L17</f>
        <v>817.1</v>
      </c>
      <c r="M15" s="76">
        <f>②当月数据及门店毛利!N17</f>
        <v>141297.79999999999</v>
      </c>
      <c r="N15" s="76">
        <f>_xlfn.XLOOKUP(B15,'经理核算-门店口径核算'!B:B,'经理核算-门店口径核算'!Q:Q,0)</f>
        <v>0</v>
      </c>
      <c r="P15" s="122">
        <f>_xlfn.XLOOKUP(B15,'经理核算-门店口径核算'!B:B,'经理核算-门店口径核算'!V:V,0)</f>
        <v>0</v>
      </c>
    </row>
    <row r="16" spans="1:25" x14ac:dyDescent="0.15">
      <c r="B16" s="72" t="str">
        <f>②当月数据及门店毛利!B18</f>
        <v>大丰</v>
      </c>
      <c r="C16" s="76">
        <f>_xlfn.XLOOKUP(B16,'经理核算-门店口径核算'!B:B,'经理核算-门店口径核算'!P:P,0)</f>
        <v>0</v>
      </c>
      <c r="D16" s="76">
        <f>②当月数据及门店毛利!C18</f>
        <v>200049.7</v>
      </c>
      <c r="E16" s="76">
        <f>②当月数据及门店毛利!D18</f>
        <v>192405.22</v>
      </c>
      <c r="F16" s="76">
        <f>②当月数据及门店毛利!E18</f>
        <v>172</v>
      </c>
      <c r="G16" s="76">
        <f>②当月数据及门店毛利!G18</f>
        <v>2686.64</v>
      </c>
      <c r="H16" s="76">
        <f>②当月数据及门店毛利!H18</f>
        <v>1269.98</v>
      </c>
      <c r="I16" s="76">
        <f>②当月数据及门店毛利!I18</f>
        <v>2572.54</v>
      </c>
      <c r="J16" s="76">
        <f>②当月数据及门店毛利!J18</f>
        <v>10560</v>
      </c>
      <c r="K16" s="76">
        <f>②当月数据及门店毛利!K18</f>
        <v>281.39999999999998</v>
      </c>
      <c r="L16" s="76">
        <f>②当月数据及门店毛利!L18</f>
        <v>820.9</v>
      </c>
      <c r="M16" s="76">
        <f>②当月数据及门店毛利!N18</f>
        <v>181858.24000000002</v>
      </c>
      <c r="N16" s="76">
        <f>_xlfn.XLOOKUP(B16,'经理核算-门店口径核算'!B:B,'经理核算-门店口径核算'!Q:Q,0)</f>
        <v>0</v>
      </c>
      <c r="P16" s="122">
        <f>_xlfn.XLOOKUP(B16,'经理核算-门店口径核算'!B:B,'经理核算-门店口径核算'!V:V,0)</f>
        <v>0</v>
      </c>
    </row>
    <row r="17" spans="2:16" x14ac:dyDescent="0.15">
      <c r="B17" s="72" t="str">
        <f>②当月数据及门店毛利!B19</f>
        <v>双流</v>
      </c>
      <c r="C17" s="76" t="str">
        <f>_xlfn.XLOOKUP(B17,'经理核算-门店口径核算'!B:B,'经理核算-门店口径核算'!P:P,0)</f>
        <v>肖静梅</v>
      </c>
      <c r="D17" s="76">
        <f>②当月数据及门店毛利!C19</f>
        <v>311108</v>
      </c>
      <c r="E17" s="76">
        <f>②当月数据及门店毛利!D19</f>
        <v>291471.05</v>
      </c>
      <c r="F17" s="76">
        <f>②当月数据及门店毛利!E19</f>
        <v>163</v>
      </c>
      <c r="G17" s="76">
        <f>②当月数据及门店毛利!G19</f>
        <v>2500</v>
      </c>
      <c r="H17" s="76">
        <f>②当月数据及门店毛利!H19</f>
        <v>571.79</v>
      </c>
      <c r="I17" s="76">
        <f>②当月数据及门店毛利!I19</f>
        <v>3078.24</v>
      </c>
      <c r="J17" s="76">
        <f>②当月数据及门店毛利!J19</f>
        <v>62020</v>
      </c>
      <c r="K17" s="76">
        <f>②当月数据及门店毛利!K19</f>
        <v>5200</v>
      </c>
      <c r="L17" s="76">
        <f>②当月数据及门店毛利!L19</f>
        <v>722.2</v>
      </c>
      <c r="M17" s="76">
        <f>②当月数据及门店毛利!N19</f>
        <v>237015.77000000002</v>
      </c>
      <c r="N17" s="76">
        <f>_xlfn.XLOOKUP(B17,'经理核算-门店口径核算'!B:B,'经理核算-门店口径核算'!Q:Q,0)</f>
        <v>4000</v>
      </c>
      <c r="P17" s="122">
        <f>_xlfn.XLOOKUP(B17,'经理核算-门店口径核算'!B:B,'经理核算-门店口径核算'!V:V,0)</f>
        <v>4175.3942500000003</v>
      </c>
    </row>
    <row r="18" spans="2:16" x14ac:dyDescent="0.15">
      <c r="B18" s="72" t="str">
        <f>②当月数据及门店毛利!B20</f>
        <v>骑士郡</v>
      </c>
      <c r="C18" s="76">
        <f>_xlfn.XLOOKUP(B18,'经理核算-门店口径核算'!B:B,'经理核算-门店口径核算'!P:P,0)</f>
        <v>0</v>
      </c>
      <c r="D18" s="76">
        <f>②当月数据及门店毛利!C20</f>
        <v>158633</v>
      </c>
      <c r="E18" s="76">
        <f>②当月数据及门店毛利!D20</f>
        <v>123760.98</v>
      </c>
      <c r="F18" s="76">
        <f>②当月数据及门店毛利!E20</f>
        <v>177</v>
      </c>
      <c r="G18" s="76">
        <f>②当月数据及门店毛利!G20</f>
        <v>4219.55</v>
      </c>
      <c r="H18" s="76">
        <f>②当月数据及门店毛利!H20</f>
        <v>955.53</v>
      </c>
      <c r="I18" s="76">
        <f>②当月数据及门店毛利!I20</f>
        <v>3464.34</v>
      </c>
      <c r="J18" s="76">
        <f>②当月数据及门店毛利!J20</f>
        <v>-3750</v>
      </c>
      <c r="K18" s="76">
        <f>②当月数据及门店毛利!K20</f>
        <v>300</v>
      </c>
      <c r="L18" s="76">
        <f>②当月数据及门店毛利!L20</f>
        <v>1373.4</v>
      </c>
      <c r="M18" s="76">
        <f>②当月数据及门店毛利!N20</f>
        <v>152070.18</v>
      </c>
      <c r="N18" s="76">
        <f>_xlfn.XLOOKUP(B18,'经理核算-门店口径核算'!B:B,'经理核算-门店口径核算'!Q:Q,0)</f>
        <v>0</v>
      </c>
      <c r="P18" s="122">
        <f>_xlfn.XLOOKUP(B18,'经理核算-门店口径核算'!B:B,'经理核算-门店口径核算'!V:V,0)</f>
        <v>0</v>
      </c>
    </row>
    <row r="19" spans="2:16" x14ac:dyDescent="0.15">
      <c r="B19" s="72" t="str">
        <f>②当月数据及门店毛利!B21</f>
        <v>明信</v>
      </c>
      <c r="C19" s="76">
        <f>_xlfn.XLOOKUP(B19,'经理核算-门店口径核算'!B:B,'经理核算-门店口径核算'!P:P,0)</f>
        <v>0</v>
      </c>
      <c r="D19" s="76">
        <f>②当月数据及门店毛利!C21</f>
        <v>92371</v>
      </c>
      <c r="E19" s="76">
        <f>②当月数据及门店毛利!D21</f>
        <v>58105.8</v>
      </c>
      <c r="F19" s="76">
        <f>②当月数据及门店毛利!E21</f>
        <v>169</v>
      </c>
      <c r="G19" s="76">
        <f>②当月数据及门店毛利!G21</f>
        <v>156</v>
      </c>
      <c r="H19" s="76">
        <f>②当月数据及门店毛利!H21</f>
        <v>375.92</v>
      </c>
      <c r="I19" s="76">
        <f>②当月数据及门店毛利!I21</f>
        <v>3175.2</v>
      </c>
      <c r="J19" s="76">
        <f>②当月数据及门店毛利!J21</f>
        <v>0</v>
      </c>
      <c r="K19" s="76">
        <f>②当月数据及门店毛利!K21</f>
        <v>0</v>
      </c>
      <c r="L19" s="76">
        <f>②当月数据及门店毛利!L21</f>
        <v>723.3</v>
      </c>
      <c r="M19" s="76">
        <f>②当月数据及门店毛利!N21</f>
        <v>87940.58</v>
      </c>
      <c r="N19" s="76">
        <f>_xlfn.XLOOKUP(B19,'经理核算-门店口径核算'!B:B,'经理核算-门店口径核算'!Q:Q,0)</f>
        <v>0</v>
      </c>
      <c r="P19" s="122">
        <f>_xlfn.XLOOKUP(B19,'经理核算-门店口径核算'!B:B,'经理核算-门店口径核算'!V:V,0)</f>
        <v>0</v>
      </c>
    </row>
    <row r="20" spans="2:16" x14ac:dyDescent="0.15">
      <c r="B20" s="72" t="str">
        <f>②当月数据及门店毛利!B22</f>
        <v>犀浦</v>
      </c>
      <c r="C20" s="76" t="str">
        <f>_xlfn.XLOOKUP(B20,'经理核算-门店口径核算'!B:B,'经理核算-门店口径核算'!P:P,0)</f>
        <v>王桂明</v>
      </c>
      <c r="D20" s="76">
        <f>②当月数据及门店毛利!C22</f>
        <v>100934</v>
      </c>
      <c r="E20" s="76">
        <f>②当月数据及门店毛利!D22</f>
        <v>120573.32</v>
      </c>
      <c r="F20" s="76">
        <f>②当月数据及门店毛利!E22</f>
        <v>183</v>
      </c>
      <c r="G20" s="76">
        <f>②当月数据及门店毛利!G22</f>
        <v>5076.66</v>
      </c>
      <c r="H20" s="76">
        <f>②当月数据及门店毛利!H22</f>
        <v>1209.6500000000001</v>
      </c>
      <c r="I20" s="76">
        <f>②当月数据及门店毛利!I22</f>
        <v>4620.6000000000004</v>
      </c>
      <c r="J20" s="76">
        <f>②当月数据及门店毛利!J22</f>
        <v>0</v>
      </c>
      <c r="K20" s="76">
        <f>②当月数据及门店毛利!K22</f>
        <v>0</v>
      </c>
      <c r="L20" s="76">
        <f>②当月数据及门店毛利!L22</f>
        <v>930.3</v>
      </c>
      <c r="M20" s="76">
        <f>②当月数据及门店毛利!N22</f>
        <v>89096.790000000008</v>
      </c>
      <c r="N20" s="76">
        <f>_xlfn.XLOOKUP(B20,'经理核算-门店口径核算'!B:B,'经理核算-门店口径核算'!Q:Q,0)</f>
        <v>4000</v>
      </c>
      <c r="P20" s="122">
        <f>_xlfn.XLOOKUP(B20,'经理核算-门店口径核算'!B:B,'经理核算-门店口径核算'!V:V,0)</f>
        <v>0</v>
      </c>
    </row>
    <row r="21" spans="2:16" x14ac:dyDescent="0.15">
      <c r="B21" s="72" t="str">
        <f>②当月数据及门店毛利!B23</f>
        <v>千禧</v>
      </c>
      <c r="C21" s="76">
        <f>_xlfn.XLOOKUP(B21,'经理核算-门店口径核算'!B:B,'经理核算-门店口径核算'!P:P,0)</f>
        <v>0</v>
      </c>
      <c r="D21" s="76">
        <f>②当月数据及门店毛利!C23</f>
        <v>151129</v>
      </c>
      <c r="E21" s="76">
        <f>②当月数据及门店毛利!D23</f>
        <v>112580.75</v>
      </c>
      <c r="F21" s="76">
        <f>②当月数据及门店毛利!E23</f>
        <v>164</v>
      </c>
      <c r="G21" s="76">
        <f>②当月数据及门店毛利!G23</f>
        <v>6040.43</v>
      </c>
      <c r="H21" s="76">
        <f>②当月数据及门店毛利!H23</f>
        <v>477.24</v>
      </c>
      <c r="I21" s="76">
        <f>②当月数据及门店毛利!I23</f>
        <v>3086.14</v>
      </c>
      <c r="J21" s="76">
        <f>②当月数据及门店毛利!J23</f>
        <v>-4305</v>
      </c>
      <c r="K21" s="76">
        <f>②当月数据及门店毛利!K23</f>
        <v>0</v>
      </c>
      <c r="L21" s="76">
        <f>②当月数据及门店毛利!L23</f>
        <v>871.5</v>
      </c>
      <c r="M21" s="76">
        <f>②当月数据及门店毛利!N23</f>
        <v>144958.69</v>
      </c>
      <c r="N21" s="76">
        <f>_xlfn.XLOOKUP(B21,'经理核算-门店口径核算'!B:B,'经理核算-门店口径核算'!Q:Q,0)</f>
        <v>0</v>
      </c>
      <c r="P21" s="122">
        <f>_xlfn.XLOOKUP(B21,'经理核算-门店口径核算'!B:B,'经理核算-门店口径核算'!V:V,0)</f>
        <v>0</v>
      </c>
    </row>
    <row r="22" spans="2:16" x14ac:dyDescent="0.15">
      <c r="B22" s="72" t="str">
        <f>②当月数据及门店毛利!B24</f>
        <v>亚洲湾</v>
      </c>
      <c r="C22" s="76">
        <f>_xlfn.XLOOKUP(B22,'经理核算-门店口径核算'!B:B,'经理核算-门店口径核算'!P:P,0)</f>
        <v>0</v>
      </c>
      <c r="D22" s="76">
        <f>②当月数据及门店毛利!C24</f>
        <v>143757</v>
      </c>
      <c r="E22" s="76">
        <f>②当月数据及门店毛利!D24</f>
        <v>100865.33</v>
      </c>
      <c r="F22" s="76">
        <f>②当月数据及门店毛利!E24</f>
        <v>156</v>
      </c>
      <c r="G22" s="76">
        <f>②当月数据及门店毛利!G24</f>
        <v>3000</v>
      </c>
      <c r="H22" s="76">
        <f>②当月数据及门店毛利!H24</f>
        <v>681.77</v>
      </c>
      <c r="I22" s="76">
        <f>②当月数据及门店毛利!I24</f>
        <v>2764.42</v>
      </c>
      <c r="J22" s="76">
        <f>②当月数据及门店毛利!J24</f>
        <v>10520</v>
      </c>
      <c r="K22" s="76">
        <f>②当月数据及门店毛利!K24</f>
        <v>0</v>
      </c>
      <c r="L22" s="76">
        <f>②当月数据及门店毛利!L24</f>
        <v>618.70000000000005</v>
      </c>
      <c r="M22" s="76">
        <f>②当月数据及门店毛利!N24</f>
        <v>126172.11</v>
      </c>
      <c r="N22" s="76">
        <f>_xlfn.XLOOKUP(B22,'经理核算-门店口径核算'!B:B,'经理核算-门店口径核算'!Q:Q,0)</f>
        <v>0</v>
      </c>
      <c r="P22" s="122">
        <f>_xlfn.XLOOKUP(B22,'经理核算-门店口径核算'!B:B,'经理核算-门店口径核算'!V:V,0)</f>
        <v>0</v>
      </c>
    </row>
    <row r="23" spans="2:16" x14ac:dyDescent="0.15">
      <c r="B23" s="72" t="str">
        <f>②当月数据及门店毛利!B25</f>
        <v>中和</v>
      </c>
      <c r="C23" s="76">
        <f>_xlfn.XLOOKUP(B23,'经理核算-门店口径核算'!B:B,'经理核算-门店口径核算'!P:P,0)</f>
        <v>0</v>
      </c>
      <c r="D23" s="76">
        <f>②当月数据及门店毛利!C25</f>
        <v>150422</v>
      </c>
      <c r="E23" s="76">
        <f>②当月数据及门店毛利!D25</f>
        <v>103361.72</v>
      </c>
      <c r="F23" s="76">
        <f>②当月数据及门店毛利!E25</f>
        <v>111</v>
      </c>
      <c r="G23" s="76">
        <f>②当月数据及门店毛利!G25</f>
        <v>2371.5</v>
      </c>
      <c r="H23" s="76">
        <f>②当月数据及门店毛利!H25</f>
        <v>1827.5</v>
      </c>
      <c r="I23" s="76">
        <f>②当月数据及门店毛利!I25</f>
        <v>3256.3</v>
      </c>
      <c r="J23" s="76">
        <f>②当月数据及门店毛利!J25</f>
        <v>4590</v>
      </c>
      <c r="K23" s="76">
        <f>②当月数据及门店毛利!K25</f>
        <v>0</v>
      </c>
      <c r="L23" s="76">
        <f>②当月数据及门店毛利!L25</f>
        <v>791.3</v>
      </c>
      <c r="M23" s="76">
        <f>②当月数据及门店毛利!N25</f>
        <v>137585.4</v>
      </c>
      <c r="N23" s="76">
        <f>_xlfn.XLOOKUP(B23,'经理核算-门店口径核算'!B:B,'经理核算-门店口径核算'!Q:Q,0)</f>
        <v>0</v>
      </c>
      <c r="P23" s="122">
        <f>_xlfn.XLOOKUP(B23,'经理核算-门店口径核算'!B:B,'经理核算-门店口径核算'!V:V,0)</f>
        <v>0</v>
      </c>
    </row>
    <row r="24" spans="2:16" x14ac:dyDescent="0.15">
      <c r="B24" s="72" t="str">
        <f>②当月数据及门店毛利!B26</f>
        <v>凤凰山</v>
      </c>
      <c r="C24" s="76">
        <f>_xlfn.XLOOKUP(B24,'经理核算-门店口径核算'!B:B,'经理核算-门店口径核算'!P:P,0)</f>
        <v>0</v>
      </c>
      <c r="D24" s="76">
        <f>②当月数据及门店毛利!C26</f>
        <v>180307.8</v>
      </c>
      <c r="E24" s="76">
        <f>②当月数据及门店毛利!D26</f>
        <v>89092.800000000003</v>
      </c>
      <c r="F24" s="76">
        <f>②当月数据及门店毛利!E26</f>
        <v>154</v>
      </c>
      <c r="G24" s="76">
        <f>②当月数据及门店毛利!G26</f>
        <v>4438.3599999999997</v>
      </c>
      <c r="H24" s="76">
        <f>②当月数据及门店毛利!H26</f>
        <v>1593.28</v>
      </c>
      <c r="I24" s="76">
        <f>②当月数据及门店毛利!I26</f>
        <v>4101.6000000000004</v>
      </c>
      <c r="J24" s="76">
        <f>②当月数据及门店毛利!J26</f>
        <v>1655</v>
      </c>
      <c r="K24" s="76">
        <f>②当月数据及门店毛利!K26</f>
        <v>0</v>
      </c>
      <c r="L24" s="76">
        <f>②当月数据及门店毛利!L26</f>
        <v>1122.5</v>
      </c>
      <c r="M24" s="76">
        <f>②当月数据及门店毛利!N26</f>
        <v>167397.06</v>
      </c>
      <c r="N24" s="76">
        <f>_xlfn.XLOOKUP(B24,'经理核算-门店口径核算'!B:B,'经理核算-门店口径核算'!Q:Q,0)</f>
        <v>0</v>
      </c>
      <c r="P24" s="122">
        <f>_xlfn.XLOOKUP(B24,'经理核算-门店口径核算'!B:B,'经理核算-门店口径核算'!V:V,0)</f>
        <v>0</v>
      </c>
    </row>
    <row r="25" spans="2:16" x14ac:dyDescent="0.15">
      <c r="B25" s="72" t="str">
        <f>②当月数据及门店毛利!B27</f>
        <v>南湖</v>
      </c>
      <c r="C25" s="76" t="str">
        <f>_xlfn.XLOOKUP(B25,'经理核算-门店口径核算'!B:B,'经理核算-门店口径核算'!P:P,0)</f>
        <v>肖静梅</v>
      </c>
      <c r="D25" s="76">
        <f>②当月数据及门店毛利!C27</f>
        <v>139022</v>
      </c>
      <c r="E25" s="76">
        <f>②当月数据及门店毛利!D27</f>
        <v>127157.72</v>
      </c>
      <c r="F25" s="76">
        <f>②当月数据及门店毛利!E27</f>
        <v>191</v>
      </c>
      <c r="G25" s="76">
        <f>②当月数据及门店毛利!G27</f>
        <v>4456.45</v>
      </c>
      <c r="H25" s="76">
        <f>②当月数据及门店毛利!H27</f>
        <v>1510.72</v>
      </c>
      <c r="I25" s="76">
        <f>②当月数据及门店毛利!I27</f>
        <v>3717.66</v>
      </c>
      <c r="J25" s="76">
        <f>②当月数据及门店毛利!J27</f>
        <v>8980</v>
      </c>
      <c r="K25" s="76">
        <f>②当月数据及门店毛利!K27</f>
        <v>0</v>
      </c>
      <c r="L25" s="76">
        <f>②当月数据及门店毛利!L27</f>
        <v>881.5</v>
      </c>
      <c r="M25" s="76">
        <f>②当月数据及门店毛利!N27</f>
        <v>119475.67</v>
      </c>
      <c r="N25" s="76">
        <f>_xlfn.XLOOKUP(B25,'经理核算-门店口径核算'!B:B,'经理核算-门店口径核算'!Q:Q,0)</f>
        <v>0</v>
      </c>
      <c r="P25" s="122">
        <f>_xlfn.XLOOKUP(B25,'经理核算-门店口径核算'!B:B,'经理核算-门店口径核算'!V:V,0)</f>
        <v>0</v>
      </c>
    </row>
    <row r="26" spans="2:16" x14ac:dyDescent="0.15">
      <c r="B26" s="72" t="str">
        <f>②当月数据及门店毛利!B28</f>
        <v>大源</v>
      </c>
      <c r="C26" s="76">
        <f>_xlfn.XLOOKUP(B26,'经理核算-门店口径核算'!B:B,'经理核算-门店口径核算'!P:P,0)</f>
        <v>0</v>
      </c>
      <c r="D26" s="76">
        <f>②当月数据及门店毛利!C28</f>
        <v>120949.6</v>
      </c>
      <c r="E26" s="76">
        <f>②当月数据及门店毛利!D28</f>
        <v>82307.44</v>
      </c>
      <c r="F26" s="76">
        <f>②当月数据及门店毛利!E28</f>
        <v>149</v>
      </c>
      <c r="G26" s="76">
        <f>②当月数据及门店毛利!G28</f>
        <v>3699.8</v>
      </c>
      <c r="H26" s="76">
        <f>②当月数据及门店毛利!H28</f>
        <v>646.76</v>
      </c>
      <c r="I26" s="76">
        <f>②当月数据及门店毛利!I28</f>
        <v>6831.08</v>
      </c>
      <c r="J26" s="76">
        <f>②当月数据及门店毛利!J28</f>
        <v>7225</v>
      </c>
      <c r="K26" s="76">
        <f>②当月数据及门店毛利!K28</f>
        <v>0</v>
      </c>
      <c r="L26" s="76">
        <f>②当月数据及门店毛利!L28</f>
        <v>525.5</v>
      </c>
      <c r="M26" s="76">
        <f>②当月数据及门店毛利!N28</f>
        <v>102021.46</v>
      </c>
      <c r="N26" s="76">
        <f>_xlfn.XLOOKUP(B26,'经理核算-门店口径核算'!B:B,'经理核算-门店口径核算'!Q:Q,0)</f>
        <v>0</v>
      </c>
      <c r="P26" s="122">
        <f>_xlfn.XLOOKUP(B26,'经理核算-门店口径核算'!B:B,'经理核算-门店口径核算'!V:V,0)</f>
        <v>0</v>
      </c>
    </row>
    <row r="27" spans="2:16" x14ac:dyDescent="0.15">
      <c r="B27" s="72" t="str">
        <f>②当月数据及门店毛利!B29</f>
        <v>红光</v>
      </c>
      <c r="C27" s="76" t="str">
        <f>_xlfn.XLOOKUP(B27,'经理核算-门店口径核算'!B:B,'经理核算-门店口径核算'!P:P,0)</f>
        <v>王桂明</v>
      </c>
      <c r="D27" s="76">
        <f>②当月数据及门店毛利!C29</f>
        <v>259744.88</v>
      </c>
      <c r="E27" s="76">
        <f>②当月数据及门店毛利!D29</f>
        <v>180406.1</v>
      </c>
      <c r="F27" s="76">
        <f>②当月数据及门店毛利!E29</f>
        <v>155</v>
      </c>
      <c r="G27" s="76">
        <f>②当月数据及门店毛利!G29</f>
        <v>2250</v>
      </c>
      <c r="H27" s="76">
        <f>②当月数据及门店毛利!H29</f>
        <v>892.58</v>
      </c>
      <c r="I27" s="76">
        <f>②当月数据及门店毛利!I29</f>
        <v>2190.88</v>
      </c>
      <c r="J27" s="76">
        <f>②当月数据及门店毛利!J29</f>
        <v>39560</v>
      </c>
      <c r="K27" s="76">
        <f>②当月数据及门店毛利!K29</f>
        <v>0</v>
      </c>
      <c r="L27" s="76">
        <f>②当月数据及门店毛利!L29</f>
        <v>582.9</v>
      </c>
      <c r="M27" s="76">
        <f>②当月数据及门店毛利!N29</f>
        <v>214268.52000000002</v>
      </c>
      <c r="N27" s="76">
        <f>_xlfn.XLOOKUP(B27,'经理核算-门店口径核算'!B:B,'经理核算-门店口径核算'!Q:Q,0)</f>
        <v>0</v>
      </c>
      <c r="P27" s="122">
        <f>_xlfn.XLOOKUP(B27,'经理核算-门店口径核算'!B:B,'经理核算-门店口径核算'!V:V,0)</f>
        <v>3906.7130000000006</v>
      </c>
    </row>
    <row r="28" spans="2:16" x14ac:dyDescent="0.15">
      <c r="B28" s="72" t="str">
        <f>②当月数据及门店毛利!B30</f>
        <v>保利</v>
      </c>
      <c r="C28" s="76">
        <f>_xlfn.XLOOKUP(B28,'经理核算-门店口径核算'!B:B,'经理核算-门店口径核算'!P:P,0)</f>
        <v>0</v>
      </c>
      <c r="D28" s="76">
        <f>②当月数据及门店毛利!C30</f>
        <v>150031.32999999999</v>
      </c>
      <c r="E28" s="76">
        <f>②当月数据及门店毛利!D30</f>
        <v>65878.570000000007</v>
      </c>
      <c r="F28" s="76">
        <f>②当月数据及门店毛利!E30</f>
        <v>186</v>
      </c>
      <c r="G28" s="76">
        <f>②当月数据及门店毛利!G30</f>
        <v>4509.84</v>
      </c>
      <c r="H28" s="76">
        <f>②当月数据及门店毛利!H30</f>
        <v>1001.07</v>
      </c>
      <c r="I28" s="76">
        <f>②当月数据及门店毛利!I30</f>
        <v>4515.3</v>
      </c>
      <c r="J28" s="76">
        <f>②当月数据及门店毛利!J30</f>
        <v>5940</v>
      </c>
      <c r="K28" s="76">
        <f>②当月数据及门店毛利!K30</f>
        <v>0</v>
      </c>
      <c r="L28" s="76">
        <f>②当月数据及门店毛利!L30</f>
        <v>537.20000000000005</v>
      </c>
      <c r="M28" s="76">
        <f>②当月数据及门店毛利!N30</f>
        <v>133527.91999999998</v>
      </c>
      <c r="N28" s="76">
        <f>_xlfn.XLOOKUP(B28,'经理核算-门店口径核算'!B:B,'经理核算-门店口径核算'!Q:Q,0)</f>
        <v>0</v>
      </c>
      <c r="P28" s="122">
        <f>_xlfn.XLOOKUP(B28,'经理核算-门店口径核算'!B:B,'经理核算-门店口径核算'!V:V,0)</f>
        <v>0</v>
      </c>
    </row>
    <row r="29" spans="2:16" x14ac:dyDescent="0.15">
      <c r="B29" s="72" t="str">
        <f>②当月数据及门店毛利!B31</f>
        <v>龙城国际</v>
      </c>
      <c r="C29" s="76" t="str">
        <f>_xlfn.XLOOKUP(B29,'经理核算-门店口径核算'!B:B,'经理核算-门店口径核算'!P:P,0)</f>
        <v>王桂明</v>
      </c>
      <c r="D29" s="76">
        <f>②当月数据及门店毛利!C31</f>
        <v>133334.88</v>
      </c>
      <c r="E29" s="76">
        <f>②当月数据及门店毛利!D31</f>
        <v>117423.44</v>
      </c>
      <c r="F29" s="76">
        <f>②当月数据及门店毛利!E31</f>
        <v>117</v>
      </c>
      <c r="G29" s="76">
        <f>②当月数据及门店毛利!G31</f>
        <v>1000</v>
      </c>
      <c r="H29" s="76">
        <f>②当月数据及门店毛利!H31</f>
        <v>1563.73</v>
      </c>
      <c r="I29" s="76">
        <f>②当月数据及门店毛利!I31</f>
        <v>7388.46</v>
      </c>
      <c r="J29" s="76">
        <f>②当月数据及门店毛利!J31</f>
        <v>8495</v>
      </c>
      <c r="K29" s="76">
        <f>②当月数据及门店毛利!K31</f>
        <v>0</v>
      </c>
      <c r="L29" s="76">
        <f>②当月数据及门店毛利!L31</f>
        <v>482.4</v>
      </c>
      <c r="M29" s="76">
        <f>②当月数据及门店毛利!N31</f>
        <v>114405.29000000001</v>
      </c>
      <c r="N29" s="76">
        <f>_xlfn.XLOOKUP(B29,'经理核算-门店口径核算'!B:B,'经理核算-门店口径核算'!Q:Q,0)</f>
        <v>0</v>
      </c>
      <c r="P29" s="122">
        <f>_xlfn.XLOOKUP(B29,'经理核算-门店口径核算'!B:B,'经理核算-门店口径核算'!V:V,0)</f>
        <v>1716.07935</v>
      </c>
    </row>
    <row r="30" spans="2:16" x14ac:dyDescent="0.15">
      <c r="B30" s="72" t="str">
        <f>②当月数据及门店毛利!B32</f>
        <v>川音</v>
      </c>
      <c r="C30" s="76" t="str">
        <f>_xlfn.XLOOKUP(B30,'经理核算-门店口径核算'!B:B,'经理核算-门店口径核算'!P:P,0)</f>
        <v>曾雨晴</v>
      </c>
      <c r="D30" s="76">
        <f>②当月数据及门店毛利!C32</f>
        <v>173290.6</v>
      </c>
      <c r="E30" s="76">
        <f>②当月数据及门店毛利!D32</f>
        <v>115560.6</v>
      </c>
      <c r="F30" s="76">
        <f>②当月数据及门店毛利!E32</f>
        <v>169</v>
      </c>
      <c r="G30" s="76">
        <f>②当月数据及门店毛利!G32</f>
        <v>4000</v>
      </c>
      <c r="H30" s="76">
        <f>②当月数据及门店毛利!H32</f>
        <v>2060.02</v>
      </c>
      <c r="I30" s="76">
        <f>②当月数据及门店毛利!I32</f>
        <v>10183.44</v>
      </c>
      <c r="J30" s="76">
        <f>②当月数据及门店毛利!J32</f>
        <v>23992.5</v>
      </c>
      <c r="K30" s="76">
        <f>②当月数据及门店毛利!K32</f>
        <v>0</v>
      </c>
      <c r="L30" s="76">
        <f>②当月数据及门店毛利!L32</f>
        <v>863.9</v>
      </c>
      <c r="M30" s="76">
        <f>②当月数据及门店毛利!N32</f>
        <v>132190.74</v>
      </c>
      <c r="N30" s="76">
        <f>_xlfn.XLOOKUP(B30,'经理核算-门店口径核算'!B:B,'经理核算-门店口径核算'!Q:Q,0)</f>
        <v>0</v>
      </c>
      <c r="P30" s="122">
        <f>_xlfn.XLOOKUP(B30,'经理核算-门店口径核算'!B:B,'经理核算-门店口径核算'!V:V,0)</f>
        <v>1982.8610999999999</v>
      </c>
    </row>
    <row r="31" spans="2:16" x14ac:dyDescent="0.15">
      <c r="B31" s="72">
        <f>②当月数据及门店毛利!B33</f>
        <v>0</v>
      </c>
      <c r="C31" s="76">
        <f>_xlfn.XLOOKUP(B31,'经理核算-门店口径核算'!B:B,'经理核算-门店口径核算'!P:P,0)</f>
        <v>0</v>
      </c>
      <c r="D31" s="76">
        <f>②当月数据及门店毛利!C33</f>
        <v>0</v>
      </c>
      <c r="E31" s="76">
        <f>②当月数据及门店毛利!D33</f>
        <v>0</v>
      </c>
      <c r="F31" s="76">
        <f>②当月数据及门店毛利!E33</f>
        <v>0</v>
      </c>
      <c r="G31" s="76">
        <f>②当月数据及门店毛利!G33</f>
        <v>0</v>
      </c>
      <c r="H31" s="76">
        <f>②当月数据及门店毛利!H33</f>
        <v>0</v>
      </c>
      <c r="I31" s="76">
        <f>②当月数据及门店毛利!I33</f>
        <v>0</v>
      </c>
      <c r="J31" s="76">
        <f>②当月数据及门店毛利!J33</f>
        <v>0</v>
      </c>
      <c r="K31" s="76">
        <f>②当月数据及门店毛利!K33</f>
        <v>0</v>
      </c>
      <c r="L31" s="76">
        <f>②当月数据及门店毛利!L33</f>
        <v>0</v>
      </c>
      <c r="M31" s="76">
        <f>②当月数据及门店毛利!N33</f>
        <v>0</v>
      </c>
      <c r="N31" s="76">
        <f>_xlfn.XLOOKUP(B31,'经理核算-门店口径核算'!B:B,'经理核算-门店口径核算'!Q:Q,0)</f>
        <v>0</v>
      </c>
      <c r="P31" s="122">
        <f>_xlfn.XLOOKUP(B31,'经理核算-门店口径核算'!B:B,'经理核算-门店口径核算'!V:V,0)</f>
        <v>0</v>
      </c>
    </row>
    <row r="32" spans="2:16" x14ac:dyDescent="0.15">
      <c r="B32" s="72">
        <f>②当月数据及门店毛利!B34</f>
        <v>0</v>
      </c>
      <c r="C32" s="76">
        <f>_xlfn.XLOOKUP(B32,'经理核算-门店口径核算'!B:B,'经理核算-门店口径核算'!P:P,0)</f>
        <v>0</v>
      </c>
      <c r="D32" s="76">
        <f>②当月数据及门店毛利!C34</f>
        <v>0</v>
      </c>
      <c r="E32" s="76">
        <f>②当月数据及门店毛利!D34</f>
        <v>0</v>
      </c>
      <c r="F32" s="76">
        <f>②当月数据及门店毛利!E34</f>
        <v>0</v>
      </c>
      <c r="G32" s="76">
        <f>②当月数据及门店毛利!G34</f>
        <v>0</v>
      </c>
      <c r="H32" s="76">
        <f>②当月数据及门店毛利!H34</f>
        <v>0</v>
      </c>
      <c r="I32" s="76">
        <f>②当月数据及门店毛利!I34</f>
        <v>0</v>
      </c>
      <c r="J32" s="76">
        <f>②当月数据及门店毛利!J34</f>
        <v>0</v>
      </c>
      <c r="K32" s="76">
        <f>②当月数据及门店毛利!K34</f>
        <v>0</v>
      </c>
      <c r="L32" s="76">
        <f>②当月数据及门店毛利!L34</f>
        <v>0</v>
      </c>
      <c r="M32" s="76">
        <f>②当月数据及门店毛利!N34</f>
        <v>0</v>
      </c>
      <c r="N32" s="76">
        <f>_xlfn.XLOOKUP(B32,'经理核算-门店口径核算'!B:B,'经理核算-门店口径核算'!Q:Q,0)</f>
        <v>0</v>
      </c>
      <c r="P32" s="122">
        <f>_xlfn.XLOOKUP(B32,'经理核算-门店口径核算'!B:B,'经理核算-门店口径核算'!V:V,0)</f>
        <v>0</v>
      </c>
    </row>
    <row r="33" spans="2:16" x14ac:dyDescent="0.15">
      <c r="B33" s="72">
        <f>②当月数据及门店毛利!B35</f>
        <v>0</v>
      </c>
      <c r="C33" s="76">
        <f>_xlfn.XLOOKUP(B33,'经理核算-门店口径核算'!B:B,'经理核算-门店口径核算'!P:P,0)</f>
        <v>0</v>
      </c>
      <c r="D33" s="76">
        <f>②当月数据及门店毛利!C35</f>
        <v>0</v>
      </c>
      <c r="E33" s="76">
        <f>②当月数据及门店毛利!D35</f>
        <v>0</v>
      </c>
      <c r="F33" s="76">
        <f>②当月数据及门店毛利!E35</f>
        <v>0</v>
      </c>
      <c r="G33" s="76">
        <f>②当月数据及门店毛利!G35</f>
        <v>0</v>
      </c>
      <c r="H33" s="76">
        <f>②当月数据及门店毛利!H35</f>
        <v>0</v>
      </c>
      <c r="I33" s="76">
        <f>②当月数据及门店毛利!I35</f>
        <v>0</v>
      </c>
      <c r="J33" s="76">
        <f>②当月数据及门店毛利!J35</f>
        <v>0</v>
      </c>
      <c r="K33" s="76">
        <f>②当月数据及门店毛利!K35</f>
        <v>0</v>
      </c>
      <c r="L33" s="76">
        <f>②当月数据及门店毛利!L35</f>
        <v>0</v>
      </c>
      <c r="M33" s="76">
        <f>②当月数据及门店毛利!N35</f>
        <v>0</v>
      </c>
      <c r="N33" s="76">
        <f>_xlfn.XLOOKUP(B33,'经理核算-门店口径核算'!B:B,'经理核算-门店口径核算'!Q:Q,0)</f>
        <v>0</v>
      </c>
      <c r="P33" s="122">
        <f>_xlfn.XLOOKUP(B33,'经理核算-门店口径核算'!B:B,'经理核算-门店口径核算'!V:V,0)</f>
        <v>0</v>
      </c>
    </row>
    <row r="34" spans="2:16" x14ac:dyDescent="0.15">
      <c r="B34" s="72">
        <f>②当月数据及门店毛利!B36</f>
        <v>0</v>
      </c>
      <c r="C34" s="76">
        <f>_xlfn.XLOOKUP(B34,'经理核算-门店口径核算'!B:B,'经理核算-门店口径核算'!P:P,0)</f>
        <v>0</v>
      </c>
      <c r="D34" s="76">
        <f>②当月数据及门店毛利!C36</f>
        <v>0</v>
      </c>
      <c r="E34" s="76">
        <f>②当月数据及门店毛利!D36</f>
        <v>0</v>
      </c>
      <c r="F34" s="76">
        <f>②当月数据及门店毛利!E36</f>
        <v>0</v>
      </c>
      <c r="G34" s="76">
        <f>②当月数据及门店毛利!G36</f>
        <v>0</v>
      </c>
      <c r="H34" s="76">
        <f>②当月数据及门店毛利!H36</f>
        <v>0</v>
      </c>
      <c r="I34" s="76">
        <f>②当月数据及门店毛利!I36</f>
        <v>0</v>
      </c>
      <c r="J34" s="76">
        <f>②当月数据及门店毛利!J36</f>
        <v>0</v>
      </c>
      <c r="K34" s="76">
        <f>②当月数据及门店毛利!K36</f>
        <v>0</v>
      </c>
      <c r="L34" s="76">
        <f>②当月数据及门店毛利!L36</f>
        <v>0</v>
      </c>
      <c r="M34" s="76">
        <f>②当月数据及门店毛利!N36</f>
        <v>0</v>
      </c>
      <c r="N34" s="76">
        <f>_xlfn.XLOOKUP(B34,'经理核算-门店口径核算'!B:B,'经理核算-门店口径核算'!Q:Q,0)</f>
        <v>0</v>
      </c>
      <c r="P34" s="122">
        <f>_xlfn.XLOOKUP(B34,'经理核算-门店口径核算'!B:B,'经理核算-门店口径核算'!V:V,0)</f>
        <v>0</v>
      </c>
    </row>
  </sheetData>
  <phoneticPr fontId="4" type="noConversion"/>
  <conditionalFormatting sqref="A1">
    <cfRule type="duplicateValues" dxfId="8" priority="1"/>
  </conditionalFormatting>
  <conditionalFormatting sqref="B1:C1">
    <cfRule type="duplicateValues" dxfId="7" priority="2"/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9"/>
  <sheetViews>
    <sheetView workbookViewId="0">
      <selection activeCell="I13" sqref="I13"/>
    </sheetView>
  </sheetViews>
  <sheetFormatPr defaultColWidth="9" defaultRowHeight="13.5" x14ac:dyDescent="0.15"/>
  <cols>
    <col min="2" max="2" width="17.75" customWidth="1"/>
    <col min="3" max="3" width="16.125" style="3" customWidth="1"/>
    <col min="5" max="5" width="10.5" bestFit="1" customWidth="1"/>
    <col min="8" max="8" width="18.125" style="3" customWidth="1"/>
  </cols>
  <sheetData>
    <row r="1" spans="1:9" x14ac:dyDescent="0.15">
      <c r="A1" t="s">
        <v>239</v>
      </c>
      <c r="B1" t="s">
        <v>240</v>
      </c>
      <c r="C1" s="3" t="s">
        <v>187</v>
      </c>
      <c r="D1" s="5" t="s">
        <v>310</v>
      </c>
      <c r="E1" s="1"/>
      <c r="F1" t="s">
        <v>239</v>
      </c>
      <c r="G1" t="s">
        <v>241</v>
      </c>
      <c r="H1" s="3" t="s">
        <v>187</v>
      </c>
    </row>
    <row r="2" spans="1:9" x14ac:dyDescent="0.15">
      <c r="A2" t="s">
        <v>242</v>
      </c>
      <c r="B2" s="10" t="s">
        <v>41</v>
      </c>
      <c r="C2" s="3">
        <f>SUMIFS('总经理核算-门店口径核算'!AA:AA,'总经理核算-门店口径核算'!P:P,B2)</f>
        <v>7489.0370999999996</v>
      </c>
      <c r="D2">
        <f>_xlfn.XLOOKUP(B2,'总经理-汇总表'!C:C,'总经理-汇总表'!N:N,0)</f>
        <v>4000</v>
      </c>
      <c r="E2" s="162">
        <f>D2+C2</f>
        <v>11489.0371</v>
      </c>
      <c r="F2" t="s">
        <v>242</v>
      </c>
      <c r="G2" t="s">
        <v>44</v>
      </c>
      <c r="H2" s="3">
        <f>SUMIFS('经理核算-门店口径核算'!V:V,'经理核算-门店口径核算'!P:P,G2)</f>
        <v>4175.3942500000003</v>
      </c>
      <c r="I2">
        <f>_xlfn.XLOOKUP(G2,'经理-汇总表'!C:C,'经理-汇总表'!N:N,0)</f>
        <v>4000</v>
      </c>
    </row>
    <row r="3" spans="1:9" x14ac:dyDescent="0.15">
      <c r="A3" t="s">
        <v>243</v>
      </c>
      <c r="B3" s="1" t="s">
        <v>34</v>
      </c>
      <c r="C3" s="3">
        <f>SUMIFS('总经理核算-门店口径核算'!AA:AA,'总经理核算-门店口径核算'!P:P,B3)</f>
        <v>7381.1214000000009</v>
      </c>
      <c r="D3">
        <f>_xlfn.XLOOKUP(B3,'总经理-汇总表'!C:C,'总经理-汇总表'!N:N,0)</f>
        <v>4000</v>
      </c>
      <c r="E3" s="162">
        <f t="shared" ref="E3:E9" si="0">D3+C3</f>
        <v>11381.1214</v>
      </c>
      <c r="F3" t="s">
        <v>243</v>
      </c>
      <c r="G3" s="5" t="s">
        <v>27</v>
      </c>
      <c r="H3" s="3">
        <f>SUMIFS('经理核算-门店口径核算'!V:V,'经理核算-门店口径核算'!P:P,G3)</f>
        <v>5622.7923500000006</v>
      </c>
      <c r="I3">
        <f>_xlfn.XLOOKUP(G3,'经理-汇总表'!C:C,'经理-汇总表'!N:N,0)</f>
        <v>4000</v>
      </c>
    </row>
    <row r="4" spans="1:9" x14ac:dyDescent="0.15">
      <c r="A4" t="s">
        <v>244</v>
      </c>
      <c r="B4" s="1" t="s">
        <v>20</v>
      </c>
      <c r="C4" s="3">
        <f>SUMIFS('总经理核算-门店口径核算'!AA:AA,'总经理核算-门店口径核算'!P:P,B4)</f>
        <v>6394.9372000000003</v>
      </c>
      <c r="D4">
        <f>_xlfn.XLOOKUP(B4,'总经理-汇总表'!C:C,'总经理-汇总表'!N:N,0)</f>
        <v>4000</v>
      </c>
      <c r="E4" s="162">
        <f t="shared" si="0"/>
        <v>10394.9372</v>
      </c>
      <c r="F4" t="s">
        <v>244</v>
      </c>
      <c r="G4" s="5" t="s">
        <v>324</v>
      </c>
      <c r="H4" s="3">
        <f>SUMIFS('经理核算-门店口径核算'!V:V,'经理核算-门店口径核算'!P:P,G4)</f>
        <v>4171.5718499999994</v>
      </c>
      <c r="I4">
        <f>_xlfn.XLOOKUP(G4,'经理-汇总表'!C:C,'经理-汇总表'!N:N,0)</f>
        <v>4000</v>
      </c>
    </row>
    <row r="5" spans="1:9" x14ac:dyDescent="0.15">
      <c r="A5" t="s">
        <v>245</v>
      </c>
      <c r="B5" s="1" t="s">
        <v>31</v>
      </c>
      <c r="C5" s="3">
        <f>SUMIFS('总经理核算-门店口径核算'!AA:AA,'总经理核算-门店口径核算'!P:P,B5)</f>
        <v>5065.7597000000005</v>
      </c>
      <c r="D5">
        <f>_xlfn.XLOOKUP(B5,'总经理-汇总表'!C:C,'总经理-汇总表'!N:N,0)</f>
        <v>4000</v>
      </c>
      <c r="E5" s="162">
        <f t="shared" si="0"/>
        <v>9065.7597000000005</v>
      </c>
    </row>
    <row r="6" spans="1:9" x14ac:dyDescent="0.15">
      <c r="A6" t="s">
        <v>246</v>
      </c>
      <c r="B6" s="1" t="s">
        <v>50</v>
      </c>
      <c r="C6" s="3">
        <f>SUMIFS('总经理核算-门店口径核算'!AA:AA,'总经理核算-门店口径核算'!P:P,B6)</f>
        <v>3710.221</v>
      </c>
      <c r="D6">
        <f>_xlfn.XLOOKUP(B6,'总经理-汇总表'!C:C,'总经理-汇总表'!N:N,0)</f>
        <v>4000</v>
      </c>
      <c r="E6" s="162">
        <f t="shared" si="0"/>
        <v>7710.2209999999995</v>
      </c>
    </row>
    <row r="7" spans="1:9" x14ac:dyDescent="0.15">
      <c r="A7" t="s">
        <v>247</v>
      </c>
      <c r="B7" s="1" t="s">
        <v>54</v>
      </c>
      <c r="C7" s="3">
        <f>SUMIFS('总经理核算-门店口径核算'!AA:AA,'总经理核算-门店口径核算'!P:P,B7)</f>
        <v>5116.1105000000007</v>
      </c>
      <c r="D7">
        <f>_xlfn.XLOOKUP(B7,'总经理-汇总表'!C:C,'总经理-汇总表'!N:N,0)</f>
        <v>4000</v>
      </c>
      <c r="E7" s="162">
        <f t="shared" si="0"/>
        <v>9116.1105000000007</v>
      </c>
    </row>
    <row r="8" spans="1:9" x14ac:dyDescent="0.15">
      <c r="A8" t="s">
        <v>248</v>
      </c>
      <c r="C8" s="3">
        <f>SUMIFS('总经理核算-门店口径核算'!AA:AA,'总经理核算-门店口径核算'!P:P,B8)</f>
        <v>0</v>
      </c>
      <c r="D8">
        <f>_xlfn.XLOOKUP(B8,'总经理-汇总表'!C:C,'总经理-汇总表'!N:N,0)</f>
        <v>0</v>
      </c>
      <c r="E8" s="162">
        <f t="shared" si="0"/>
        <v>0</v>
      </c>
    </row>
    <row r="9" spans="1:9" x14ac:dyDescent="0.15">
      <c r="A9" t="s">
        <v>249</v>
      </c>
      <c r="C9" s="3">
        <f>SUMIFS('总经理核算-门店口径核算'!AA:AA,'总经理核算-门店口径核算'!P:P,B9)</f>
        <v>0</v>
      </c>
      <c r="D9">
        <f>_xlfn.XLOOKUP(B9,'总经理-汇总表'!C:C,'总经理-汇总表'!N:N,0)</f>
        <v>0</v>
      </c>
      <c r="E9" s="162">
        <f t="shared" si="0"/>
        <v>0</v>
      </c>
    </row>
  </sheetData>
  <phoneticPr fontId="4" type="noConversion"/>
  <pageMargins left="0.75" right="0.75" top="1" bottom="1" header="0.5" footer="0.5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P642"/>
  <sheetViews>
    <sheetView workbookViewId="0">
      <selection activeCell="E28" sqref="E28"/>
    </sheetView>
  </sheetViews>
  <sheetFormatPr defaultColWidth="9" defaultRowHeight="14.25" x14ac:dyDescent="0.15"/>
  <cols>
    <col min="1" max="1" width="8.625" style="72" customWidth="1"/>
    <col min="2" max="3" width="7.375" style="72" customWidth="1"/>
    <col min="4" max="4" width="12.625" style="72" customWidth="1"/>
    <col min="5" max="5" width="16" style="72" customWidth="1"/>
    <col min="6" max="6" width="14.25" style="72" customWidth="1"/>
    <col min="7" max="7" width="13.875" style="163" bestFit="1" customWidth="1"/>
    <col min="8" max="8" width="5.125" style="163" customWidth="1"/>
    <col min="9" max="9" width="8.875" style="163" customWidth="1"/>
    <col min="10" max="10" width="11.125" style="163" bestFit="1" customWidth="1"/>
    <col min="11" max="11" width="8.25" style="163" customWidth="1"/>
    <col min="12" max="13" width="14.25" style="163" customWidth="1"/>
    <col min="14" max="14" width="26.625" style="163" bestFit="1" customWidth="1"/>
    <col min="15" max="15" width="31.875" style="163" bestFit="1" customWidth="1"/>
    <col min="16" max="16" width="8.25" style="163" customWidth="1"/>
    <col min="17" max="17" width="6.875" style="163" customWidth="1"/>
    <col min="18" max="19" width="6" style="164" customWidth="1"/>
    <col min="20" max="20" width="15.125" style="72" bestFit="1" customWidth="1"/>
    <col min="21" max="21" width="13" style="72" bestFit="1" customWidth="1"/>
    <col min="22" max="22" width="12.875" style="72" customWidth="1"/>
    <col min="23" max="23" width="10.5" style="178" customWidth="1"/>
    <col min="24" max="24" width="10.5" style="164" customWidth="1"/>
    <col min="25" max="26" width="11.125" style="115" customWidth="1"/>
    <col min="27" max="27" width="15" style="115" customWidth="1"/>
    <col min="28" max="28" width="11.75" style="164" customWidth="1"/>
    <col min="29" max="29" width="12.625" style="115" customWidth="1"/>
    <col min="30" max="30" width="13" style="178" customWidth="1"/>
    <col min="31" max="31" width="10.5" style="178" customWidth="1"/>
    <col min="32" max="33" width="9" style="72" customWidth="1"/>
    <col min="34" max="34" width="11.875" style="178" customWidth="1"/>
    <col min="35" max="35" width="10.375" style="179"/>
    <col min="36" max="36" width="12.75" style="180" customWidth="1"/>
    <col min="37" max="37" width="11.125" style="179" customWidth="1"/>
    <col min="38" max="38" width="10.875" style="179" customWidth="1"/>
    <col min="39" max="39" width="10" style="179" customWidth="1"/>
    <col min="40" max="40" width="9.375" style="179"/>
    <col min="41" max="41" width="11.625" style="179" customWidth="1"/>
    <col min="42" max="42" width="13.75" style="179" customWidth="1"/>
    <col min="43" max="16384" width="9" style="72"/>
  </cols>
  <sheetData>
    <row r="1" spans="1:42" x14ac:dyDescent="0.15">
      <c r="W1" s="179" t="s">
        <v>798</v>
      </c>
      <c r="X1" s="72">
        <v>31</v>
      </c>
      <c r="Y1" s="115" t="s">
        <v>313</v>
      </c>
      <c r="Z1" s="115" t="s">
        <v>314</v>
      </c>
      <c r="AA1" s="164"/>
      <c r="AB1" s="115"/>
      <c r="AC1" s="178"/>
      <c r="AE1" s="72"/>
      <c r="AG1" s="178"/>
      <c r="AH1" s="179">
        <f t="shared" ref="AH1:AO1" si="0">SUM(AH3:AH27)</f>
        <v>42903.225806451614</v>
      </c>
      <c r="AI1" s="179">
        <f t="shared" si="0"/>
        <v>38738.344999999994</v>
      </c>
      <c r="AJ1" s="179">
        <f t="shared" si="0"/>
        <v>8892.1511499999979</v>
      </c>
      <c r="AK1" s="179">
        <f t="shared" si="0"/>
        <v>-300</v>
      </c>
      <c r="AL1" s="179">
        <f t="shared" si="0"/>
        <v>960</v>
      </c>
      <c r="AM1" s="179">
        <f t="shared" si="0"/>
        <v>1832.605</v>
      </c>
      <c r="AN1" s="179">
        <f t="shared" si="0"/>
        <v>36705</v>
      </c>
      <c r="AO1" s="179">
        <f t="shared" si="0"/>
        <v>129731.32695645162</v>
      </c>
      <c r="AP1" s="72"/>
    </row>
    <row r="2" spans="1:42" x14ac:dyDescent="0.15">
      <c r="A2" s="72" t="s">
        <v>250</v>
      </c>
      <c r="B2" s="72" t="s">
        <v>198</v>
      </c>
      <c r="C2" s="72" t="s">
        <v>251</v>
      </c>
      <c r="D2" s="72" t="s">
        <v>154</v>
      </c>
      <c r="E2" s="149" t="s">
        <v>252</v>
      </c>
      <c r="F2" s="165" t="s">
        <v>63</v>
      </c>
      <c r="G2" s="166" t="s">
        <v>253</v>
      </c>
      <c r="H2" s="166" t="s">
        <v>254</v>
      </c>
      <c r="I2" s="166" t="s">
        <v>255</v>
      </c>
      <c r="J2" s="166" t="s">
        <v>777</v>
      </c>
      <c r="K2" s="166" t="s">
        <v>256</v>
      </c>
      <c r="L2" s="166" t="s">
        <v>257</v>
      </c>
      <c r="M2" s="166" t="s">
        <v>776</v>
      </c>
      <c r="N2" s="166" t="s">
        <v>776</v>
      </c>
      <c r="O2" s="166" t="s">
        <v>783</v>
      </c>
      <c r="P2" s="166" t="s">
        <v>784</v>
      </c>
      <c r="Q2" s="166" t="s">
        <v>258</v>
      </c>
      <c r="R2" s="164" t="s">
        <v>797</v>
      </c>
      <c r="S2" s="164" t="s">
        <v>259</v>
      </c>
      <c r="T2" s="72" t="s">
        <v>260</v>
      </c>
      <c r="U2" s="72" t="s">
        <v>261</v>
      </c>
      <c r="V2" s="72" t="s">
        <v>262</v>
      </c>
      <c r="W2" s="178" t="s">
        <v>198</v>
      </c>
      <c r="Y2" s="115" t="s">
        <v>263</v>
      </c>
      <c r="Z2" s="115" t="s">
        <v>264</v>
      </c>
      <c r="AA2" s="164" t="s">
        <v>209</v>
      </c>
      <c r="AB2" s="115" t="s">
        <v>265</v>
      </c>
      <c r="AC2" s="178" t="s">
        <v>266</v>
      </c>
      <c r="AD2" s="178" t="s">
        <v>267</v>
      </c>
      <c r="AE2" s="72" t="s">
        <v>268</v>
      </c>
      <c r="AF2" s="72" t="s">
        <v>269</v>
      </c>
      <c r="AG2" s="178" t="s">
        <v>270</v>
      </c>
      <c r="AH2" s="179" t="s">
        <v>198</v>
      </c>
      <c r="AI2" s="180" t="s">
        <v>209</v>
      </c>
      <c r="AJ2" s="179" t="s">
        <v>267</v>
      </c>
      <c r="AK2" s="179" t="s">
        <v>271</v>
      </c>
      <c r="AL2" s="179" t="s">
        <v>272</v>
      </c>
      <c r="AM2" s="179" t="s">
        <v>270</v>
      </c>
      <c r="AN2" s="179" t="s">
        <v>273</v>
      </c>
      <c r="AO2" s="179" t="s">
        <v>274</v>
      </c>
      <c r="AP2" s="72"/>
    </row>
    <row r="3" spans="1:42" x14ac:dyDescent="0.15">
      <c r="A3" s="72">
        <v>1</v>
      </c>
      <c r="B3" s="72">
        <v>2500</v>
      </c>
      <c r="C3" s="72">
        <v>80</v>
      </c>
      <c r="D3" s="72">
        <v>40000</v>
      </c>
      <c r="E3" s="167" t="s">
        <v>81</v>
      </c>
      <c r="F3" s="168" t="s">
        <v>82</v>
      </c>
      <c r="G3" s="166" t="s">
        <v>12</v>
      </c>
      <c r="H3" s="166"/>
      <c r="I3" s="166"/>
      <c r="J3" s="166" t="str">
        <f>IFERROR(VLOOKUP(F3,#REF!,2,0),"")</f>
        <v/>
      </c>
      <c r="K3" s="72">
        <v>42623</v>
      </c>
      <c r="L3" s="72">
        <v>609704</v>
      </c>
      <c r="M3" s="166">
        <f>SUM(K3:L3)</f>
        <v>652327</v>
      </c>
      <c r="N3" s="166"/>
      <c r="O3" s="166" t="str">
        <f>IFERROR(VLOOKUP(F3,#REF!,3,0),"")</f>
        <v/>
      </c>
      <c r="P3" s="166"/>
      <c r="Q3" s="166"/>
      <c r="R3" s="164">
        <f>_xlfn.XLOOKUP(F3,'[3]②7月-汇总'!$D:$D,'[3]②7月-汇总'!$AP:$AP,0)</f>
        <v>31</v>
      </c>
      <c r="S3" s="164">
        <f t="shared" ref="S3:S20" si="1">Q3*$B$21</f>
        <v>0</v>
      </c>
      <c r="T3" s="72">
        <f>IF(F3="T区","",IF(G3="总经理",0,IF(J3&lt;$C$3,$B$3,IF(J3&lt;$C$4,$B$3,IF(J3&lt;$C$5,$B$4,$B$5)))))</f>
        <v>0</v>
      </c>
      <c r="U3" s="72" t="str">
        <f>IF(F3="T区","",IF(G3="总经理","",IF(N3&lt;$D$3,$B$3,IF(N3&lt;$D$4,$B$3,IF(N3&lt;$D$5,$B$4,$B$5)))))</f>
        <v/>
      </c>
      <c r="V3" s="72">
        <f>IF(G3="总经理",IF(M3&lt;400000,4000*0.8,4000),0)</f>
        <v>4000</v>
      </c>
      <c r="W3" s="178">
        <f>IF(G3="T区",0,IF(G3="总经理",0,IF(G3="专家",3000,IF(T3&gt;U3,U3,T3))))/$X$1*R3</f>
        <v>0</v>
      </c>
      <c r="Y3" s="179" cm="1">
        <f t="array" ref="Y3">IF(K3&lt;50000,0,SUMPRODUCT((K3&gt;$B$38:$B$39)*(K3-$B$38:$B$39),$E$39:$E$40))</f>
        <v>0</v>
      </c>
      <c r="Z3" s="179" cm="1">
        <f t="array" ref="Z3">SUMPRODUCT((L3&gt;$B$31:$B$34)*(L3-$B$31:$B$34),$E$32:$E$35)</f>
        <v>10242.6</v>
      </c>
      <c r="AA3" s="164">
        <f>IF(G3="总经理",0,IF(Y3=$D$10,$C$8*$D$8+($C$9-$B$9)*$D$9+(N3-$B$10)*$D$10,IF(Y3=$D$9,(N3-$B$9)*$D$9+$C$8*$D$8,IF(Y3=$D$8,N3*$D$8,0))))</f>
        <v>0</v>
      </c>
      <c r="AB3" s="115" t="str">
        <f>IF(G3="总经理","",IF(G3="老师",IF(AND(O3&gt;=$B$14,O3&lt;$C$14),$D$14,IF(AND(O3&gt;=$B$15,O3&lt;$C$15),$D$15,IF(O3&gt;=$B$16,$D$16,0))),IF(AND(O3&gt;=$B$26,O3&lt;$C$26),$D$26,IF(AND(O3&gt;=$B$26,O3&lt;$C$27),$D$27,IF(O3&gt;=$B$28,$D$28,0)))))</f>
        <v/>
      </c>
      <c r="AC3" s="178" t="str">
        <f t="shared" ref="AC3:AC20" si="2">IF(G3="总经理","",IF(O3&lt;$C$13,-300,""))</f>
        <v/>
      </c>
      <c r="AD3" s="178" t="str">
        <f t="shared" ref="AD3:AD20" si="3">IF(O3="","",IF(G3="老师",IF(AC3&lt;0,0,IF(AB3=$D$16,(O3-$B$16)*$D$16+$C$15*$D$15,IF(AB3=$D$15,O3*$D$15,0))),IF(AC3&lt;0,0,IF(AB3=$D$28,(O3-$B$28)*$D$28+$C$27*$D$27,IF(AB3=$D$27,O3*$D$27,0)))))</f>
        <v/>
      </c>
      <c r="AE3" s="72" t="str">
        <f t="shared" ref="AE3:AE20" si="4">IF(G3="专家",VLOOKUP(F3,F:H,3,0),"")</f>
        <v/>
      </c>
      <c r="AF3" s="72" t="str">
        <f>IF(AE3="","",SUMIFS(N:N,H:H,AE3))</f>
        <v/>
      </c>
      <c r="AG3" s="178">
        <f>IFERROR(IF(AF3&gt;$B$18,AF3*$D$18,""),0)</f>
        <v>0</v>
      </c>
      <c r="AH3" s="179">
        <f>V3</f>
        <v>4000</v>
      </c>
      <c r="AI3" s="180">
        <f>Y3+Z3</f>
        <v>10242.6</v>
      </c>
      <c r="AJ3" s="179" t="str">
        <f>AD3</f>
        <v/>
      </c>
      <c r="AK3" s="179" t="str">
        <f>AC3</f>
        <v/>
      </c>
      <c r="AL3" s="179">
        <f t="shared" ref="AL3:AL20" si="5">S3</f>
        <v>0</v>
      </c>
      <c r="AM3" s="179">
        <f>AG3</f>
        <v>0</v>
      </c>
      <c r="AN3" s="179">
        <f t="shared" ref="AN3:AN20" si="6">IF(G3="总经理",0,P3)</f>
        <v>0</v>
      </c>
      <c r="AO3" s="179">
        <f>SUM(AH3:AN3)</f>
        <v>14242.6</v>
      </c>
      <c r="AP3" s="72"/>
    </row>
    <row r="4" spans="1:42" x14ac:dyDescent="0.15">
      <c r="A4" s="72">
        <v>2</v>
      </c>
      <c r="B4" s="72">
        <v>3000</v>
      </c>
      <c r="C4" s="164">
        <v>95</v>
      </c>
      <c r="D4" s="164">
        <v>80000</v>
      </c>
      <c r="E4" s="167" t="s">
        <v>90</v>
      </c>
      <c r="F4" s="168" t="s">
        <v>91</v>
      </c>
      <c r="G4" s="166" t="s">
        <v>12</v>
      </c>
      <c r="H4" s="166"/>
      <c r="I4" s="166"/>
      <c r="J4" s="166" t="str">
        <f>IFERROR(VLOOKUP(F4,#REF!,2,0),"")</f>
        <v/>
      </c>
      <c r="K4" s="166">
        <v>66061</v>
      </c>
      <c r="L4" s="166">
        <v>360084</v>
      </c>
      <c r="M4" s="166">
        <f>SUM(K4:L4)</f>
        <v>426145</v>
      </c>
      <c r="N4" s="166"/>
      <c r="O4" s="166" t="str">
        <f>IFERROR(VLOOKUP(F4,#REF!,3,0),"")</f>
        <v/>
      </c>
      <c r="P4" s="166"/>
      <c r="Q4" s="166"/>
      <c r="R4" s="164">
        <f>_xlfn.XLOOKUP(F4,'[3]②7月-汇总'!$D:$D,'[3]②7月-汇总'!$AP:$AP,0)</f>
        <v>31</v>
      </c>
      <c r="S4" s="164">
        <f t="shared" si="1"/>
        <v>0</v>
      </c>
      <c r="T4" s="72">
        <f t="shared" ref="T4:T20" si="7">IF(F4="T区","",IF(G4="总经理",0,IF(J4&lt;$C$3,$B$3,IF(J4&lt;$C$4,$B$3,IF(J4&lt;$C$5,$B$4,$B$5)))))</f>
        <v>0</v>
      </c>
      <c r="U4" s="72" t="str">
        <f t="shared" ref="U4:U20" si="8">IF(F4="T区","",IF(G4="总经理","",IF(N4&lt;$D$3,$B$3,IF(N4&lt;$D$4,$B$3,IF(N4&lt;$D$5,$B$4,$B$5)))))</f>
        <v/>
      </c>
      <c r="V4" s="72">
        <f>IF(G4="总经理",IF(M4&lt;400000,4000*0.8,4000),0)</f>
        <v>4000</v>
      </c>
      <c r="W4" s="178">
        <f t="shared" ref="W4:W20" si="9">IF(G4="T区",0,IF(G4="总经理",0,IF(G4="专家",3000,IF(T4&gt;U4,U4,T4))))/$X$1*R4</f>
        <v>0</v>
      </c>
      <c r="Y4" s="179" cm="1">
        <f t="array" ref="Y4">IF(K4&lt;50000,0,SUMPRODUCT((K4&gt;$B$38:$B$39)*(K4-$B$38:$B$39),$E$39:$E$40))</f>
        <v>660.61</v>
      </c>
      <c r="Z4" s="179" cm="1">
        <f t="array" ref="Z4">SUMPRODUCT((L4&gt;$B$31:$B$34)*(L4-$B$31:$B$34),$E$32:$E$35)</f>
        <v>4701.68</v>
      </c>
      <c r="AA4" s="164">
        <f>IF(G4="总经理",0,IF(Y4=$D$10,$C$8*$D$8+($C$9-$B$9)*$D$9+(N4-$B$10)*$D$10,IF(Y4=$D$9,(N4-$B$9)*$D$9+$C$8*$D$8,IF(Y4=$D$8,N4*$D$8,0))))</f>
        <v>0</v>
      </c>
      <c r="AB4" s="115" t="str">
        <f>IF(G4="总经理","",IF(G4="老师",IF(AND(O4&gt;=$B$14,O4&lt;$C$14),$D$14,IF(AND(O4&gt;=$B$15,O4&lt;$C$15),$D$15,IF(O4&gt;=$B$16,$D$16,0))),IF(AND(O4&gt;=$B$26,O4&lt;$C$26),$D$26,IF(AND(O4&gt;=$B$26,O4&lt;$C$27),$D$27,IF(O4&gt;=$B$28,$D$28,0)))))</f>
        <v/>
      </c>
      <c r="AC4" s="178" t="str">
        <f t="shared" si="2"/>
        <v/>
      </c>
      <c r="AD4" s="178" t="str">
        <f t="shared" si="3"/>
        <v/>
      </c>
      <c r="AE4" s="72" t="str">
        <f t="shared" si="4"/>
        <v/>
      </c>
      <c r="AF4" s="72" t="str">
        <f>IF(AE4="","",SUMIFS(N:N,H:H,AE4))</f>
        <v/>
      </c>
      <c r="AG4" s="178">
        <f t="shared" ref="AG4:AG20" si="10">IFERROR(IF(AF4&gt;$B$18,AF4*$D$18,""),0)</f>
        <v>0</v>
      </c>
      <c r="AH4" s="179">
        <f>V4</f>
        <v>4000</v>
      </c>
      <c r="AI4" s="180">
        <f>Y4+Z4</f>
        <v>5362.29</v>
      </c>
      <c r="AJ4" s="179" t="str">
        <f t="shared" ref="AJ4:AJ20" si="11">AD4</f>
        <v/>
      </c>
      <c r="AK4" s="179" t="str">
        <f t="shared" ref="AK4:AK20" si="12">AC4</f>
        <v/>
      </c>
      <c r="AL4" s="179">
        <f t="shared" si="5"/>
        <v>0</v>
      </c>
      <c r="AM4" s="179">
        <f t="shared" ref="AM4:AM20" si="13">AG4</f>
        <v>0</v>
      </c>
      <c r="AN4" s="179">
        <f t="shared" si="6"/>
        <v>0</v>
      </c>
      <c r="AO4" s="179">
        <f t="shared" ref="AO4:AO20" si="14">SUM(AH4:AN4)</f>
        <v>9362.2900000000009</v>
      </c>
      <c r="AP4" s="72"/>
    </row>
    <row r="5" spans="1:42" x14ac:dyDescent="0.15">
      <c r="A5" s="72">
        <v>3</v>
      </c>
      <c r="B5" s="72">
        <v>3500</v>
      </c>
      <c r="C5" s="164">
        <v>110</v>
      </c>
      <c r="D5" s="72">
        <v>100000</v>
      </c>
      <c r="E5" s="167" t="s">
        <v>81</v>
      </c>
      <c r="F5" s="169" t="s">
        <v>85</v>
      </c>
      <c r="G5" s="181" t="s">
        <v>275</v>
      </c>
      <c r="H5" s="181" t="s">
        <v>276</v>
      </c>
      <c r="I5" s="166"/>
      <c r="J5" s="166">
        <f>IFERROR(VLOOKUP(F5,'[4]7月'!$C:$D,2,0),"")</f>
        <v>115</v>
      </c>
      <c r="K5" s="166"/>
      <c r="L5" s="166"/>
      <c r="M5" s="166"/>
      <c r="N5" s="166">
        <v>74428</v>
      </c>
      <c r="O5" s="166">
        <f>IFERROR(VLOOKUP(F5,'[4]7月'!$C:$E,3,0),"")</f>
        <v>138410.29</v>
      </c>
      <c r="P5" s="166">
        <f>_xlfn.XLOOKUP(F5,'[4]7月'!$C:$C,'[4]7月'!$F:$F,0)</f>
        <v>2100</v>
      </c>
      <c r="Q5" s="166">
        <v>4</v>
      </c>
      <c r="R5" s="164">
        <f>_xlfn.XLOOKUP(F5,'[3]②7月-汇总'!$D:$D,'[3]②7月-汇总'!$AP:$AP,0)</f>
        <v>31</v>
      </c>
      <c r="S5" s="164">
        <f t="shared" si="1"/>
        <v>120</v>
      </c>
      <c r="T5" s="72">
        <f t="shared" si="7"/>
        <v>3500</v>
      </c>
      <c r="U5" s="72">
        <f t="shared" si="8"/>
        <v>2500</v>
      </c>
      <c r="V5" s="72">
        <f t="shared" ref="V5:V23" si="15">IF(G5="总经理",IF(N5&lt;400000,4000*0.8,4000),0)</f>
        <v>0</v>
      </c>
      <c r="W5" s="178">
        <f t="shared" si="9"/>
        <v>3000</v>
      </c>
      <c r="X5" s="115">
        <f>IF(G5="总经理",0,IF(G5="T区",2%,IF(I5="离职",$D$8,IF(N5&gt;=$B$10,$D$10,IF(AND(N5&gt;=$B$8,N5&lt;$C$8),$D$8,IF(AND(N5&gt;=$B$9,N5&lt;$C$9),$D$9,""))))))</f>
        <v>2.5000000000000001E-2</v>
      </c>
      <c r="Y5" s="179"/>
      <c r="Z5" s="179"/>
      <c r="AA5" s="164">
        <f t="shared" ref="AA5:AA20" si="16">IF(G5="总经理",0,IF(X5=$D$10,$C$8*$D$8+($C$9-$B$9)*$D$9+(N5-$B$10)*$D$10,IF(X5=$D$9,(N5-$B$9)*$D$9+$C$8*$D$8,IF(X5=$D$8,N5*$D$8,0))))</f>
        <v>1510.7</v>
      </c>
      <c r="AB5" s="115">
        <f>IF(O5&lt;100000,0,IF(G5="总经理","",IF(G5="老师",IF(AND(O5&gt;=$B$14,O5&lt;$C$14),$D$14,IF(AND(O5&gt;=$B$15,O5&lt;$C$15),$D$15,IF(O5&gt;=$B$16,$D$16,0))),IF(AND(O5&gt;=$B$26,O5&lt;$C$26),$D$26,IF(AND(O5&gt;=$B$26,O5&lt;$C$27),$D$27,IF(O5&gt;=$B$28,$D$28,0))))))</f>
        <v>5.0000000000000001E-3</v>
      </c>
      <c r="AC5" s="178" t="str">
        <f t="shared" si="2"/>
        <v/>
      </c>
      <c r="AD5" s="178">
        <f t="shared" si="3"/>
        <v>692.05145000000005</v>
      </c>
      <c r="AE5" s="72" t="str">
        <f t="shared" si="4"/>
        <v>组B</v>
      </c>
      <c r="AF5" s="72">
        <f>IF(AE5="","",SUMIFS(N:N,H:H,AE5,G:G,"老师"))</f>
        <v>210295</v>
      </c>
      <c r="AG5" s="178">
        <f>IFERROR(IF(SUMIFS(N:N,H:H,AE5)&gt;$B$18,AF5*$D$18,""),0)</f>
        <v>1051.4749999999999</v>
      </c>
      <c r="AH5" s="179">
        <f t="shared" ref="AH5:AH20" si="17">W5</f>
        <v>3000</v>
      </c>
      <c r="AI5" s="180">
        <f>AA5</f>
        <v>1510.7</v>
      </c>
      <c r="AJ5" s="179">
        <f t="shared" si="11"/>
        <v>692.05145000000005</v>
      </c>
      <c r="AK5" s="179" t="str">
        <f t="shared" si="12"/>
        <v/>
      </c>
      <c r="AL5" s="179">
        <f t="shared" si="5"/>
        <v>120</v>
      </c>
      <c r="AM5" s="179">
        <f t="shared" si="13"/>
        <v>1051.4749999999999</v>
      </c>
      <c r="AN5" s="179">
        <f t="shared" si="6"/>
        <v>2100</v>
      </c>
      <c r="AO5" s="179">
        <f t="shared" si="14"/>
        <v>8474.2264500000001</v>
      </c>
      <c r="AP5" s="72"/>
    </row>
    <row r="6" spans="1:42" x14ac:dyDescent="0.15">
      <c r="E6" s="170" t="s">
        <v>81</v>
      </c>
      <c r="F6" s="168" t="s">
        <v>83</v>
      </c>
      <c r="G6" s="182" t="s">
        <v>275</v>
      </c>
      <c r="H6" s="166" t="s">
        <v>277</v>
      </c>
      <c r="I6" s="166"/>
      <c r="J6" s="166">
        <f>IFERROR(VLOOKUP(F6,'[4]7月'!$C:$D,2,0),"")</f>
        <v>116</v>
      </c>
      <c r="K6" s="166"/>
      <c r="L6" s="166"/>
      <c r="M6" s="166"/>
      <c r="N6" s="166">
        <v>205363</v>
      </c>
      <c r="O6" s="166">
        <f>IFERROR(VLOOKUP(F6,'[4]7月'!$C:$E,3,0),"")</f>
        <v>253652.65</v>
      </c>
      <c r="P6" s="166">
        <f>_xlfn.XLOOKUP(F6,'[4]7月'!$C:$C,'[4]7月'!$F:$F,0)</f>
        <v>4150</v>
      </c>
      <c r="Q6" s="166">
        <v>2</v>
      </c>
      <c r="R6" s="164">
        <f>_xlfn.XLOOKUP(F6,'[3]②7月-汇总'!$D:$D,'[3]②7月-汇总'!$AP:$AP,0)</f>
        <v>31</v>
      </c>
      <c r="S6" s="164">
        <f t="shared" si="1"/>
        <v>60</v>
      </c>
      <c r="T6" s="72">
        <f t="shared" si="7"/>
        <v>3500</v>
      </c>
      <c r="U6" s="72">
        <f t="shared" si="8"/>
        <v>3500</v>
      </c>
      <c r="V6" s="72">
        <f t="shared" si="15"/>
        <v>0</v>
      </c>
      <c r="W6" s="178">
        <f t="shared" si="9"/>
        <v>3000</v>
      </c>
      <c r="X6" s="115">
        <f t="shared" ref="X6:X20" si="18">IF(G6="总经理",0,IF(G6="T区",2%,IF(I6="离职",$D$8,IF(N6&gt;=$B$10,$D$10,IF(AND(N6&gt;=$B$8,N6&lt;$C$8),$D$8,IF(AND(N6&gt;=$B$9,N6&lt;$C$9),$D$9,""))))))</f>
        <v>0.03</v>
      </c>
      <c r="AA6" s="164">
        <f t="shared" si="16"/>
        <v>5060.8899999999994</v>
      </c>
      <c r="AB6" s="115">
        <f t="shared" ref="AB6:AB20" si="19">IF(O6&lt;100000,0,IF(G6="总经理","",IF(G6="老师",IF(AND(O6&gt;=$B$14,O6&lt;$C$14),$D$14,IF(AND(O6&gt;=$B$15,O6&lt;$C$15),$D$15,IF(O6&gt;=$B$16,$D$16,0))),IF(AND(O6&gt;=$B$26,O6&lt;$C$26),$D$26,IF(AND(O6&gt;=$B$26,O6&lt;$C$27),$D$27,IF(O6&gt;=$B$28,$D$28,0))))))</f>
        <v>0.01</v>
      </c>
      <c r="AC6" s="178" t="str">
        <f t="shared" si="2"/>
        <v/>
      </c>
      <c r="AD6" s="178">
        <f>IF(O6="","",IF(G6="老师",IF(AC6&lt;0,0,IF(AB6=$D$16,(O6-$B$16)*$D$16+$C$15*$D$15,IF(AB6=$D$15,O6*$D$15,0))),IF(AC6&lt;0,0,IF(AB6=$D$28,(O6-$B$28)*$D$28+$C$27*$D$27,IF(AB6=$D$27,O6*$D$27,0)))))</f>
        <v>1786.5264999999999</v>
      </c>
      <c r="AE6" s="72" t="str">
        <f t="shared" si="4"/>
        <v>组A</v>
      </c>
      <c r="AF6" s="72">
        <f>IF(AE6="","",SUMIFS(N:N,H:H,AE6,G:G,"老师"))</f>
        <v>156226</v>
      </c>
      <c r="AG6" s="178">
        <f>IFERROR(IF(SUMIFS(N:N,H:H,AE6)&gt;$B$18,AF6*$D$18,""),0)</f>
        <v>781.13</v>
      </c>
      <c r="AH6" s="179">
        <f t="shared" si="17"/>
        <v>3000</v>
      </c>
      <c r="AI6" s="180">
        <f>AA6</f>
        <v>5060.8899999999994</v>
      </c>
      <c r="AJ6" s="179">
        <f t="shared" si="11"/>
        <v>1786.5264999999999</v>
      </c>
      <c r="AK6" s="179" t="str">
        <f t="shared" si="12"/>
        <v/>
      </c>
      <c r="AL6" s="179">
        <f t="shared" si="5"/>
        <v>60</v>
      </c>
      <c r="AM6" s="179">
        <f t="shared" si="13"/>
        <v>781.13</v>
      </c>
      <c r="AN6" s="179">
        <f t="shared" si="6"/>
        <v>4150</v>
      </c>
      <c r="AO6" s="179">
        <f t="shared" si="14"/>
        <v>14838.546499999999</v>
      </c>
      <c r="AP6" s="72"/>
    </row>
    <row r="7" spans="1:42" x14ac:dyDescent="0.15">
      <c r="A7" s="72" t="s">
        <v>278</v>
      </c>
      <c r="B7" s="72" t="s">
        <v>154</v>
      </c>
      <c r="D7" s="72" t="s">
        <v>199</v>
      </c>
      <c r="E7" s="167" t="s">
        <v>81</v>
      </c>
      <c r="F7" s="168" t="s">
        <v>84</v>
      </c>
      <c r="G7" s="182" t="s">
        <v>278</v>
      </c>
      <c r="H7" s="166" t="s">
        <v>277</v>
      </c>
      <c r="I7" s="166"/>
      <c r="J7" s="166">
        <f>IFERROR(VLOOKUP(F7,'[4]7月'!$C:$D,2,0),"")</f>
        <v>138</v>
      </c>
      <c r="K7" s="166"/>
      <c r="L7" s="166"/>
      <c r="M7" s="166"/>
      <c r="N7" s="166">
        <v>70622</v>
      </c>
      <c r="O7" s="166">
        <f>IFERROR(VLOOKUP(F7,'[4]7月'!$C:$E,3,0),"")</f>
        <v>143186.04</v>
      </c>
      <c r="P7" s="166">
        <f>_xlfn.XLOOKUP(F7,'[4]7月'!$C:$C,'[4]7月'!$F:$F,0)</f>
        <v>3290</v>
      </c>
      <c r="Q7" s="166">
        <v>3</v>
      </c>
      <c r="R7" s="164">
        <f>_xlfn.XLOOKUP(F7,'[3]②7月-汇总'!$D:$D,'[3]②7月-汇总'!$AP:$AP,0)</f>
        <v>30</v>
      </c>
      <c r="S7" s="171">
        <f t="shared" si="1"/>
        <v>90</v>
      </c>
      <c r="T7" s="72">
        <f t="shared" si="7"/>
        <v>3500</v>
      </c>
      <c r="U7" s="72">
        <f>IF(F7="T区","",IF(G7="总经理","",IF(N7&lt;$D$3,$B$3,IF(N7&lt;$D$4,$B$3,IF(N7&lt;$D$5,$B$4,$B$5)))))</f>
        <v>2500</v>
      </c>
      <c r="V7" s="72">
        <f t="shared" si="15"/>
        <v>0</v>
      </c>
      <c r="W7" s="178">
        <f t="shared" si="9"/>
        <v>2419.3548387096771</v>
      </c>
      <c r="X7" s="115">
        <f t="shared" si="18"/>
        <v>2.5000000000000001E-2</v>
      </c>
      <c r="AA7" s="164">
        <f t="shared" si="16"/>
        <v>1415.55</v>
      </c>
      <c r="AB7" s="115">
        <f t="shared" si="19"/>
        <v>5.0000000000000001E-3</v>
      </c>
      <c r="AC7" s="178" t="str">
        <f t="shared" si="2"/>
        <v/>
      </c>
      <c r="AD7" s="178">
        <f t="shared" si="3"/>
        <v>715.93020000000001</v>
      </c>
      <c r="AE7" s="72" t="str">
        <f t="shared" si="4"/>
        <v/>
      </c>
      <c r="AF7" s="72" t="str">
        <f t="shared" ref="AF7:AF20" si="20">IF(AE7="","",SUMIFS(N:N,H:H,AE7))</f>
        <v/>
      </c>
      <c r="AG7" s="178">
        <f t="shared" si="10"/>
        <v>0</v>
      </c>
      <c r="AH7" s="179">
        <f t="shared" si="17"/>
        <v>2419.3548387096771</v>
      </c>
      <c r="AI7" s="180">
        <f t="shared" ref="AI7:AI20" si="21">AA7</f>
        <v>1415.55</v>
      </c>
      <c r="AJ7" s="179">
        <f t="shared" si="11"/>
        <v>715.93020000000001</v>
      </c>
      <c r="AK7" s="179" t="str">
        <f t="shared" si="12"/>
        <v/>
      </c>
      <c r="AL7" s="179">
        <f t="shared" si="5"/>
        <v>90</v>
      </c>
      <c r="AM7" s="179">
        <f t="shared" si="13"/>
        <v>0</v>
      </c>
      <c r="AN7" s="179">
        <f t="shared" si="6"/>
        <v>3290</v>
      </c>
      <c r="AO7" s="179">
        <f t="shared" si="14"/>
        <v>7930.8350387096771</v>
      </c>
      <c r="AP7" s="72"/>
    </row>
    <row r="8" spans="1:42" x14ac:dyDescent="0.15">
      <c r="B8" s="72">
        <v>10000</v>
      </c>
      <c r="C8" s="72">
        <v>70000</v>
      </c>
      <c r="D8" s="115">
        <v>0.02</v>
      </c>
      <c r="E8" s="167" t="s">
        <v>81</v>
      </c>
      <c r="F8" s="172" t="s">
        <v>86</v>
      </c>
      <c r="G8" s="182" t="s">
        <v>278</v>
      </c>
      <c r="H8" s="166" t="s">
        <v>277</v>
      </c>
      <c r="I8" s="166"/>
      <c r="J8" s="166" t="str">
        <f>IFERROR(VLOOKUP(F8,'[4]7月'!$C:$D,2,0),"")</f>
        <v/>
      </c>
      <c r="K8" s="166"/>
      <c r="L8" s="166"/>
      <c r="M8" s="166"/>
      <c r="N8" s="166">
        <v>0</v>
      </c>
      <c r="O8" s="166" t="str">
        <f>IFERROR(VLOOKUP(F8,'[4]7月'!$C:$E,3,0),"")</f>
        <v/>
      </c>
      <c r="P8" s="166">
        <f>_xlfn.XLOOKUP(F8,'[4]7月'!$C:$C,'[4]7月'!$F:$F,0)</f>
        <v>0</v>
      </c>
      <c r="Q8" s="166"/>
      <c r="R8" s="164">
        <f>_xlfn.XLOOKUP(F8,'[3]②7月-汇总'!$D:$D,'[3]②7月-汇总'!$AP:$AP,0)</f>
        <v>0</v>
      </c>
      <c r="S8" s="164">
        <f t="shared" si="1"/>
        <v>0</v>
      </c>
      <c r="T8" s="72">
        <f t="shared" si="7"/>
        <v>3500</v>
      </c>
      <c r="U8" s="72">
        <f t="shared" si="8"/>
        <v>2500</v>
      </c>
      <c r="V8" s="72">
        <f t="shared" si="15"/>
        <v>0</v>
      </c>
      <c r="W8" s="178">
        <f t="shared" si="9"/>
        <v>0</v>
      </c>
      <c r="X8" s="115" t="str">
        <f t="shared" si="18"/>
        <v/>
      </c>
      <c r="AA8" s="164">
        <f t="shared" si="16"/>
        <v>0</v>
      </c>
      <c r="AB8" s="115">
        <f t="shared" si="19"/>
        <v>0.01</v>
      </c>
      <c r="AC8" s="178" t="str">
        <f t="shared" si="2"/>
        <v/>
      </c>
      <c r="AD8" s="178" t="str">
        <f t="shared" si="3"/>
        <v/>
      </c>
      <c r="AE8" s="72" t="str">
        <f t="shared" si="4"/>
        <v/>
      </c>
      <c r="AF8" s="72" t="str">
        <f t="shared" si="20"/>
        <v/>
      </c>
      <c r="AG8" s="178">
        <f t="shared" si="10"/>
        <v>0</v>
      </c>
      <c r="AH8" s="179">
        <f t="shared" si="17"/>
        <v>0</v>
      </c>
      <c r="AI8" s="180">
        <f t="shared" si="21"/>
        <v>0</v>
      </c>
      <c r="AJ8" s="179" t="str">
        <f t="shared" si="11"/>
        <v/>
      </c>
      <c r="AK8" s="179" t="str">
        <f t="shared" si="12"/>
        <v/>
      </c>
      <c r="AL8" s="179">
        <f t="shared" si="5"/>
        <v>0</v>
      </c>
      <c r="AM8" s="179">
        <f t="shared" si="13"/>
        <v>0</v>
      </c>
      <c r="AN8" s="179">
        <f t="shared" si="6"/>
        <v>0</v>
      </c>
      <c r="AO8" s="179">
        <f t="shared" si="14"/>
        <v>0</v>
      </c>
      <c r="AP8" s="72"/>
    </row>
    <row r="9" spans="1:42" x14ac:dyDescent="0.15">
      <c r="B9" s="72">
        <v>70000</v>
      </c>
      <c r="C9" s="72">
        <v>150000</v>
      </c>
      <c r="D9" s="115">
        <v>2.5000000000000001E-2</v>
      </c>
      <c r="E9" s="167" t="s">
        <v>81</v>
      </c>
      <c r="F9" s="173" t="s">
        <v>87</v>
      </c>
      <c r="G9" s="181" t="s">
        <v>278</v>
      </c>
      <c r="H9" s="181" t="s">
        <v>276</v>
      </c>
      <c r="I9" s="166"/>
      <c r="J9" s="166">
        <f>IFERROR(VLOOKUP(F9,'[4]7月'!$C:$D,2,0),"")</f>
        <v>162</v>
      </c>
      <c r="K9" s="166"/>
      <c r="L9" s="166"/>
      <c r="M9" s="166"/>
      <c r="N9" s="166">
        <v>53964</v>
      </c>
      <c r="O9" s="166">
        <f>IFERROR(VLOOKUP(F9,'[4]7月'!$C:$E,3,0),"")</f>
        <v>194602.29</v>
      </c>
      <c r="P9" s="166">
        <f>_xlfn.XLOOKUP(F9,'[4]7月'!$C:$C,'[4]7月'!$F:$F,0)</f>
        <v>3570</v>
      </c>
      <c r="Q9" s="166">
        <v>4</v>
      </c>
      <c r="R9" s="164">
        <f>_xlfn.XLOOKUP(F9,'[3]②7月-汇总'!$D:$D,'[3]②7月-汇总'!$AP:$AP,0)</f>
        <v>31</v>
      </c>
      <c r="S9" s="164">
        <f t="shared" si="1"/>
        <v>120</v>
      </c>
      <c r="T9" s="72">
        <f t="shared" si="7"/>
        <v>3500</v>
      </c>
      <c r="U9" s="72">
        <f t="shared" si="8"/>
        <v>2500</v>
      </c>
      <c r="V9" s="72">
        <f t="shared" si="15"/>
        <v>0</v>
      </c>
      <c r="W9" s="178">
        <f t="shared" si="9"/>
        <v>2500</v>
      </c>
      <c r="X9" s="115">
        <f t="shared" si="18"/>
        <v>0.02</v>
      </c>
      <c r="AA9" s="164">
        <f t="shared" si="16"/>
        <v>1079.28</v>
      </c>
      <c r="AB9" s="115">
        <f t="shared" si="19"/>
        <v>5.0000000000000001E-3</v>
      </c>
      <c r="AC9" s="178" t="str">
        <f t="shared" si="2"/>
        <v/>
      </c>
      <c r="AD9" s="178">
        <f t="shared" si="3"/>
        <v>973.01145000000008</v>
      </c>
      <c r="AE9" s="72" t="str">
        <f t="shared" si="4"/>
        <v/>
      </c>
      <c r="AF9" s="72" t="str">
        <f t="shared" si="20"/>
        <v/>
      </c>
      <c r="AG9" s="178">
        <f t="shared" si="10"/>
        <v>0</v>
      </c>
      <c r="AH9" s="179">
        <f t="shared" si="17"/>
        <v>2500</v>
      </c>
      <c r="AI9" s="180">
        <f t="shared" si="21"/>
        <v>1079.28</v>
      </c>
      <c r="AJ9" s="179">
        <f t="shared" si="11"/>
        <v>973.01145000000008</v>
      </c>
      <c r="AK9" s="179" t="str">
        <f t="shared" si="12"/>
        <v/>
      </c>
      <c r="AL9" s="179">
        <f t="shared" si="5"/>
        <v>120</v>
      </c>
      <c r="AM9" s="179">
        <f t="shared" si="13"/>
        <v>0</v>
      </c>
      <c r="AN9" s="179">
        <f t="shared" si="6"/>
        <v>3570</v>
      </c>
      <c r="AO9" s="179">
        <f t="shared" si="14"/>
        <v>8242.2914500000006</v>
      </c>
      <c r="AP9" s="72"/>
    </row>
    <row r="10" spans="1:42" x14ac:dyDescent="0.15">
      <c r="B10" s="72">
        <v>150000</v>
      </c>
      <c r="D10" s="115">
        <v>0.03</v>
      </c>
      <c r="E10" s="167" t="s">
        <v>81</v>
      </c>
      <c r="F10" s="172" t="s">
        <v>88</v>
      </c>
      <c r="G10" s="182" t="s">
        <v>278</v>
      </c>
      <c r="H10" s="166" t="s">
        <v>277</v>
      </c>
      <c r="I10" s="166"/>
      <c r="J10" s="166">
        <f>IFERROR(VLOOKUP(F10,'[4]7月'!$C:$D,2,0),"")</f>
        <v>98</v>
      </c>
      <c r="K10" s="166"/>
      <c r="L10" s="166"/>
      <c r="M10" s="166"/>
      <c r="N10" s="166">
        <v>85604</v>
      </c>
      <c r="O10" s="166">
        <f>IFERROR(VLOOKUP(F10,'[4]7月'!$C:$E,3,0),"")</f>
        <v>121186.53</v>
      </c>
      <c r="P10" s="166">
        <f>_xlfn.XLOOKUP(F10,'[4]7月'!$C:$C,'[4]7月'!$F:$F,0)</f>
        <v>2940</v>
      </c>
      <c r="Q10" s="166">
        <v>1</v>
      </c>
      <c r="R10" s="164">
        <f>_xlfn.XLOOKUP(F10,'[3]②7月-汇总'!$D:$D,'[3]②7月-汇总'!$AP:$AP,0)</f>
        <v>31</v>
      </c>
      <c r="S10" s="164">
        <f t="shared" si="1"/>
        <v>30</v>
      </c>
      <c r="T10" s="72">
        <f t="shared" si="7"/>
        <v>3000</v>
      </c>
      <c r="U10" s="72">
        <f t="shared" si="8"/>
        <v>3000</v>
      </c>
      <c r="V10" s="72">
        <f t="shared" si="15"/>
        <v>0</v>
      </c>
      <c r="W10" s="178">
        <f t="shared" si="9"/>
        <v>3000</v>
      </c>
      <c r="X10" s="115">
        <f t="shared" si="18"/>
        <v>2.5000000000000001E-2</v>
      </c>
      <c r="AA10" s="164">
        <f t="shared" si="16"/>
        <v>1790.1</v>
      </c>
      <c r="AB10" s="115">
        <f t="shared" si="19"/>
        <v>5.0000000000000001E-3</v>
      </c>
      <c r="AC10" s="178" t="str">
        <f t="shared" si="2"/>
        <v/>
      </c>
      <c r="AD10" s="178">
        <f t="shared" si="3"/>
        <v>605.93264999999997</v>
      </c>
      <c r="AE10" s="72" t="str">
        <f t="shared" si="4"/>
        <v/>
      </c>
      <c r="AF10" s="72" t="str">
        <f t="shared" si="20"/>
        <v/>
      </c>
      <c r="AG10" s="178">
        <f t="shared" si="10"/>
        <v>0</v>
      </c>
      <c r="AH10" s="179">
        <f t="shared" si="17"/>
        <v>3000</v>
      </c>
      <c r="AI10" s="180">
        <f t="shared" si="21"/>
        <v>1790.1</v>
      </c>
      <c r="AJ10" s="179">
        <f t="shared" si="11"/>
        <v>605.93264999999997</v>
      </c>
      <c r="AK10" s="179" t="str">
        <f t="shared" si="12"/>
        <v/>
      </c>
      <c r="AL10" s="179">
        <f t="shared" si="5"/>
        <v>30</v>
      </c>
      <c r="AM10" s="179">
        <f t="shared" si="13"/>
        <v>0</v>
      </c>
      <c r="AN10" s="179">
        <f t="shared" si="6"/>
        <v>2940</v>
      </c>
      <c r="AO10" s="179">
        <f t="shared" si="14"/>
        <v>8366.032650000001</v>
      </c>
      <c r="AP10" s="72"/>
    </row>
    <row r="11" spans="1:42" ht="15" thickBot="1" x14ac:dyDescent="0.2">
      <c r="E11" s="167" t="s">
        <v>81</v>
      </c>
      <c r="F11" s="172" t="s">
        <v>279</v>
      </c>
      <c r="G11" s="166" t="s">
        <v>278</v>
      </c>
      <c r="H11" s="166" t="s">
        <v>276</v>
      </c>
      <c r="I11" s="166" t="s">
        <v>80</v>
      </c>
      <c r="J11" s="166">
        <f>IFERROR(VLOOKUP(F11,'[4]7月'!$C:$D,2,0),"")</f>
        <v>75</v>
      </c>
      <c r="K11" s="166"/>
      <c r="L11" s="166"/>
      <c r="M11" s="166"/>
      <c r="N11" s="166">
        <v>43814</v>
      </c>
      <c r="O11" s="166">
        <f>IFERROR(VLOOKUP(F11,'[4]7月'!$C:$E,3,0),"")</f>
        <v>87302.64</v>
      </c>
      <c r="P11" s="166">
        <f>_xlfn.XLOOKUP(F11,'[4]7月'!$C:$C,'[4]7月'!$F:$F,0)</f>
        <v>1850</v>
      </c>
      <c r="Q11" s="166">
        <v>1</v>
      </c>
      <c r="R11" s="164">
        <f>_xlfn.XLOOKUP(F11,'[3]②7月-汇总'!$D:$D,'[3]②7月-汇总'!$AP:$AP,0)</f>
        <v>29</v>
      </c>
      <c r="S11" s="164">
        <f t="shared" si="1"/>
        <v>30</v>
      </c>
      <c r="T11" s="72">
        <f t="shared" si="7"/>
        <v>2500</v>
      </c>
      <c r="U11" s="72">
        <f t="shared" si="8"/>
        <v>2500</v>
      </c>
      <c r="V11" s="72">
        <f t="shared" si="15"/>
        <v>0</v>
      </c>
      <c r="W11" s="178">
        <f t="shared" si="9"/>
        <v>2338.7096774193546</v>
      </c>
      <c r="X11" s="115">
        <f t="shared" si="18"/>
        <v>0.02</v>
      </c>
      <c r="AA11" s="164">
        <f t="shared" si="16"/>
        <v>876.28</v>
      </c>
      <c r="AB11" s="115">
        <f t="shared" si="19"/>
        <v>0</v>
      </c>
      <c r="AC11" s="178" t="str">
        <f t="shared" si="2"/>
        <v/>
      </c>
      <c r="AD11" s="178">
        <f t="shared" si="3"/>
        <v>0</v>
      </c>
      <c r="AE11" s="72" t="str">
        <f t="shared" si="4"/>
        <v/>
      </c>
      <c r="AF11" s="72" t="str">
        <f t="shared" si="20"/>
        <v/>
      </c>
      <c r="AG11" s="178">
        <f t="shared" si="10"/>
        <v>0</v>
      </c>
      <c r="AH11" s="179">
        <f t="shared" si="17"/>
        <v>2338.7096774193546</v>
      </c>
      <c r="AI11" s="180">
        <f t="shared" si="21"/>
        <v>876.28</v>
      </c>
      <c r="AJ11" s="179">
        <f t="shared" si="11"/>
        <v>0</v>
      </c>
      <c r="AK11" s="179" t="str">
        <f t="shared" si="12"/>
        <v/>
      </c>
      <c r="AL11" s="179">
        <f t="shared" si="5"/>
        <v>30</v>
      </c>
      <c r="AM11" s="179">
        <f t="shared" si="13"/>
        <v>0</v>
      </c>
      <c r="AN11" s="179">
        <f t="shared" si="6"/>
        <v>1850</v>
      </c>
      <c r="AO11" s="179">
        <f t="shared" si="14"/>
        <v>5094.9896774193548</v>
      </c>
      <c r="AP11" s="72"/>
    </row>
    <row r="12" spans="1:42" x14ac:dyDescent="0.15">
      <c r="A12" s="189" t="s">
        <v>278</v>
      </c>
      <c r="B12" s="190" t="s">
        <v>155</v>
      </c>
      <c r="C12" s="190"/>
      <c r="D12" s="191"/>
      <c r="E12" s="187" t="s">
        <v>81</v>
      </c>
      <c r="F12" s="173" t="s">
        <v>89</v>
      </c>
      <c r="G12" s="181" t="s">
        <v>278</v>
      </c>
      <c r="H12" s="181" t="s">
        <v>276</v>
      </c>
      <c r="I12" s="166"/>
      <c r="J12" s="166">
        <f>IFERROR(VLOOKUP(F12,'[4]7月'!$C:$D,2,0),"")</f>
        <v>124</v>
      </c>
      <c r="K12" s="166"/>
      <c r="L12" s="166"/>
      <c r="M12" s="166"/>
      <c r="N12" s="166">
        <v>112517</v>
      </c>
      <c r="O12" s="166">
        <f>IFERROR(VLOOKUP(F12,'[4]7月'!$C:$E,3,0),"")</f>
        <v>170456.18</v>
      </c>
      <c r="P12" s="166">
        <f>_xlfn.XLOOKUP(F12,'[4]7月'!$C:$C,'[4]7月'!$F:$F,0)</f>
        <v>3795</v>
      </c>
      <c r="Q12" s="166">
        <v>2</v>
      </c>
      <c r="R12" s="164">
        <f>_xlfn.XLOOKUP(F12,'[3]②7月-汇总'!$D:$D,'[3]②7月-汇总'!$AP:$AP,0)</f>
        <v>31</v>
      </c>
      <c r="S12" s="164">
        <f t="shared" si="1"/>
        <v>60</v>
      </c>
      <c r="T12" s="72">
        <f t="shared" si="7"/>
        <v>3500</v>
      </c>
      <c r="U12" s="72">
        <f t="shared" si="8"/>
        <v>3500</v>
      </c>
      <c r="V12" s="72">
        <f t="shared" si="15"/>
        <v>0</v>
      </c>
      <c r="W12" s="178">
        <f t="shared" si="9"/>
        <v>3500</v>
      </c>
      <c r="X12" s="115">
        <f t="shared" si="18"/>
        <v>2.5000000000000001E-2</v>
      </c>
      <c r="AA12" s="164">
        <f t="shared" si="16"/>
        <v>2462.9250000000002</v>
      </c>
      <c r="AB12" s="115">
        <f t="shared" si="19"/>
        <v>5.0000000000000001E-3</v>
      </c>
      <c r="AC12" s="178" t="str">
        <f t="shared" si="2"/>
        <v/>
      </c>
      <c r="AD12" s="178">
        <f t="shared" si="3"/>
        <v>852.28089999999997</v>
      </c>
      <c r="AE12" s="72" t="str">
        <f t="shared" si="4"/>
        <v/>
      </c>
      <c r="AF12" s="72" t="str">
        <f t="shared" si="20"/>
        <v/>
      </c>
      <c r="AG12" s="178">
        <f t="shared" si="10"/>
        <v>0</v>
      </c>
      <c r="AH12" s="179">
        <f t="shared" si="17"/>
        <v>3500</v>
      </c>
      <c r="AI12" s="180">
        <f t="shared" si="21"/>
        <v>2462.9250000000002</v>
      </c>
      <c r="AJ12" s="179">
        <f t="shared" si="11"/>
        <v>852.28089999999997</v>
      </c>
      <c r="AK12" s="179" t="str">
        <f t="shared" si="12"/>
        <v/>
      </c>
      <c r="AL12" s="179">
        <f t="shared" si="5"/>
        <v>60</v>
      </c>
      <c r="AM12" s="179">
        <f t="shared" si="13"/>
        <v>0</v>
      </c>
      <c r="AN12" s="179">
        <f t="shared" si="6"/>
        <v>3795</v>
      </c>
      <c r="AO12" s="179">
        <f t="shared" si="14"/>
        <v>10670.205900000001</v>
      </c>
      <c r="AP12" s="72"/>
    </row>
    <row r="13" spans="1:42" x14ac:dyDescent="0.15">
      <c r="A13" s="192"/>
      <c r="C13" s="72">
        <v>80000</v>
      </c>
      <c r="D13" s="193">
        <v>-300</v>
      </c>
      <c r="E13" s="187" t="s">
        <v>81</v>
      </c>
      <c r="F13" s="172" t="s">
        <v>793</v>
      </c>
      <c r="G13" s="72" t="s">
        <v>388</v>
      </c>
      <c r="H13" s="89"/>
      <c r="I13" s="89"/>
      <c r="J13" s="166" t="str">
        <f>IFERROR(VLOOKUP(F13,'[4]7月'!$C:$D,2,0),"")</f>
        <v/>
      </c>
      <c r="K13" s="89"/>
      <c r="L13" s="89"/>
      <c r="M13" s="89"/>
      <c r="N13" s="89">
        <f>L3+K3-N5-N6-N7-N8-N9-N10-N12-N11</f>
        <v>6015</v>
      </c>
      <c r="O13" s="166" t="str">
        <f>IFERROR(VLOOKUP(F13,'[4]7月'!$C:$E,3,0),"")</f>
        <v/>
      </c>
      <c r="P13" s="166">
        <f>_xlfn.XLOOKUP(F13,'[4]7月'!$C:$C,'[4]7月'!$F:$F,0)</f>
        <v>0</v>
      </c>
      <c r="Q13" s="89"/>
      <c r="R13" s="164">
        <f>_xlfn.XLOOKUP(F13,'[3]②7月-汇总'!$D:$D,'[3]②7月-汇总'!$AP:$AP,0)</f>
        <v>0</v>
      </c>
      <c r="S13" s="164">
        <f t="shared" si="1"/>
        <v>0</v>
      </c>
      <c r="T13" s="72">
        <f t="shared" si="7"/>
        <v>3500</v>
      </c>
      <c r="U13" s="72">
        <f t="shared" si="8"/>
        <v>2500</v>
      </c>
      <c r="V13" s="72">
        <f t="shared" si="15"/>
        <v>0</v>
      </c>
      <c r="W13" s="178">
        <f t="shared" si="9"/>
        <v>0</v>
      </c>
      <c r="X13" s="115">
        <f t="shared" si="18"/>
        <v>0.02</v>
      </c>
      <c r="AA13" s="164">
        <f t="shared" si="16"/>
        <v>120.3</v>
      </c>
      <c r="AB13" s="115">
        <f t="shared" si="19"/>
        <v>0.01</v>
      </c>
      <c r="AC13" s="178" t="str">
        <f t="shared" si="2"/>
        <v/>
      </c>
      <c r="AD13" s="178" t="str">
        <f t="shared" si="3"/>
        <v/>
      </c>
      <c r="AE13" s="72" t="str">
        <f t="shared" si="4"/>
        <v/>
      </c>
      <c r="AF13" s="72" t="str">
        <f t="shared" si="20"/>
        <v/>
      </c>
      <c r="AG13" s="178">
        <f t="shared" si="10"/>
        <v>0</v>
      </c>
      <c r="AH13" s="179">
        <f t="shared" si="17"/>
        <v>0</v>
      </c>
      <c r="AI13" s="180">
        <f t="shared" si="21"/>
        <v>120.3</v>
      </c>
      <c r="AJ13" s="179" t="str">
        <f t="shared" si="11"/>
        <v/>
      </c>
      <c r="AK13" s="179" t="str">
        <f t="shared" si="12"/>
        <v/>
      </c>
      <c r="AL13" s="179">
        <f t="shared" si="5"/>
        <v>0</v>
      </c>
      <c r="AM13" s="179">
        <f t="shared" si="13"/>
        <v>0</v>
      </c>
      <c r="AN13" s="179">
        <f t="shared" si="6"/>
        <v>0</v>
      </c>
      <c r="AO13" s="183">
        <f t="shared" si="14"/>
        <v>120.3</v>
      </c>
      <c r="AP13" s="72"/>
    </row>
    <row r="14" spans="1:42" x14ac:dyDescent="0.15">
      <c r="A14" s="192"/>
      <c r="B14" s="72">
        <v>10000</v>
      </c>
      <c r="C14" s="72">
        <v>100000</v>
      </c>
      <c r="D14" s="194">
        <v>5.0000000000000001E-3</v>
      </c>
      <c r="E14" s="188" t="s">
        <v>90</v>
      </c>
      <c r="F14" s="175" t="s">
        <v>95</v>
      </c>
      <c r="G14" s="166" t="s">
        <v>278</v>
      </c>
      <c r="H14" s="166"/>
      <c r="I14" s="166"/>
      <c r="J14" s="166">
        <f>IFERROR(VLOOKUP(F14,'[4]7月'!$C:$D,2,0),"")</f>
        <v>114</v>
      </c>
      <c r="K14" s="166"/>
      <c r="L14" s="166"/>
      <c r="M14" s="166"/>
      <c r="N14" s="166">
        <v>81488</v>
      </c>
      <c r="O14" s="166">
        <f>IFERROR(VLOOKUP(F14,'[4]7月'!$C:$E,3,0),"")</f>
        <v>137026.67000000001</v>
      </c>
      <c r="P14" s="166">
        <f>_xlfn.XLOOKUP(F14,'[4]7月'!$C:$C,'[4]7月'!$F:$F,0)</f>
        <v>3405</v>
      </c>
      <c r="Q14" s="166">
        <v>4</v>
      </c>
      <c r="R14" s="164">
        <f>_xlfn.XLOOKUP(F14,'[3]②7月-汇总'!$D:$D,'[3]②7月-汇总'!$AP:$AP,0)</f>
        <v>31</v>
      </c>
      <c r="S14" s="164">
        <f t="shared" si="1"/>
        <v>120</v>
      </c>
      <c r="T14" s="72">
        <f t="shared" si="7"/>
        <v>3500</v>
      </c>
      <c r="U14" s="72">
        <f t="shared" si="8"/>
        <v>3000</v>
      </c>
      <c r="V14" s="72">
        <f t="shared" si="15"/>
        <v>0</v>
      </c>
      <c r="W14" s="178">
        <f t="shared" si="9"/>
        <v>3000</v>
      </c>
      <c r="X14" s="115">
        <f t="shared" si="18"/>
        <v>2.5000000000000001E-2</v>
      </c>
      <c r="AA14" s="164">
        <f t="shared" si="16"/>
        <v>1687.2</v>
      </c>
      <c r="AB14" s="115">
        <f t="shared" si="19"/>
        <v>5.0000000000000001E-3</v>
      </c>
      <c r="AC14" s="178" t="str">
        <f t="shared" si="2"/>
        <v/>
      </c>
      <c r="AD14" s="178">
        <f t="shared" si="3"/>
        <v>685.13335000000006</v>
      </c>
      <c r="AE14" s="72" t="str">
        <f t="shared" si="4"/>
        <v/>
      </c>
      <c r="AF14" s="72" t="str">
        <f t="shared" si="20"/>
        <v/>
      </c>
      <c r="AG14" s="178">
        <f t="shared" si="10"/>
        <v>0</v>
      </c>
      <c r="AH14" s="179">
        <f t="shared" si="17"/>
        <v>3000</v>
      </c>
      <c r="AI14" s="180">
        <f t="shared" si="21"/>
        <v>1687.2</v>
      </c>
      <c r="AJ14" s="179">
        <f t="shared" si="11"/>
        <v>685.13335000000006</v>
      </c>
      <c r="AK14" s="179" t="str">
        <f t="shared" si="12"/>
        <v/>
      </c>
      <c r="AL14" s="179">
        <f t="shared" si="5"/>
        <v>120</v>
      </c>
      <c r="AM14" s="179">
        <f t="shared" si="13"/>
        <v>0</v>
      </c>
      <c r="AN14" s="179">
        <f t="shared" si="6"/>
        <v>3405</v>
      </c>
      <c r="AO14" s="179">
        <f t="shared" si="14"/>
        <v>8897.3333500000008</v>
      </c>
      <c r="AP14" s="72"/>
    </row>
    <row r="15" spans="1:42" x14ac:dyDescent="0.15">
      <c r="A15" s="192"/>
      <c r="B15" s="72">
        <v>100000</v>
      </c>
      <c r="C15" s="164">
        <v>200000</v>
      </c>
      <c r="D15" s="194">
        <v>5.0000000000000001E-3</v>
      </c>
      <c r="E15" s="188" t="s">
        <v>90</v>
      </c>
      <c r="F15" s="176" t="s">
        <v>92</v>
      </c>
      <c r="G15" s="166" t="s">
        <v>278</v>
      </c>
      <c r="H15" s="166"/>
      <c r="I15" s="166"/>
      <c r="J15" s="166">
        <f>IFERROR(VLOOKUP(F15,'[4]7月'!$C:$D,2,0),"")</f>
        <v>149</v>
      </c>
      <c r="K15" s="166"/>
      <c r="L15" s="166"/>
      <c r="M15" s="166"/>
      <c r="N15" s="166">
        <v>118438</v>
      </c>
      <c r="O15" s="166">
        <f>IFERROR(VLOOKUP(F15,'[4]7月'!$C:$E,3,0),"")</f>
        <v>145128.6</v>
      </c>
      <c r="P15" s="166">
        <f>_xlfn.XLOOKUP(F15,'[4]7月'!$C:$C,'[4]7月'!$F:$F,0)</f>
        <v>3275</v>
      </c>
      <c r="Q15" s="166">
        <v>3</v>
      </c>
      <c r="R15" s="164">
        <f>_xlfn.XLOOKUP(F15,'[3]②7月-汇总'!$D:$D,'[3]②7月-汇总'!$AP:$AP,0)</f>
        <v>31</v>
      </c>
      <c r="S15" s="164">
        <f t="shared" si="1"/>
        <v>90</v>
      </c>
      <c r="T15" s="72">
        <f t="shared" si="7"/>
        <v>3500</v>
      </c>
      <c r="U15" s="72">
        <f t="shared" si="8"/>
        <v>3500</v>
      </c>
      <c r="V15" s="72">
        <f t="shared" si="15"/>
        <v>0</v>
      </c>
      <c r="W15" s="178">
        <f t="shared" si="9"/>
        <v>3500</v>
      </c>
      <c r="X15" s="115">
        <f t="shared" si="18"/>
        <v>2.5000000000000001E-2</v>
      </c>
      <c r="AA15" s="164">
        <f t="shared" si="16"/>
        <v>2610.9499999999998</v>
      </c>
      <c r="AB15" s="115">
        <f t="shared" si="19"/>
        <v>5.0000000000000001E-3</v>
      </c>
      <c r="AC15" s="178" t="str">
        <f t="shared" si="2"/>
        <v/>
      </c>
      <c r="AD15" s="178">
        <f t="shared" si="3"/>
        <v>725.64300000000003</v>
      </c>
      <c r="AE15" s="72" t="str">
        <f t="shared" si="4"/>
        <v/>
      </c>
      <c r="AF15" s="72" t="str">
        <f t="shared" si="20"/>
        <v/>
      </c>
      <c r="AG15" s="178">
        <f t="shared" si="10"/>
        <v>0</v>
      </c>
      <c r="AH15" s="179">
        <f t="shared" si="17"/>
        <v>3500</v>
      </c>
      <c r="AI15" s="180">
        <f t="shared" si="21"/>
        <v>2610.9499999999998</v>
      </c>
      <c r="AJ15" s="179">
        <f t="shared" si="11"/>
        <v>725.64300000000003</v>
      </c>
      <c r="AK15" s="179" t="str">
        <f t="shared" si="12"/>
        <v/>
      </c>
      <c r="AL15" s="179">
        <f t="shared" si="5"/>
        <v>90</v>
      </c>
      <c r="AM15" s="179">
        <f t="shared" si="13"/>
        <v>0</v>
      </c>
      <c r="AN15" s="179">
        <f t="shared" si="6"/>
        <v>3275</v>
      </c>
      <c r="AO15" s="179">
        <f t="shared" si="14"/>
        <v>10201.593000000001</v>
      </c>
      <c r="AP15" s="72"/>
    </row>
    <row r="16" spans="1:42" x14ac:dyDescent="0.15">
      <c r="A16" s="192"/>
      <c r="B16" s="72">
        <v>200000</v>
      </c>
      <c r="D16" s="194">
        <v>0.01</v>
      </c>
      <c r="E16" s="188" t="s">
        <v>90</v>
      </c>
      <c r="F16" s="176" t="s">
        <v>93</v>
      </c>
      <c r="G16" s="166" t="s">
        <v>278</v>
      </c>
      <c r="H16" s="166"/>
      <c r="I16" s="166"/>
      <c r="J16" s="166">
        <f>IFERROR(VLOOKUP(F16,'[4]7月'!$C:$D,2,0),"")</f>
        <v>132</v>
      </c>
      <c r="K16" s="166"/>
      <c r="L16" s="166"/>
      <c r="M16" s="166"/>
      <c r="N16" s="166">
        <v>7800</v>
      </c>
      <c r="O16" s="166">
        <f>IFERROR(VLOOKUP(F16,'[4]7月'!$C:$E,3,0),"")</f>
        <v>122913.82</v>
      </c>
      <c r="P16" s="166">
        <f>_xlfn.XLOOKUP(F16,'[4]7月'!$C:$C,'[4]7月'!$F:$F,0)</f>
        <v>2555</v>
      </c>
      <c r="Q16" s="166">
        <v>2</v>
      </c>
      <c r="R16" s="164">
        <f>_xlfn.XLOOKUP(F16,'[3]②7月-汇总'!$D:$D,'[3]②7月-汇总'!$AP:$AP,0)</f>
        <v>31</v>
      </c>
      <c r="S16" s="164">
        <f t="shared" si="1"/>
        <v>60</v>
      </c>
      <c r="T16" s="72">
        <f t="shared" si="7"/>
        <v>3500</v>
      </c>
      <c r="U16" s="72">
        <f t="shared" si="8"/>
        <v>2500</v>
      </c>
      <c r="V16" s="72">
        <f t="shared" si="15"/>
        <v>0</v>
      </c>
      <c r="W16" s="178">
        <f t="shared" si="9"/>
        <v>2500</v>
      </c>
      <c r="X16" s="115" t="str">
        <f t="shared" si="18"/>
        <v/>
      </c>
      <c r="AA16" s="164">
        <f t="shared" si="16"/>
        <v>0</v>
      </c>
      <c r="AB16" s="115">
        <f t="shared" si="19"/>
        <v>5.0000000000000001E-3</v>
      </c>
      <c r="AC16" s="178" t="str">
        <f>IF(G16="总经理","",IF(O16&lt;$C$13,-300,""))</f>
        <v/>
      </c>
      <c r="AD16" s="178">
        <f t="shared" si="3"/>
        <v>614.56910000000005</v>
      </c>
      <c r="AE16" s="72" t="str">
        <f t="shared" si="4"/>
        <v/>
      </c>
      <c r="AF16" s="72" t="str">
        <f t="shared" si="20"/>
        <v/>
      </c>
      <c r="AG16" s="178">
        <f t="shared" si="10"/>
        <v>0</v>
      </c>
      <c r="AH16" s="179">
        <f t="shared" si="17"/>
        <v>2500</v>
      </c>
      <c r="AI16" s="180">
        <f t="shared" si="21"/>
        <v>0</v>
      </c>
      <c r="AJ16" s="179">
        <f t="shared" si="11"/>
        <v>614.56910000000005</v>
      </c>
      <c r="AK16" s="179" t="str">
        <f t="shared" si="12"/>
        <v/>
      </c>
      <c r="AL16" s="179">
        <f t="shared" si="5"/>
        <v>60</v>
      </c>
      <c r="AM16" s="179">
        <f t="shared" si="13"/>
        <v>0</v>
      </c>
      <c r="AN16" s="179">
        <f t="shared" si="6"/>
        <v>2555</v>
      </c>
      <c r="AO16" s="179">
        <f t="shared" si="14"/>
        <v>5729.5691000000006</v>
      </c>
      <c r="AP16" s="72"/>
    </row>
    <row r="17" spans="1:42" ht="15" thickBot="1" x14ac:dyDescent="0.2">
      <c r="A17" s="195"/>
      <c r="B17" s="196"/>
      <c r="C17" s="196"/>
      <c r="D17" s="197"/>
      <c r="E17" s="188" t="s">
        <v>90</v>
      </c>
      <c r="F17" s="175" t="s">
        <v>94</v>
      </c>
      <c r="G17" s="166" t="s">
        <v>278</v>
      </c>
      <c r="H17" s="166"/>
      <c r="I17" s="166"/>
      <c r="J17" s="166">
        <f>IFERROR(VLOOKUP(F17,'[4]7月'!$C:$D,2,0),"")</f>
        <v>105</v>
      </c>
      <c r="K17" s="166"/>
      <c r="L17" s="166"/>
      <c r="M17" s="166"/>
      <c r="N17" s="166">
        <v>100180</v>
      </c>
      <c r="O17" s="166">
        <f>IFERROR(VLOOKUP(F17,'[4]7月'!$C:$E,3,0),"")</f>
        <v>122893.57</v>
      </c>
      <c r="P17" s="166">
        <f>_xlfn.XLOOKUP(F17,'[4]7月'!$C:$C,'[4]7月'!$F:$F,0)</f>
        <v>3015</v>
      </c>
      <c r="Q17" s="166">
        <v>2</v>
      </c>
      <c r="R17" s="164">
        <f>_xlfn.XLOOKUP(F17,'[3]②7月-汇总'!$D:$D,'[3]②7月-汇总'!$AP:$AP,0)</f>
        <v>31</v>
      </c>
      <c r="S17" s="164">
        <f t="shared" si="1"/>
        <v>60</v>
      </c>
      <c r="T17" s="72">
        <f t="shared" si="7"/>
        <v>3000</v>
      </c>
      <c r="U17" s="72">
        <f t="shared" si="8"/>
        <v>3500</v>
      </c>
      <c r="V17" s="72">
        <f t="shared" si="15"/>
        <v>0</v>
      </c>
      <c r="W17" s="178">
        <f t="shared" si="9"/>
        <v>3000</v>
      </c>
      <c r="X17" s="115">
        <f t="shared" si="18"/>
        <v>2.5000000000000001E-2</v>
      </c>
      <c r="AA17" s="164">
        <f t="shared" si="16"/>
        <v>2154.5</v>
      </c>
      <c r="AB17" s="115">
        <f t="shared" si="19"/>
        <v>5.0000000000000001E-3</v>
      </c>
      <c r="AC17" s="178" t="str">
        <f t="shared" si="2"/>
        <v/>
      </c>
      <c r="AD17" s="178">
        <f t="shared" si="3"/>
        <v>614.46785</v>
      </c>
      <c r="AE17" s="72" t="str">
        <f t="shared" si="4"/>
        <v/>
      </c>
      <c r="AF17" s="72" t="str">
        <f t="shared" si="20"/>
        <v/>
      </c>
      <c r="AG17" s="178">
        <f t="shared" si="10"/>
        <v>0</v>
      </c>
      <c r="AH17" s="179">
        <f t="shared" si="17"/>
        <v>3000</v>
      </c>
      <c r="AI17" s="180">
        <f t="shared" si="21"/>
        <v>2154.5</v>
      </c>
      <c r="AJ17" s="179">
        <f t="shared" si="11"/>
        <v>614.46785</v>
      </c>
      <c r="AK17" s="179" t="str">
        <f t="shared" si="12"/>
        <v/>
      </c>
      <c r="AL17" s="179">
        <f t="shared" si="5"/>
        <v>60</v>
      </c>
      <c r="AM17" s="179">
        <f t="shared" si="13"/>
        <v>0</v>
      </c>
      <c r="AN17" s="179">
        <f t="shared" si="6"/>
        <v>3015</v>
      </c>
      <c r="AO17" s="179">
        <f t="shared" si="14"/>
        <v>8843.9678500000009</v>
      </c>
      <c r="AP17" s="72"/>
    </row>
    <row r="18" spans="1:42" x14ac:dyDescent="0.15">
      <c r="A18" s="72" t="s">
        <v>275</v>
      </c>
      <c r="B18" s="72">
        <v>180000</v>
      </c>
      <c r="D18" s="115">
        <v>5.0000000000000001E-3</v>
      </c>
      <c r="E18" s="174" t="s">
        <v>90</v>
      </c>
      <c r="F18" s="175" t="s">
        <v>312</v>
      </c>
      <c r="G18" s="166" t="s">
        <v>278</v>
      </c>
      <c r="H18" s="166"/>
      <c r="I18" s="166"/>
      <c r="J18" s="166">
        <f>IFERROR(VLOOKUP(F18,'[4]7月'!$C:$D,2,0),"")</f>
        <v>134</v>
      </c>
      <c r="K18" s="166"/>
      <c r="L18" s="166"/>
      <c r="M18" s="166"/>
      <c r="N18" s="166">
        <v>55922</v>
      </c>
      <c r="O18" s="166">
        <f>IFERROR(VLOOKUP(F18,'[4]7月'!$C:$E,3,0),"")</f>
        <v>125320.94</v>
      </c>
      <c r="P18" s="166">
        <f>_xlfn.XLOOKUP(F18,'[4]7月'!$C:$C,'[4]7月'!$F:$F,0)</f>
        <v>2670</v>
      </c>
      <c r="Q18" s="166">
        <v>4</v>
      </c>
      <c r="R18" s="164">
        <f>_xlfn.XLOOKUP(F18,'[3]②7月-汇总'!$D:$D,'[3]②7月-汇总'!$AP:$AP,0)</f>
        <v>31</v>
      </c>
      <c r="S18" s="164">
        <f t="shared" si="1"/>
        <v>120</v>
      </c>
      <c r="T18" s="72">
        <f t="shared" si="7"/>
        <v>3500</v>
      </c>
      <c r="U18" s="72">
        <f t="shared" si="8"/>
        <v>2500</v>
      </c>
      <c r="V18" s="72">
        <f t="shared" si="15"/>
        <v>0</v>
      </c>
      <c r="W18" s="178">
        <f t="shared" si="9"/>
        <v>2500</v>
      </c>
      <c r="X18" s="115">
        <f t="shared" si="18"/>
        <v>0.02</v>
      </c>
      <c r="AA18" s="164">
        <f t="shared" si="16"/>
        <v>1118.44</v>
      </c>
      <c r="AB18" s="115">
        <f t="shared" si="19"/>
        <v>5.0000000000000001E-3</v>
      </c>
      <c r="AC18" s="178" t="str">
        <f t="shared" si="2"/>
        <v/>
      </c>
      <c r="AD18" s="178">
        <f t="shared" si="3"/>
        <v>626.60469999999998</v>
      </c>
      <c r="AE18" s="72" t="str">
        <f t="shared" si="4"/>
        <v/>
      </c>
      <c r="AF18" s="72" t="str">
        <f t="shared" si="20"/>
        <v/>
      </c>
      <c r="AG18" s="178">
        <f t="shared" si="10"/>
        <v>0</v>
      </c>
      <c r="AH18" s="179">
        <f t="shared" si="17"/>
        <v>2500</v>
      </c>
      <c r="AI18" s="180">
        <f t="shared" si="21"/>
        <v>1118.44</v>
      </c>
      <c r="AJ18" s="179">
        <f t="shared" si="11"/>
        <v>626.60469999999998</v>
      </c>
      <c r="AK18" s="179" t="str">
        <f t="shared" si="12"/>
        <v/>
      </c>
      <c r="AL18" s="179">
        <f t="shared" si="5"/>
        <v>120</v>
      </c>
      <c r="AM18" s="179">
        <f t="shared" si="13"/>
        <v>0</v>
      </c>
      <c r="AN18" s="179">
        <f t="shared" si="6"/>
        <v>2670</v>
      </c>
      <c r="AO18" s="179">
        <f t="shared" si="14"/>
        <v>7035.0447000000004</v>
      </c>
      <c r="AP18" s="72"/>
    </row>
    <row r="19" spans="1:42" x14ac:dyDescent="0.15">
      <c r="E19" s="174" t="s">
        <v>90</v>
      </c>
      <c r="F19" s="175" t="s">
        <v>796</v>
      </c>
      <c r="G19" s="166" t="s">
        <v>278</v>
      </c>
      <c r="H19" s="166"/>
      <c r="I19" s="166"/>
      <c r="J19" s="166">
        <f>IFERROR(VLOOKUP(F19,'[4]7月'!$C:$D,2,0),"")</f>
        <v>4</v>
      </c>
      <c r="K19" s="166"/>
      <c r="L19" s="166"/>
      <c r="M19" s="166"/>
      <c r="N19" s="166">
        <v>0</v>
      </c>
      <c r="O19" s="166">
        <f>IFERROR(VLOOKUP(F19,'[4]7月'!$C:$E,3,0),"")</f>
        <v>7950</v>
      </c>
      <c r="P19" s="166">
        <f>_xlfn.XLOOKUP(F19,'[4]7月'!$C:$C,'[4]7月'!$F:$F,0)</f>
        <v>90</v>
      </c>
      <c r="Q19" s="166">
        <v>0</v>
      </c>
      <c r="R19" s="164">
        <f>_xlfn.XLOOKUP(F19,'[3]②7月-汇总'!$D:$D,'[3]②7月-汇总'!$AP:$AP,0)</f>
        <v>8</v>
      </c>
      <c r="S19" s="164">
        <f t="shared" si="1"/>
        <v>0</v>
      </c>
      <c r="T19" s="72">
        <f t="shared" ref="T19" si="22">IF(F19="T区","",IF(G19="总经理",0,IF(J19&lt;$C$3,$B$3,IF(J19&lt;$C$4,$B$3,IF(J19&lt;$C$5,$B$4,$B$5)))))</f>
        <v>2500</v>
      </c>
      <c r="U19" s="72">
        <f t="shared" ref="U19" si="23">IF(F19="T区","",IF(G19="总经理","",IF(N19&lt;$D$3,$B$3,IF(N19&lt;$D$4,$B$3,IF(N19&lt;$D$5,$B$4,$B$5)))))</f>
        <v>2500</v>
      </c>
      <c r="V19" s="72">
        <f t="shared" ref="V19" si="24">IF(G19="总经理",IF(N19&lt;400000,4000*0.8,4000),0)</f>
        <v>0</v>
      </c>
      <c r="W19" s="178">
        <f t="shared" si="9"/>
        <v>645.16129032258061</v>
      </c>
      <c r="X19" s="115" t="str">
        <f t="shared" ref="X19" si="25">IF(G19="总经理",0,IF(G19="T区",2%,IF(I19="离职",$D$8,IF(N19&gt;=$B$10,$D$10,IF(AND(N19&gt;=$B$8,N19&lt;$C$8),$D$8,IF(AND(N19&gt;=$B$9,N19&lt;$C$9),$D$9,""))))))</f>
        <v/>
      </c>
      <c r="AA19" s="164">
        <f t="shared" ref="AA19" si="26">IF(G19="总经理",0,IF(X19=$D$10,$C$8*$D$8+($C$9-$B$9)*$D$9+(N19-$B$10)*$D$10,IF(X19=$D$9,(N19-$B$9)*$D$9+$C$8*$D$8,IF(X19=$D$8,N19*$D$8,0))))</f>
        <v>0</v>
      </c>
      <c r="AB19" s="115">
        <f t="shared" si="19"/>
        <v>0</v>
      </c>
      <c r="AC19" s="178">
        <f t="shared" ref="AC19" si="27">IF(G19="总经理","",IF(O19&lt;$C$13,-300,""))</f>
        <v>-300</v>
      </c>
      <c r="AD19" s="178">
        <f t="shared" ref="AD19" si="28">IF(O19="","",IF(G19="老师",IF(AC19&lt;0,0,IF(AB19=$D$16,(O19-$B$16)*$D$16+$C$15*$D$15,IF(AB19=$D$15,O19*$D$15,0))),IF(AC19&lt;0,0,IF(AB19=$D$28,(O19-$B$28)*$D$28+$C$27*$D$27,IF(AB19=$D$27,O19*$D$27,0)))))</f>
        <v>0</v>
      </c>
      <c r="AE19" s="72" t="str">
        <f t="shared" si="4"/>
        <v/>
      </c>
      <c r="AF19" s="72" t="str">
        <f t="shared" si="20"/>
        <v/>
      </c>
      <c r="AG19" s="178">
        <f t="shared" ref="AG19" si="29">IFERROR(IF(AF19&gt;$B$18,AF19*$D$18,""),0)</f>
        <v>0</v>
      </c>
      <c r="AH19" s="179">
        <f t="shared" ref="AH19" si="30">W19</f>
        <v>645.16129032258061</v>
      </c>
      <c r="AI19" s="180">
        <f t="shared" ref="AI19" si="31">AA19</f>
        <v>0</v>
      </c>
      <c r="AJ19" s="179">
        <f t="shared" ref="AJ19" si="32">AD19</f>
        <v>0</v>
      </c>
      <c r="AK19" s="179">
        <f t="shared" ref="AK19" si="33">AC19</f>
        <v>-300</v>
      </c>
      <c r="AL19" s="179">
        <f t="shared" ref="AL19" si="34">S19</f>
        <v>0</v>
      </c>
      <c r="AM19" s="179">
        <f t="shared" ref="AM19" si="35">AG19</f>
        <v>0</v>
      </c>
      <c r="AN19" s="179">
        <f t="shared" ref="AN19" si="36">IF(G19="总经理",0,P19)</f>
        <v>90</v>
      </c>
      <c r="AO19" s="179">
        <f t="shared" ref="AO19" si="37">SUM(AH19:AN19)</f>
        <v>435.16129032258061</v>
      </c>
      <c r="AP19" s="72"/>
    </row>
    <row r="20" spans="1:42" x14ac:dyDescent="0.15">
      <c r="E20" s="174" t="s">
        <v>90</v>
      </c>
      <c r="F20" s="172" t="s">
        <v>794</v>
      </c>
      <c r="G20" s="172" t="s">
        <v>389</v>
      </c>
      <c r="H20" s="89"/>
      <c r="I20" s="89"/>
      <c r="J20" s="89" t="str">
        <f>IFERROR(VLOOKUP(F20,#REF!,2,0),"")</f>
        <v/>
      </c>
      <c r="K20" s="89"/>
      <c r="L20" s="89"/>
      <c r="M20" s="89"/>
      <c r="N20" s="89">
        <f>L4+K4-N14-N15-N16-N17-N18</f>
        <v>62317</v>
      </c>
      <c r="O20" s="166" t="str">
        <f>IFERROR(VLOOKUP(F20,'[4]7月'!$C:$E,3,0),"")</f>
        <v/>
      </c>
      <c r="P20" s="166">
        <f>_xlfn.XLOOKUP(F20,'[4]7月'!$C:$C,'[4]7月'!$F:$F,0)</f>
        <v>0</v>
      </c>
      <c r="Q20" s="89"/>
      <c r="S20" s="164">
        <f t="shared" si="1"/>
        <v>0</v>
      </c>
      <c r="T20" s="72">
        <f t="shared" si="7"/>
        <v>3500</v>
      </c>
      <c r="U20" s="72">
        <f t="shared" si="8"/>
        <v>2500</v>
      </c>
      <c r="V20" s="72">
        <f t="shared" si="15"/>
        <v>0</v>
      </c>
      <c r="W20" s="178">
        <f t="shared" si="9"/>
        <v>0</v>
      </c>
      <c r="X20" s="115">
        <f t="shared" si="18"/>
        <v>0.02</v>
      </c>
      <c r="AA20" s="164">
        <f t="shared" si="16"/>
        <v>1246.3399999999999</v>
      </c>
      <c r="AB20" s="115">
        <f t="shared" si="19"/>
        <v>0.01</v>
      </c>
      <c r="AC20" s="178" t="str">
        <f t="shared" si="2"/>
        <v/>
      </c>
      <c r="AD20" s="178" t="str">
        <f t="shared" si="3"/>
        <v/>
      </c>
      <c r="AE20" s="72" t="str">
        <f t="shared" si="4"/>
        <v/>
      </c>
      <c r="AF20" s="72" t="str">
        <f t="shared" si="20"/>
        <v/>
      </c>
      <c r="AG20" s="178">
        <f t="shared" si="10"/>
        <v>0</v>
      </c>
      <c r="AH20" s="179">
        <f t="shared" si="17"/>
        <v>0</v>
      </c>
      <c r="AI20" s="180">
        <f t="shared" si="21"/>
        <v>1246.3399999999999</v>
      </c>
      <c r="AJ20" s="179" t="str">
        <f t="shared" si="11"/>
        <v/>
      </c>
      <c r="AK20" s="179" t="str">
        <f t="shared" si="12"/>
        <v/>
      </c>
      <c r="AL20" s="179">
        <f t="shared" si="5"/>
        <v>0</v>
      </c>
      <c r="AM20" s="179">
        <f t="shared" si="13"/>
        <v>0</v>
      </c>
      <c r="AN20" s="179">
        <f t="shared" si="6"/>
        <v>0</v>
      </c>
      <c r="AO20" s="183">
        <f t="shared" si="14"/>
        <v>1246.3399999999999</v>
      </c>
      <c r="AP20" s="72"/>
    </row>
    <row r="21" spans="1:42" x14ac:dyDescent="0.15">
      <c r="A21" s="72" t="s">
        <v>258</v>
      </c>
      <c r="B21" s="72">
        <v>30</v>
      </c>
      <c r="E21" s="174"/>
      <c r="F21" s="175"/>
      <c r="G21" s="166"/>
      <c r="H21" s="166"/>
      <c r="I21" s="166"/>
      <c r="J21" s="166" t="str">
        <f>IFERROR(VLOOKUP(F21,#REF!,2,0),"")</f>
        <v/>
      </c>
      <c r="K21" s="166"/>
      <c r="L21" s="166"/>
      <c r="M21" s="166"/>
      <c r="N21" s="166"/>
      <c r="O21" s="166" t="str">
        <f>IFERROR(VLOOKUP(F21,#REF!,3,0),"")</f>
        <v/>
      </c>
      <c r="P21" s="166">
        <f>_xlfn.XLOOKUP(F21,'[4]7月'!$C:$C,'[4]7月'!$F:$F,0)</f>
        <v>0</v>
      </c>
      <c r="Q21" s="166"/>
      <c r="V21" s="72">
        <f t="shared" si="15"/>
        <v>0</v>
      </c>
      <c r="X21" s="115"/>
      <c r="AA21" s="164"/>
      <c r="AB21" s="115"/>
      <c r="AC21" s="178"/>
      <c r="AE21" s="72"/>
      <c r="AG21" s="178"/>
      <c r="AH21" s="179"/>
      <c r="AI21" s="180"/>
      <c r="AJ21" s="179"/>
      <c r="AP21" s="72"/>
    </row>
    <row r="22" spans="1:42" x14ac:dyDescent="0.15">
      <c r="G22" s="166"/>
      <c r="H22" s="166"/>
      <c r="I22" s="166"/>
      <c r="J22" s="166" t="str">
        <f>IFERROR(VLOOKUP(F22,#REF!,2,0),"")</f>
        <v/>
      </c>
      <c r="K22" s="166"/>
      <c r="L22" s="166"/>
      <c r="M22" s="166"/>
      <c r="N22" s="166"/>
      <c r="O22" s="166"/>
      <c r="P22" s="166">
        <f>_xlfn.XLOOKUP(F22,'[4]7月'!$C:$C,'[4]7月'!$F:$F,0)</f>
        <v>0</v>
      </c>
      <c r="Q22" s="166"/>
      <c r="V22" s="72">
        <f t="shared" si="15"/>
        <v>0</v>
      </c>
      <c r="X22" s="115"/>
      <c r="AA22" s="164"/>
      <c r="AB22" s="115"/>
      <c r="AC22" s="178"/>
      <c r="AE22" s="72"/>
      <c r="AG22" s="178"/>
      <c r="AH22" s="179"/>
      <c r="AI22" s="180"/>
      <c r="AJ22" s="179"/>
      <c r="AP22" s="72"/>
    </row>
    <row r="23" spans="1:42" ht="15" thickBot="1" x14ac:dyDescent="0.2">
      <c r="G23" s="166"/>
      <c r="H23" s="166"/>
      <c r="I23" s="166"/>
      <c r="J23" s="166" t="str">
        <f>IFERROR(VLOOKUP(F23,#REF!,2,0),"")</f>
        <v/>
      </c>
      <c r="K23" s="166"/>
      <c r="L23" s="166"/>
      <c r="M23" s="166"/>
      <c r="N23" s="166"/>
      <c r="O23" s="166"/>
      <c r="P23" s="166">
        <f>_xlfn.XLOOKUP(F23,'[4]7月'!$C:$C,'[4]7月'!$F:$F,0)</f>
        <v>0</v>
      </c>
      <c r="Q23" s="166"/>
      <c r="V23" s="72">
        <f t="shared" si="15"/>
        <v>0</v>
      </c>
      <c r="X23" s="115"/>
      <c r="AA23" s="164"/>
      <c r="AB23" s="115"/>
      <c r="AC23" s="178"/>
      <c r="AE23" s="72"/>
      <c r="AG23" s="178"/>
      <c r="AH23" s="179"/>
      <c r="AI23" s="180"/>
      <c r="AJ23" s="179"/>
      <c r="AP23" s="72"/>
    </row>
    <row r="24" spans="1:42" x14ac:dyDescent="0.15">
      <c r="A24" s="189" t="s">
        <v>275</v>
      </c>
      <c r="B24" s="190" t="s">
        <v>155</v>
      </c>
      <c r="C24" s="190"/>
      <c r="D24" s="19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X24" s="115"/>
      <c r="AA24" s="164"/>
      <c r="AB24" s="115"/>
      <c r="AC24" s="178"/>
      <c r="AE24" s="72"/>
      <c r="AG24" s="178"/>
      <c r="AH24" s="179"/>
      <c r="AI24" s="180"/>
      <c r="AJ24" s="179"/>
      <c r="AP24" s="72"/>
    </row>
    <row r="25" spans="1:42" x14ac:dyDescent="0.15">
      <c r="A25" s="192"/>
      <c r="C25" s="72">
        <v>80000</v>
      </c>
      <c r="D25" s="193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X25" s="115"/>
      <c r="AA25" s="164"/>
      <c r="AB25" s="115"/>
      <c r="AC25" s="178"/>
      <c r="AE25" s="72"/>
      <c r="AG25" s="178"/>
      <c r="AH25" s="179"/>
      <c r="AI25" s="180"/>
      <c r="AJ25" s="179"/>
      <c r="AP25" s="72"/>
    </row>
    <row r="26" spans="1:42" x14ac:dyDescent="0.15">
      <c r="A26" s="192"/>
      <c r="B26" s="72">
        <v>10000</v>
      </c>
      <c r="C26" s="72">
        <v>80000</v>
      </c>
      <c r="D26" s="194">
        <v>0</v>
      </c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X26" s="115"/>
      <c r="AA26" s="164"/>
      <c r="AB26" s="115"/>
      <c r="AC26" s="178"/>
      <c r="AE26" s="72"/>
      <c r="AG26" s="178"/>
      <c r="AH26" s="179"/>
      <c r="AI26" s="180"/>
      <c r="AJ26" s="179"/>
    </row>
    <row r="27" spans="1:42" x14ac:dyDescent="0.15">
      <c r="A27" s="192"/>
      <c r="B27" s="72">
        <v>10000</v>
      </c>
      <c r="C27" s="72">
        <v>150000</v>
      </c>
      <c r="D27" s="194">
        <v>5.0000000000000001E-3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72"/>
      <c r="S27" s="72"/>
      <c r="W27" s="179"/>
      <c r="X27" s="72"/>
      <c r="AB27" s="72"/>
      <c r="AD27" s="179"/>
      <c r="AE27" s="179"/>
      <c r="AH27" s="179"/>
      <c r="AJ27" s="179"/>
    </row>
    <row r="28" spans="1:42" ht="15" thickBot="1" x14ac:dyDescent="0.2">
      <c r="A28" s="195"/>
      <c r="B28" s="196">
        <v>150000</v>
      </c>
      <c r="C28" s="196"/>
      <c r="D28" s="199">
        <v>0.01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72"/>
      <c r="S28" s="72"/>
      <c r="W28" s="179"/>
      <c r="X28" s="72"/>
      <c r="AB28" s="72"/>
      <c r="AD28" s="179"/>
      <c r="AE28" s="179"/>
      <c r="AH28" s="179"/>
      <c r="AJ28" s="179"/>
    </row>
    <row r="29" spans="1:42" x14ac:dyDescent="0.15"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72"/>
      <c r="S29" s="72"/>
      <c r="W29" s="179"/>
      <c r="X29" s="72"/>
      <c r="AB29" s="72"/>
      <c r="AD29" s="179"/>
      <c r="AE29" s="179"/>
      <c r="AH29" s="179"/>
      <c r="AJ29" s="179"/>
    </row>
    <row r="30" spans="1:42" x14ac:dyDescent="0.15">
      <c r="A30" s="72" t="s">
        <v>12</v>
      </c>
      <c r="B30" s="72" t="s">
        <v>154</v>
      </c>
      <c r="C30" s="72" t="s">
        <v>281</v>
      </c>
      <c r="D30" s="72" t="s">
        <v>282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72"/>
      <c r="S30" s="72"/>
      <c r="W30" s="179"/>
      <c r="X30" s="72"/>
      <c r="AB30" s="72"/>
      <c r="AD30" s="179"/>
      <c r="AE30" s="179"/>
      <c r="AH30" s="179"/>
      <c r="AJ30" s="179"/>
    </row>
    <row r="31" spans="1:42" x14ac:dyDescent="0.15">
      <c r="B31" s="72">
        <v>0</v>
      </c>
      <c r="C31" s="72">
        <v>200000</v>
      </c>
      <c r="D31" s="184">
        <v>0.01</v>
      </c>
      <c r="E31" s="72" t="s">
        <v>283</v>
      </c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W31" s="179"/>
      <c r="X31" s="72"/>
      <c r="AB31" s="72"/>
      <c r="AD31" s="179"/>
      <c r="AE31" s="179"/>
      <c r="AH31" s="179"/>
      <c r="AJ31" s="179"/>
    </row>
    <row r="32" spans="1:42" x14ac:dyDescent="0.15">
      <c r="B32" s="72">
        <v>200000</v>
      </c>
      <c r="C32" s="72">
        <v>300000</v>
      </c>
      <c r="D32" s="115">
        <v>1.4999999999999999E-2</v>
      </c>
      <c r="E32" s="184">
        <v>0.01</v>
      </c>
      <c r="G32" s="72"/>
      <c r="H32" s="72"/>
      <c r="I32" s="72"/>
      <c r="J32" s="72"/>
      <c r="K32" s="72"/>
      <c r="L32" s="72"/>
      <c r="M32" s="72"/>
      <c r="N32" s="72"/>
      <c r="O32" s="72"/>
      <c r="P32" s="72" t="s">
        <v>757</v>
      </c>
      <c r="Q32" s="72"/>
      <c r="R32" s="72"/>
      <c r="S32" s="72"/>
      <c r="W32" s="179"/>
      <c r="X32" s="72"/>
      <c r="AB32" s="72"/>
      <c r="AD32" s="179"/>
      <c r="AE32" s="179"/>
      <c r="AH32" s="179"/>
      <c r="AJ32" s="179"/>
    </row>
    <row r="33" spans="2:36" x14ac:dyDescent="0.15">
      <c r="B33" s="72">
        <v>300000</v>
      </c>
      <c r="C33" s="72">
        <v>500000</v>
      </c>
      <c r="D33" s="184">
        <v>0.02</v>
      </c>
      <c r="E33" s="115">
        <v>5.0000000000000001E-3</v>
      </c>
      <c r="G33" s="72"/>
      <c r="H33" s="72"/>
      <c r="I33" s="72"/>
      <c r="J33" s="72"/>
      <c r="K33" s="72"/>
      <c r="L33" s="72"/>
      <c r="M33" s="72"/>
      <c r="N33" s="72"/>
      <c r="O33" s="72"/>
      <c r="P33" s="72" t="s">
        <v>758</v>
      </c>
      <c r="Q33" s="72"/>
      <c r="R33" s="72"/>
      <c r="S33" s="72"/>
      <c r="W33" s="179"/>
      <c r="X33" s="72"/>
      <c r="AB33" s="72"/>
      <c r="AD33" s="179"/>
      <c r="AE33" s="179"/>
      <c r="AH33" s="179"/>
      <c r="AJ33" s="179"/>
    </row>
    <row r="34" spans="2:36" x14ac:dyDescent="0.15">
      <c r="B34" s="72">
        <v>500000</v>
      </c>
      <c r="D34" s="115">
        <v>2.5000000000000001E-2</v>
      </c>
      <c r="E34" s="115">
        <v>5.0000000000000001E-3</v>
      </c>
      <c r="G34" s="72"/>
      <c r="H34" s="72"/>
      <c r="I34" s="72"/>
      <c r="J34" s="72"/>
      <c r="K34" s="72"/>
      <c r="L34" s="72"/>
      <c r="M34" s="72"/>
      <c r="N34" s="72" t="s">
        <v>746</v>
      </c>
      <c r="O34" s="72" t="s">
        <v>764</v>
      </c>
      <c r="P34" s="72" t="s">
        <v>759</v>
      </c>
      <c r="Q34" s="72"/>
      <c r="R34" s="72"/>
      <c r="S34" s="72"/>
      <c r="W34" s="179"/>
      <c r="X34" s="72"/>
      <c r="AB34" s="72"/>
      <c r="AD34" s="179"/>
      <c r="AE34" s="179"/>
      <c r="AH34" s="179"/>
      <c r="AJ34" s="179"/>
    </row>
    <row r="35" spans="2:36" x14ac:dyDescent="0.15">
      <c r="E35" s="115">
        <v>5.0000000000000001E-3</v>
      </c>
      <c r="G35" s="72"/>
      <c r="H35" s="72"/>
      <c r="I35" s="72"/>
      <c r="J35" s="72"/>
      <c r="K35" s="72"/>
      <c r="L35" s="72">
        <v>42623</v>
      </c>
      <c r="M35" s="72"/>
      <c r="N35" s="72" t="s">
        <v>747</v>
      </c>
      <c r="O35" s="72" t="s">
        <v>780</v>
      </c>
      <c r="P35" s="72" t="s">
        <v>760</v>
      </c>
      <c r="Q35" s="72"/>
      <c r="R35" s="72"/>
      <c r="S35" s="72"/>
      <c r="W35" s="179"/>
      <c r="X35" s="72"/>
      <c r="AB35" s="72"/>
      <c r="AD35" s="179"/>
      <c r="AE35" s="179"/>
      <c r="AH35" s="179"/>
      <c r="AJ35" s="179"/>
    </row>
    <row r="36" spans="2:36" x14ac:dyDescent="0.15">
      <c r="C36" s="72" t="s">
        <v>284</v>
      </c>
      <c r="D36" s="72" t="s">
        <v>282</v>
      </c>
      <c r="G36" s="72"/>
      <c r="H36" s="72"/>
      <c r="I36" s="72"/>
      <c r="J36" s="72"/>
      <c r="K36" s="72"/>
      <c r="L36" s="72">
        <v>609704</v>
      </c>
      <c r="M36" s="72"/>
      <c r="N36" s="72" t="s">
        <v>775</v>
      </c>
      <c r="O36" s="72" t="s">
        <v>765</v>
      </c>
      <c r="P36" s="72" t="s">
        <v>761</v>
      </c>
      <c r="Q36" s="72"/>
      <c r="R36" s="72"/>
      <c r="S36" s="72"/>
      <c r="W36" s="179"/>
      <c r="X36" s="72"/>
      <c r="AB36" s="72"/>
      <c r="AD36" s="179"/>
      <c r="AE36" s="179"/>
      <c r="AH36" s="179"/>
      <c r="AJ36" s="179"/>
    </row>
    <row r="37" spans="2:36" x14ac:dyDescent="0.15">
      <c r="C37" s="72">
        <v>50000</v>
      </c>
      <c r="D37" s="72">
        <v>0</v>
      </c>
      <c r="E37" s="72" t="s">
        <v>283</v>
      </c>
      <c r="G37" s="72"/>
      <c r="H37" s="72"/>
      <c r="I37" s="72"/>
      <c r="J37" s="72"/>
      <c r="K37" s="72"/>
      <c r="L37" s="72"/>
      <c r="M37" s="72"/>
      <c r="N37" s="72" t="s">
        <v>748</v>
      </c>
      <c r="O37" s="72" t="s">
        <v>781</v>
      </c>
      <c r="P37" s="72" t="s">
        <v>762</v>
      </c>
      <c r="Q37" s="72"/>
      <c r="R37" s="72"/>
      <c r="S37" s="72"/>
      <c r="W37" s="179"/>
      <c r="X37" s="72"/>
      <c r="AB37" s="72"/>
      <c r="AD37" s="179"/>
      <c r="AE37" s="179"/>
      <c r="AH37" s="179"/>
      <c r="AJ37" s="179"/>
    </row>
    <row r="38" spans="2:36" x14ac:dyDescent="0.15">
      <c r="B38" s="72">
        <v>0</v>
      </c>
      <c r="C38" s="72">
        <v>400000</v>
      </c>
      <c r="D38" s="184">
        <v>0.01</v>
      </c>
      <c r="G38" s="72"/>
      <c r="H38" s="72"/>
      <c r="I38" s="72"/>
      <c r="J38" s="72"/>
      <c r="K38" s="72"/>
      <c r="L38" s="72">
        <v>74428</v>
      </c>
      <c r="M38" s="72"/>
      <c r="N38" s="72" t="s">
        <v>778</v>
      </c>
      <c r="O38" s="72" t="s">
        <v>782</v>
      </c>
      <c r="P38" s="72" t="s">
        <v>763</v>
      </c>
      <c r="Q38" s="72"/>
      <c r="R38" s="72"/>
      <c r="S38" s="72"/>
      <c r="W38" s="179"/>
      <c r="X38" s="72"/>
      <c r="AB38" s="72"/>
      <c r="AD38" s="179"/>
      <c r="AE38" s="179"/>
      <c r="AH38" s="179"/>
      <c r="AJ38" s="179"/>
    </row>
    <row r="39" spans="2:36" x14ac:dyDescent="0.15">
      <c r="B39" s="72">
        <v>400000</v>
      </c>
      <c r="D39" s="115">
        <v>1.4999999999999999E-2</v>
      </c>
      <c r="E39" s="184">
        <v>0.01</v>
      </c>
      <c r="G39" s="72"/>
      <c r="H39" s="72"/>
      <c r="I39" s="72"/>
      <c r="J39" s="72"/>
      <c r="K39" s="72"/>
      <c r="L39" s="177">
        <v>53964</v>
      </c>
      <c r="M39" s="72"/>
      <c r="N39" s="72" t="s">
        <v>749</v>
      </c>
      <c r="O39" s="72" t="s">
        <v>766</v>
      </c>
      <c r="P39" s="72"/>
      <c r="Q39" s="72"/>
      <c r="R39" s="72"/>
      <c r="S39" s="72"/>
      <c r="W39" s="179"/>
      <c r="X39" s="72"/>
      <c r="AB39" s="72"/>
      <c r="AD39" s="179"/>
      <c r="AE39" s="179"/>
      <c r="AH39" s="179"/>
      <c r="AJ39" s="179"/>
    </row>
    <row r="40" spans="2:36" x14ac:dyDescent="0.15">
      <c r="E40" s="115">
        <v>5.0000000000000001E-3</v>
      </c>
      <c r="G40" s="72"/>
      <c r="H40" s="72"/>
      <c r="I40" s="72"/>
      <c r="J40" s="72"/>
      <c r="K40" s="72"/>
      <c r="L40" s="177">
        <v>112517</v>
      </c>
      <c r="M40" s="72"/>
      <c r="N40" s="72" t="s">
        <v>750</v>
      </c>
      <c r="O40" s="72" t="s">
        <v>767</v>
      </c>
      <c r="P40" s="72"/>
      <c r="Q40" s="72"/>
      <c r="R40" s="72"/>
      <c r="S40" s="72"/>
      <c r="W40" s="179"/>
      <c r="X40" s="72"/>
      <c r="AB40" s="72"/>
      <c r="AD40" s="179"/>
      <c r="AE40" s="179"/>
      <c r="AH40" s="179"/>
      <c r="AJ40" s="179"/>
    </row>
    <row r="41" spans="2:36" x14ac:dyDescent="0.15">
      <c r="G41" s="72"/>
      <c r="H41" s="72"/>
      <c r="I41" s="72"/>
      <c r="J41" s="72"/>
      <c r="K41" s="72"/>
      <c r="L41" s="177">
        <v>43814</v>
      </c>
      <c r="M41" s="72"/>
      <c r="N41" s="72" t="s">
        <v>751</v>
      </c>
      <c r="O41" s="72" t="s">
        <v>785</v>
      </c>
      <c r="P41" s="72"/>
      <c r="Q41" s="72"/>
      <c r="R41" s="72"/>
      <c r="S41" s="72"/>
      <c r="W41" s="179"/>
      <c r="X41" s="72"/>
      <c r="AB41" s="72"/>
      <c r="AD41" s="179"/>
      <c r="AE41" s="179"/>
      <c r="AH41" s="179"/>
      <c r="AJ41" s="179"/>
    </row>
    <row r="42" spans="2:36" x14ac:dyDescent="0.15">
      <c r="G42" s="72"/>
      <c r="H42" s="72"/>
      <c r="I42" s="72"/>
      <c r="J42" s="72"/>
      <c r="K42" s="72"/>
      <c r="L42" s="72"/>
      <c r="M42" s="72"/>
      <c r="N42" s="72" t="s">
        <v>752</v>
      </c>
      <c r="O42" s="72" t="s">
        <v>786</v>
      </c>
      <c r="P42" s="72"/>
      <c r="Q42" s="72"/>
      <c r="R42" s="72"/>
      <c r="S42" s="72"/>
      <c r="W42" s="179"/>
      <c r="X42" s="72"/>
      <c r="AB42" s="72"/>
      <c r="AD42" s="179"/>
      <c r="AE42" s="179"/>
      <c r="AH42" s="179"/>
      <c r="AJ42" s="179"/>
    </row>
    <row r="43" spans="2:36" x14ac:dyDescent="0.15">
      <c r="G43" s="72"/>
      <c r="H43" s="72"/>
      <c r="I43" s="72"/>
      <c r="J43" s="72"/>
      <c r="K43" s="72"/>
      <c r="L43" s="72">
        <v>205363</v>
      </c>
      <c r="M43" s="72">
        <v>156226</v>
      </c>
      <c r="N43" s="72"/>
      <c r="O43" s="72" t="s">
        <v>768</v>
      </c>
      <c r="P43" s="72"/>
      <c r="Q43" s="72"/>
      <c r="R43" s="72"/>
      <c r="S43" s="72"/>
      <c r="W43" s="179"/>
      <c r="X43" s="72"/>
      <c r="AB43" s="72"/>
      <c r="AD43" s="179"/>
      <c r="AE43" s="179"/>
      <c r="AH43" s="179"/>
      <c r="AJ43" s="179"/>
    </row>
    <row r="44" spans="2:36" x14ac:dyDescent="0.15">
      <c r="G44" s="72"/>
      <c r="H44" s="72"/>
      <c r="I44" s="72"/>
      <c r="J44" s="72"/>
      <c r="K44" s="72"/>
      <c r="L44" s="72">
        <v>85604</v>
      </c>
      <c r="M44" s="72"/>
      <c r="N44" s="72" t="s">
        <v>779</v>
      </c>
      <c r="O44" s="72" t="s">
        <v>769</v>
      </c>
      <c r="P44" s="72"/>
      <c r="Q44" s="72"/>
      <c r="R44" s="72"/>
      <c r="S44" s="72"/>
      <c r="W44" s="179"/>
      <c r="X44" s="72"/>
      <c r="AB44" s="72"/>
      <c r="AD44" s="179"/>
      <c r="AE44" s="179"/>
      <c r="AH44" s="179"/>
      <c r="AJ44" s="179"/>
    </row>
    <row r="45" spans="2:36" x14ac:dyDescent="0.15">
      <c r="G45" s="72"/>
      <c r="H45" s="72"/>
      <c r="I45" s="72"/>
      <c r="J45" s="72"/>
      <c r="K45" s="72"/>
      <c r="L45" s="72">
        <v>70622</v>
      </c>
      <c r="M45" s="72"/>
      <c r="N45" s="72" t="s">
        <v>753</v>
      </c>
      <c r="O45" s="72" t="s">
        <v>787</v>
      </c>
      <c r="P45" s="72"/>
      <c r="Q45" s="72"/>
      <c r="R45" s="72"/>
      <c r="S45" s="72"/>
      <c r="W45" s="179"/>
      <c r="X45" s="72"/>
      <c r="AB45" s="72"/>
      <c r="AD45" s="179"/>
      <c r="AE45" s="179"/>
      <c r="AH45" s="179"/>
      <c r="AJ45" s="179"/>
    </row>
    <row r="46" spans="2:36" x14ac:dyDescent="0.15">
      <c r="G46" s="72"/>
      <c r="H46" s="72"/>
      <c r="I46" s="72"/>
      <c r="J46" s="72"/>
      <c r="K46" s="72"/>
      <c r="L46" s="72"/>
      <c r="M46" s="72"/>
      <c r="N46" s="72" t="s">
        <v>754</v>
      </c>
      <c r="O46" s="72" t="s">
        <v>788</v>
      </c>
      <c r="P46" s="72"/>
      <c r="Q46" s="72"/>
      <c r="R46" s="72"/>
      <c r="S46" s="72"/>
      <c r="W46" s="179"/>
      <c r="X46" s="72"/>
      <c r="AB46" s="72"/>
      <c r="AD46" s="179"/>
      <c r="AE46" s="179"/>
      <c r="AH46" s="179"/>
      <c r="AJ46" s="179"/>
    </row>
    <row r="47" spans="2:36" x14ac:dyDescent="0.15">
      <c r="G47" s="72"/>
      <c r="H47" s="72"/>
      <c r="I47" s="72"/>
      <c r="J47" s="72"/>
      <c r="K47" s="72"/>
      <c r="L47" s="72"/>
      <c r="M47" s="72"/>
      <c r="N47" s="72" t="s">
        <v>755</v>
      </c>
      <c r="O47" s="72" t="s">
        <v>770</v>
      </c>
      <c r="P47" s="72"/>
      <c r="Q47" s="72"/>
      <c r="R47" s="72"/>
      <c r="S47" s="72"/>
      <c r="W47" s="179"/>
      <c r="X47" s="72"/>
      <c r="AB47" s="72"/>
      <c r="AD47" s="179"/>
      <c r="AE47" s="179"/>
      <c r="AH47" s="179"/>
      <c r="AJ47" s="179"/>
    </row>
    <row r="48" spans="2:36" x14ac:dyDescent="0.15">
      <c r="G48" s="72"/>
      <c r="H48" s="72"/>
      <c r="I48" s="72"/>
      <c r="J48" s="72"/>
      <c r="K48" s="72"/>
      <c r="L48" s="72"/>
      <c r="M48" s="72"/>
      <c r="N48" s="72"/>
      <c r="O48" s="72" t="s">
        <v>771</v>
      </c>
      <c r="P48" s="72"/>
      <c r="Q48" s="72"/>
      <c r="R48" s="72"/>
      <c r="S48" s="72"/>
      <c r="W48" s="179"/>
      <c r="X48" s="72"/>
      <c r="AB48" s="72"/>
      <c r="AD48" s="179"/>
      <c r="AE48" s="179"/>
      <c r="AH48" s="179"/>
      <c r="AJ48" s="179"/>
    </row>
    <row r="49" spans="7:36" x14ac:dyDescent="0.15">
      <c r="G49" s="72"/>
      <c r="H49" s="72"/>
      <c r="I49" s="72"/>
      <c r="J49" s="72"/>
      <c r="K49" s="72"/>
      <c r="L49" s="72"/>
      <c r="M49" s="72"/>
      <c r="N49" s="72" t="s">
        <v>756</v>
      </c>
      <c r="O49" s="72" t="s">
        <v>789</v>
      </c>
      <c r="P49" s="72"/>
      <c r="Q49" s="72"/>
      <c r="R49" s="72"/>
      <c r="S49" s="72"/>
      <c r="W49" s="179"/>
      <c r="X49" s="72"/>
      <c r="AB49" s="72"/>
      <c r="AD49" s="179"/>
      <c r="AE49" s="179"/>
      <c r="AH49" s="179"/>
      <c r="AJ49" s="179"/>
    </row>
    <row r="50" spans="7:36" x14ac:dyDescent="0.15">
      <c r="G50" s="72"/>
      <c r="H50" s="72"/>
      <c r="I50" s="72"/>
      <c r="J50" s="72"/>
      <c r="K50" s="72"/>
      <c r="L50" s="72"/>
      <c r="M50" s="72"/>
      <c r="N50" s="72" t="s">
        <v>757</v>
      </c>
      <c r="O50" s="72" t="s">
        <v>790</v>
      </c>
      <c r="P50" s="72"/>
      <c r="Q50" s="72"/>
      <c r="R50" s="72"/>
      <c r="S50" s="72"/>
      <c r="W50" s="179"/>
      <c r="X50" s="72"/>
      <c r="AB50" s="72"/>
      <c r="AD50" s="179"/>
      <c r="AE50" s="179"/>
      <c r="AH50" s="179"/>
      <c r="AJ50" s="179"/>
    </row>
    <row r="51" spans="7:36" x14ac:dyDescent="0.15">
      <c r="G51" s="72"/>
      <c r="H51" s="72"/>
      <c r="I51" s="72"/>
      <c r="J51" s="72"/>
      <c r="K51" s="72"/>
      <c r="L51" s="72"/>
      <c r="M51" s="72"/>
      <c r="N51" s="72" t="s">
        <v>758</v>
      </c>
      <c r="O51" s="72" t="s">
        <v>772</v>
      </c>
      <c r="P51" s="72"/>
      <c r="Q51" s="72"/>
      <c r="R51" s="72"/>
      <c r="S51" s="72"/>
      <c r="W51" s="179"/>
      <c r="X51" s="72"/>
      <c r="AB51" s="72"/>
      <c r="AD51" s="179"/>
      <c r="AE51" s="179"/>
      <c r="AH51" s="179"/>
      <c r="AJ51" s="179"/>
    </row>
    <row r="52" spans="7:36" x14ac:dyDescent="0.15">
      <c r="G52" s="72"/>
      <c r="H52" s="72"/>
      <c r="I52" s="72"/>
      <c r="J52" s="72"/>
      <c r="K52" s="72"/>
      <c r="L52" s="72"/>
      <c r="M52" s="72"/>
      <c r="N52" s="72" t="s">
        <v>759</v>
      </c>
      <c r="O52" s="72" t="s">
        <v>773</v>
      </c>
      <c r="P52" s="72"/>
      <c r="Q52" s="72"/>
      <c r="R52" s="72"/>
      <c r="S52" s="72"/>
      <c r="W52" s="179"/>
      <c r="X52" s="72"/>
      <c r="AB52" s="72"/>
      <c r="AD52" s="179"/>
      <c r="AE52" s="179"/>
      <c r="AH52" s="179"/>
      <c r="AJ52" s="179"/>
    </row>
    <row r="53" spans="7:36" x14ac:dyDescent="0.15">
      <c r="G53" s="72"/>
      <c r="H53" s="72"/>
      <c r="I53" s="72"/>
      <c r="J53" s="72"/>
      <c r="K53" s="72"/>
      <c r="L53" s="72"/>
      <c r="M53" s="72"/>
      <c r="N53" s="72" t="s">
        <v>760</v>
      </c>
      <c r="O53" s="72" t="s">
        <v>791</v>
      </c>
      <c r="P53" s="72"/>
      <c r="Q53" s="72"/>
      <c r="R53" s="72"/>
      <c r="S53" s="72"/>
      <c r="W53" s="179"/>
      <c r="X53" s="72"/>
      <c r="AB53" s="72"/>
      <c r="AD53" s="179"/>
      <c r="AE53" s="179"/>
      <c r="AH53" s="179"/>
      <c r="AJ53" s="179"/>
    </row>
    <row r="54" spans="7:36" x14ac:dyDescent="0.15">
      <c r="G54" s="72"/>
      <c r="H54" s="72"/>
      <c r="I54" s="72"/>
      <c r="J54" s="72"/>
      <c r="K54" s="72"/>
      <c r="L54" s="72"/>
      <c r="M54" s="72"/>
      <c r="N54" s="72" t="s">
        <v>761</v>
      </c>
      <c r="O54" s="72" t="s">
        <v>792</v>
      </c>
      <c r="P54" s="72"/>
      <c r="Q54" s="72"/>
      <c r="R54" s="72"/>
      <c r="S54" s="72"/>
      <c r="W54" s="179"/>
      <c r="X54" s="72"/>
      <c r="AB54" s="72"/>
      <c r="AD54" s="179"/>
      <c r="AE54" s="179"/>
      <c r="AH54" s="179"/>
      <c r="AJ54" s="179"/>
    </row>
    <row r="55" spans="7:36" x14ac:dyDescent="0.15">
      <c r="G55" s="72"/>
      <c r="H55" s="72"/>
      <c r="I55" s="72"/>
      <c r="J55" s="72"/>
      <c r="K55" s="72"/>
      <c r="L55" s="72"/>
      <c r="M55" s="72"/>
      <c r="N55" s="72" t="s">
        <v>762</v>
      </c>
      <c r="O55" s="72" t="s">
        <v>774</v>
      </c>
      <c r="P55" s="72"/>
      <c r="Q55" s="72"/>
      <c r="R55" s="72"/>
      <c r="S55" s="72"/>
      <c r="W55" s="179"/>
      <c r="X55" s="72"/>
      <c r="AB55" s="72"/>
      <c r="AD55" s="179"/>
      <c r="AE55" s="179"/>
      <c r="AH55" s="179"/>
      <c r="AJ55" s="179"/>
    </row>
    <row r="56" spans="7:36" x14ac:dyDescent="0.15">
      <c r="G56" s="72"/>
      <c r="H56" s="72"/>
      <c r="I56" s="72"/>
      <c r="J56" s="72"/>
      <c r="K56" s="72"/>
      <c r="L56" s="72"/>
      <c r="M56" s="72"/>
      <c r="N56" s="72" t="s">
        <v>763</v>
      </c>
      <c r="O56" s="72"/>
      <c r="P56" s="72"/>
      <c r="Q56" s="72"/>
      <c r="R56" s="72"/>
      <c r="S56" s="72"/>
      <c r="W56" s="179"/>
      <c r="X56" s="72"/>
      <c r="AB56" s="72"/>
      <c r="AD56" s="179"/>
      <c r="AE56" s="179"/>
      <c r="AH56" s="179"/>
      <c r="AJ56" s="179"/>
    </row>
    <row r="57" spans="7:36" x14ac:dyDescent="0.15"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W57" s="179"/>
      <c r="X57" s="72"/>
      <c r="AB57" s="72"/>
      <c r="AD57" s="179"/>
      <c r="AE57" s="179"/>
      <c r="AH57" s="179"/>
      <c r="AJ57" s="179"/>
    </row>
    <row r="58" spans="7:36" x14ac:dyDescent="0.15"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W58" s="179"/>
      <c r="X58" s="72"/>
      <c r="AB58" s="72"/>
      <c r="AD58" s="179"/>
      <c r="AE58" s="179"/>
      <c r="AH58" s="179"/>
      <c r="AJ58" s="179"/>
    </row>
    <row r="59" spans="7:36" x14ac:dyDescent="0.15"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W59" s="179"/>
      <c r="X59" s="72"/>
      <c r="AB59" s="72"/>
      <c r="AD59" s="179"/>
      <c r="AE59" s="179"/>
      <c r="AH59" s="179"/>
      <c r="AJ59" s="179"/>
    </row>
    <row r="60" spans="7:36" x14ac:dyDescent="0.15"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W60" s="179"/>
      <c r="X60" s="72"/>
      <c r="AB60" s="72"/>
      <c r="AD60" s="179"/>
      <c r="AE60" s="179"/>
      <c r="AH60" s="179"/>
      <c r="AJ60" s="179"/>
    </row>
    <row r="61" spans="7:36" x14ac:dyDescent="0.15"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W61" s="179"/>
      <c r="X61" s="72"/>
      <c r="AB61" s="72"/>
      <c r="AD61" s="179"/>
      <c r="AE61" s="179"/>
      <c r="AH61" s="179"/>
      <c r="AJ61" s="179"/>
    </row>
    <row r="62" spans="7:36" x14ac:dyDescent="0.15"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W62" s="179"/>
      <c r="X62" s="72"/>
      <c r="AB62" s="72"/>
      <c r="AD62" s="179"/>
      <c r="AE62" s="179"/>
      <c r="AH62" s="179"/>
      <c r="AJ62" s="179"/>
    </row>
    <row r="63" spans="7:36" x14ac:dyDescent="0.15"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W63" s="179"/>
      <c r="X63" s="72"/>
      <c r="AB63" s="72"/>
      <c r="AD63" s="179"/>
      <c r="AE63" s="179"/>
      <c r="AH63" s="179"/>
      <c r="AJ63" s="179"/>
    </row>
    <row r="64" spans="7:36" x14ac:dyDescent="0.15"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W64" s="179"/>
      <c r="X64" s="72"/>
      <c r="AB64" s="72"/>
      <c r="AD64" s="179"/>
      <c r="AE64" s="179"/>
      <c r="AH64" s="179"/>
      <c r="AJ64" s="179"/>
    </row>
    <row r="65" spans="7:36" x14ac:dyDescent="0.15"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W65" s="179"/>
      <c r="X65" s="72"/>
      <c r="AB65" s="72"/>
      <c r="AD65" s="179"/>
      <c r="AE65" s="179"/>
      <c r="AH65" s="179"/>
      <c r="AJ65" s="179"/>
    </row>
    <row r="66" spans="7:36" x14ac:dyDescent="0.15"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W66" s="179"/>
      <c r="X66" s="72"/>
      <c r="AB66" s="72"/>
      <c r="AD66" s="179"/>
      <c r="AE66" s="179"/>
      <c r="AH66" s="179"/>
      <c r="AJ66" s="179"/>
    </row>
    <row r="67" spans="7:36" x14ac:dyDescent="0.15"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W67" s="179"/>
      <c r="X67" s="72"/>
      <c r="AB67" s="72"/>
      <c r="AD67" s="179"/>
      <c r="AE67" s="179"/>
      <c r="AH67" s="179"/>
      <c r="AJ67" s="179"/>
    </row>
    <row r="68" spans="7:36" x14ac:dyDescent="0.15"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W68" s="179"/>
      <c r="X68" s="72"/>
      <c r="AB68" s="72"/>
      <c r="AD68" s="179"/>
      <c r="AE68" s="179"/>
      <c r="AH68" s="179"/>
      <c r="AJ68" s="179"/>
    </row>
    <row r="69" spans="7:36" x14ac:dyDescent="0.15"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W69" s="179"/>
      <c r="X69" s="72"/>
      <c r="AB69" s="72"/>
      <c r="AD69" s="179"/>
      <c r="AE69" s="179"/>
      <c r="AH69" s="179"/>
      <c r="AJ69" s="179"/>
    </row>
    <row r="70" spans="7:36" x14ac:dyDescent="0.15"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W70" s="179"/>
      <c r="X70" s="72"/>
      <c r="AB70" s="72"/>
      <c r="AD70" s="179"/>
      <c r="AE70" s="179"/>
      <c r="AH70" s="179"/>
      <c r="AJ70" s="179"/>
    </row>
    <row r="71" spans="7:36" x14ac:dyDescent="0.15"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W71" s="179"/>
      <c r="X71" s="72"/>
      <c r="AB71" s="72"/>
      <c r="AD71" s="179"/>
      <c r="AE71" s="179"/>
      <c r="AH71" s="179"/>
      <c r="AJ71" s="179"/>
    </row>
    <row r="72" spans="7:36" x14ac:dyDescent="0.15"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W72" s="179"/>
      <c r="X72" s="72"/>
      <c r="AB72" s="72"/>
      <c r="AD72" s="179"/>
      <c r="AE72" s="179"/>
      <c r="AH72" s="179"/>
      <c r="AJ72" s="179"/>
    </row>
    <row r="73" spans="7:36" x14ac:dyDescent="0.15"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W73" s="179"/>
      <c r="X73" s="72"/>
      <c r="AB73" s="72"/>
      <c r="AD73" s="179"/>
      <c r="AE73" s="179"/>
      <c r="AH73" s="179"/>
      <c r="AJ73" s="179"/>
    </row>
    <row r="74" spans="7:36" x14ac:dyDescent="0.15"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W74" s="179"/>
      <c r="X74" s="72"/>
      <c r="AB74" s="72"/>
      <c r="AD74" s="179"/>
      <c r="AE74" s="179"/>
      <c r="AH74" s="179"/>
      <c r="AJ74" s="179"/>
    </row>
    <row r="75" spans="7:36" x14ac:dyDescent="0.15"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W75" s="179"/>
      <c r="X75" s="72"/>
      <c r="AB75" s="72"/>
      <c r="AD75" s="179"/>
      <c r="AE75" s="179"/>
      <c r="AH75" s="179"/>
      <c r="AJ75" s="179"/>
    </row>
    <row r="76" spans="7:36" x14ac:dyDescent="0.15"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W76" s="179"/>
      <c r="X76" s="72"/>
      <c r="AB76" s="72"/>
      <c r="AD76" s="179"/>
      <c r="AE76" s="179"/>
      <c r="AH76" s="179"/>
      <c r="AJ76" s="179"/>
    </row>
    <row r="77" spans="7:36" x14ac:dyDescent="0.15"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W77" s="179"/>
      <c r="X77" s="72"/>
      <c r="AB77" s="72"/>
      <c r="AD77" s="179"/>
      <c r="AE77" s="179"/>
      <c r="AH77" s="179"/>
      <c r="AJ77" s="179"/>
    </row>
    <row r="78" spans="7:36" x14ac:dyDescent="0.15"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W78" s="179"/>
      <c r="X78" s="72"/>
      <c r="AB78" s="72"/>
      <c r="AD78" s="179"/>
      <c r="AE78" s="179"/>
      <c r="AH78" s="179"/>
      <c r="AJ78" s="179"/>
    </row>
    <row r="79" spans="7:36" x14ac:dyDescent="0.15"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W79" s="179"/>
      <c r="X79" s="72"/>
      <c r="AB79" s="72"/>
      <c r="AD79" s="179"/>
      <c r="AE79" s="179"/>
      <c r="AH79" s="179"/>
      <c r="AJ79" s="179"/>
    </row>
    <row r="80" spans="7:36" x14ac:dyDescent="0.15"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W80" s="179"/>
      <c r="X80" s="72"/>
      <c r="AB80" s="72"/>
      <c r="AD80" s="179"/>
      <c r="AE80" s="179"/>
      <c r="AH80" s="179"/>
      <c r="AJ80" s="179"/>
    </row>
    <row r="81" spans="7:36" x14ac:dyDescent="0.15"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W81" s="179"/>
      <c r="X81" s="72"/>
      <c r="AB81" s="72"/>
      <c r="AD81" s="179"/>
      <c r="AE81" s="179"/>
      <c r="AH81" s="179"/>
      <c r="AJ81" s="179"/>
    </row>
    <row r="82" spans="7:36" x14ac:dyDescent="0.15"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W82" s="179"/>
      <c r="X82" s="72"/>
      <c r="AB82" s="72"/>
      <c r="AD82" s="179"/>
      <c r="AE82" s="179"/>
      <c r="AH82" s="179"/>
      <c r="AJ82" s="179"/>
    </row>
    <row r="83" spans="7:36" x14ac:dyDescent="0.15"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W83" s="179"/>
      <c r="X83" s="72"/>
      <c r="AB83" s="72"/>
      <c r="AD83" s="179"/>
      <c r="AE83" s="179"/>
      <c r="AH83" s="179"/>
      <c r="AJ83" s="179"/>
    </row>
    <row r="84" spans="7:36" x14ac:dyDescent="0.15"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W84" s="179"/>
      <c r="X84" s="72"/>
      <c r="AB84" s="72"/>
      <c r="AD84" s="179"/>
      <c r="AE84" s="179"/>
      <c r="AH84" s="179"/>
      <c r="AJ84" s="179"/>
    </row>
    <row r="85" spans="7:36" x14ac:dyDescent="0.15"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W85" s="179"/>
      <c r="X85" s="72"/>
      <c r="AB85" s="72"/>
      <c r="AD85" s="179"/>
      <c r="AE85" s="179"/>
      <c r="AH85" s="179"/>
      <c r="AJ85" s="179"/>
    </row>
    <row r="86" spans="7:36" x14ac:dyDescent="0.15"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W86" s="179"/>
      <c r="X86" s="72"/>
      <c r="AB86" s="72"/>
      <c r="AD86" s="179"/>
      <c r="AE86" s="179"/>
      <c r="AH86" s="179"/>
      <c r="AJ86" s="179"/>
    </row>
    <row r="87" spans="7:36" x14ac:dyDescent="0.15"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W87" s="179"/>
      <c r="X87" s="72"/>
      <c r="AB87" s="72"/>
      <c r="AD87" s="179"/>
      <c r="AE87" s="179"/>
      <c r="AH87" s="179"/>
      <c r="AJ87" s="179"/>
    </row>
    <row r="88" spans="7:36" x14ac:dyDescent="0.15"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W88" s="179"/>
      <c r="X88" s="72"/>
      <c r="AB88" s="72"/>
      <c r="AD88" s="179"/>
      <c r="AE88" s="179"/>
      <c r="AH88" s="179"/>
      <c r="AJ88" s="179"/>
    </row>
    <row r="89" spans="7:36" x14ac:dyDescent="0.15"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W89" s="179"/>
      <c r="X89" s="72"/>
      <c r="AB89" s="72"/>
      <c r="AD89" s="179"/>
      <c r="AE89" s="179"/>
      <c r="AH89" s="179"/>
      <c r="AJ89" s="179"/>
    </row>
    <row r="90" spans="7:36" x14ac:dyDescent="0.15"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W90" s="179"/>
      <c r="X90" s="72"/>
      <c r="AB90" s="72"/>
      <c r="AD90" s="179"/>
      <c r="AE90" s="179"/>
      <c r="AH90" s="179"/>
      <c r="AJ90" s="179"/>
    </row>
    <row r="91" spans="7:36" x14ac:dyDescent="0.15"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W91" s="179"/>
      <c r="X91" s="72"/>
      <c r="AB91" s="72"/>
      <c r="AD91" s="179"/>
      <c r="AE91" s="179"/>
      <c r="AH91" s="179"/>
      <c r="AJ91" s="179"/>
    </row>
    <row r="92" spans="7:36" x14ac:dyDescent="0.15"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W92" s="179"/>
      <c r="X92" s="72"/>
      <c r="AB92" s="72"/>
      <c r="AD92" s="179"/>
      <c r="AE92" s="179"/>
      <c r="AH92" s="179"/>
      <c r="AJ92" s="179"/>
    </row>
    <row r="93" spans="7:36" x14ac:dyDescent="0.15"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W93" s="179"/>
      <c r="X93" s="72"/>
      <c r="AB93" s="72"/>
      <c r="AD93" s="179"/>
      <c r="AE93" s="179"/>
      <c r="AH93" s="179"/>
      <c r="AJ93" s="179"/>
    </row>
    <row r="94" spans="7:36" x14ac:dyDescent="0.15"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W94" s="179"/>
      <c r="X94" s="72"/>
      <c r="AB94" s="72"/>
      <c r="AD94" s="179"/>
      <c r="AE94" s="179"/>
      <c r="AH94" s="179"/>
      <c r="AJ94" s="179"/>
    </row>
    <row r="95" spans="7:36" x14ac:dyDescent="0.15"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W95" s="179"/>
      <c r="X95" s="72"/>
      <c r="AB95" s="72"/>
      <c r="AD95" s="179"/>
      <c r="AE95" s="179"/>
      <c r="AH95" s="179"/>
      <c r="AJ95" s="179"/>
    </row>
    <row r="96" spans="7:36" x14ac:dyDescent="0.15"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W96" s="179"/>
      <c r="X96" s="72"/>
      <c r="AB96" s="72"/>
      <c r="AD96" s="179"/>
      <c r="AE96" s="179"/>
      <c r="AH96" s="179"/>
      <c r="AJ96" s="179"/>
    </row>
    <row r="97" spans="7:36" x14ac:dyDescent="0.15"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W97" s="179"/>
      <c r="X97" s="72"/>
      <c r="AB97" s="72"/>
      <c r="AD97" s="179"/>
      <c r="AE97" s="179"/>
      <c r="AH97" s="179"/>
      <c r="AJ97" s="179"/>
    </row>
    <row r="98" spans="7:36" x14ac:dyDescent="0.15"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W98" s="179"/>
      <c r="X98" s="72"/>
      <c r="AB98" s="72"/>
      <c r="AD98" s="179"/>
      <c r="AE98" s="179"/>
      <c r="AH98" s="179"/>
      <c r="AJ98" s="179"/>
    </row>
    <row r="99" spans="7:36" x14ac:dyDescent="0.15"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W99" s="179"/>
      <c r="X99" s="72"/>
      <c r="AB99" s="72"/>
      <c r="AD99" s="179"/>
      <c r="AE99" s="179"/>
      <c r="AH99" s="179"/>
      <c r="AJ99" s="179"/>
    </row>
    <row r="100" spans="7:36" x14ac:dyDescent="0.15"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W100" s="179"/>
      <c r="X100" s="72"/>
      <c r="AB100" s="72"/>
      <c r="AD100" s="179"/>
      <c r="AE100" s="179"/>
      <c r="AH100" s="179"/>
      <c r="AJ100" s="179"/>
    </row>
    <row r="101" spans="7:36" x14ac:dyDescent="0.15"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W101" s="179"/>
      <c r="X101" s="72"/>
      <c r="AB101" s="72"/>
      <c r="AD101" s="179"/>
      <c r="AE101" s="179"/>
      <c r="AH101" s="179"/>
      <c r="AJ101" s="179"/>
    </row>
    <row r="102" spans="7:36" x14ac:dyDescent="0.15"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W102" s="179"/>
      <c r="X102" s="72"/>
      <c r="AB102" s="72"/>
      <c r="AD102" s="179"/>
      <c r="AE102" s="179"/>
      <c r="AH102" s="179"/>
      <c r="AJ102" s="179"/>
    </row>
    <row r="103" spans="7:36" x14ac:dyDescent="0.15"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W103" s="179"/>
      <c r="X103" s="72"/>
      <c r="AB103" s="72"/>
      <c r="AD103" s="179"/>
      <c r="AE103" s="179"/>
      <c r="AH103" s="179"/>
      <c r="AJ103" s="179"/>
    </row>
    <row r="104" spans="7:36" x14ac:dyDescent="0.15"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W104" s="179"/>
      <c r="X104" s="72"/>
      <c r="AB104" s="72"/>
      <c r="AD104" s="179"/>
      <c r="AE104" s="179"/>
      <c r="AH104" s="179"/>
      <c r="AJ104" s="179"/>
    </row>
    <row r="105" spans="7:36" x14ac:dyDescent="0.15"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W105" s="179"/>
      <c r="X105" s="72"/>
      <c r="AB105" s="72"/>
      <c r="AD105" s="179"/>
      <c r="AE105" s="179"/>
      <c r="AH105" s="179"/>
      <c r="AJ105" s="179"/>
    </row>
    <row r="106" spans="7:36" x14ac:dyDescent="0.15"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W106" s="179"/>
      <c r="X106" s="72"/>
      <c r="AB106" s="72"/>
      <c r="AD106" s="179"/>
      <c r="AE106" s="179"/>
      <c r="AH106" s="179"/>
      <c r="AJ106" s="179"/>
    </row>
    <row r="107" spans="7:36" x14ac:dyDescent="0.15"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W107" s="179"/>
      <c r="X107" s="72"/>
      <c r="AB107" s="72"/>
      <c r="AD107" s="179"/>
      <c r="AE107" s="179"/>
      <c r="AH107" s="179"/>
      <c r="AJ107" s="179"/>
    </row>
    <row r="108" spans="7:36" x14ac:dyDescent="0.15"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W108" s="179"/>
      <c r="X108" s="72"/>
      <c r="AB108" s="72"/>
      <c r="AD108" s="179"/>
      <c r="AE108" s="179"/>
      <c r="AH108" s="179"/>
      <c r="AJ108" s="179"/>
    </row>
    <row r="109" spans="7:36" x14ac:dyDescent="0.15"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W109" s="179"/>
      <c r="X109" s="72"/>
      <c r="AB109" s="72"/>
      <c r="AD109" s="179"/>
      <c r="AE109" s="179"/>
      <c r="AH109" s="179"/>
      <c r="AJ109" s="179"/>
    </row>
    <row r="110" spans="7:36" x14ac:dyDescent="0.15"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W110" s="179"/>
      <c r="X110" s="72"/>
      <c r="AB110" s="72"/>
      <c r="AD110" s="179"/>
      <c r="AE110" s="179"/>
      <c r="AH110" s="179"/>
      <c r="AJ110" s="179"/>
    </row>
    <row r="111" spans="7:36" x14ac:dyDescent="0.15"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W111" s="179"/>
      <c r="X111" s="72"/>
      <c r="AB111" s="72"/>
      <c r="AD111" s="179"/>
      <c r="AE111" s="179"/>
      <c r="AH111" s="179"/>
      <c r="AJ111" s="179"/>
    </row>
    <row r="112" spans="7:36" x14ac:dyDescent="0.15"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W112" s="179"/>
      <c r="X112" s="72"/>
      <c r="AB112" s="72"/>
      <c r="AD112" s="179"/>
      <c r="AE112" s="179"/>
      <c r="AH112" s="179"/>
      <c r="AJ112" s="179"/>
    </row>
    <row r="113" spans="7:36" x14ac:dyDescent="0.15"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W113" s="179"/>
      <c r="X113" s="72"/>
      <c r="AB113" s="72"/>
      <c r="AD113" s="179"/>
      <c r="AE113" s="179"/>
      <c r="AH113" s="179"/>
      <c r="AJ113" s="179"/>
    </row>
    <row r="114" spans="7:36" x14ac:dyDescent="0.15"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W114" s="179"/>
      <c r="X114" s="72"/>
      <c r="AB114" s="72"/>
      <c r="AD114" s="179"/>
      <c r="AE114" s="179"/>
      <c r="AH114" s="179"/>
      <c r="AJ114" s="179"/>
    </row>
    <row r="115" spans="7:36" x14ac:dyDescent="0.15"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W115" s="179"/>
      <c r="X115" s="72"/>
      <c r="AB115" s="72"/>
      <c r="AD115" s="179"/>
      <c r="AE115" s="179"/>
      <c r="AH115" s="179"/>
      <c r="AJ115" s="179"/>
    </row>
    <row r="116" spans="7:36" x14ac:dyDescent="0.15"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W116" s="179"/>
      <c r="X116" s="72"/>
      <c r="AB116" s="72"/>
      <c r="AD116" s="179"/>
      <c r="AE116" s="179"/>
      <c r="AH116" s="179"/>
      <c r="AJ116" s="179"/>
    </row>
    <row r="117" spans="7:36" x14ac:dyDescent="0.15"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W117" s="179"/>
      <c r="X117" s="72"/>
      <c r="AB117" s="72"/>
      <c r="AD117" s="179"/>
      <c r="AE117" s="179"/>
      <c r="AH117" s="179"/>
      <c r="AJ117" s="179"/>
    </row>
    <row r="118" spans="7:36" x14ac:dyDescent="0.15"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W118" s="179"/>
      <c r="X118" s="72"/>
      <c r="AB118" s="72"/>
      <c r="AD118" s="179"/>
      <c r="AE118" s="179"/>
      <c r="AH118" s="179"/>
      <c r="AJ118" s="179"/>
    </row>
    <row r="119" spans="7:36" x14ac:dyDescent="0.15"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W119" s="179"/>
      <c r="X119" s="72"/>
      <c r="AB119" s="72"/>
      <c r="AD119" s="179"/>
      <c r="AE119" s="179"/>
      <c r="AH119" s="179"/>
      <c r="AJ119" s="179"/>
    </row>
    <row r="120" spans="7:36" x14ac:dyDescent="0.15"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W120" s="179"/>
      <c r="X120" s="72"/>
      <c r="AB120" s="72"/>
      <c r="AD120" s="179"/>
      <c r="AE120" s="179"/>
      <c r="AH120" s="179"/>
      <c r="AJ120" s="179"/>
    </row>
    <row r="121" spans="7:36" x14ac:dyDescent="0.15"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W121" s="179"/>
      <c r="X121" s="72"/>
      <c r="AB121" s="72"/>
      <c r="AD121" s="179"/>
      <c r="AE121" s="179"/>
      <c r="AH121" s="179"/>
      <c r="AJ121" s="179"/>
    </row>
    <row r="122" spans="7:36" x14ac:dyDescent="0.15"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W122" s="179"/>
      <c r="X122" s="72"/>
      <c r="AB122" s="72"/>
      <c r="AD122" s="179"/>
      <c r="AE122" s="179"/>
      <c r="AH122" s="179"/>
      <c r="AJ122" s="179"/>
    </row>
    <row r="123" spans="7:36" x14ac:dyDescent="0.15"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W123" s="179"/>
      <c r="X123" s="72"/>
      <c r="AB123" s="72"/>
      <c r="AD123" s="179"/>
      <c r="AE123" s="179"/>
      <c r="AH123" s="179"/>
      <c r="AJ123" s="179"/>
    </row>
    <row r="124" spans="7:36" x14ac:dyDescent="0.15"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W124" s="179"/>
      <c r="X124" s="72"/>
      <c r="AB124" s="72"/>
      <c r="AD124" s="179"/>
      <c r="AE124" s="179"/>
      <c r="AH124" s="179"/>
      <c r="AJ124" s="179"/>
    </row>
    <row r="125" spans="7:36" x14ac:dyDescent="0.15"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W125" s="179"/>
      <c r="X125" s="72"/>
      <c r="AB125" s="72"/>
      <c r="AD125" s="179"/>
      <c r="AE125" s="179"/>
      <c r="AH125" s="179"/>
      <c r="AJ125" s="179"/>
    </row>
    <row r="126" spans="7:36" x14ac:dyDescent="0.15"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W126" s="179"/>
      <c r="X126" s="72"/>
      <c r="AB126" s="72"/>
      <c r="AD126" s="179"/>
      <c r="AE126" s="179"/>
      <c r="AH126" s="179"/>
      <c r="AJ126" s="179"/>
    </row>
    <row r="127" spans="7:36" x14ac:dyDescent="0.15"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W127" s="179"/>
      <c r="X127" s="72"/>
      <c r="AB127" s="72"/>
      <c r="AD127" s="179"/>
      <c r="AE127" s="179"/>
      <c r="AH127" s="179"/>
      <c r="AJ127" s="179"/>
    </row>
    <row r="128" spans="7:36" x14ac:dyDescent="0.15"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W128" s="179"/>
      <c r="X128" s="72"/>
      <c r="AB128" s="72"/>
      <c r="AD128" s="179"/>
      <c r="AE128" s="179"/>
      <c r="AH128" s="179"/>
      <c r="AJ128" s="179"/>
    </row>
    <row r="129" spans="7:36" x14ac:dyDescent="0.15"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W129" s="179"/>
      <c r="X129" s="72"/>
      <c r="AB129" s="72"/>
      <c r="AD129" s="179"/>
      <c r="AE129" s="179"/>
      <c r="AH129" s="179"/>
      <c r="AJ129" s="179"/>
    </row>
    <row r="130" spans="7:36" x14ac:dyDescent="0.15"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W130" s="179"/>
      <c r="X130" s="72"/>
      <c r="AB130" s="72"/>
      <c r="AD130" s="179"/>
      <c r="AE130" s="179"/>
      <c r="AH130" s="179"/>
      <c r="AJ130" s="179"/>
    </row>
    <row r="131" spans="7:36" x14ac:dyDescent="0.15"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W131" s="179"/>
      <c r="X131" s="72"/>
      <c r="AB131" s="72"/>
      <c r="AD131" s="179"/>
      <c r="AE131" s="179"/>
      <c r="AH131" s="179"/>
      <c r="AJ131" s="179"/>
    </row>
    <row r="132" spans="7:36" x14ac:dyDescent="0.15"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W132" s="179"/>
      <c r="X132" s="72"/>
      <c r="AB132" s="72"/>
      <c r="AD132" s="179"/>
      <c r="AE132" s="179"/>
      <c r="AH132" s="179"/>
      <c r="AJ132" s="179"/>
    </row>
    <row r="133" spans="7:36" x14ac:dyDescent="0.15"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W133" s="179"/>
      <c r="X133" s="72"/>
      <c r="AB133" s="72"/>
      <c r="AD133" s="179"/>
      <c r="AE133" s="179"/>
      <c r="AH133" s="179"/>
      <c r="AJ133" s="179"/>
    </row>
    <row r="134" spans="7:36" x14ac:dyDescent="0.15"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W134" s="179"/>
      <c r="X134" s="72"/>
      <c r="AB134" s="72"/>
      <c r="AD134" s="179"/>
      <c r="AE134" s="179"/>
      <c r="AH134" s="179"/>
      <c r="AJ134" s="179"/>
    </row>
    <row r="135" spans="7:36" x14ac:dyDescent="0.15"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W135" s="179"/>
      <c r="X135" s="72"/>
      <c r="AB135" s="72"/>
      <c r="AD135" s="179"/>
      <c r="AE135" s="179"/>
      <c r="AH135" s="179"/>
      <c r="AJ135" s="179"/>
    </row>
    <row r="136" spans="7:36" x14ac:dyDescent="0.15"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W136" s="179"/>
      <c r="X136" s="72"/>
      <c r="AB136" s="72"/>
      <c r="AD136" s="179"/>
      <c r="AE136" s="179"/>
      <c r="AH136" s="179"/>
      <c r="AJ136" s="179"/>
    </row>
    <row r="137" spans="7:36" x14ac:dyDescent="0.15"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W137" s="179"/>
      <c r="X137" s="72"/>
      <c r="AB137" s="72"/>
      <c r="AD137" s="179"/>
      <c r="AE137" s="179"/>
      <c r="AH137" s="179"/>
      <c r="AJ137" s="179"/>
    </row>
    <row r="138" spans="7:36" x14ac:dyDescent="0.15"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W138" s="179"/>
      <c r="X138" s="72"/>
      <c r="AB138" s="72"/>
      <c r="AD138" s="179"/>
      <c r="AE138" s="179"/>
      <c r="AH138" s="179"/>
      <c r="AJ138" s="179"/>
    </row>
    <row r="139" spans="7:36" x14ac:dyDescent="0.15"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W139" s="179"/>
      <c r="X139" s="72"/>
      <c r="AB139" s="72"/>
      <c r="AD139" s="179"/>
      <c r="AE139" s="179"/>
      <c r="AH139" s="179"/>
      <c r="AJ139" s="179"/>
    </row>
    <row r="140" spans="7:36" x14ac:dyDescent="0.15"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W140" s="179"/>
      <c r="X140" s="72"/>
      <c r="AB140" s="72"/>
      <c r="AD140" s="179"/>
      <c r="AE140" s="179"/>
      <c r="AH140" s="179"/>
      <c r="AJ140" s="179"/>
    </row>
    <row r="141" spans="7:36" x14ac:dyDescent="0.15"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W141" s="179"/>
      <c r="X141" s="72"/>
      <c r="AB141" s="72"/>
      <c r="AD141" s="179"/>
      <c r="AE141" s="179"/>
      <c r="AH141" s="179"/>
      <c r="AJ141" s="179"/>
    </row>
    <row r="142" spans="7:36" x14ac:dyDescent="0.15"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W142" s="179"/>
      <c r="X142" s="72"/>
      <c r="AB142" s="72"/>
      <c r="AD142" s="179"/>
      <c r="AE142" s="179"/>
      <c r="AH142" s="179"/>
      <c r="AJ142" s="179"/>
    </row>
    <row r="143" spans="7:36" x14ac:dyDescent="0.15"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W143" s="179"/>
      <c r="X143" s="72"/>
      <c r="AB143" s="72"/>
      <c r="AD143" s="179"/>
      <c r="AE143" s="179"/>
      <c r="AH143" s="179"/>
      <c r="AJ143" s="179"/>
    </row>
    <row r="144" spans="7:36" x14ac:dyDescent="0.15"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W144" s="179"/>
      <c r="X144" s="72"/>
      <c r="AB144" s="72"/>
      <c r="AD144" s="179"/>
      <c r="AE144" s="179"/>
      <c r="AH144" s="179"/>
      <c r="AJ144" s="179"/>
    </row>
    <row r="145" spans="7:36" x14ac:dyDescent="0.15"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W145" s="179"/>
      <c r="X145" s="72"/>
      <c r="AB145" s="72"/>
      <c r="AD145" s="179"/>
      <c r="AE145" s="179"/>
      <c r="AH145" s="179"/>
      <c r="AJ145" s="179"/>
    </row>
    <row r="146" spans="7:36" x14ac:dyDescent="0.15"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W146" s="179"/>
      <c r="X146" s="72"/>
      <c r="AB146" s="72"/>
      <c r="AD146" s="179"/>
      <c r="AE146" s="179"/>
      <c r="AH146" s="179"/>
      <c r="AJ146" s="179"/>
    </row>
    <row r="147" spans="7:36" x14ac:dyDescent="0.15"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W147" s="179"/>
      <c r="X147" s="72"/>
      <c r="AB147" s="72"/>
      <c r="AD147" s="179"/>
      <c r="AE147" s="179"/>
      <c r="AH147" s="179"/>
      <c r="AJ147" s="179"/>
    </row>
    <row r="148" spans="7:36" x14ac:dyDescent="0.15"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W148" s="179"/>
      <c r="X148" s="72"/>
      <c r="AB148" s="72"/>
      <c r="AD148" s="179"/>
      <c r="AE148" s="179"/>
      <c r="AH148" s="179"/>
      <c r="AJ148" s="179"/>
    </row>
    <row r="149" spans="7:36" x14ac:dyDescent="0.15"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W149" s="179"/>
      <c r="X149" s="72"/>
      <c r="AB149" s="72"/>
      <c r="AD149" s="179"/>
      <c r="AE149" s="179"/>
      <c r="AH149" s="179"/>
      <c r="AJ149" s="179"/>
    </row>
    <row r="150" spans="7:36" x14ac:dyDescent="0.15"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W150" s="179"/>
      <c r="X150" s="72"/>
      <c r="AB150" s="72"/>
      <c r="AD150" s="179"/>
      <c r="AE150" s="179"/>
      <c r="AH150" s="179"/>
      <c r="AJ150" s="179"/>
    </row>
    <row r="151" spans="7:36" x14ac:dyDescent="0.15"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W151" s="179"/>
      <c r="X151" s="72"/>
      <c r="AB151" s="72"/>
      <c r="AD151" s="179"/>
      <c r="AE151" s="179"/>
      <c r="AH151" s="179"/>
      <c r="AJ151" s="179"/>
    </row>
    <row r="152" spans="7:36" x14ac:dyDescent="0.15"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W152" s="179"/>
      <c r="X152" s="72"/>
      <c r="AB152" s="72"/>
      <c r="AD152" s="179"/>
      <c r="AE152" s="179"/>
      <c r="AH152" s="179"/>
      <c r="AJ152" s="179"/>
    </row>
    <row r="153" spans="7:36" x14ac:dyDescent="0.15"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W153" s="179"/>
      <c r="X153" s="72"/>
      <c r="AB153" s="72"/>
      <c r="AD153" s="179"/>
      <c r="AE153" s="179"/>
      <c r="AH153" s="179"/>
      <c r="AJ153" s="179"/>
    </row>
    <row r="154" spans="7:36" x14ac:dyDescent="0.15"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W154" s="179"/>
      <c r="X154" s="72"/>
      <c r="AB154" s="72"/>
      <c r="AD154" s="179"/>
      <c r="AE154" s="179"/>
      <c r="AH154" s="179"/>
      <c r="AJ154" s="179"/>
    </row>
    <row r="155" spans="7:36" x14ac:dyDescent="0.15"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W155" s="179"/>
      <c r="X155" s="72"/>
      <c r="AB155" s="72"/>
      <c r="AD155" s="179"/>
      <c r="AE155" s="179"/>
      <c r="AH155" s="179"/>
      <c r="AJ155" s="179"/>
    </row>
    <row r="156" spans="7:36" x14ac:dyDescent="0.15"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W156" s="179"/>
      <c r="X156" s="72"/>
      <c r="AB156" s="72"/>
      <c r="AD156" s="179"/>
      <c r="AE156" s="179"/>
      <c r="AH156" s="179"/>
      <c r="AJ156" s="179"/>
    </row>
    <row r="157" spans="7:36" x14ac:dyDescent="0.15"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W157" s="179"/>
      <c r="X157" s="72"/>
      <c r="AB157" s="72"/>
      <c r="AD157" s="179"/>
      <c r="AE157" s="179"/>
      <c r="AH157" s="179"/>
      <c r="AJ157" s="179"/>
    </row>
    <row r="158" spans="7:36" x14ac:dyDescent="0.15"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W158" s="179"/>
      <c r="X158" s="72"/>
      <c r="AB158" s="72"/>
      <c r="AD158" s="179"/>
      <c r="AE158" s="179"/>
      <c r="AH158" s="179"/>
      <c r="AJ158" s="179"/>
    </row>
    <row r="159" spans="7:36" x14ac:dyDescent="0.15"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W159" s="179"/>
      <c r="X159" s="72"/>
      <c r="AB159" s="72"/>
      <c r="AD159" s="179"/>
      <c r="AE159" s="179"/>
      <c r="AH159" s="179"/>
      <c r="AJ159" s="179"/>
    </row>
    <row r="160" spans="7:36" x14ac:dyDescent="0.15"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W160" s="179"/>
      <c r="X160" s="72"/>
      <c r="AB160" s="72"/>
      <c r="AD160" s="179"/>
      <c r="AE160" s="179"/>
      <c r="AH160" s="179"/>
      <c r="AJ160" s="179"/>
    </row>
    <row r="161" spans="7:36" x14ac:dyDescent="0.15"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W161" s="179"/>
      <c r="X161" s="72"/>
      <c r="AB161" s="72"/>
      <c r="AD161" s="179"/>
      <c r="AE161" s="179"/>
      <c r="AH161" s="179"/>
      <c r="AJ161" s="179"/>
    </row>
    <row r="162" spans="7:36" x14ac:dyDescent="0.15"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W162" s="179"/>
      <c r="X162" s="72"/>
      <c r="AB162" s="72"/>
      <c r="AD162" s="179"/>
      <c r="AE162" s="179"/>
      <c r="AH162" s="179"/>
      <c r="AJ162" s="179"/>
    </row>
    <row r="163" spans="7:36" x14ac:dyDescent="0.15"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W163" s="179"/>
      <c r="X163" s="72"/>
      <c r="AB163" s="72"/>
      <c r="AD163" s="179"/>
      <c r="AE163" s="179"/>
      <c r="AH163" s="179"/>
      <c r="AJ163" s="179"/>
    </row>
    <row r="164" spans="7:36" x14ac:dyDescent="0.15"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W164" s="179"/>
      <c r="X164" s="72"/>
      <c r="AB164" s="72"/>
      <c r="AD164" s="179"/>
      <c r="AE164" s="179"/>
      <c r="AH164" s="179"/>
      <c r="AJ164" s="179"/>
    </row>
    <row r="165" spans="7:36" x14ac:dyDescent="0.15"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W165" s="179"/>
      <c r="X165" s="72"/>
      <c r="AB165" s="72"/>
      <c r="AD165" s="179"/>
      <c r="AE165" s="179"/>
      <c r="AH165" s="179"/>
      <c r="AJ165" s="179"/>
    </row>
    <row r="166" spans="7:36" x14ac:dyDescent="0.15"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W166" s="179"/>
      <c r="X166" s="72"/>
      <c r="AB166" s="72"/>
      <c r="AD166" s="179"/>
      <c r="AE166" s="179"/>
      <c r="AH166" s="179"/>
      <c r="AJ166" s="179"/>
    </row>
    <row r="167" spans="7:36" x14ac:dyDescent="0.15"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W167" s="179"/>
      <c r="X167" s="72"/>
      <c r="AB167" s="72"/>
      <c r="AD167" s="179"/>
      <c r="AE167" s="179"/>
      <c r="AH167" s="179"/>
      <c r="AJ167" s="179"/>
    </row>
    <row r="168" spans="7:36" x14ac:dyDescent="0.15"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W168" s="179"/>
      <c r="X168" s="72"/>
      <c r="AB168" s="72"/>
      <c r="AD168" s="179"/>
      <c r="AE168" s="179"/>
      <c r="AH168" s="179"/>
      <c r="AJ168" s="179"/>
    </row>
    <row r="169" spans="7:36" x14ac:dyDescent="0.15"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W169" s="179"/>
      <c r="X169" s="72"/>
      <c r="AB169" s="72"/>
      <c r="AD169" s="179"/>
      <c r="AE169" s="179"/>
      <c r="AH169" s="179"/>
      <c r="AJ169" s="179"/>
    </row>
    <row r="170" spans="7:36" x14ac:dyDescent="0.15"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W170" s="179"/>
      <c r="X170" s="72"/>
      <c r="AB170" s="72"/>
      <c r="AD170" s="179"/>
      <c r="AE170" s="179"/>
      <c r="AH170" s="179"/>
      <c r="AJ170" s="179"/>
    </row>
    <row r="171" spans="7:36" x14ac:dyDescent="0.15"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W171" s="179"/>
      <c r="X171" s="72"/>
      <c r="AB171" s="72"/>
      <c r="AD171" s="179"/>
      <c r="AE171" s="179"/>
      <c r="AH171" s="179"/>
      <c r="AJ171" s="179"/>
    </row>
    <row r="172" spans="7:36" x14ac:dyDescent="0.15"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W172" s="179"/>
      <c r="X172" s="72"/>
      <c r="AB172" s="72"/>
      <c r="AD172" s="179"/>
      <c r="AE172" s="179"/>
      <c r="AH172" s="179"/>
      <c r="AJ172" s="179"/>
    </row>
    <row r="173" spans="7:36" x14ac:dyDescent="0.15"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W173" s="179"/>
      <c r="X173" s="72"/>
      <c r="AB173" s="72"/>
      <c r="AD173" s="179"/>
      <c r="AE173" s="179"/>
      <c r="AH173" s="179"/>
      <c r="AJ173" s="179"/>
    </row>
    <row r="174" spans="7:36" x14ac:dyDescent="0.15"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W174" s="179"/>
      <c r="X174" s="72"/>
      <c r="AB174" s="72"/>
      <c r="AD174" s="179"/>
      <c r="AE174" s="179"/>
      <c r="AH174" s="179"/>
      <c r="AJ174" s="179"/>
    </row>
    <row r="175" spans="7:36" x14ac:dyDescent="0.15"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W175" s="179"/>
      <c r="X175" s="72"/>
      <c r="AB175" s="72"/>
      <c r="AD175" s="179"/>
      <c r="AE175" s="179"/>
      <c r="AH175" s="179"/>
      <c r="AJ175" s="179"/>
    </row>
    <row r="176" spans="7:36" x14ac:dyDescent="0.15"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W176" s="179"/>
      <c r="X176" s="72"/>
      <c r="AB176" s="72"/>
      <c r="AD176" s="179"/>
      <c r="AE176" s="179"/>
      <c r="AH176" s="179"/>
      <c r="AJ176" s="179"/>
    </row>
    <row r="177" spans="7:36" x14ac:dyDescent="0.15"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W177" s="179"/>
      <c r="X177" s="72"/>
      <c r="AB177" s="72"/>
      <c r="AD177" s="179"/>
      <c r="AE177" s="179"/>
      <c r="AH177" s="179"/>
      <c r="AJ177" s="179"/>
    </row>
    <row r="178" spans="7:36" x14ac:dyDescent="0.15"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W178" s="179"/>
      <c r="X178" s="72"/>
      <c r="AB178" s="72"/>
      <c r="AD178" s="179"/>
      <c r="AE178" s="179"/>
      <c r="AH178" s="179"/>
      <c r="AJ178" s="179"/>
    </row>
    <row r="179" spans="7:36" x14ac:dyDescent="0.15"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W179" s="179"/>
      <c r="X179" s="72"/>
      <c r="AB179" s="72"/>
      <c r="AD179" s="179"/>
      <c r="AE179" s="179"/>
      <c r="AH179" s="179"/>
      <c r="AJ179" s="179"/>
    </row>
    <row r="180" spans="7:36" x14ac:dyDescent="0.15"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W180" s="179"/>
      <c r="X180" s="72"/>
      <c r="AB180" s="72"/>
      <c r="AD180" s="179"/>
      <c r="AE180" s="179"/>
      <c r="AH180" s="179"/>
      <c r="AJ180" s="179"/>
    </row>
    <row r="181" spans="7:36" x14ac:dyDescent="0.15"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W181" s="179"/>
      <c r="X181" s="72"/>
      <c r="AB181" s="72"/>
      <c r="AD181" s="179"/>
      <c r="AE181" s="179"/>
      <c r="AH181" s="179"/>
      <c r="AJ181" s="179"/>
    </row>
    <row r="182" spans="7:36" x14ac:dyDescent="0.15"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W182" s="179"/>
      <c r="X182" s="72"/>
      <c r="AB182" s="72"/>
      <c r="AD182" s="179"/>
      <c r="AE182" s="179"/>
      <c r="AH182" s="179"/>
      <c r="AJ182" s="179"/>
    </row>
    <row r="183" spans="7:36" x14ac:dyDescent="0.15"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W183" s="179"/>
      <c r="X183" s="72"/>
      <c r="AB183" s="72"/>
      <c r="AD183" s="179"/>
      <c r="AE183" s="179"/>
      <c r="AH183" s="179"/>
      <c r="AJ183" s="179"/>
    </row>
    <row r="184" spans="7:36" x14ac:dyDescent="0.15"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W184" s="179"/>
      <c r="X184" s="72"/>
      <c r="AB184" s="72"/>
      <c r="AD184" s="179"/>
      <c r="AE184" s="179"/>
      <c r="AH184" s="179"/>
      <c r="AJ184" s="179"/>
    </row>
    <row r="185" spans="7:36" x14ac:dyDescent="0.15"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W185" s="179"/>
      <c r="X185" s="72"/>
      <c r="AB185" s="72"/>
      <c r="AD185" s="179"/>
      <c r="AE185" s="179"/>
      <c r="AH185" s="179"/>
      <c r="AJ185" s="179"/>
    </row>
    <row r="186" spans="7:36" x14ac:dyDescent="0.15"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W186" s="179"/>
      <c r="X186" s="72"/>
      <c r="AB186" s="72"/>
      <c r="AD186" s="179"/>
      <c r="AE186" s="179"/>
      <c r="AH186" s="179"/>
      <c r="AJ186" s="179"/>
    </row>
    <row r="187" spans="7:36" x14ac:dyDescent="0.15"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W187" s="179"/>
      <c r="X187" s="72"/>
      <c r="AB187" s="72"/>
      <c r="AD187" s="179"/>
      <c r="AE187" s="179"/>
      <c r="AH187" s="179"/>
      <c r="AJ187" s="179"/>
    </row>
    <row r="188" spans="7:36" x14ac:dyDescent="0.15"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W188" s="179"/>
      <c r="X188" s="72"/>
      <c r="AB188" s="72"/>
      <c r="AD188" s="179"/>
      <c r="AE188" s="179"/>
      <c r="AH188" s="179"/>
      <c r="AJ188" s="179"/>
    </row>
    <row r="189" spans="7:36" x14ac:dyDescent="0.15"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W189" s="179"/>
      <c r="X189" s="72"/>
      <c r="AB189" s="72"/>
      <c r="AD189" s="179"/>
      <c r="AE189" s="179"/>
      <c r="AH189" s="179"/>
      <c r="AJ189" s="179"/>
    </row>
    <row r="190" spans="7:36" x14ac:dyDescent="0.15"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W190" s="179"/>
      <c r="X190" s="72"/>
      <c r="AB190" s="72"/>
      <c r="AD190" s="179"/>
      <c r="AE190" s="179"/>
      <c r="AH190" s="179"/>
      <c r="AJ190" s="179"/>
    </row>
    <row r="191" spans="7:36" x14ac:dyDescent="0.15"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W191" s="179"/>
      <c r="X191" s="72"/>
      <c r="AB191" s="72"/>
      <c r="AD191" s="179"/>
      <c r="AE191" s="179"/>
      <c r="AH191" s="179"/>
      <c r="AJ191" s="179"/>
    </row>
    <row r="192" spans="7:36" x14ac:dyDescent="0.15"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W192" s="179"/>
      <c r="X192" s="72"/>
      <c r="AB192" s="72"/>
      <c r="AD192" s="179"/>
      <c r="AE192" s="179"/>
      <c r="AH192" s="179"/>
      <c r="AJ192" s="179"/>
    </row>
    <row r="193" spans="7:36" x14ac:dyDescent="0.15"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W193" s="179"/>
      <c r="X193" s="72"/>
      <c r="AB193" s="72"/>
      <c r="AD193" s="179"/>
      <c r="AE193" s="179"/>
      <c r="AH193" s="179"/>
      <c r="AJ193" s="179"/>
    </row>
    <row r="194" spans="7:36" x14ac:dyDescent="0.15"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W194" s="179"/>
      <c r="X194" s="72"/>
      <c r="AB194" s="72"/>
      <c r="AD194" s="179"/>
      <c r="AE194" s="179"/>
      <c r="AH194" s="179"/>
      <c r="AJ194" s="179"/>
    </row>
    <row r="195" spans="7:36" x14ac:dyDescent="0.15"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W195" s="179"/>
      <c r="X195" s="72"/>
      <c r="AB195" s="72"/>
      <c r="AD195" s="179"/>
      <c r="AE195" s="179"/>
      <c r="AH195" s="179"/>
      <c r="AJ195" s="179"/>
    </row>
    <row r="196" spans="7:36" x14ac:dyDescent="0.15"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W196" s="179"/>
      <c r="X196" s="72"/>
      <c r="AB196" s="72"/>
      <c r="AD196" s="179"/>
      <c r="AE196" s="179"/>
      <c r="AH196" s="179"/>
      <c r="AJ196" s="179"/>
    </row>
    <row r="197" spans="7:36" x14ac:dyDescent="0.15"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W197" s="179"/>
      <c r="X197" s="72"/>
      <c r="AB197" s="72"/>
      <c r="AD197" s="179"/>
      <c r="AE197" s="179"/>
      <c r="AH197" s="179"/>
      <c r="AJ197" s="179"/>
    </row>
    <row r="198" spans="7:36" x14ac:dyDescent="0.15"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W198" s="179"/>
      <c r="X198" s="72"/>
      <c r="AB198" s="72"/>
      <c r="AD198" s="179"/>
      <c r="AE198" s="179"/>
      <c r="AH198" s="179"/>
      <c r="AJ198" s="179"/>
    </row>
    <row r="199" spans="7:36" x14ac:dyDescent="0.15"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W199" s="179"/>
      <c r="X199" s="72"/>
      <c r="AB199" s="72"/>
      <c r="AD199" s="179"/>
      <c r="AE199" s="179"/>
      <c r="AH199" s="179"/>
      <c r="AJ199" s="179"/>
    </row>
    <row r="200" spans="7:36" x14ac:dyDescent="0.15"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W200" s="179"/>
      <c r="X200" s="72"/>
      <c r="AB200" s="72"/>
      <c r="AD200" s="179"/>
      <c r="AE200" s="179"/>
      <c r="AH200" s="179"/>
      <c r="AJ200" s="179"/>
    </row>
    <row r="201" spans="7:36" x14ac:dyDescent="0.15"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W201" s="179"/>
      <c r="X201" s="72"/>
      <c r="AB201" s="72"/>
      <c r="AD201" s="179"/>
      <c r="AE201" s="179"/>
      <c r="AH201" s="179"/>
      <c r="AJ201" s="179"/>
    </row>
    <row r="202" spans="7:36" x14ac:dyDescent="0.15"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W202" s="179"/>
      <c r="X202" s="72"/>
      <c r="AB202" s="72"/>
      <c r="AD202" s="179"/>
      <c r="AE202" s="179"/>
      <c r="AH202" s="179"/>
      <c r="AJ202" s="179"/>
    </row>
    <row r="203" spans="7:36" x14ac:dyDescent="0.15"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W203" s="179"/>
      <c r="X203" s="72"/>
      <c r="AB203" s="72"/>
      <c r="AD203" s="179"/>
      <c r="AE203" s="179"/>
      <c r="AH203" s="179"/>
      <c r="AJ203" s="179"/>
    </row>
    <row r="204" spans="7:36" x14ac:dyDescent="0.15"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W204" s="179"/>
      <c r="X204" s="72"/>
      <c r="AB204" s="72"/>
      <c r="AD204" s="179"/>
      <c r="AE204" s="179"/>
      <c r="AH204" s="179"/>
      <c r="AJ204" s="179"/>
    </row>
    <row r="205" spans="7:36" x14ac:dyDescent="0.15"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W205" s="179"/>
      <c r="X205" s="72"/>
      <c r="AB205" s="72"/>
      <c r="AD205" s="179"/>
      <c r="AE205" s="179"/>
      <c r="AH205" s="179"/>
      <c r="AJ205" s="179"/>
    </row>
    <row r="206" spans="7:36" x14ac:dyDescent="0.15"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W206" s="179"/>
      <c r="X206" s="72"/>
      <c r="AB206" s="72"/>
      <c r="AD206" s="179"/>
      <c r="AE206" s="179"/>
      <c r="AH206" s="179"/>
      <c r="AJ206" s="179"/>
    </row>
    <row r="207" spans="7:36" x14ac:dyDescent="0.15"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W207" s="179"/>
      <c r="X207" s="72"/>
      <c r="AB207" s="72"/>
      <c r="AD207" s="179"/>
      <c r="AE207" s="179"/>
      <c r="AH207" s="179"/>
      <c r="AJ207" s="179"/>
    </row>
    <row r="208" spans="7:36" x14ac:dyDescent="0.15"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W208" s="179"/>
      <c r="X208" s="72"/>
      <c r="AB208" s="72"/>
      <c r="AD208" s="179"/>
      <c r="AE208" s="179"/>
      <c r="AH208" s="179"/>
      <c r="AJ208" s="179"/>
    </row>
    <row r="209" spans="7:36" x14ac:dyDescent="0.15"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W209" s="179"/>
      <c r="X209" s="72"/>
      <c r="AB209" s="72"/>
      <c r="AD209" s="179"/>
      <c r="AE209" s="179"/>
      <c r="AH209" s="179"/>
      <c r="AJ209" s="179"/>
    </row>
    <row r="210" spans="7:36" x14ac:dyDescent="0.15"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W210" s="179"/>
      <c r="X210" s="72"/>
      <c r="AB210" s="72"/>
      <c r="AD210" s="179"/>
      <c r="AE210" s="179"/>
      <c r="AH210" s="179"/>
      <c r="AJ210" s="179"/>
    </row>
    <row r="211" spans="7:36" x14ac:dyDescent="0.15"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W211" s="179"/>
      <c r="X211" s="72"/>
      <c r="AB211" s="72"/>
      <c r="AD211" s="179"/>
      <c r="AE211" s="179"/>
      <c r="AH211" s="179"/>
      <c r="AJ211" s="179"/>
    </row>
    <row r="212" spans="7:36" x14ac:dyDescent="0.15"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W212" s="179"/>
      <c r="X212" s="72"/>
      <c r="AB212" s="72"/>
      <c r="AD212" s="179"/>
      <c r="AE212" s="179"/>
      <c r="AH212" s="179"/>
      <c r="AJ212" s="179"/>
    </row>
    <row r="213" spans="7:36" x14ac:dyDescent="0.15"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W213" s="179"/>
      <c r="X213" s="72"/>
      <c r="AB213" s="72"/>
      <c r="AD213" s="179"/>
      <c r="AE213" s="179"/>
      <c r="AH213" s="179"/>
      <c r="AJ213" s="179"/>
    </row>
    <row r="214" spans="7:36" x14ac:dyDescent="0.15"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W214" s="179"/>
      <c r="X214" s="72"/>
      <c r="AB214" s="72"/>
      <c r="AD214" s="179"/>
      <c r="AE214" s="179"/>
      <c r="AH214" s="179"/>
      <c r="AJ214" s="179"/>
    </row>
    <row r="215" spans="7:36" x14ac:dyDescent="0.15"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W215" s="179"/>
      <c r="X215" s="72"/>
      <c r="AB215" s="72"/>
      <c r="AD215" s="179"/>
      <c r="AE215" s="179"/>
      <c r="AH215" s="179"/>
      <c r="AJ215" s="179"/>
    </row>
    <row r="216" spans="7:36" x14ac:dyDescent="0.15"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W216" s="179"/>
      <c r="X216" s="72"/>
      <c r="AB216" s="72"/>
      <c r="AD216" s="179"/>
      <c r="AE216" s="179"/>
      <c r="AH216" s="179"/>
      <c r="AJ216" s="179"/>
    </row>
    <row r="217" spans="7:36" x14ac:dyDescent="0.15"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W217" s="179"/>
      <c r="X217" s="72"/>
      <c r="AB217" s="72"/>
      <c r="AD217" s="179"/>
      <c r="AE217" s="179"/>
      <c r="AH217" s="179"/>
      <c r="AJ217" s="179"/>
    </row>
    <row r="218" spans="7:36" x14ac:dyDescent="0.15"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W218" s="179"/>
      <c r="X218" s="72"/>
      <c r="AB218" s="72"/>
      <c r="AD218" s="179"/>
      <c r="AE218" s="179"/>
      <c r="AH218" s="179"/>
      <c r="AJ218" s="179"/>
    </row>
    <row r="219" spans="7:36" x14ac:dyDescent="0.15"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W219" s="179"/>
      <c r="X219" s="72"/>
      <c r="AB219" s="72"/>
      <c r="AD219" s="179"/>
      <c r="AE219" s="179"/>
      <c r="AH219" s="179"/>
      <c r="AJ219" s="179"/>
    </row>
    <row r="220" spans="7:36" x14ac:dyDescent="0.15"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W220" s="179"/>
      <c r="X220" s="72"/>
      <c r="AB220" s="72"/>
      <c r="AD220" s="179"/>
      <c r="AE220" s="179"/>
      <c r="AH220" s="179"/>
      <c r="AJ220" s="179"/>
    </row>
    <row r="221" spans="7:36" x14ac:dyDescent="0.15"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W221" s="179"/>
      <c r="X221" s="72"/>
      <c r="AB221" s="72"/>
      <c r="AD221" s="179"/>
      <c r="AE221" s="179"/>
      <c r="AH221" s="179"/>
      <c r="AJ221" s="179"/>
    </row>
    <row r="222" spans="7:36" x14ac:dyDescent="0.15"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W222" s="179"/>
      <c r="X222" s="72"/>
      <c r="AB222" s="72"/>
      <c r="AD222" s="179"/>
      <c r="AE222" s="179"/>
      <c r="AH222" s="179"/>
      <c r="AJ222" s="179"/>
    </row>
    <row r="223" spans="7:36" x14ac:dyDescent="0.15"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W223" s="179"/>
      <c r="X223" s="72"/>
      <c r="AB223" s="72"/>
      <c r="AD223" s="179"/>
      <c r="AE223" s="179"/>
      <c r="AH223" s="179"/>
      <c r="AJ223" s="179"/>
    </row>
    <row r="224" spans="7:36" x14ac:dyDescent="0.15"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W224" s="179"/>
      <c r="X224" s="72"/>
      <c r="AB224" s="72"/>
      <c r="AD224" s="179"/>
      <c r="AE224" s="179"/>
      <c r="AH224" s="179"/>
      <c r="AJ224" s="179"/>
    </row>
    <row r="225" spans="7:36" x14ac:dyDescent="0.15"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W225" s="179"/>
      <c r="X225" s="72"/>
      <c r="AB225" s="72"/>
      <c r="AD225" s="179"/>
      <c r="AE225" s="179"/>
      <c r="AH225" s="179"/>
      <c r="AJ225" s="179"/>
    </row>
    <row r="226" spans="7:36" x14ac:dyDescent="0.15"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W226" s="179"/>
      <c r="X226" s="72"/>
      <c r="AB226" s="72"/>
      <c r="AD226" s="179"/>
      <c r="AE226" s="179"/>
      <c r="AH226" s="179"/>
      <c r="AJ226" s="179"/>
    </row>
    <row r="227" spans="7:36" x14ac:dyDescent="0.15"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W227" s="179"/>
      <c r="X227" s="72"/>
      <c r="AB227" s="72"/>
      <c r="AD227" s="179"/>
      <c r="AE227" s="179"/>
      <c r="AH227" s="179"/>
      <c r="AJ227" s="179"/>
    </row>
    <row r="228" spans="7:36" x14ac:dyDescent="0.15"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W228" s="179"/>
      <c r="X228" s="72"/>
      <c r="AB228" s="72"/>
      <c r="AD228" s="179"/>
      <c r="AE228" s="179"/>
      <c r="AH228" s="179"/>
      <c r="AJ228" s="179"/>
    </row>
    <row r="229" spans="7:36" x14ac:dyDescent="0.15"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W229" s="179"/>
      <c r="X229" s="72"/>
      <c r="AB229" s="72"/>
      <c r="AD229" s="179"/>
      <c r="AE229" s="179"/>
      <c r="AH229" s="179"/>
      <c r="AJ229" s="179"/>
    </row>
    <row r="230" spans="7:36" x14ac:dyDescent="0.15"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W230" s="179"/>
      <c r="X230" s="72"/>
      <c r="AB230" s="72"/>
      <c r="AD230" s="179"/>
      <c r="AE230" s="179"/>
      <c r="AH230" s="179"/>
      <c r="AJ230" s="179"/>
    </row>
    <row r="231" spans="7:36" x14ac:dyDescent="0.15"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W231" s="179"/>
      <c r="X231" s="72"/>
      <c r="AB231" s="72"/>
      <c r="AD231" s="179"/>
      <c r="AE231" s="179"/>
      <c r="AH231" s="179"/>
      <c r="AJ231" s="179"/>
    </row>
    <row r="232" spans="7:36" x14ac:dyDescent="0.15"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W232" s="179"/>
      <c r="X232" s="72"/>
      <c r="AB232" s="72"/>
      <c r="AD232" s="179"/>
      <c r="AE232" s="179"/>
      <c r="AH232" s="179"/>
      <c r="AJ232" s="179"/>
    </row>
    <row r="233" spans="7:36" x14ac:dyDescent="0.15"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W233" s="179"/>
      <c r="X233" s="72"/>
      <c r="AB233" s="72"/>
      <c r="AD233" s="179"/>
      <c r="AE233" s="179"/>
      <c r="AH233" s="179"/>
      <c r="AJ233" s="179"/>
    </row>
    <row r="234" spans="7:36" x14ac:dyDescent="0.15"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W234" s="179"/>
      <c r="X234" s="72"/>
      <c r="AB234" s="72"/>
      <c r="AD234" s="179"/>
      <c r="AE234" s="179"/>
      <c r="AH234" s="179"/>
      <c r="AJ234" s="179"/>
    </row>
    <row r="235" spans="7:36" x14ac:dyDescent="0.15"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W235" s="179"/>
      <c r="X235" s="72"/>
      <c r="AB235" s="72"/>
      <c r="AD235" s="179"/>
      <c r="AE235" s="179"/>
      <c r="AH235" s="179"/>
      <c r="AJ235" s="179"/>
    </row>
    <row r="236" spans="7:36" x14ac:dyDescent="0.15"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W236" s="179"/>
      <c r="X236" s="72"/>
      <c r="AB236" s="72"/>
      <c r="AD236" s="179"/>
      <c r="AE236" s="179"/>
      <c r="AH236" s="179"/>
      <c r="AJ236" s="179"/>
    </row>
    <row r="237" spans="7:36" x14ac:dyDescent="0.15"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W237" s="179"/>
      <c r="X237" s="72"/>
      <c r="AB237" s="72"/>
      <c r="AD237" s="179"/>
      <c r="AE237" s="179"/>
      <c r="AH237" s="179"/>
      <c r="AJ237" s="179"/>
    </row>
    <row r="238" spans="7:36" x14ac:dyDescent="0.15"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W238" s="179"/>
      <c r="X238" s="72"/>
      <c r="AB238" s="72"/>
      <c r="AD238" s="179"/>
      <c r="AE238" s="179"/>
      <c r="AH238" s="179"/>
      <c r="AJ238" s="179"/>
    </row>
    <row r="239" spans="7:36" x14ac:dyDescent="0.15"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W239" s="179"/>
      <c r="X239" s="72"/>
      <c r="AB239" s="72"/>
      <c r="AD239" s="179"/>
      <c r="AE239" s="179"/>
      <c r="AH239" s="179"/>
      <c r="AJ239" s="179"/>
    </row>
    <row r="240" spans="7:36" x14ac:dyDescent="0.15"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W240" s="179"/>
      <c r="X240" s="72"/>
      <c r="AB240" s="72"/>
      <c r="AD240" s="179"/>
      <c r="AE240" s="179"/>
      <c r="AH240" s="179"/>
      <c r="AJ240" s="179"/>
    </row>
    <row r="241" spans="7:36" x14ac:dyDescent="0.15"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W241" s="179"/>
      <c r="X241" s="72"/>
      <c r="AB241" s="72"/>
      <c r="AD241" s="179"/>
      <c r="AE241" s="179"/>
      <c r="AH241" s="179"/>
      <c r="AJ241" s="179"/>
    </row>
    <row r="242" spans="7:36" x14ac:dyDescent="0.15"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W242" s="179"/>
      <c r="X242" s="72"/>
      <c r="AB242" s="72"/>
      <c r="AD242" s="179"/>
      <c r="AE242" s="179"/>
      <c r="AH242" s="179"/>
      <c r="AJ242" s="179"/>
    </row>
    <row r="243" spans="7:36" x14ac:dyDescent="0.15"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W243" s="179"/>
      <c r="X243" s="72"/>
      <c r="AB243" s="72"/>
      <c r="AD243" s="179"/>
      <c r="AE243" s="179"/>
      <c r="AH243" s="179"/>
      <c r="AJ243" s="179"/>
    </row>
    <row r="244" spans="7:36" x14ac:dyDescent="0.15"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W244" s="179"/>
      <c r="X244" s="72"/>
      <c r="AB244" s="72"/>
      <c r="AD244" s="179"/>
      <c r="AE244" s="179"/>
      <c r="AH244" s="179"/>
      <c r="AJ244" s="179"/>
    </row>
    <row r="245" spans="7:36" x14ac:dyDescent="0.15"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W245" s="179"/>
      <c r="X245" s="72"/>
      <c r="AB245" s="72"/>
      <c r="AD245" s="179"/>
      <c r="AE245" s="179"/>
      <c r="AH245" s="179"/>
      <c r="AJ245" s="179"/>
    </row>
    <row r="246" spans="7:36" x14ac:dyDescent="0.15"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W246" s="179"/>
      <c r="X246" s="72"/>
      <c r="AB246" s="72"/>
      <c r="AD246" s="179"/>
      <c r="AE246" s="179"/>
      <c r="AH246" s="179"/>
      <c r="AJ246" s="179"/>
    </row>
    <row r="247" spans="7:36" x14ac:dyDescent="0.15"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W247" s="179"/>
      <c r="X247" s="72"/>
      <c r="AB247" s="72"/>
      <c r="AD247" s="179"/>
      <c r="AE247" s="179"/>
      <c r="AH247" s="179"/>
      <c r="AJ247" s="179"/>
    </row>
    <row r="248" spans="7:36" x14ac:dyDescent="0.15"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W248" s="179"/>
      <c r="X248" s="72"/>
      <c r="AB248" s="72"/>
      <c r="AD248" s="179"/>
      <c r="AE248" s="179"/>
      <c r="AH248" s="179"/>
      <c r="AJ248" s="179"/>
    </row>
    <row r="249" spans="7:36" x14ac:dyDescent="0.15"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W249" s="179"/>
      <c r="X249" s="72"/>
      <c r="AB249" s="72"/>
      <c r="AD249" s="179"/>
      <c r="AE249" s="179"/>
      <c r="AH249" s="179"/>
      <c r="AJ249" s="179"/>
    </row>
    <row r="250" spans="7:36" x14ac:dyDescent="0.15"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W250" s="179"/>
      <c r="X250" s="72"/>
      <c r="AB250" s="72"/>
      <c r="AD250" s="179"/>
      <c r="AE250" s="179"/>
      <c r="AH250" s="179"/>
      <c r="AJ250" s="179"/>
    </row>
    <row r="251" spans="7:36" x14ac:dyDescent="0.15"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W251" s="179"/>
      <c r="X251" s="72"/>
      <c r="AB251" s="72"/>
      <c r="AD251" s="179"/>
      <c r="AE251" s="179"/>
      <c r="AH251" s="179"/>
      <c r="AJ251" s="179"/>
    </row>
    <row r="252" spans="7:36" x14ac:dyDescent="0.15"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W252" s="179"/>
      <c r="X252" s="72"/>
      <c r="AB252" s="72"/>
      <c r="AD252" s="179"/>
      <c r="AE252" s="179"/>
      <c r="AH252" s="179"/>
      <c r="AJ252" s="179"/>
    </row>
    <row r="253" spans="7:36" x14ac:dyDescent="0.15"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W253" s="179"/>
      <c r="X253" s="72"/>
      <c r="AB253" s="72"/>
      <c r="AD253" s="179"/>
      <c r="AE253" s="179"/>
      <c r="AH253" s="179"/>
      <c r="AJ253" s="179"/>
    </row>
    <row r="254" spans="7:36" x14ac:dyDescent="0.15"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W254" s="179"/>
      <c r="X254" s="72"/>
      <c r="AB254" s="72"/>
      <c r="AD254" s="179"/>
      <c r="AE254" s="179"/>
      <c r="AH254" s="179"/>
      <c r="AJ254" s="179"/>
    </row>
    <row r="255" spans="7:36" x14ac:dyDescent="0.15"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W255" s="179"/>
      <c r="X255" s="72"/>
      <c r="AB255" s="72"/>
      <c r="AD255" s="179"/>
      <c r="AE255" s="179"/>
      <c r="AH255" s="179"/>
      <c r="AJ255" s="179"/>
    </row>
    <row r="256" spans="7:36" x14ac:dyDescent="0.15"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W256" s="179"/>
      <c r="X256" s="72"/>
      <c r="AB256" s="72"/>
      <c r="AD256" s="179"/>
      <c r="AE256" s="179"/>
      <c r="AH256" s="179"/>
      <c r="AJ256" s="179"/>
    </row>
    <row r="257" spans="7:36" x14ac:dyDescent="0.15"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W257" s="179"/>
      <c r="X257" s="72"/>
      <c r="AB257" s="72"/>
      <c r="AD257" s="179"/>
      <c r="AE257" s="179"/>
      <c r="AH257" s="179"/>
      <c r="AJ257" s="179"/>
    </row>
    <row r="258" spans="7:36" x14ac:dyDescent="0.15"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W258" s="179"/>
      <c r="X258" s="72"/>
      <c r="AB258" s="72"/>
      <c r="AD258" s="179"/>
      <c r="AE258" s="179"/>
      <c r="AH258" s="179"/>
      <c r="AJ258" s="179"/>
    </row>
    <row r="259" spans="7:36" x14ac:dyDescent="0.15"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W259" s="179"/>
      <c r="X259" s="72"/>
      <c r="AB259" s="72"/>
      <c r="AD259" s="179"/>
      <c r="AE259" s="179"/>
      <c r="AH259" s="179"/>
      <c r="AJ259" s="179"/>
    </row>
    <row r="260" spans="7:36" x14ac:dyDescent="0.15"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W260" s="179"/>
      <c r="X260" s="72"/>
      <c r="AB260" s="72"/>
      <c r="AD260" s="179"/>
      <c r="AE260" s="179"/>
      <c r="AH260" s="179"/>
      <c r="AJ260" s="179"/>
    </row>
    <row r="261" spans="7:36" x14ac:dyDescent="0.15"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W261" s="179"/>
      <c r="X261" s="72"/>
      <c r="AB261" s="72"/>
      <c r="AD261" s="179"/>
      <c r="AE261" s="179"/>
      <c r="AH261" s="179"/>
      <c r="AJ261" s="179"/>
    </row>
    <row r="262" spans="7:36" x14ac:dyDescent="0.15"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W262" s="179"/>
      <c r="X262" s="72"/>
      <c r="AB262" s="72"/>
      <c r="AD262" s="179"/>
      <c r="AE262" s="179"/>
      <c r="AH262" s="179"/>
      <c r="AJ262" s="179"/>
    </row>
    <row r="263" spans="7:36" x14ac:dyDescent="0.15"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W263" s="179"/>
      <c r="X263" s="72"/>
      <c r="AB263" s="72"/>
      <c r="AD263" s="179"/>
      <c r="AE263" s="179"/>
      <c r="AH263" s="179"/>
      <c r="AJ263" s="179"/>
    </row>
    <row r="264" spans="7:36" x14ac:dyDescent="0.15"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W264" s="179"/>
      <c r="X264" s="72"/>
      <c r="AB264" s="72"/>
      <c r="AD264" s="179"/>
      <c r="AE264" s="179"/>
      <c r="AH264" s="179"/>
      <c r="AJ264" s="179"/>
    </row>
    <row r="265" spans="7:36" x14ac:dyDescent="0.15"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W265" s="179"/>
      <c r="X265" s="72"/>
      <c r="AB265" s="72"/>
      <c r="AD265" s="179"/>
      <c r="AE265" s="179"/>
      <c r="AH265" s="179"/>
      <c r="AJ265" s="179"/>
    </row>
    <row r="266" spans="7:36" x14ac:dyDescent="0.15"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W266" s="179"/>
      <c r="X266" s="72"/>
      <c r="AB266" s="72"/>
      <c r="AD266" s="179"/>
      <c r="AE266" s="179"/>
      <c r="AH266" s="179"/>
      <c r="AJ266" s="179"/>
    </row>
    <row r="267" spans="7:36" x14ac:dyDescent="0.15"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W267" s="179"/>
      <c r="X267" s="72"/>
      <c r="AB267" s="72"/>
      <c r="AD267" s="179"/>
      <c r="AE267" s="179"/>
      <c r="AH267" s="179"/>
      <c r="AJ267" s="179"/>
    </row>
    <row r="268" spans="7:36" x14ac:dyDescent="0.15"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W268" s="179"/>
      <c r="X268" s="72"/>
      <c r="AB268" s="72"/>
      <c r="AD268" s="179"/>
      <c r="AE268" s="179"/>
      <c r="AH268" s="179"/>
      <c r="AJ268" s="179"/>
    </row>
    <row r="269" spans="7:36" x14ac:dyDescent="0.15"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W269" s="179"/>
      <c r="X269" s="72"/>
      <c r="AB269" s="72"/>
      <c r="AD269" s="179"/>
      <c r="AE269" s="179"/>
      <c r="AH269" s="179"/>
      <c r="AJ269" s="179"/>
    </row>
    <row r="270" spans="7:36" x14ac:dyDescent="0.15"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W270" s="179"/>
      <c r="X270" s="72"/>
      <c r="AB270" s="72"/>
      <c r="AD270" s="179"/>
      <c r="AE270" s="179"/>
      <c r="AH270" s="179"/>
      <c r="AJ270" s="179"/>
    </row>
    <row r="271" spans="7:36" x14ac:dyDescent="0.15"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W271" s="179"/>
      <c r="X271" s="72"/>
      <c r="AB271" s="72"/>
      <c r="AD271" s="179"/>
      <c r="AE271" s="179"/>
      <c r="AH271" s="179"/>
      <c r="AJ271" s="179"/>
    </row>
    <row r="272" spans="7:36" x14ac:dyDescent="0.15"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W272" s="179"/>
      <c r="X272" s="72"/>
      <c r="AB272" s="72"/>
      <c r="AD272" s="179"/>
      <c r="AE272" s="179"/>
      <c r="AH272" s="179"/>
      <c r="AJ272" s="179"/>
    </row>
    <row r="273" spans="7:36" x14ac:dyDescent="0.15"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W273" s="179"/>
      <c r="X273" s="72"/>
      <c r="AB273" s="72"/>
      <c r="AD273" s="179"/>
      <c r="AE273" s="179"/>
      <c r="AH273" s="179"/>
      <c r="AJ273" s="179"/>
    </row>
    <row r="274" spans="7:36" x14ac:dyDescent="0.15"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W274" s="179"/>
      <c r="X274" s="72"/>
      <c r="AB274" s="72"/>
      <c r="AD274" s="179"/>
      <c r="AE274" s="179"/>
      <c r="AH274" s="179"/>
      <c r="AJ274" s="179"/>
    </row>
    <row r="275" spans="7:36" x14ac:dyDescent="0.15"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W275" s="179"/>
      <c r="X275" s="72"/>
      <c r="AB275" s="72"/>
      <c r="AD275" s="179"/>
      <c r="AE275" s="179"/>
      <c r="AH275" s="179"/>
      <c r="AJ275" s="179"/>
    </row>
    <row r="276" spans="7:36" x14ac:dyDescent="0.15"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W276" s="179"/>
      <c r="X276" s="72"/>
      <c r="AB276" s="72"/>
      <c r="AD276" s="179"/>
      <c r="AE276" s="179"/>
      <c r="AH276" s="179"/>
      <c r="AJ276" s="179"/>
    </row>
    <row r="277" spans="7:36" x14ac:dyDescent="0.15"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W277" s="179"/>
      <c r="X277" s="72"/>
      <c r="AB277" s="72"/>
      <c r="AD277" s="179"/>
      <c r="AE277" s="179"/>
      <c r="AH277" s="179"/>
      <c r="AJ277" s="179"/>
    </row>
    <row r="278" spans="7:36" x14ac:dyDescent="0.15"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W278" s="179"/>
      <c r="X278" s="72"/>
      <c r="AB278" s="72"/>
      <c r="AD278" s="179"/>
      <c r="AE278" s="179"/>
      <c r="AH278" s="179"/>
      <c r="AJ278" s="179"/>
    </row>
    <row r="279" spans="7:36" x14ac:dyDescent="0.15"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W279" s="179"/>
      <c r="X279" s="72"/>
      <c r="AB279" s="72"/>
      <c r="AD279" s="179"/>
      <c r="AE279" s="179"/>
      <c r="AH279" s="179"/>
      <c r="AJ279" s="179"/>
    </row>
    <row r="280" spans="7:36" x14ac:dyDescent="0.15"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W280" s="179"/>
      <c r="X280" s="72"/>
      <c r="AB280" s="72"/>
      <c r="AD280" s="179"/>
      <c r="AE280" s="179"/>
      <c r="AH280" s="179"/>
      <c r="AJ280" s="179"/>
    </row>
    <row r="281" spans="7:36" x14ac:dyDescent="0.15"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W281" s="179"/>
      <c r="X281" s="72"/>
      <c r="AB281" s="72"/>
      <c r="AD281" s="179"/>
      <c r="AE281" s="179"/>
      <c r="AH281" s="179"/>
      <c r="AJ281" s="179"/>
    </row>
    <row r="282" spans="7:36" x14ac:dyDescent="0.15"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W282" s="179"/>
      <c r="X282" s="72"/>
      <c r="AB282" s="72"/>
      <c r="AD282" s="179"/>
      <c r="AE282" s="179"/>
      <c r="AH282" s="179"/>
      <c r="AJ282" s="179"/>
    </row>
    <row r="283" spans="7:36" x14ac:dyDescent="0.15"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W283" s="179"/>
      <c r="X283" s="72"/>
      <c r="AB283" s="72"/>
      <c r="AD283" s="179"/>
      <c r="AE283" s="179"/>
      <c r="AH283" s="179"/>
      <c r="AJ283" s="179"/>
    </row>
    <row r="284" spans="7:36" x14ac:dyDescent="0.15"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W284" s="179"/>
      <c r="X284" s="72"/>
      <c r="AB284" s="72"/>
      <c r="AD284" s="179"/>
      <c r="AE284" s="179"/>
      <c r="AH284" s="179"/>
      <c r="AJ284" s="179"/>
    </row>
    <row r="285" spans="7:36" x14ac:dyDescent="0.15"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W285" s="179"/>
      <c r="X285" s="72"/>
      <c r="AB285" s="72"/>
      <c r="AD285" s="179"/>
      <c r="AE285" s="179"/>
      <c r="AH285" s="179"/>
      <c r="AJ285" s="179"/>
    </row>
    <row r="286" spans="7:36" x14ac:dyDescent="0.15"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W286" s="179"/>
      <c r="X286" s="72"/>
      <c r="AB286" s="72"/>
      <c r="AD286" s="179"/>
      <c r="AE286" s="179"/>
      <c r="AH286" s="179"/>
      <c r="AJ286" s="179"/>
    </row>
    <row r="287" spans="7:36" x14ac:dyDescent="0.15"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W287" s="179"/>
      <c r="X287" s="72"/>
      <c r="AB287" s="72"/>
      <c r="AD287" s="179"/>
      <c r="AE287" s="179"/>
      <c r="AH287" s="179"/>
      <c r="AJ287" s="179"/>
    </row>
    <row r="288" spans="7:36" x14ac:dyDescent="0.15"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W288" s="179"/>
      <c r="X288" s="72"/>
      <c r="AB288" s="72"/>
      <c r="AD288" s="179"/>
      <c r="AE288" s="179"/>
      <c r="AH288" s="179"/>
      <c r="AJ288" s="179"/>
    </row>
    <row r="289" spans="7:36" x14ac:dyDescent="0.15"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W289" s="179"/>
      <c r="X289" s="72"/>
      <c r="AB289" s="72"/>
      <c r="AD289" s="179"/>
      <c r="AE289" s="179"/>
      <c r="AH289" s="179"/>
      <c r="AJ289" s="179"/>
    </row>
    <row r="290" spans="7:36" x14ac:dyDescent="0.15"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W290" s="179"/>
      <c r="X290" s="72"/>
      <c r="AB290" s="72"/>
      <c r="AD290" s="179"/>
      <c r="AE290" s="179"/>
      <c r="AH290" s="179"/>
      <c r="AJ290" s="179"/>
    </row>
    <row r="291" spans="7:36" x14ac:dyDescent="0.15"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W291" s="179"/>
      <c r="X291" s="72"/>
      <c r="AB291" s="72"/>
      <c r="AD291" s="179"/>
      <c r="AE291" s="179"/>
      <c r="AH291" s="179"/>
      <c r="AJ291" s="179"/>
    </row>
    <row r="292" spans="7:36" x14ac:dyDescent="0.15"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W292" s="179"/>
      <c r="X292" s="72"/>
      <c r="AB292" s="72"/>
      <c r="AD292" s="179"/>
      <c r="AE292" s="179"/>
      <c r="AH292" s="179"/>
      <c r="AJ292" s="179"/>
    </row>
    <row r="293" spans="7:36" x14ac:dyDescent="0.15"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W293" s="179"/>
      <c r="X293" s="72"/>
      <c r="AB293" s="72"/>
      <c r="AD293" s="179"/>
      <c r="AE293" s="179"/>
      <c r="AH293" s="179"/>
      <c r="AJ293" s="179"/>
    </row>
    <row r="294" spans="7:36" x14ac:dyDescent="0.15"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W294" s="179"/>
      <c r="X294" s="72"/>
      <c r="AB294" s="72"/>
      <c r="AD294" s="179"/>
      <c r="AE294" s="179"/>
      <c r="AH294" s="179"/>
      <c r="AJ294" s="179"/>
    </row>
    <row r="295" spans="7:36" x14ac:dyDescent="0.15"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W295" s="179"/>
      <c r="X295" s="72"/>
      <c r="AB295" s="72"/>
      <c r="AD295" s="179"/>
      <c r="AE295" s="179"/>
      <c r="AH295" s="179"/>
      <c r="AJ295" s="179"/>
    </row>
    <row r="296" spans="7:36" x14ac:dyDescent="0.15"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W296" s="179"/>
      <c r="X296" s="72"/>
      <c r="AB296" s="72"/>
      <c r="AD296" s="179"/>
      <c r="AE296" s="179"/>
      <c r="AH296" s="179"/>
      <c r="AJ296" s="179"/>
    </row>
    <row r="297" spans="7:36" x14ac:dyDescent="0.15"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W297" s="179"/>
      <c r="X297" s="72"/>
      <c r="AB297" s="72"/>
      <c r="AD297" s="179"/>
      <c r="AE297" s="179"/>
      <c r="AH297" s="179"/>
      <c r="AJ297" s="179"/>
    </row>
    <row r="298" spans="7:36" x14ac:dyDescent="0.15"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W298" s="179"/>
      <c r="X298" s="72"/>
      <c r="AB298" s="72"/>
      <c r="AD298" s="179"/>
      <c r="AE298" s="179"/>
      <c r="AH298" s="179"/>
      <c r="AJ298" s="179"/>
    </row>
    <row r="299" spans="7:36" x14ac:dyDescent="0.15"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W299" s="179"/>
      <c r="X299" s="72"/>
      <c r="AB299" s="72"/>
      <c r="AD299" s="179"/>
      <c r="AE299" s="179"/>
      <c r="AH299" s="179"/>
      <c r="AJ299" s="179"/>
    </row>
    <row r="300" spans="7:36" x14ac:dyDescent="0.15"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W300" s="179"/>
      <c r="X300" s="72"/>
      <c r="AB300" s="72"/>
      <c r="AD300" s="179"/>
      <c r="AE300" s="179"/>
      <c r="AH300" s="179"/>
      <c r="AJ300" s="179"/>
    </row>
    <row r="301" spans="7:36" x14ac:dyDescent="0.15"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W301" s="179"/>
      <c r="X301" s="72"/>
      <c r="AB301" s="72"/>
      <c r="AD301" s="179"/>
      <c r="AE301" s="179"/>
      <c r="AH301" s="179"/>
      <c r="AJ301" s="179"/>
    </row>
    <row r="302" spans="7:36" x14ac:dyDescent="0.15"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W302" s="179"/>
      <c r="X302" s="72"/>
      <c r="AB302" s="72"/>
      <c r="AD302" s="179"/>
      <c r="AE302" s="179"/>
      <c r="AH302" s="179"/>
      <c r="AJ302" s="179"/>
    </row>
    <row r="303" spans="7:36" x14ac:dyDescent="0.15"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W303" s="179"/>
      <c r="X303" s="72"/>
      <c r="AB303" s="72"/>
      <c r="AD303" s="179"/>
      <c r="AE303" s="179"/>
      <c r="AH303" s="179"/>
      <c r="AJ303" s="179"/>
    </row>
    <row r="304" spans="7:36" x14ac:dyDescent="0.15"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W304" s="179"/>
      <c r="X304" s="72"/>
      <c r="AB304" s="72"/>
      <c r="AD304" s="179"/>
      <c r="AE304" s="179"/>
      <c r="AH304" s="179"/>
      <c r="AJ304" s="179"/>
    </row>
    <row r="305" spans="7:36" x14ac:dyDescent="0.15"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W305" s="179"/>
      <c r="X305" s="72"/>
      <c r="AB305" s="72"/>
      <c r="AD305" s="179"/>
      <c r="AE305" s="179"/>
      <c r="AH305" s="179"/>
      <c r="AJ305" s="179"/>
    </row>
    <row r="306" spans="7:36" x14ac:dyDescent="0.15"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W306" s="179"/>
      <c r="X306" s="72"/>
      <c r="AB306" s="72"/>
      <c r="AD306" s="179"/>
      <c r="AE306" s="179"/>
      <c r="AH306" s="179"/>
      <c r="AJ306" s="179"/>
    </row>
    <row r="307" spans="7:36" x14ac:dyDescent="0.15"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W307" s="179"/>
      <c r="X307" s="72"/>
      <c r="AB307" s="72"/>
      <c r="AD307" s="179"/>
      <c r="AE307" s="179"/>
      <c r="AH307" s="179"/>
      <c r="AJ307" s="179"/>
    </row>
    <row r="308" spans="7:36" x14ac:dyDescent="0.15"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W308" s="179"/>
      <c r="X308" s="72"/>
      <c r="AB308" s="72"/>
      <c r="AD308" s="179"/>
      <c r="AE308" s="179"/>
      <c r="AH308" s="179"/>
      <c r="AJ308" s="179"/>
    </row>
    <row r="309" spans="7:36" x14ac:dyDescent="0.15"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W309" s="179"/>
      <c r="X309" s="72"/>
      <c r="AB309" s="72"/>
      <c r="AD309" s="179"/>
      <c r="AE309" s="179"/>
      <c r="AH309" s="179"/>
      <c r="AJ309" s="179"/>
    </row>
    <row r="310" spans="7:36" x14ac:dyDescent="0.15"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W310" s="179"/>
      <c r="X310" s="72"/>
      <c r="AB310" s="72"/>
      <c r="AD310" s="179"/>
      <c r="AE310" s="179"/>
      <c r="AH310" s="179"/>
      <c r="AJ310" s="179"/>
    </row>
    <row r="311" spans="7:36" x14ac:dyDescent="0.15"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W311" s="179"/>
      <c r="X311" s="72"/>
      <c r="AB311" s="72"/>
      <c r="AD311" s="179"/>
      <c r="AE311" s="179"/>
      <c r="AH311" s="179"/>
      <c r="AJ311" s="179"/>
    </row>
    <row r="312" spans="7:36" x14ac:dyDescent="0.15"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W312" s="179"/>
      <c r="X312" s="72"/>
      <c r="AB312" s="72"/>
      <c r="AD312" s="179"/>
      <c r="AE312" s="179"/>
      <c r="AH312" s="179"/>
      <c r="AJ312" s="179"/>
    </row>
    <row r="313" spans="7:36" x14ac:dyDescent="0.15"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W313" s="179"/>
      <c r="X313" s="72"/>
      <c r="AB313" s="72"/>
      <c r="AD313" s="179"/>
      <c r="AE313" s="179"/>
      <c r="AH313" s="179"/>
      <c r="AJ313" s="179"/>
    </row>
    <row r="314" spans="7:36" x14ac:dyDescent="0.15"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W314" s="179"/>
      <c r="X314" s="72"/>
      <c r="AB314" s="72"/>
      <c r="AD314" s="179"/>
      <c r="AE314" s="179"/>
      <c r="AH314" s="179"/>
      <c r="AJ314" s="179"/>
    </row>
    <row r="315" spans="7:36" x14ac:dyDescent="0.15"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W315" s="179"/>
      <c r="X315" s="72"/>
      <c r="AB315" s="72"/>
      <c r="AD315" s="179"/>
      <c r="AE315" s="179"/>
      <c r="AH315" s="179"/>
      <c r="AJ315" s="179"/>
    </row>
    <row r="316" spans="7:36" x14ac:dyDescent="0.15"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W316" s="179"/>
      <c r="X316" s="72"/>
      <c r="AB316" s="72"/>
      <c r="AD316" s="179"/>
      <c r="AE316" s="179"/>
      <c r="AH316" s="179"/>
      <c r="AJ316" s="179"/>
    </row>
    <row r="317" spans="7:36" x14ac:dyDescent="0.15"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W317" s="179"/>
      <c r="X317" s="72"/>
      <c r="AB317" s="72"/>
      <c r="AD317" s="179"/>
      <c r="AE317" s="179"/>
      <c r="AH317" s="179"/>
      <c r="AJ317" s="179"/>
    </row>
    <row r="318" spans="7:36" x14ac:dyDescent="0.15"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W318" s="179"/>
      <c r="X318" s="72"/>
      <c r="AB318" s="72"/>
      <c r="AD318" s="179"/>
      <c r="AE318" s="179"/>
      <c r="AH318" s="179"/>
      <c r="AJ318" s="179"/>
    </row>
    <row r="319" spans="7:36" x14ac:dyDescent="0.15"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W319" s="179"/>
      <c r="X319" s="72"/>
      <c r="AB319" s="72"/>
      <c r="AD319" s="179"/>
      <c r="AE319" s="179"/>
      <c r="AH319" s="179"/>
      <c r="AJ319" s="179"/>
    </row>
    <row r="320" spans="7:36" x14ac:dyDescent="0.15"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W320" s="179"/>
      <c r="X320" s="72"/>
      <c r="AB320" s="72"/>
      <c r="AD320" s="179"/>
      <c r="AE320" s="179"/>
      <c r="AH320" s="179"/>
      <c r="AJ320" s="179"/>
    </row>
    <row r="321" spans="7:36" x14ac:dyDescent="0.15"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W321" s="179"/>
      <c r="X321" s="72"/>
      <c r="AB321" s="72"/>
      <c r="AD321" s="179"/>
      <c r="AE321" s="179"/>
      <c r="AH321" s="179"/>
      <c r="AJ321" s="179"/>
    </row>
    <row r="322" spans="7:36" x14ac:dyDescent="0.15"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W322" s="179"/>
      <c r="X322" s="72"/>
      <c r="AB322" s="72"/>
      <c r="AD322" s="179"/>
      <c r="AE322" s="179"/>
      <c r="AH322" s="179"/>
      <c r="AJ322" s="179"/>
    </row>
    <row r="323" spans="7:36" x14ac:dyDescent="0.15"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W323" s="179"/>
      <c r="X323" s="72"/>
      <c r="AB323" s="72"/>
      <c r="AD323" s="179"/>
      <c r="AE323" s="179"/>
      <c r="AH323" s="179"/>
      <c r="AJ323" s="179"/>
    </row>
    <row r="324" spans="7:36" x14ac:dyDescent="0.15"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W324" s="179"/>
      <c r="X324" s="72"/>
      <c r="AB324" s="72"/>
      <c r="AD324" s="179"/>
      <c r="AE324" s="179"/>
      <c r="AH324" s="179"/>
      <c r="AJ324" s="179"/>
    </row>
    <row r="325" spans="7:36" x14ac:dyDescent="0.15"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W325" s="179"/>
      <c r="X325" s="72"/>
      <c r="AB325" s="72"/>
      <c r="AD325" s="179"/>
      <c r="AE325" s="179"/>
      <c r="AH325" s="179"/>
      <c r="AJ325" s="179"/>
    </row>
    <row r="326" spans="7:36" x14ac:dyDescent="0.15"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W326" s="179"/>
      <c r="X326" s="72"/>
      <c r="AB326" s="72"/>
      <c r="AD326" s="179"/>
      <c r="AE326" s="179"/>
      <c r="AH326" s="179"/>
      <c r="AJ326" s="179"/>
    </row>
    <row r="327" spans="7:36" x14ac:dyDescent="0.15"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W327" s="179"/>
      <c r="X327" s="72"/>
      <c r="AB327" s="72"/>
      <c r="AD327" s="179"/>
      <c r="AE327" s="179"/>
      <c r="AH327" s="179"/>
      <c r="AJ327" s="179"/>
    </row>
    <row r="328" spans="7:36" x14ac:dyDescent="0.15"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W328" s="179"/>
      <c r="X328" s="72"/>
      <c r="AB328" s="72"/>
      <c r="AD328" s="179"/>
      <c r="AE328" s="179"/>
      <c r="AH328" s="179"/>
      <c r="AJ328" s="179"/>
    </row>
    <row r="329" spans="7:36" x14ac:dyDescent="0.15"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W329" s="179"/>
      <c r="X329" s="72"/>
      <c r="AB329" s="72"/>
      <c r="AD329" s="179"/>
      <c r="AE329" s="179"/>
      <c r="AH329" s="179"/>
      <c r="AJ329" s="179"/>
    </row>
    <row r="330" spans="7:36" x14ac:dyDescent="0.15"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W330" s="179"/>
      <c r="X330" s="72"/>
      <c r="AB330" s="72"/>
      <c r="AD330" s="179"/>
      <c r="AE330" s="179"/>
      <c r="AH330" s="179"/>
      <c r="AJ330" s="179"/>
    </row>
    <row r="331" spans="7:36" x14ac:dyDescent="0.15"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W331" s="179"/>
      <c r="X331" s="72"/>
      <c r="AB331" s="72"/>
      <c r="AD331" s="179"/>
      <c r="AE331" s="179"/>
      <c r="AH331" s="179"/>
      <c r="AJ331" s="179"/>
    </row>
    <row r="332" spans="7:36" x14ac:dyDescent="0.15"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W332" s="179"/>
      <c r="X332" s="72"/>
      <c r="AB332" s="72"/>
      <c r="AD332" s="179"/>
      <c r="AE332" s="179"/>
      <c r="AH332" s="179"/>
      <c r="AJ332" s="179"/>
    </row>
    <row r="333" spans="7:36" x14ac:dyDescent="0.15"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W333" s="179"/>
      <c r="X333" s="72"/>
      <c r="AB333" s="72"/>
      <c r="AD333" s="179"/>
      <c r="AE333" s="179"/>
      <c r="AH333" s="179"/>
      <c r="AJ333" s="179"/>
    </row>
    <row r="334" spans="7:36" x14ac:dyDescent="0.15"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W334" s="179"/>
      <c r="X334" s="72"/>
      <c r="AB334" s="72"/>
      <c r="AD334" s="179"/>
      <c r="AE334" s="179"/>
      <c r="AH334" s="179"/>
      <c r="AJ334" s="179"/>
    </row>
    <row r="335" spans="7:36" x14ac:dyDescent="0.15"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W335" s="179"/>
      <c r="X335" s="72"/>
      <c r="AB335" s="72"/>
      <c r="AD335" s="179"/>
      <c r="AE335" s="179"/>
      <c r="AH335" s="179"/>
      <c r="AJ335" s="179"/>
    </row>
    <row r="336" spans="7:36" x14ac:dyDescent="0.15"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W336" s="179"/>
      <c r="X336" s="72"/>
      <c r="AB336" s="72"/>
      <c r="AD336" s="179"/>
      <c r="AE336" s="179"/>
      <c r="AH336" s="179"/>
      <c r="AJ336" s="179"/>
    </row>
    <row r="337" spans="7:36" x14ac:dyDescent="0.15"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W337" s="179"/>
      <c r="X337" s="72"/>
      <c r="AB337" s="72"/>
      <c r="AD337" s="179"/>
      <c r="AE337" s="179"/>
      <c r="AH337" s="179"/>
      <c r="AJ337" s="179"/>
    </row>
    <row r="338" spans="7:36" x14ac:dyDescent="0.15"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W338" s="179"/>
      <c r="X338" s="72"/>
      <c r="AB338" s="72"/>
      <c r="AD338" s="179"/>
      <c r="AE338" s="179"/>
      <c r="AH338" s="179"/>
      <c r="AJ338" s="179"/>
    </row>
    <row r="339" spans="7:36" x14ac:dyDescent="0.15"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W339" s="179"/>
      <c r="X339" s="72"/>
      <c r="AB339" s="72"/>
      <c r="AD339" s="179"/>
      <c r="AE339" s="179"/>
      <c r="AH339" s="179"/>
      <c r="AJ339" s="179"/>
    </row>
    <row r="340" spans="7:36" x14ac:dyDescent="0.15"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W340" s="179"/>
      <c r="X340" s="72"/>
      <c r="AB340" s="72"/>
      <c r="AD340" s="179"/>
      <c r="AE340" s="179"/>
      <c r="AH340" s="179"/>
      <c r="AJ340" s="179"/>
    </row>
    <row r="341" spans="7:36" x14ac:dyDescent="0.15"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W341" s="179"/>
      <c r="X341" s="72"/>
      <c r="AB341" s="72"/>
      <c r="AD341" s="179"/>
      <c r="AE341" s="179"/>
      <c r="AH341" s="179"/>
      <c r="AJ341" s="179"/>
    </row>
    <row r="342" spans="7:36" x14ac:dyDescent="0.15"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W342" s="179"/>
      <c r="X342" s="72"/>
      <c r="AB342" s="72"/>
      <c r="AD342" s="179"/>
      <c r="AE342" s="179"/>
      <c r="AH342" s="179"/>
      <c r="AJ342" s="179"/>
    </row>
    <row r="343" spans="7:36" x14ac:dyDescent="0.15"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W343" s="179"/>
      <c r="X343" s="72"/>
      <c r="AB343" s="72"/>
      <c r="AD343" s="179"/>
      <c r="AE343" s="179"/>
      <c r="AH343" s="179"/>
      <c r="AJ343" s="179"/>
    </row>
    <row r="344" spans="7:36" x14ac:dyDescent="0.15"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W344" s="179"/>
      <c r="X344" s="72"/>
      <c r="AB344" s="72"/>
      <c r="AD344" s="179"/>
      <c r="AE344" s="179"/>
      <c r="AH344" s="179"/>
      <c r="AJ344" s="179"/>
    </row>
    <row r="345" spans="7:36" x14ac:dyDescent="0.15"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W345" s="179"/>
      <c r="X345" s="72"/>
      <c r="AB345" s="72"/>
      <c r="AD345" s="179"/>
      <c r="AE345" s="179"/>
      <c r="AH345" s="179"/>
      <c r="AJ345" s="179"/>
    </row>
    <row r="346" spans="7:36" x14ac:dyDescent="0.15"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W346" s="179"/>
      <c r="X346" s="72"/>
      <c r="AB346" s="72"/>
      <c r="AD346" s="179"/>
      <c r="AE346" s="179"/>
      <c r="AH346" s="179"/>
      <c r="AJ346" s="179"/>
    </row>
    <row r="347" spans="7:36" x14ac:dyDescent="0.15"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W347" s="179"/>
      <c r="X347" s="72"/>
      <c r="AB347" s="72"/>
      <c r="AD347" s="179"/>
      <c r="AE347" s="179"/>
      <c r="AH347" s="179"/>
      <c r="AJ347" s="179"/>
    </row>
    <row r="348" spans="7:36" x14ac:dyDescent="0.15"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W348" s="179"/>
      <c r="X348" s="72"/>
      <c r="AB348" s="72"/>
      <c r="AD348" s="179"/>
      <c r="AE348" s="179"/>
      <c r="AH348" s="179"/>
      <c r="AJ348" s="179"/>
    </row>
    <row r="349" spans="7:36" x14ac:dyDescent="0.15"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W349" s="179"/>
      <c r="X349" s="72"/>
      <c r="AB349" s="72"/>
      <c r="AD349" s="179"/>
      <c r="AE349" s="179"/>
      <c r="AH349" s="179"/>
      <c r="AJ349" s="179"/>
    </row>
    <row r="350" spans="7:36" x14ac:dyDescent="0.15"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W350" s="179"/>
      <c r="X350" s="72"/>
      <c r="AB350" s="72"/>
      <c r="AD350" s="179"/>
      <c r="AE350" s="179"/>
      <c r="AH350" s="179"/>
      <c r="AJ350" s="179"/>
    </row>
    <row r="351" spans="7:36" x14ac:dyDescent="0.15"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W351" s="179"/>
      <c r="X351" s="72"/>
      <c r="AB351" s="72"/>
      <c r="AD351" s="179"/>
      <c r="AE351" s="179"/>
      <c r="AH351" s="179"/>
      <c r="AJ351" s="179"/>
    </row>
    <row r="352" spans="7:36" x14ac:dyDescent="0.15"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W352" s="179"/>
      <c r="X352" s="72"/>
      <c r="AB352" s="72"/>
      <c r="AD352" s="179"/>
      <c r="AE352" s="179"/>
      <c r="AH352" s="179"/>
      <c r="AJ352" s="179"/>
    </row>
    <row r="353" spans="7:36" x14ac:dyDescent="0.15"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W353" s="179"/>
      <c r="X353" s="72"/>
      <c r="AB353" s="72"/>
      <c r="AD353" s="179"/>
      <c r="AE353" s="179"/>
      <c r="AH353" s="179"/>
      <c r="AJ353" s="179"/>
    </row>
    <row r="354" spans="7:36" x14ac:dyDescent="0.15"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W354" s="179"/>
      <c r="X354" s="72"/>
      <c r="AB354" s="72"/>
      <c r="AD354" s="179"/>
      <c r="AE354" s="179"/>
      <c r="AH354" s="179"/>
      <c r="AJ354" s="179"/>
    </row>
    <row r="355" spans="7:36" x14ac:dyDescent="0.15"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W355" s="179"/>
      <c r="X355" s="72"/>
      <c r="AB355" s="72"/>
      <c r="AD355" s="179"/>
      <c r="AE355" s="179"/>
      <c r="AH355" s="179"/>
      <c r="AJ355" s="179"/>
    </row>
    <row r="356" spans="7:36" x14ac:dyDescent="0.15"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W356" s="179"/>
      <c r="X356" s="72"/>
      <c r="AB356" s="72"/>
      <c r="AD356" s="179"/>
      <c r="AE356" s="179"/>
      <c r="AH356" s="179"/>
      <c r="AJ356" s="179"/>
    </row>
    <row r="357" spans="7:36" x14ac:dyDescent="0.15"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W357" s="179"/>
      <c r="X357" s="72"/>
      <c r="AB357" s="72"/>
      <c r="AD357" s="179"/>
      <c r="AE357" s="179"/>
      <c r="AH357" s="179"/>
      <c r="AJ357" s="179"/>
    </row>
    <row r="358" spans="7:36" x14ac:dyDescent="0.15"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W358" s="179"/>
      <c r="X358" s="72"/>
      <c r="AB358" s="72"/>
      <c r="AD358" s="179"/>
      <c r="AE358" s="179"/>
      <c r="AH358" s="179"/>
      <c r="AJ358" s="179"/>
    </row>
    <row r="359" spans="7:36" x14ac:dyDescent="0.15"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W359" s="179"/>
      <c r="X359" s="72"/>
      <c r="AB359" s="72"/>
      <c r="AD359" s="179"/>
      <c r="AE359" s="179"/>
      <c r="AH359" s="179"/>
      <c r="AJ359" s="179"/>
    </row>
    <row r="360" spans="7:36" x14ac:dyDescent="0.15"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W360" s="179"/>
      <c r="X360" s="72"/>
      <c r="AB360" s="72"/>
      <c r="AD360" s="179"/>
      <c r="AE360" s="179"/>
      <c r="AH360" s="179"/>
      <c r="AJ360" s="179"/>
    </row>
    <row r="361" spans="7:36" x14ac:dyDescent="0.15"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W361" s="179"/>
      <c r="X361" s="72"/>
      <c r="AB361" s="72"/>
      <c r="AD361" s="179"/>
      <c r="AE361" s="179"/>
      <c r="AH361" s="179"/>
      <c r="AJ361" s="179"/>
    </row>
    <row r="362" spans="7:36" x14ac:dyDescent="0.15"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W362" s="179"/>
      <c r="X362" s="72"/>
      <c r="AB362" s="72"/>
      <c r="AD362" s="179"/>
      <c r="AE362" s="179"/>
      <c r="AH362" s="179"/>
      <c r="AJ362" s="179"/>
    </row>
    <row r="363" spans="7:36" x14ac:dyDescent="0.15"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W363" s="179"/>
      <c r="X363" s="72"/>
      <c r="AB363" s="72"/>
      <c r="AD363" s="179"/>
      <c r="AE363" s="179"/>
      <c r="AH363" s="179"/>
      <c r="AJ363" s="179"/>
    </row>
    <row r="364" spans="7:36" x14ac:dyDescent="0.15"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W364" s="179"/>
      <c r="X364" s="72"/>
      <c r="AB364" s="72"/>
      <c r="AD364" s="179"/>
      <c r="AE364" s="179"/>
      <c r="AH364" s="179"/>
      <c r="AJ364" s="179"/>
    </row>
    <row r="365" spans="7:36" x14ac:dyDescent="0.15"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W365" s="179"/>
      <c r="X365" s="72"/>
      <c r="AB365" s="72"/>
      <c r="AD365" s="179"/>
      <c r="AE365" s="179"/>
      <c r="AH365" s="179"/>
      <c r="AJ365" s="179"/>
    </row>
    <row r="366" spans="7:36" x14ac:dyDescent="0.15"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W366" s="179"/>
      <c r="X366" s="72"/>
      <c r="AB366" s="72"/>
      <c r="AD366" s="179"/>
      <c r="AE366" s="179"/>
      <c r="AH366" s="179"/>
      <c r="AJ366" s="179"/>
    </row>
    <row r="367" spans="7:36" x14ac:dyDescent="0.15"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W367" s="179"/>
      <c r="X367" s="72"/>
      <c r="AB367" s="72"/>
      <c r="AD367" s="179"/>
      <c r="AE367" s="179"/>
      <c r="AH367" s="179"/>
      <c r="AJ367" s="179"/>
    </row>
    <row r="368" spans="7:36" x14ac:dyDescent="0.15"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W368" s="179"/>
      <c r="X368" s="72"/>
      <c r="AB368" s="72"/>
      <c r="AD368" s="179"/>
      <c r="AE368" s="179"/>
      <c r="AH368" s="179"/>
      <c r="AJ368" s="179"/>
    </row>
    <row r="369" spans="7:36" x14ac:dyDescent="0.15"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W369" s="179"/>
      <c r="X369" s="72"/>
      <c r="AB369" s="72"/>
      <c r="AD369" s="179"/>
      <c r="AE369" s="179"/>
      <c r="AH369" s="179"/>
      <c r="AJ369" s="179"/>
    </row>
    <row r="370" spans="7:36" x14ac:dyDescent="0.15"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W370" s="179"/>
      <c r="X370" s="72"/>
      <c r="AB370" s="72"/>
      <c r="AD370" s="179"/>
      <c r="AE370" s="179"/>
      <c r="AH370" s="179"/>
      <c r="AJ370" s="179"/>
    </row>
    <row r="371" spans="7:36" x14ac:dyDescent="0.15"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W371" s="179"/>
      <c r="X371" s="72"/>
      <c r="AB371" s="72"/>
      <c r="AD371" s="179"/>
      <c r="AE371" s="179"/>
      <c r="AH371" s="179"/>
      <c r="AJ371" s="179"/>
    </row>
    <row r="372" spans="7:36" x14ac:dyDescent="0.15"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W372" s="179"/>
      <c r="X372" s="72"/>
      <c r="AB372" s="72"/>
      <c r="AD372" s="179"/>
      <c r="AE372" s="179"/>
      <c r="AH372" s="179"/>
      <c r="AJ372" s="179"/>
    </row>
    <row r="373" spans="7:36" x14ac:dyDescent="0.15"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W373" s="179"/>
      <c r="X373" s="72"/>
      <c r="AB373" s="72"/>
      <c r="AD373" s="179"/>
      <c r="AE373" s="179"/>
      <c r="AH373" s="179"/>
      <c r="AJ373" s="179"/>
    </row>
    <row r="374" spans="7:36" x14ac:dyDescent="0.15"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W374" s="179"/>
      <c r="X374" s="72"/>
      <c r="AB374" s="72"/>
      <c r="AD374" s="179"/>
      <c r="AE374" s="179"/>
      <c r="AH374" s="179"/>
      <c r="AJ374" s="179"/>
    </row>
    <row r="375" spans="7:36" x14ac:dyDescent="0.15"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W375" s="179"/>
      <c r="X375" s="72"/>
      <c r="AB375" s="72"/>
      <c r="AD375" s="179"/>
      <c r="AE375" s="179"/>
      <c r="AH375" s="179"/>
      <c r="AJ375" s="179"/>
    </row>
    <row r="376" spans="7:36" x14ac:dyDescent="0.15"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W376" s="179"/>
      <c r="X376" s="72"/>
      <c r="AB376" s="72"/>
      <c r="AD376" s="179"/>
      <c r="AE376" s="179"/>
      <c r="AH376" s="179"/>
      <c r="AJ376" s="179"/>
    </row>
    <row r="377" spans="7:36" x14ac:dyDescent="0.15"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W377" s="179"/>
      <c r="X377" s="72"/>
      <c r="AB377" s="72"/>
      <c r="AD377" s="179"/>
      <c r="AE377" s="179"/>
      <c r="AH377" s="179"/>
      <c r="AJ377" s="179"/>
    </row>
    <row r="378" spans="7:36" x14ac:dyDescent="0.15"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W378" s="179"/>
      <c r="X378" s="72"/>
      <c r="AB378" s="72"/>
      <c r="AD378" s="179"/>
      <c r="AE378" s="179"/>
      <c r="AH378" s="179"/>
      <c r="AJ378" s="179"/>
    </row>
    <row r="379" spans="7:36" x14ac:dyDescent="0.15"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W379" s="179"/>
      <c r="X379" s="72"/>
      <c r="AB379" s="72"/>
      <c r="AD379" s="179"/>
      <c r="AE379" s="179"/>
      <c r="AH379" s="179"/>
      <c r="AJ379" s="179"/>
    </row>
    <row r="380" spans="7:36" x14ac:dyDescent="0.15"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W380" s="179"/>
      <c r="X380" s="72"/>
      <c r="AB380" s="72"/>
      <c r="AD380" s="179"/>
      <c r="AE380" s="179"/>
      <c r="AH380" s="179"/>
      <c r="AJ380" s="179"/>
    </row>
    <row r="381" spans="7:36" x14ac:dyDescent="0.15"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W381" s="179"/>
      <c r="X381" s="72"/>
      <c r="AB381" s="72"/>
      <c r="AD381" s="179"/>
      <c r="AE381" s="179"/>
      <c r="AH381" s="179"/>
      <c r="AJ381" s="179"/>
    </row>
    <row r="382" spans="7:36" x14ac:dyDescent="0.15"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W382" s="179"/>
      <c r="X382" s="72"/>
      <c r="AB382" s="72"/>
      <c r="AD382" s="179"/>
      <c r="AE382" s="179"/>
      <c r="AH382" s="179"/>
      <c r="AJ382" s="179"/>
    </row>
    <row r="383" spans="7:36" x14ac:dyDescent="0.15"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W383" s="179"/>
      <c r="X383" s="72"/>
      <c r="AB383" s="72"/>
      <c r="AD383" s="179"/>
      <c r="AE383" s="179"/>
      <c r="AH383" s="179"/>
      <c r="AJ383" s="179"/>
    </row>
    <row r="384" spans="7:36" x14ac:dyDescent="0.15"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W384" s="179"/>
      <c r="X384" s="72"/>
      <c r="AB384" s="72"/>
      <c r="AD384" s="179"/>
      <c r="AE384" s="179"/>
      <c r="AH384" s="179"/>
      <c r="AJ384" s="179"/>
    </row>
    <row r="385" spans="7:36" x14ac:dyDescent="0.15"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W385" s="179"/>
      <c r="X385" s="72"/>
      <c r="AB385" s="72"/>
      <c r="AD385" s="179"/>
      <c r="AE385" s="179"/>
      <c r="AH385" s="179"/>
      <c r="AJ385" s="179"/>
    </row>
    <row r="386" spans="7:36" x14ac:dyDescent="0.15"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W386" s="179"/>
      <c r="X386" s="72"/>
      <c r="AB386" s="72"/>
      <c r="AD386" s="179"/>
      <c r="AE386" s="179"/>
      <c r="AH386" s="179"/>
      <c r="AJ386" s="179"/>
    </row>
    <row r="387" spans="7:36" x14ac:dyDescent="0.15"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W387" s="179"/>
      <c r="X387" s="72"/>
      <c r="AB387" s="72"/>
      <c r="AD387" s="179"/>
      <c r="AE387" s="179"/>
      <c r="AH387" s="179"/>
      <c r="AJ387" s="179"/>
    </row>
    <row r="388" spans="7:36" x14ac:dyDescent="0.15"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W388" s="179"/>
      <c r="X388" s="72"/>
      <c r="AB388" s="72"/>
      <c r="AD388" s="179"/>
      <c r="AE388" s="179"/>
      <c r="AH388" s="179"/>
      <c r="AJ388" s="179"/>
    </row>
    <row r="389" spans="7:36" x14ac:dyDescent="0.15"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W389" s="179"/>
      <c r="X389" s="72"/>
      <c r="AB389" s="72"/>
      <c r="AD389" s="179"/>
      <c r="AE389" s="179"/>
      <c r="AH389" s="179"/>
      <c r="AJ389" s="179"/>
    </row>
    <row r="390" spans="7:36" x14ac:dyDescent="0.15"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W390" s="179"/>
      <c r="X390" s="72"/>
      <c r="AB390" s="72"/>
      <c r="AD390" s="179"/>
      <c r="AE390" s="179"/>
      <c r="AH390" s="179"/>
      <c r="AJ390" s="179"/>
    </row>
    <row r="391" spans="7:36" x14ac:dyDescent="0.15"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W391" s="179"/>
      <c r="X391" s="72"/>
      <c r="AB391" s="72"/>
      <c r="AD391" s="179"/>
      <c r="AE391" s="179"/>
      <c r="AH391" s="179"/>
      <c r="AJ391" s="179"/>
    </row>
    <row r="392" spans="7:36" x14ac:dyDescent="0.15"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W392" s="179"/>
      <c r="X392" s="72"/>
      <c r="AB392" s="72"/>
      <c r="AD392" s="179"/>
      <c r="AE392" s="179"/>
      <c r="AH392" s="179"/>
      <c r="AJ392" s="179"/>
    </row>
    <row r="393" spans="7:36" x14ac:dyDescent="0.15"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W393" s="179"/>
      <c r="X393" s="72"/>
      <c r="AB393" s="72"/>
      <c r="AD393" s="179"/>
      <c r="AE393" s="179"/>
      <c r="AH393" s="179"/>
      <c r="AJ393" s="179"/>
    </row>
    <row r="394" spans="7:36" x14ac:dyDescent="0.15"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W394" s="179"/>
      <c r="X394" s="72"/>
      <c r="AB394" s="72"/>
      <c r="AD394" s="179"/>
      <c r="AE394" s="179"/>
      <c r="AH394" s="179"/>
      <c r="AJ394" s="179"/>
    </row>
    <row r="395" spans="7:36" x14ac:dyDescent="0.15"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W395" s="179"/>
      <c r="X395" s="72"/>
      <c r="AB395" s="72"/>
      <c r="AD395" s="179"/>
      <c r="AE395" s="179"/>
      <c r="AH395" s="179"/>
      <c r="AJ395" s="179"/>
    </row>
    <row r="396" spans="7:36" x14ac:dyDescent="0.15"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W396" s="179"/>
      <c r="X396" s="72"/>
      <c r="AB396" s="72"/>
      <c r="AD396" s="179"/>
      <c r="AE396" s="179"/>
      <c r="AH396" s="179"/>
      <c r="AJ396" s="179"/>
    </row>
    <row r="397" spans="7:36" x14ac:dyDescent="0.15"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W397" s="179"/>
      <c r="X397" s="72"/>
      <c r="AB397" s="72"/>
      <c r="AD397" s="179"/>
      <c r="AE397" s="179"/>
      <c r="AH397" s="179"/>
      <c r="AJ397" s="179"/>
    </row>
    <row r="398" spans="7:36" x14ac:dyDescent="0.15"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W398" s="179"/>
      <c r="X398" s="72"/>
      <c r="AB398" s="72"/>
      <c r="AD398" s="179"/>
      <c r="AE398" s="179"/>
      <c r="AH398" s="179"/>
      <c r="AJ398" s="179"/>
    </row>
    <row r="399" spans="7:36" x14ac:dyDescent="0.15"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W399" s="179"/>
      <c r="X399" s="72"/>
      <c r="AB399" s="72"/>
      <c r="AD399" s="179"/>
      <c r="AE399" s="179"/>
      <c r="AH399" s="179"/>
      <c r="AJ399" s="179"/>
    </row>
    <row r="400" spans="7:36" x14ac:dyDescent="0.15"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W400" s="179"/>
      <c r="X400" s="72"/>
      <c r="AB400" s="72"/>
      <c r="AD400" s="179"/>
      <c r="AE400" s="179"/>
      <c r="AH400" s="179"/>
      <c r="AJ400" s="179"/>
    </row>
    <row r="401" spans="7:36" x14ac:dyDescent="0.15"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W401" s="179"/>
      <c r="X401" s="72"/>
      <c r="AB401" s="72"/>
      <c r="AD401" s="179"/>
      <c r="AE401" s="179"/>
      <c r="AH401" s="179"/>
      <c r="AJ401" s="179"/>
    </row>
    <row r="402" spans="7:36" x14ac:dyDescent="0.15"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W402" s="179"/>
      <c r="X402" s="72"/>
      <c r="AB402" s="72"/>
      <c r="AD402" s="179"/>
      <c r="AE402" s="179"/>
      <c r="AH402" s="179"/>
      <c r="AJ402" s="179"/>
    </row>
    <row r="403" spans="7:36" x14ac:dyDescent="0.15"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W403" s="179"/>
      <c r="X403" s="72"/>
      <c r="AB403" s="72"/>
      <c r="AD403" s="179"/>
      <c r="AE403" s="179"/>
      <c r="AH403" s="179"/>
      <c r="AJ403" s="179"/>
    </row>
    <row r="404" spans="7:36" x14ac:dyDescent="0.15"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W404" s="179"/>
      <c r="X404" s="72"/>
      <c r="AB404" s="72"/>
      <c r="AD404" s="179"/>
      <c r="AE404" s="179"/>
      <c r="AH404" s="179"/>
      <c r="AJ404" s="179"/>
    </row>
    <row r="405" spans="7:36" x14ac:dyDescent="0.15"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W405" s="179"/>
      <c r="X405" s="72"/>
      <c r="AB405" s="72"/>
      <c r="AD405" s="179"/>
      <c r="AE405" s="179"/>
      <c r="AH405" s="179"/>
      <c r="AJ405" s="179"/>
    </row>
    <row r="406" spans="7:36" x14ac:dyDescent="0.15"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W406" s="179"/>
      <c r="X406" s="72"/>
      <c r="AB406" s="72"/>
      <c r="AD406" s="179"/>
      <c r="AE406" s="179"/>
      <c r="AH406" s="179"/>
      <c r="AJ406" s="179"/>
    </row>
    <row r="407" spans="7:36" x14ac:dyDescent="0.15"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W407" s="179"/>
      <c r="X407" s="72"/>
      <c r="AB407" s="72"/>
      <c r="AD407" s="179"/>
      <c r="AE407" s="179"/>
      <c r="AH407" s="179"/>
      <c r="AJ407" s="179"/>
    </row>
    <row r="408" spans="7:36" x14ac:dyDescent="0.15"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W408" s="179"/>
      <c r="X408" s="72"/>
      <c r="AB408" s="72"/>
      <c r="AD408" s="179"/>
      <c r="AE408" s="179"/>
      <c r="AH408" s="179"/>
      <c r="AJ408" s="179"/>
    </row>
    <row r="409" spans="7:36" x14ac:dyDescent="0.15"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W409" s="179"/>
      <c r="X409" s="72"/>
      <c r="AB409" s="72"/>
      <c r="AD409" s="179"/>
      <c r="AE409" s="179"/>
      <c r="AH409" s="179"/>
      <c r="AJ409" s="179"/>
    </row>
    <row r="410" spans="7:36" x14ac:dyDescent="0.15"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W410" s="179"/>
      <c r="X410" s="72"/>
      <c r="AB410" s="72"/>
      <c r="AD410" s="179"/>
      <c r="AE410" s="179"/>
      <c r="AH410" s="179"/>
      <c r="AJ410" s="179"/>
    </row>
    <row r="411" spans="7:36" x14ac:dyDescent="0.15"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W411" s="179"/>
      <c r="X411" s="72"/>
      <c r="AB411" s="72"/>
      <c r="AD411" s="179"/>
      <c r="AE411" s="179"/>
      <c r="AH411" s="179"/>
      <c r="AJ411" s="179"/>
    </row>
    <row r="412" spans="7:36" x14ac:dyDescent="0.15"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W412" s="179"/>
      <c r="X412" s="72"/>
      <c r="AB412" s="72"/>
      <c r="AD412" s="179"/>
      <c r="AE412" s="179"/>
      <c r="AH412" s="179"/>
      <c r="AJ412" s="179"/>
    </row>
    <row r="413" spans="7:36" x14ac:dyDescent="0.15"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W413" s="179"/>
      <c r="X413" s="72"/>
      <c r="AB413" s="72"/>
      <c r="AD413" s="179"/>
      <c r="AE413" s="179"/>
      <c r="AH413" s="179"/>
      <c r="AJ413" s="179"/>
    </row>
    <row r="414" spans="7:36" x14ac:dyDescent="0.15"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W414" s="179"/>
      <c r="X414" s="72"/>
      <c r="AB414" s="72"/>
      <c r="AD414" s="179"/>
      <c r="AE414" s="179"/>
      <c r="AH414" s="179"/>
      <c r="AJ414" s="179"/>
    </row>
    <row r="415" spans="7:36" x14ac:dyDescent="0.15"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W415" s="179"/>
      <c r="X415" s="72"/>
      <c r="AB415" s="72"/>
      <c r="AD415" s="179"/>
      <c r="AE415" s="179"/>
      <c r="AH415" s="179"/>
      <c r="AJ415" s="179"/>
    </row>
    <row r="416" spans="7:36" x14ac:dyDescent="0.15"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W416" s="179"/>
      <c r="X416" s="72"/>
      <c r="AB416" s="72"/>
      <c r="AD416" s="179"/>
      <c r="AE416" s="179"/>
      <c r="AH416" s="179"/>
      <c r="AJ416" s="179"/>
    </row>
    <row r="417" spans="7:36" x14ac:dyDescent="0.15"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W417" s="179"/>
      <c r="X417" s="72"/>
      <c r="AB417" s="72"/>
      <c r="AD417" s="179"/>
      <c r="AE417" s="179"/>
      <c r="AH417" s="179"/>
      <c r="AJ417" s="179"/>
    </row>
    <row r="418" spans="7:36" x14ac:dyDescent="0.15"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W418" s="179"/>
      <c r="X418" s="72"/>
      <c r="AB418" s="72"/>
      <c r="AD418" s="179"/>
      <c r="AE418" s="179"/>
      <c r="AH418" s="179"/>
      <c r="AJ418" s="179"/>
    </row>
    <row r="419" spans="7:36" x14ac:dyDescent="0.15"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W419" s="179"/>
      <c r="X419" s="72"/>
      <c r="AB419" s="72"/>
      <c r="AD419" s="179"/>
      <c r="AE419" s="179"/>
      <c r="AH419" s="179"/>
      <c r="AJ419" s="179"/>
    </row>
    <row r="420" spans="7:36" x14ac:dyDescent="0.15"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W420" s="179"/>
      <c r="X420" s="72"/>
      <c r="AB420" s="72"/>
      <c r="AD420" s="179"/>
      <c r="AE420" s="179"/>
      <c r="AH420" s="179"/>
      <c r="AJ420" s="179"/>
    </row>
    <row r="421" spans="7:36" x14ac:dyDescent="0.15"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W421" s="179"/>
      <c r="X421" s="72"/>
      <c r="AB421" s="72"/>
      <c r="AD421" s="179"/>
      <c r="AE421" s="179"/>
      <c r="AH421" s="179"/>
      <c r="AJ421" s="179"/>
    </row>
    <row r="422" spans="7:36" x14ac:dyDescent="0.15"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W422" s="179"/>
      <c r="X422" s="72"/>
      <c r="AB422" s="72"/>
      <c r="AD422" s="179"/>
      <c r="AE422" s="179"/>
      <c r="AH422" s="179"/>
      <c r="AJ422" s="179"/>
    </row>
    <row r="423" spans="7:36" x14ac:dyDescent="0.15"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W423" s="179"/>
      <c r="X423" s="72"/>
      <c r="AB423" s="72"/>
      <c r="AD423" s="179"/>
      <c r="AE423" s="179"/>
      <c r="AH423" s="179"/>
      <c r="AJ423" s="179"/>
    </row>
    <row r="424" spans="7:36" x14ac:dyDescent="0.15"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W424" s="179"/>
      <c r="X424" s="72"/>
      <c r="AB424" s="72"/>
      <c r="AD424" s="179"/>
      <c r="AE424" s="179"/>
      <c r="AH424" s="179"/>
      <c r="AJ424" s="179"/>
    </row>
    <row r="425" spans="7:36" x14ac:dyDescent="0.15"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W425" s="179"/>
      <c r="X425" s="72"/>
      <c r="AB425" s="72"/>
      <c r="AD425" s="179"/>
      <c r="AE425" s="179"/>
      <c r="AH425" s="179"/>
      <c r="AJ425" s="179"/>
    </row>
    <row r="426" spans="7:36" x14ac:dyDescent="0.15"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W426" s="179"/>
      <c r="X426" s="72"/>
      <c r="AB426" s="72"/>
      <c r="AD426" s="179"/>
      <c r="AE426" s="179"/>
      <c r="AH426" s="179"/>
      <c r="AJ426" s="179"/>
    </row>
    <row r="427" spans="7:36" x14ac:dyDescent="0.15"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W427" s="179"/>
      <c r="X427" s="72"/>
      <c r="AB427" s="72"/>
      <c r="AD427" s="179"/>
      <c r="AE427" s="179"/>
      <c r="AH427" s="179"/>
      <c r="AJ427" s="179"/>
    </row>
    <row r="428" spans="7:36" x14ac:dyDescent="0.15"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W428" s="179"/>
      <c r="X428" s="72"/>
      <c r="AB428" s="72"/>
      <c r="AD428" s="179"/>
      <c r="AE428" s="179"/>
      <c r="AH428" s="179"/>
      <c r="AJ428" s="179"/>
    </row>
    <row r="429" spans="7:36" x14ac:dyDescent="0.15"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W429" s="179"/>
      <c r="X429" s="72"/>
      <c r="AB429" s="72"/>
      <c r="AD429" s="179"/>
      <c r="AE429" s="179"/>
      <c r="AH429" s="179"/>
      <c r="AJ429" s="179"/>
    </row>
    <row r="430" spans="7:36" x14ac:dyDescent="0.15"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W430" s="179"/>
      <c r="X430" s="72"/>
      <c r="AB430" s="72"/>
      <c r="AD430" s="179"/>
      <c r="AE430" s="179"/>
      <c r="AH430" s="179"/>
      <c r="AJ430" s="179"/>
    </row>
    <row r="431" spans="7:36" x14ac:dyDescent="0.15"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W431" s="179"/>
      <c r="X431" s="72"/>
      <c r="AB431" s="72"/>
      <c r="AD431" s="179"/>
      <c r="AE431" s="179"/>
      <c r="AH431" s="179"/>
      <c r="AJ431" s="179"/>
    </row>
    <row r="432" spans="7:36" x14ac:dyDescent="0.15"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W432" s="179"/>
      <c r="X432" s="72"/>
      <c r="AB432" s="72"/>
      <c r="AD432" s="179"/>
      <c r="AE432" s="179"/>
      <c r="AH432" s="179"/>
      <c r="AJ432" s="179"/>
    </row>
    <row r="433" spans="7:36" x14ac:dyDescent="0.15"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W433" s="179"/>
      <c r="X433" s="72"/>
      <c r="AB433" s="72"/>
      <c r="AD433" s="179"/>
      <c r="AE433" s="179"/>
      <c r="AH433" s="179"/>
      <c r="AJ433" s="179"/>
    </row>
    <row r="434" spans="7:36" x14ac:dyDescent="0.15"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W434" s="179"/>
      <c r="X434" s="72"/>
      <c r="AB434" s="72"/>
      <c r="AD434" s="179"/>
      <c r="AE434" s="179"/>
      <c r="AH434" s="179"/>
      <c r="AJ434" s="179"/>
    </row>
    <row r="435" spans="7:36" x14ac:dyDescent="0.15"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W435" s="179"/>
      <c r="X435" s="72"/>
      <c r="AB435" s="72"/>
      <c r="AD435" s="179"/>
      <c r="AE435" s="179"/>
      <c r="AH435" s="179"/>
      <c r="AJ435" s="179"/>
    </row>
    <row r="436" spans="7:36" x14ac:dyDescent="0.15"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W436" s="179"/>
      <c r="X436" s="72"/>
      <c r="AB436" s="72"/>
      <c r="AD436" s="179"/>
      <c r="AE436" s="179"/>
      <c r="AH436" s="179"/>
      <c r="AJ436" s="179"/>
    </row>
    <row r="437" spans="7:36" x14ac:dyDescent="0.15"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W437" s="179"/>
      <c r="X437" s="72"/>
      <c r="AB437" s="72"/>
      <c r="AD437" s="179"/>
      <c r="AE437" s="179"/>
      <c r="AH437" s="179"/>
      <c r="AJ437" s="179"/>
    </row>
    <row r="438" spans="7:36" x14ac:dyDescent="0.15"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W438" s="179"/>
      <c r="X438" s="72"/>
      <c r="AB438" s="72"/>
      <c r="AD438" s="179"/>
      <c r="AE438" s="179"/>
      <c r="AH438" s="179"/>
      <c r="AJ438" s="179"/>
    </row>
    <row r="439" spans="7:36" x14ac:dyDescent="0.15"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W439" s="179"/>
      <c r="X439" s="72"/>
      <c r="AB439" s="72"/>
      <c r="AD439" s="179"/>
      <c r="AE439" s="179"/>
      <c r="AH439" s="179"/>
      <c r="AJ439" s="179"/>
    </row>
    <row r="440" spans="7:36" x14ac:dyDescent="0.15"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W440" s="179"/>
      <c r="X440" s="72"/>
      <c r="AB440" s="72"/>
      <c r="AD440" s="179"/>
      <c r="AE440" s="179"/>
      <c r="AH440" s="179"/>
      <c r="AJ440" s="179"/>
    </row>
    <row r="441" spans="7:36" x14ac:dyDescent="0.15"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W441" s="179"/>
      <c r="X441" s="72"/>
      <c r="AB441" s="72"/>
      <c r="AD441" s="179"/>
      <c r="AE441" s="179"/>
      <c r="AH441" s="179"/>
      <c r="AJ441" s="179"/>
    </row>
    <row r="442" spans="7:36" x14ac:dyDescent="0.15"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W442" s="179"/>
      <c r="X442" s="72"/>
      <c r="AB442" s="72"/>
      <c r="AD442" s="179"/>
      <c r="AE442" s="179"/>
      <c r="AH442" s="179"/>
      <c r="AJ442" s="179"/>
    </row>
    <row r="443" spans="7:36" x14ac:dyDescent="0.15"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W443" s="179"/>
      <c r="X443" s="72"/>
      <c r="AB443" s="72"/>
      <c r="AD443" s="179"/>
      <c r="AE443" s="179"/>
      <c r="AH443" s="179"/>
      <c r="AJ443" s="179"/>
    </row>
    <row r="444" spans="7:36" x14ac:dyDescent="0.15"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W444" s="179"/>
      <c r="X444" s="72"/>
      <c r="AB444" s="72"/>
      <c r="AD444" s="179"/>
      <c r="AE444" s="179"/>
      <c r="AH444" s="179"/>
      <c r="AJ444" s="179"/>
    </row>
    <row r="445" spans="7:36" x14ac:dyDescent="0.15"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W445" s="179"/>
      <c r="X445" s="72"/>
      <c r="AB445" s="72"/>
      <c r="AD445" s="179"/>
      <c r="AE445" s="179"/>
      <c r="AH445" s="179"/>
      <c r="AJ445" s="179"/>
    </row>
    <row r="446" spans="7:36" x14ac:dyDescent="0.15"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W446" s="179"/>
      <c r="X446" s="72"/>
      <c r="AB446" s="72"/>
      <c r="AD446" s="179"/>
      <c r="AE446" s="179"/>
      <c r="AH446" s="179"/>
      <c r="AJ446" s="179"/>
    </row>
    <row r="447" spans="7:36" x14ac:dyDescent="0.15"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W447" s="179"/>
      <c r="X447" s="72"/>
      <c r="AB447" s="72"/>
      <c r="AD447" s="179"/>
      <c r="AE447" s="179"/>
      <c r="AH447" s="179"/>
      <c r="AJ447" s="179"/>
    </row>
    <row r="448" spans="7:36" x14ac:dyDescent="0.15"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W448" s="179"/>
      <c r="X448" s="72"/>
      <c r="AB448" s="72"/>
      <c r="AD448" s="179"/>
      <c r="AE448" s="179"/>
      <c r="AH448" s="179"/>
      <c r="AJ448" s="179"/>
    </row>
    <row r="449" spans="7:36" x14ac:dyDescent="0.15"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W449" s="179"/>
      <c r="X449" s="72"/>
      <c r="AB449" s="72"/>
      <c r="AD449" s="179"/>
      <c r="AE449" s="179"/>
      <c r="AH449" s="179"/>
      <c r="AJ449" s="179"/>
    </row>
    <row r="450" spans="7:36" x14ac:dyDescent="0.15"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W450" s="179"/>
      <c r="X450" s="72"/>
      <c r="AB450" s="72"/>
      <c r="AD450" s="179"/>
      <c r="AE450" s="179"/>
      <c r="AH450" s="179"/>
      <c r="AJ450" s="179"/>
    </row>
    <row r="451" spans="7:36" x14ac:dyDescent="0.15"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W451" s="179"/>
      <c r="X451" s="72"/>
      <c r="AB451" s="72"/>
      <c r="AD451" s="179"/>
      <c r="AE451" s="179"/>
      <c r="AH451" s="179"/>
      <c r="AJ451" s="179"/>
    </row>
    <row r="452" spans="7:36" x14ac:dyDescent="0.15"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W452" s="179"/>
      <c r="X452" s="72"/>
      <c r="AB452" s="72"/>
      <c r="AD452" s="179"/>
      <c r="AE452" s="179"/>
      <c r="AH452" s="179"/>
      <c r="AJ452" s="179"/>
    </row>
    <row r="453" spans="7:36" x14ac:dyDescent="0.15"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W453" s="179"/>
      <c r="X453" s="72"/>
      <c r="AB453" s="72"/>
      <c r="AD453" s="179"/>
      <c r="AE453" s="179"/>
      <c r="AH453" s="179"/>
      <c r="AJ453" s="179"/>
    </row>
    <row r="454" spans="7:36" x14ac:dyDescent="0.15"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W454" s="179"/>
      <c r="X454" s="72"/>
      <c r="AB454" s="72"/>
      <c r="AD454" s="179"/>
      <c r="AE454" s="179"/>
      <c r="AH454" s="179"/>
      <c r="AJ454" s="179"/>
    </row>
    <row r="455" spans="7:36" x14ac:dyDescent="0.15"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W455" s="179"/>
      <c r="X455" s="72"/>
      <c r="AB455" s="72"/>
      <c r="AD455" s="179"/>
      <c r="AE455" s="179"/>
      <c r="AH455" s="179"/>
      <c r="AJ455" s="179"/>
    </row>
    <row r="456" spans="7:36" x14ac:dyDescent="0.15"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W456" s="179"/>
      <c r="X456" s="72"/>
      <c r="AB456" s="72"/>
      <c r="AD456" s="179"/>
      <c r="AE456" s="179"/>
      <c r="AH456" s="179"/>
      <c r="AJ456" s="179"/>
    </row>
    <row r="457" spans="7:36" x14ac:dyDescent="0.15"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W457" s="179"/>
      <c r="X457" s="72"/>
      <c r="AB457" s="72"/>
      <c r="AD457" s="179"/>
      <c r="AE457" s="179"/>
      <c r="AH457" s="179"/>
      <c r="AJ457" s="179"/>
    </row>
    <row r="458" spans="7:36" x14ac:dyDescent="0.15"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W458" s="179"/>
      <c r="X458" s="72"/>
      <c r="AB458" s="72"/>
      <c r="AD458" s="179"/>
      <c r="AE458" s="179"/>
      <c r="AH458" s="179"/>
      <c r="AJ458" s="179"/>
    </row>
    <row r="459" spans="7:36" x14ac:dyDescent="0.15"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W459" s="179"/>
      <c r="X459" s="72"/>
      <c r="AB459" s="72"/>
      <c r="AD459" s="179"/>
      <c r="AE459" s="179"/>
      <c r="AH459" s="179"/>
      <c r="AJ459" s="179"/>
    </row>
    <row r="460" spans="7:36" x14ac:dyDescent="0.15"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W460" s="179"/>
      <c r="X460" s="72"/>
      <c r="AB460" s="72"/>
      <c r="AD460" s="179"/>
      <c r="AE460" s="179"/>
      <c r="AH460" s="179"/>
      <c r="AJ460" s="179"/>
    </row>
    <row r="461" spans="7:36" x14ac:dyDescent="0.15"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W461" s="179"/>
      <c r="X461" s="72"/>
      <c r="AB461" s="72"/>
      <c r="AD461" s="179"/>
      <c r="AE461" s="179"/>
      <c r="AH461" s="179"/>
      <c r="AJ461" s="179"/>
    </row>
    <row r="462" spans="7:36" x14ac:dyDescent="0.15"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W462" s="179"/>
      <c r="X462" s="72"/>
      <c r="AB462" s="72"/>
      <c r="AD462" s="179"/>
      <c r="AE462" s="179"/>
      <c r="AH462" s="179"/>
      <c r="AJ462" s="179"/>
    </row>
    <row r="463" spans="7:36" x14ac:dyDescent="0.15"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W463" s="179"/>
      <c r="X463" s="72"/>
      <c r="AB463" s="72"/>
      <c r="AD463" s="179"/>
      <c r="AE463" s="179"/>
      <c r="AH463" s="179"/>
      <c r="AJ463" s="179"/>
    </row>
    <row r="464" spans="7:36" x14ac:dyDescent="0.15"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W464" s="179"/>
      <c r="X464" s="72"/>
      <c r="AB464" s="72"/>
      <c r="AD464" s="179"/>
      <c r="AE464" s="179"/>
      <c r="AH464" s="179"/>
      <c r="AJ464" s="179"/>
    </row>
    <row r="465" spans="7:36" x14ac:dyDescent="0.15"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W465" s="179"/>
      <c r="X465" s="72"/>
      <c r="AB465" s="72"/>
      <c r="AD465" s="179"/>
      <c r="AE465" s="179"/>
      <c r="AH465" s="179"/>
      <c r="AJ465" s="179"/>
    </row>
    <row r="466" spans="7:36" x14ac:dyDescent="0.15"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W466" s="179"/>
      <c r="X466" s="72"/>
      <c r="AB466" s="72"/>
      <c r="AD466" s="179"/>
      <c r="AE466" s="179"/>
      <c r="AH466" s="179"/>
      <c r="AJ466" s="179"/>
    </row>
    <row r="467" spans="7:36" x14ac:dyDescent="0.15"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W467" s="179"/>
      <c r="X467" s="72"/>
      <c r="AB467" s="72"/>
      <c r="AD467" s="179"/>
      <c r="AE467" s="179"/>
      <c r="AH467" s="179"/>
      <c r="AJ467" s="179"/>
    </row>
    <row r="468" spans="7:36" x14ac:dyDescent="0.15"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W468" s="179"/>
      <c r="X468" s="72"/>
      <c r="AB468" s="72"/>
      <c r="AD468" s="179"/>
      <c r="AE468" s="179"/>
      <c r="AH468" s="179"/>
      <c r="AJ468" s="179"/>
    </row>
    <row r="469" spans="7:36" x14ac:dyDescent="0.15"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W469" s="179"/>
      <c r="X469" s="72"/>
      <c r="AB469" s="72"/>
      <c r="AD469" s="179"/>
      <c r="AE469" s="179"/>
      <c r="AH469" s="179"/>
      <c r="AJ469" s="179"/>
    </row>
    <row r="470" spans="7:36" x14ac:dyDescent="0.15"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W470" s="179"/>
      <c r="X470" s="72"/>
      <c r="AB470" s="72"/>
      <c r="AD470" s="179"/>
      <c r="AE470" s="179"/>
      <c r="AH470" s="179"/>
      <c r="AJ470" s="179"/>
    </row>
    <row r="471" spans="7:36" x14ac:dyDescent="0.15"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W471" s="179"/>
      <c r="X471" s="72"/>
      <c r="AB471" s="72"/>
      <c r="AD471" s="179"/>
      <c r="AE471" s="179"/>
      <c r="AH471" s="179"/>
      <c r="AJ471" s="179"/>
    </row>
    <row r="472" spans="7:36" x14ac:dyDescent="0.15"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W472" s="179"/>
      <c r="X472" s="72"/>
      <c r="AB472" s="72"/>
      <c r="AD472" s="179"/>
      <c r="AE472" s="179"/>
      <c r="AH472" s="179"/>
      <c r="AJ472" s="179"/>
    </row>
    <row r="473" spans="7:36" x14ac:dyDescent="0.15"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W473" s="179"/>
      <c r="X473" s="72"/>
      <c r="AB473" s="72"/>
      <c r="AD473" s="179"/>
      <c r="AE473" s="179"/>
      <c r="AH473" s="179"/>
      <c r="AJ473" s="179"/>
    </row>
    <row r="474" spans="7:36" x14ac:dyDescent="0.15"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W474" s="179"/>
      <c r="X474" s="72"/>
      <c r="AB474" s="72"/>
      <c r="AD474" s="179"/>
      <c r="AE474" s="179"/>
      <c r="AH474" s="179"/>
      <c r="AJ474" s="179"/>
    </row>
    <row r="475" spans="7:36" x14ac:dyDescent="0.15"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W475" s="179"/>
      <c r="X475" s="72"/>
      <c r="AB475" s="72"/>
      <c r="AD475" s="179"/>
      <c r="AE475" s="179"/>
      <c r="AH475" s="179"/>
      <c r="AJ475" s="179"/>
    </row>
    <row r="476" spans="7:36" x14ac:dyDescent="0.15"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W476" s="179"/>
      <c r="X476" s="72"/>
      <c r="AB476" s="72"/>
      <c r="AD476" s="179"/>
      <c r="AE476" s="179"/>
      <c r="AH476" s="179"/>
      <c r="AJ476" s="179"/>
    </row>
    <row r="477" spans="7:36" x14ac:dyDescent="0.15"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W477" s="179"/>
      <c r="X477" s="72"/>
      <c r="AB477" s="72"/>
      <c r="AD477" s="179"/>
      <c r="AE477" s="179"/>
      <c r="AH477" s="179"/>
      <c r="AJ477" s="179"/>
    </row>
    <row r="478" spans="7:36" x14ac:dyDescent="0.15"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W478" s="179"/>
      <c r="X478" s="72"/>
      <c r="AB478" s="72"/>
      <c r="AD478" s="179"/>
      <c r="AE478" s="179"/>
      <c r="AH478" s="179"/>
      <c r="AJ478" s="179"/>
    </row>
    <row r="479" spans="7:36" x14ac:dyDescent="0.15"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W479" s="179"/>
      <c r="X479" s="72"/>
      <c r="AB479" s="72"/>
      <c r="AD479" s="179"/>
      <c r="AE479" s="179"/>
      <c r="AH479" s="179"/>
      <c r="AJ479" s="179"/>
    </row>
    <row r="480" spans="7:36" x14ac:dyDescent="0.15"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W480" s="179"/>
      <c r="X480" s="72"/>
      <c r="AB480" s="72"/>
      <c r="AD480" s="179"/>
      <c r="AE480" s="179"/>
      <c r="AH480" s="179"/>
      <c r="AJ480" s="179"/>
    </row>
    <row r="481" spans="7:36" x14ac:dyDescent="0.15"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W481" s="179"/>
      <c r="X481" s="72"/>
      <c r="AB481" s="72"/>
      <c r="AD481" s="179"/>
      <c r="AE481" s="179"/>
      <c r="AH481" s="179"/>
      <c r="AJ481" s="179"/>
    </row>
    <row r="482" spans="7:36" x14ac:dyDescent="0.15"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W482" s="179"/>
      <c r="X482" s="72"/>
      <c r="AB482" s="72"/>
      <c r="AD482" s="179"/>
      <c r="AE482" s="179"/>
      <c r="AH482" s="179"/>
      <c r="AJ482" s="179"/>
    </row>
    <row r="483" spans="7:36" x14ac:dyDescent="0.15"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W483" s="179"/>
      <c r="X483" s="72"/>
      <c r="AB483" s="72"/>
      <c r="AD483" s="179"/>
      <c r="AE483" s="179"/>
      <c r="AH483" s="179"/>
      <c r="AJ483" s="179"/>
    </row>
    <row r="484" spans="7:36" x14ac:dyDescent="0.15"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W484" s="179"/>
      <c r="X484" s="72"/>
      <c r="AB484" s="72"/>
      <c r="AD484" s="179"/>
      <c r="AE484" s="179"/>
      <c r="AH484" s="179"/>
      <c r="AJ484" s="179"/>
    </row>
    <row r="485" spans="7:36" x14ac:dyDescent="0.15"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W485" s="179"/>
      <c r="X485" s="72"/>
      <c r="AB485" s="72"/>
      <c r="AD485" s="179"/>
      <c r="AE485" s="179"/>
      <c r="AH485" s="179"/>
      <c r="AJ485" s="179"/>
    </row>
    <row r="486" spans="7:36" x14ac:dyDescent="0.15"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W486" s="179"/>
      <c r="X486" s="72"/>
      <c r="AB486" s="72"/>
      <c r="AD486" s="179"/>
      <c r="AE486" s="179"/>
      <c r="AH486" s="179"/>
      <c r="AJ486" s="179"/>
    </row>
    <row r="487" spans="7:36" x14ac:dyDescent="0.15"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W487" s="179"/>
      <c r="X487" s="72"/>
      <c r="AB487" s="72"/>
      <c r="AD487" s="179"/>
      <c r="AE487" s="179"/>
      <c r="AH487" s="179"/>
      <c r="AJ487" s="179"/>
    </row>
    <row r="488" spans="7:36" x14ac:dyDescent="0.15"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W488" s="179"/>
      <c r="X488" s="72"/>
      <c r="AB488" s="72"/>
      <c r="AD488" s="179"/>
      <c r="AE488" s="179"/>
      <c r="AH488" s="179"/>
      <c r="AJ488" s="179"/>
    </row>
    <row r="489" spans="7:36" x14ac:dyDescent="0.15"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W489" s="179"/>
      <c r="X489" s="72"/>
      <c r="AB489" s="72"/>
      <c r="AD489" s="179"/>
      <c r="AE489" s="179"/>
      <c r="AH489" s="179"/>
      <c r="AJ489" s="179"/>
    </row>
    <row r="490" spans="7:36" x14ac:dyDescent="0.15"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W490" s="179"/>
      <c r="X490" s="72"/>
      <c r="AB490" s="72"/>
      <c r="AD490" s="179"/>
      <c r="AE490" s="179"/>
      <c r="AH490" s="179"/>
      <c r="AJ490" s="179"/>
    </row>
    <row r="491" spans="7:36" x14ac:dyDescent="0.15"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W491" s="179"/>
      <c r="X491" s="72"/>
      <c r="AB491" s="72"/>
      <c r="AD491" s="179"/>
      <c r="AE491" s="179"/>
      <c r="AH491" s="179"/>
      <c r="AJ491" s="179"/>
    </row>
    <row r="492" spans="7:36" x14ac:dyDescent="0.15"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W492" s="179"/>
      <c r="X492" s="72"/>
      <c r="AB492" s="72"/>
      <c r="AD492" s="179"/>
      <c r="AE492" s="179"/>
      <c r="AH492" s="179"/>
      <c r="AJ492" s="179"/>
    </row>
    <row r="493" spans="7:36" x14ac:dyDescent="0.15"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W493" s="179"/>
      <c r="X493" s="72"/>
      <c r="AB493" s="72"/>
      <c r="AD493" s="179"/>
      <c r="AE493" s="179"/>
      <c r="AH493" s="179"/>
      <c r="AJ493" s="179"/>
    </row>
    <row r="494" spans="7:36" x14ac:dyDescent="0.15"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W494" s="179"/>
      <c r="X494" s="72"/>
      <c r="AB494" s="72"/>
      <c r="AD494" s="179"/>
      <c r="AE494" s="179"/>
      <c r="AH494" s="179"/>
      <c r="AJ494" s="179"/>
    </row>
    <row r="495" spans="7:36" x14ac:dyDescent="0.15"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W495" s="179"/>
      <c r="X495" s="72"/>
      <c r="AB495" s="72"/>
      <c r="AD495" s="179"/>
      <c r="AE495" s="179"/>
      <c r="AH495" s="179"/>
      <c r="AJ495" s="179"/>
    </row>
    <row r="496" spans="7:36" x14ac:dyDescent="0.15"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W496" s="179"/>
      <c r="X496" s="72"/>
      <c r="AB496" s="72"/>
      <c r="AD496" s="179"/>
      <c r="AE496" s="179"/>
      <c r="AH496" s="179"/>
      <c r="AJ496" s="179"/>
    </row>
    <row r="497" spans="7:36" x14ac:dyDescent="0.15"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W497" s="179"/>
      <c r="X497" s="72"/>
      <c r="AB497" s="72"/>
      <c r="AD497" s="179"/>
      <c r="AE497" s="179"/>
      <c r="AH497" s="179"/>
      <c r="AJ497" s="179"/>
    </row>
    <row r="498" spans="7:36" x14ac:dyDescent="0.15"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W498" s="179"/>
      <c r="X498" s="72"/>
      <c r="AB498" s="72"/>
      <c r="AD498" s="179"/>
      <c r="AE498" s="179"/>
      <c r="AH498" s="179"/>
      <c r="AJ498" s="179"/>
    </row>
    <row r="499" spans="7:36" x14ac:dyDescent="0.15"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W499" s="179"/>
      <c r="X499" s="72"/>
      <c r="AB499" s="72"/>
      <c r="AD499" s="179"/>
      <c r="AE499" s="179"/>
      <c r="AH499" s="179"/>
      <c r="AJ499" s="179"/>
    </row>
    <row r="500" spans="7:36" x14ac:dyDescent="0.15"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W500" s="179"/>
      <c r="X500" s="72"/>
      <c r="AB500" s="72"/>
      <c r="AD500" s="179"/>
      <c r="AE500" s="179"/>
      <c r="AH500" s="179"/>
      <c r="AJ500" s="179"/>
    </row>
    <row r="501" spans="7:36" x14ac:dyDescent="0.15"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W501" s="179"/>
      <c r="X501" s="72"/>
      <c r="AB501" s="72"/>
      <c r="AD501" s="179"/>
      <c r="AE501" s="179"/>
      <c r="AH501" s="179"/>
      <c r="AJ501" s="179"/>
    </row>
    <row r="502" spans="7:36" x14ac:dyDescent="0.15"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W502" s="179"/>
      <c r="X502" s="72"/>
      <c r="AB502" s="72"/>
      <c r="AD502" s="179"/>
      <c r="AE502" s="179"/>
      <c r="AH502" s="179"/>
      <c r="AJ502" s="179"/>
    </row>
    <row r="503" spans="7:36" x14ac:dyDescent="0.15"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W503" s="179"/>
      <c r="X503" s="72"/>
      <c r="AB503" s="72"/>
      <c r="AD503" s="179"/>
      <c r="AE503" s="179"/>
      <c r="AH503" s="179"/>
      <c r="AJ503" s="179"/>
    </row>
    <row r="504" spans="7:36" x14ac:dyDescent="0.15"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W504" s="179"/>
      <c r="X504" s="72"/>
      <c r="AB504" s="72"/>
      <c r="AD504" s="179"/>
      <c r="AE504" s="179"/>
      <c r="AH504" s="179"/>
      <c r="AJ504" s="179"/>
    </row>
    <row r="505" spans="7:36" x14ac:dyDescent="0.15"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W505" s="179"/>
      <c r="X505" s="72"/>
      <c r="AB505" s="72"/>
      <c r="AD505" s="179"/>
      <c r="AE505" s="179"/>
      <c r="AH505" s="179"/>
      <c r="AJ505" s="179"/>
    </row>
    <row r="506" spans="7:36" x14ac:dyDescent="0.15"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W506" s="179"/>
      <c r="X506" s="72"/>
      <c r="AB506" s="72"/>
      <c r="AD506" s="179"/>
      <c r="AE506" s="179"/>
      <c r="AH506" s="179"/>
      <c r="AJ506" s="179"/>
    </row>
    <row r="507" spans="7:36" x14ac:dyDescent="0.15"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W507" s="179"/>
      <c r="X507" s="72"/>
      <c r="AB507" s="72"/>
      <c r="AD507" s="179"/>
      <c r="AE507" s="179"/>
      <c r="AH507" s="179"/>
      <c r="AJ507" s="179"/>
    </row>
    <row r="508" spans="7:36" x14ac:dyDescent="0.15"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W508" s="179"/>
      <c r="X508" s="72"/>
      <c r="AB508" s="72"/>
      <c r="AD508" s="179"/>
      <c r="AE508" s="179"/>
      <c r="AH508" s="179"/>
      <c r="AJ508" s="179"/>
    </row>
    <row r="509" spans="7:36" x14ac:dyDescent="0.15"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W509" s="179"/>
      <c r="X509" s="72"/>
      <c r="AB509" s="72"/>
      <c r="AD509" s="179"/>
      <c r="AE509" s="179"/>
      <c r="AH509" s="179"/>
      <c r="AJ509" s="179"/>
    </row>
    <row r="510" spans="7:36" x14ac:dyDescent="0.15"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W510" s="179"/>
      <c r="X510" s="72"/>
      <c r="AB510" s="72"/>
      <c r="AD510" s="179"/>
      <c r="AE510" s="179"/>
      <c r="AH510" s="179"/>
      <c r="AJ510" s="179"/>
    </row>
    <row r="511" spans="7:36" x14ac:dyDescent="0.15"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W511" s="179"/>
      <c r="X511" s="72"/>
      <c r="AB511" s="72"/>
      <c r="AD511" s="179"/>
      <c r="AE511" s="179"/>
      <c r="AH511" s="179"/>
      <c r="AJ511" s="179"/>
    </row>
    <row r="512" spans="7:36" x14ac:dyDescent="0.15"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W512" s="179"/>
      <c r="X512" s="72"/>
      <c r="AB512" s="72"/>
      <c r="AD512" s="179"/>
      <c r="AE512" s="179"/>
      <c r="AH512" s="179"/>
      <c r="AJ512" s="179"/>
    </row>
    <row r="513" spans="7:36" x14ac:dyDescent="0.15"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W513" s="179"/>
      <c r="X513" s="72"/>
      <c r="AB513" s="72"/>
      <c r="AD513" s="179"/>
      <c r="AE513" s="179"/>
      <c r="AH513" s="179"/>
      <c r="AJ513" s="179"/>
    </row>
    <row r="514" spans="7:36" x14ac:dyDescent="0.15"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W514" s="179"/>
      <c r="X514" s="72"/>
      <c r="AB514" s="72"/>
      <c r="AD514" s="179"/>
      <c r="AE514" s="179"/>
      <c r="AH514" s="179"/>
      <c r="AJ514" s="179"/>
    </row>
    <row r="515" spans="7:36" x14ac:dyDescent="0.15"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W515" s="179"/>
      <c r="X515" s="72"/>
      <c r="AB515" s="72"/>
      <c r="AD515" s="179"/>
      <c r="AE515" s="179"/>
      <c r="AH515" s="179"/>
      <c r="AJ515" s="179"/>
    </row>
    <row r="516" spans="7:36" x14ac:dyDescent="0.15"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W516" s="179"/>
      <c r="X516" s="72"/>
      <c r="AB516" s="72"/>
      <c r="AD516" s="179"/>
      <c r="AE516" s="179"/>
      <c r="AH516" s="179"/>
      <c r="AJ516" s="179"/>
    </row>
    <row r="517" spans="7:36" x14ac:dyDescent="0.15"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W517" s="179"/>
      <c r="X517" s="72"/>
      <c r="AB517" s="72"/>
      <c r="AD517" s="179"/>
      <c r="AE517" s="179"/>
      <c r="AH517" s="179"/>
      <c r="AJ517" s="179"/>
    </row>
    <row r="518" spans="7:36" x14ac:dyDescent="0.15"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W518" s="179"/>
      <c r="X518" s="72"/>
      <c r="AB518" s="72"/>
      <c r="AD518" s="179"/>
      <c r="AE518" s="179"/>
      <c r="AH518" s="179"/>
      <c r="AJ518" s="179"/>
    </row>
    <row r="519" spans="7:36" x14ac:dyDescent="0.15"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W519" s="179"/>
      <c r="X519" s="72"/>
      <c r="AB519" s="72"/>
      <c r="AD519" s="179"/>
      <c r="AE519" s="179"/>
      <c r="AH519" s="179"/>
      <c r="AJ519" s="179"/>
    </row>
    <row r="520" spans="7:36" x14ac:dyDescent="0.15"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W520" s="179"/>
      <c r="X520" s="72"/>
      <c r="AB520" s="72"/>
      <c r="AD520" s="179"/>
      <c r="AE520" s="179"/>
      <c r="AH520" s="179"/>
      <c r="AJ520" s="179"/>
    </row>
    <row r="521" spans="7:36" x14ac:dyDescent="0.15"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W521" s="179"/>
      <c r="X521" s="72"/>
      <c r="AB521" s="72"/>
      <c r="AD521" s="179"/>
      <c r="AE521" s="179"/>
      <c r="AH521" s="179"/>
      <c r="AJ521" s="179"/>
    </row>
    <row r="522" spans="7:36" x14ac:dyDescent="0.15"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W522" s="179"/>
      <c r="X522" s="72"/>
      <c r="AB522" s="72"/>
      <c r="AD522" s="179"/>
      <c r="AE522" s="179"/>
      <c r="AH522" s="179"/>
      <c r="AJ522" s="179"/>
    </row>
    <row r="523" spans="7:36" x14ac:dyDescent="0.15"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W523" s="179"/>
      <c r="X523" s="72"/>
      <c r="AB523" s="72"/>
      <c r="AD523" s="179"/>
      <c r="AE523" s="179"/>
      <c r="AH523" s="179"/>
      <c r="AJ523" s="179"/>
    </row>
    <row r="524" spans="7:36" x14ac:dyDescent="0.15"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W524" s="179"/>
      <c r="X524" s="72"/>
      <c r="AB524" s="72"/>
      <c r="AD524" s="179"/>
      <c r="AE524" s="179"/>
      <c r="AH524" s="179"/>
      <c r="AJ524" s="179"/>
    </row>
    <row r="525" spans="7:36" x14ac:dyDescent="0.15"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W525" s="179"/>
      <c r="X525" s="72"/>
      <c r="AB525" s="72"/>
      <c r="AD525" s="179"/>
      <c r="AE525" s="179"/>
      <c r="AH525" s="179"/>
      <c r="AJ525" s="179"/>
    </row>
    <row r="526" spans="7:36" x14ac:dyDescent="0.15"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W526" s="179"/>
      <c r="X526" s="72"/>
      <c r="AB526" s="72"/>
      <c r="AD526" s="179"/>
      <c r="AE526" s="179"/>
      <c r="AH526" s="179"/>
      <c r="AJ526" s="179"/>
    </row>
    <row r="527" spans="7:36" x14ac:dyDescent="0.15"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W527" s="179"/>
      <c r="X527" s="72"/>
      <c r="AB527" s="72"/>
      <c r="AD527" s="179"/>
      <c r="AE527" s="179"/>
      <c r="AH527" s="179"/>
      <c r="AJ527" s="179"/>
    </row>
    <row r="528" spans="7:36" x14ac:dyDescent="0.15"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W528" s="179"/>
      <c r="X528" s="72"/>
      <c r="AB528" s="72"/>
      <c r="AD528" s="179"/>
      <c r="AE528" s="179"/>
      <c r="AH528" s="179"/>
      <c r="AJ528" s="179"/>
    </row>
    <row r="529" spans="7:36" x14ac:dyDescent="0.15"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W529" s="179"/>
      <c r="X529" s="72"/>
      <c r="AB529" s="72"/>
      <c r="AD529" s="179"/>
      <c r="AE529" s="179"/>
      <c r="AH529" s="179"/>
      <c r="AJ529" s="179"/>
    </row>
    <row r="530" spans="7:36" x14ac:dyDescent="0.15"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W530" s="179"/>
      <c r="X530" s="72"/>
      <c r="AB530" s="72"/>
      <c r="AD530" s="179"/>
      <c r="AE530" s="179"/>
      <c r="AH530" s="179"/>
      <c r="AJ530" s="179"/>
    </row>
    <row r="531" spans="7:36" x14ac:dyDescent="0.15"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W531" s="179"/>
      <c r="X531" s="72"/>
      <c r="AB531" s="72"/>
      <c r="AD531" s="179"/>
      <c r="AE531" s="179"/>
      <c r="AH531" s="179"/>
      <c r="AJ531" s="179"/>
    </row>
    <row r="532" spans="7:36" x14ac:dyDescent="0.15"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W532" s="179"/>
      <c r="X532" s="72"/>
      <c r="AB532" s="72"/>
      <c r="AD532" s="179"/>
      <c r="AE532" s="179"/>
      <c r="AH532" s="179"/>
      <c r="AJ532" s="179"/>
    </row>
    <row r="533" spans="7:36" x14ac:dyDescent="0.15"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W533" s="179"/>
      <c r="X533" s="72"/>
      <c r="AB533" s="72"/>
      <c r="AD533" s="179"/>
      <c r="AE533" s="179"/>
      <c r="AH533" s="179"/>
      <c r="AJ533" s="179"/>
    </row>
    <row r="534" spans="7:36" x14ac:dyDescent="0.15"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W534" s="179"/>
      <c r="X534" s="72"/>
      <c r="AB534" s="72"/>
      <c r="AD534" s="179"/>
      <c r="AE534" s="179"/>
      <c r="AH534" s="179"/>
      <c r="AJ534" s="179"/>
    </row>
    <row r="535" spans="7:36" x14ac:dyDescent="0.15"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W535" s="179"/>
      <c r="X535" s="72"/>
      <c r="AB535" s="72"/>
      <c r="AD535" s="179"/>
      <c r="AE535" s="179"/>
      <c r="AH535" s="179"/>
      <c r="AJ535" s="179"/>
    </row>
    <row r="536" spans="7:36" x14ac:dyDescent="0.15"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W536" s="179"/>
      <c r="X536" s="72"/>
      <c r="AB536" s="72"/>
      <c r="AD536" s="179"/>
      <c r="AE536" s="179"/>
      <c r="AH536" s="179"/>
      <c r="AJ536" s="179"/>
    </row>
    <row r="537" spans="7:36" x14ac:dyDescent="0.15"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W537" s="179"/>
      <c r="X537" s="72"/>
      <c r="AB537" s="72"/>
      <c r="AD537" s="179"/>
      <c r="AE537" s="179"/>
      <c r="AH537" s="179"/>
      <c r="AJ537" s="179"/>
    </row>
    <row r="538" spans="7:36" x14ac:dyDescent="0.15"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W538" s="179"/>
      <c r="X538" s="72"/>
      <c r="AB538" s="72"/>
      <c r="AD538" s="179"/>
      <c r="AE538" s="179"/>
      <c r="AH538" s="179"/>
      <c r="AJ538" s="179"/>
    </row>
    <row r="539" spans="7:36" x14ac:dyDescent="0.15"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W539" s="179"/>
      <c r="X539" s="72"/>
      <c r="AB539" s="72"/>
      <c r="AD539" s="179"/>
      <c r="AE539" s="179"/>
      <c r="AH539" s="179"/>
      <c r="AJ539" s="179"/>
    </row>
    <row r="540" spans="7:36" x14ac:dyDescent="0.15"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W540" s="179"/>
      <c r="X540" s="72"/>
      <c r="AB540" s="72"/>
      <c r="AD540" s="179"/>
      <c r="AE540" s="179"/>
      <c r="AH540" s="179"/>
      <c r="AJ540" s="179"/>
    </row>
    <row r="541" spans="7:36" x14ac:dyDescent="0.15"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W541" s="179"/>
      <c r="X541" s="72"/>
      <c r="AB541" s="72"/>
      <c r="AD541" s="179"/>
      <c r="AE541" s="179"/>
      <c r="AH541" s="179"/>
      <c r="AJ541" s="179"/>
    </row>
    <row r="542" spans="7:36" x14ac:dyDescent="0.15"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W542" s="179"/>
      <c r="X542" s="72"/>
      <c r="AB542" s="72"/>
      <c r="AD542" s="179"/>
      <c r="AE542" s="179"/>
      <c r="AH542" s="179"/>
      <c r="AJ542" s="179"/>
    </row>
    <row r="543" spans="7:36" x14ac:dyDescent="0.15"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W543" s="179"/>
      <c r="X543" s="72"/>
      <c r="AB543" s="72"/>
      <c r="AD543" s="179"/>
      <c r="AE543" s="179"/>
      <c r="AH543" s="179"/>
      <c r="AJ543" s="179"/>
    </row>
    <row r="544" spans="7:36" x14ac:dyDescent="0.15"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W544" s="179"/>
      <c r="X544" s="72"/>
      <c r="AB544" s="72"/>
      <c r="AD544" s="179"/>
      <c r="AE544" s="179"/>
      <c r="AH544" s="179"/>
      <c r="AJ544" s="179"/>
    </row>
    <row r="545" spans="7:36" x14ac:dyDescent="0.15"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W545" s="179"/>
      <c r="X545" s="72"/>
      <c r="AB545" s="72"/>
      <c r="AD545" s="179"/>
      <c r="AE545" s="179"/>
      <c r="AH545" s="179"/>
      <c r="AJ545" s="179"/>
    </row>
    <row r="546" spans="7:36" x14ac:dyDescent="0.15"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W546" s="179"/>
      <c r="X546" s="72"/>
      <c r="AB546" s="72"/>
      <c r="AD546" s="179"/>
      <c r="AE546" s="179"/>
      <c r="AH546" s="179"/>
      <c r="AJ546" s="179"/>
    </row>
    <row r="547" spans="7:36" x14ac:dyDescent="0.15"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W547" s="179"/>
      <c r="X547" s="72"/>
      <c r="AB547" s="72"/>
      <c r="AD547" s="179"/>
      <c r="AE547" s="179"/>
      <c r="AH547" s="179"/>
      <c r="AJ547" s="179"/>
    </row>
    <row r="548" spans="7:36" x14ac:dyDescent="0.15"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W548" s="179"/>
      <c r="X548" s="72"/>
      <c r="AB548" s="72"/>
      <c r="AD548" s="179"/>
      <c r="AE548" s="179"/>
      <c r="AH548" s="179"/>
      <c r="AJ548" s="179"/>
    </row>
    <row r="549" spans="7:36" x14ac:dyDescent="0.15"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W549" s="179"/>
      <c r="X549" s="72"/>
      <c r="AB549" s="72"/>
      <c r="AD549" s="179"/>
      <c r="AE549" s="179"/>
      <c r="AH549" s="179"/>
      <c r="AJ549" s="179"/>
    </row>
    <row r="550" spans="7:36" x14ac:dyDescent="0.15"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W550" s="179"/>
      <c r="X550" s="72"/>
      <c r="AB550" s="72"/>
      <c r="AD550" s="179"/>
      <c r="AE550" s="179"/>
      <c r="AH550" s="179"/>
      <c r="AJ550" s="179"/>
    </row>
    <row r="551" spans="7:36" x14ac:dyDescent="0.15"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W551" s="179"/>
      <c r="X551" s="72"/>
      <c r="AB551" s="72"/>
      <c r="AD551" s="179"/>
      <c r="AE551" s="179"/>
      <c r="AH551" s="179"/>
      <c r="AJ551" s="179"/>
    </row>
    <row r="552" spans="7:36" x14ac:dyDescent="0.15"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W552" s="179"/>
      <c r="X552" s="72"/>
      <c r="AB552" s="72"/>
      <c r="AD552" s="179"/>
      <c r="AE552" s="179"/>
      <c r="AH552" s="179"/>
      <c r="AJ552" s="179"/>
    </row>
    <row r="553" spans="7:36" x14ac:dyDescent="0.15"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W553" s="179"/>
      <c r="X553" s="72"/>
      <c r="AB553" s="72"/>
      <c r="AD553" s="179"/>
      <c r="AE553" s="179"/>
      <c r="AH553" s="179"/>
      <c r="AJ553" s="179"/>
    </row>
    <row r="554" spans="7:36" x14ac:dyDescent="0.15"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W554" s="179"/>
      <c r="X554" s="72"/>
      <c r="AB554" s="72"/>
      <c r="AD554" s="179"/>
      <c r="AE554" s="179"/>
      <c r="AH554" s="179"/>
      <c r="AJ554" s="179"/>
    </row>
    <row r="555" spans="7:36" x14ac:dyDescent="0.15"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W555" s="179"/>
      <c r="X555" s="72"/>
      <c r="AB555" s="72"/>
      <c r="AD555" s="179"/>
      <c r="AE555" s="179"/>
      <c r="AH555" s="179"/>
      <c r="AJ555" s="179"/>
    </row>
    <row r="556" spans="7:36" x14ac:dyDescent="0.15"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W556" s="179"/>
      <c r="X556" s="72"/>
      <c r="AB556" s="72"/>
      <c r="AD556" s="179"/>
      <c r="AE556" s="179"/>
      <c r="AH556" s="179"/>
      <c r="AJ556" s="179"/>
    </row>
    <row r="557" spans="7:36" x14ac:dyDescent="0.15"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W557" s="179"/>
      <c r="X557" s="72"/>
      <c r="AB557" s="72"/>
      <c r="AD557" s="179"/>
      <c r="AE557" s="179"/>
      <c r="AH557" s="179"/>
      <c r="AJ557" s="179"/>
    </row>
    <row r="558" spans="7:36" x14ac:dyDescent="0.15"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W558" s="179"/>
      <c r="X558" s="72"/>
      <c r="AB558" s="72"/>
      <c r="AD558" s="179"/>
      <c r="AE558" s="179"/>
      <c r="AH558" s="179"/>
      <c r="AJ558" s="179"/>
    </row>
    <row r="559" spans="7:36" x14ac:dyDescent="0.15"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W559" s="179"/>
      <c r="X559" s="72"/>
      <c r="AB559" s="72"/>
      <c r="AD559" s="179"/>
      <c r="AE559" s="179"/>
      <c r="AH559" s="179"/>
      <c r="AJ559" s="179"/>
    </row>
    <row r="560" spans="7:36" x14ac:dyDescent="0.15"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W560" s="179"/>
      <c r="X560" s="72"/>
      <c r="AB560" s="72"/>
      <c r="AD560" s="179"/>
      <c r="AE560" s="179"/>
      <c r="AH560" s="179"/>
      <c r="AJ560" s="179"/>
    </row>
    <row r="561" spans="7:36" x14ac:dyDescent="0.15"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W561" s="179"/>
      <c r="X561" s="72"/>
      <c r="AB561" s="72"/>
      <c r="AD561" s="179"/>
      <c r="AE561" s="179"/>
      <c r="AH561" s="179"/>
      <c r="AJ561" s="179"/>
    </row>
    <row r="562" spans="7:36" x14ac:dyDescent="0.15"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W562" s="179"/>
      <c r="X562" s="72"/>
      <c r="AB562" s="72"/>
      <c r="AD562" s="179"/>
      <c r="AE562" s="179"/>
      <c r="AH562" s="179"/>
      <c r="AJ562" s="179"/>
    </row>
    <row r="563" spans="7:36" x14ac:dyDescent="0.15"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W563" s="179"/>
      <c r="X563" s="72"/>
      <c r="AB563" s="72"/>
      <c r="AD563" s="179"/>
      <c r="AE563" s="179"/>
      <c r="AH563" s="179"/>
      <c r="AJ563" s="179"/>
    </row>
    <row r="564" spans="7:36" x14ac:dyDescent="0.15"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W564" s="179"/>
      <c r="X564" s="72"/>
      <c r="AB564" s="72"/>
      <c r="AD564" s="179"/>
      <c r="AE564" s="179"/>
      <c r="AH564" s="179"/>
      <c r="AJ564" s="179"/>
    </row>
    <row r="565" spans="7:36" x14ac:dyDescent="0.15"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W565" s="179"/>
      <c r="X565" s="72"/>
      <c r="AB565" s="72"/>
      <c r="AD565" s="179"/>
      <c r="AE565" s="179"/>
      <c r="AH565" s="179"/>
      <c r="AJ565" s="179"/>
    </row>
    <row r="566" spans="7:36" x14ac:dyDescent="0.15"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W566" s="179"/>
      <c r="X566" s="72"/>
      <c r="AB566" s="72"/>
      <c r="AD566" s="179"/>
      <c r="AE566" s="179"/>
      <c r="AH566" s="179"/>
      <c r="AJ566" s="179"/>
    </row>
    <row r="567" spans="7:36" x14ac:dyDescent="0.15"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W567" s="179"/>
      <c r="X567" s="72"/>
      <c r="AB567" s="72"/>
      <c r="AD567" s="179"/>
      <c r="AE567" s="179"/>
      <c r="AH567" s="179"/>
      <c r="AJ567" s="179"/>
    </row>
    <row r="568" spans="7:36" x14ac:dyDescent="0.15"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W568" s="179"/>
      <c r="X568" s="72"/>
      <c r="AB568" s="72"/>
      <c r="AD568" s="179"/>
      <c r="AE568" s="179"/>
      <c r="AH568" s="179"/>
      <c r="AJ568" s="179"/>
    </row>
    <row r="569" spans="7:36" x14ac:dyDescent="0.15"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W569" s="179"/>
      <c r="X569" s="72"/>
      <c r="AB569" s="72"/>
      <c r="AD569" s="179"/>
      <c r="AE569" s="179"/>
      <c r="AH569" s="179"/>
      <c r="AJ569" s="179"/>
    </row>
    <row r="570" spans="7:36" x14ac:dyDescent="0.15"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W570" s="179"/>
      <c r="X570" s="72"/>
      <c r="AB570" s="72"/>
      <c r="AD570" s="179"/>
      <c r="AE570" s="179"/>
      <c r="AH570" s="179"/>
      <c r="AJ570" s="179"/>
    </row>
    <row r="571" spans="7:36" x14ac:dyDescent="0.15"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W571" s="179"/>
      <c r="X571" s="72"/>
      <c r="AB571" s="72"/>
      <c r="AD571" s="179"/>
      <c r="AE571" s="179"/>
      <c r="AH571" s="179"/>
      <c r="AJ571" s="179"/>
    </row>
    <row r="572" spans="7:36" x14ac:dyDescent="0.15"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W572" s="179"/>
      <c r="X572" s="72"/>
      <c r="AB572" s="72"/>
      <c r="AD572" s="179"/>
      <c r="AE572" s="179"/>
      <c r="AH572" s="179"/>
      <c r="AJ572" s="179"/>
    </row>
    <row r="573" spans="7:36" x14ac:dyDescent="0.15"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W573" s="179"/>
      <c r="X573" s="72"/>
      <c r="AB573" s="72"/>
      <c r="AD573" s="179"/>
      <c r="AE573" s="179"/>
      <c r="AH573" s="179"/>
      <c r="AJ573" s="179"/>
    </row>
    <row r="574" spans="7:36" x14ac:dyDescent="0.15"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W574" s="179"/>
      <c r="X574" s="72"/>
      <c r="AB574" s="72"/>
      <c r="AD574" s="179"/>
      <c r="AE574" s="179"/>
      <c r="AH574" s="179"/>
      <c r="AJ574" s="179"/>
    </row>
    <row r="575" spans="7:36" x14ac:dyDescent="0.15"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W575" s="179"/>
      <c r="X575" s="72"/>
      <c r="AB575" s="72"/>
      <c r="AD575" s="179"/>
      <c r="AE575" s="179"/>
      <c r="AH575" s="179"/>
      <c r="AJ575" s="179"/>
    </row>
    <row r="576" spans="7:36" x14ac:dyDescent="0.15"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W576" s="179"/>
      <c r="X576" s="72"/>
      <c r="AB576" s="72"/>
      <c r="AD576" s="179"/>
      <c r="AE576" s="179"/>
      <c r="AH576" s="179"/>
      <c r="AJ576" s="179"/>
    </row>
    <row r="577" spans="7:36" x14ac:dyDescent="0.15"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W577" s="179"/>
      <c r="X577" s="72"/>
      <c r="AB577" s="72"/>
      <c r="AD577" s="179"/>
      <c r="AE577" s="179"/>
      <c r="AH577" s="179"/>
      <c r="AJ577" s="179"/>
    </row>
    <row r="578" spans="7:36" x14ac:dyDescent="0.15"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W578" s="179"/>
      <c r="X578" s="72"/>
      <c r="AB578" s="72"/>
      <c r="AD578" s="179"/>
      <c r="AE578" s="179"/>
      <c r="AH578" s="179"/>
      <c r="AJ578" s="179"/>
    </row>
    <row r="579" spans="7:36" x14ac:dyDescent="0.15"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W579" s="179"/>
      <c r="X579" s="72"/>
      <c r="AB579" s="72"/>
      <c r="AD579" s="179"/>
      <c r="AE579" s="179"/>
      <c r="AH579" s="179"/>
      <c r="AJ579" s="179"/>
    </row>
    <row r="580" spans="7:36" x14ac:dyDescent="0.15"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W580" s="179"/>
      <c r="X580" s="72"/>
      <c r="AB580" s="72"/>
      <c r="AD580" s="179"/>
      <c r="AE580" s="179"/>
      <c r="AH580" s="179"/>
      <c r="AJ580" s="179"/>
    </row>
    <row r="581" spans="7:36" x14ac:dyDescent="0.15"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W581" s="179"/>
      <c r="X581" s="72"/>
      <c r="AB581" s="72"/>
      <c r="AD581" s="179"/>
      <c r="AE581" s="179"/>
      <c r="AH581" s="179"/>
      <c r="AJ581" s="179"/>
    </row>
    <row r="582" spans="7:36" x14ac:dyDescent="0.15"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W582" s="179"/>
      <c r="X582" s="72"/>
      <c r="AB582" s="72"/>
      <c r="AD582" s="179"/>
      <c r="AE582" s="179"/>
      <c r="AH582" s="179"/>
      <c r="AJ582" s="179"/>
    </row>
    <row r="583" spans="7:36" x14ac:dyDescent="0.15"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W583" s="179"/>
      <c r="X583" s="72"/>
      <c r="AB583" s="72"/>
      <c r="AD583" s="179"/>
      <c r="AE583" s="179"/>
      <c r="AH583" s="179"/>
      <c r="AJ583" s="179"/>
    </row>
    <row r="584" spans="7:36" x14ac:dyDescent="0.15"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W584" s="179"/>
      <c r="X584" s="72"/>
      <c r="AB584" s="72"/>
      <c r="AD584" s="179"/>
      <c r="AE584" s="179"/>
      <c r="AH584" s="179"/>
      <c r="AJ584" s="179"/>
    </row>
    <row r="585" spans="7:36" x14ac:dyDescent="0.15"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W585" s="179"/>
      <c r="X585" s="72"/>
      <c r="AB585" s="72"/>
      <c r="AD585" s="179"/>
      <c r="AE585" s="179"/>
      <c r="AH585" s="179"/>
      <c r="AJ585" s="179"/>
    </row>
    <row r="586" spans="7:36" x14ac:dyDescent="0.15"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W586" s="179"/>
      <c r="X586" s="72"/>
      <c r="AB586" s="72"/>
      <c r="AD586" s="179"/>
      <c r="AE586" s="179"/>
      <c r="AH586" s="179"/>
      <c r="AJ586" s="179"/>
    </row>
    <row r="587" spans="7:36" x14ac:dyDescent="0.15"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W587" s="179"/>
      <c r="X587" s="72"/>
      <c r="AB587" s="72"/>
      <c r="AD587" s="179"/>
      <c r="AE587" s="179"/>
      <c r="AH587" s="179"/>
      <c r="AJ587" s="179"/>
    </row>
    <row r="588" spans="7:36" x14ac:dyDescent="0.15"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W588" s="179"/>
      <c r="X588" s="72"/>
      <c r="AB588" s="72"/>
      <c r="AD588" s="179"/>
      <c r="AE588" s="179"/>
      <c r="AH588" s="179"/>
      <c r="AJ588" s="179"/>
    </row>
    <row r="589" spans="7:36" x14ac:dyDescent="0.15"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W589" s="179"/>
      <c r="X589" s="72"/>
      <c r="AB589" s="72"/>
      <c r="AD589" s="179"/>
      <c r="AE589" s="179"/>
      <c r="AH589" s="179"/>
      <c r="AJ589" s="179"/>
    </row>
    <row r="590" spans="7:36" x14ac:dyDescent="0.15"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W590" s="179"/>
      <c r="X590" s="72"/>
      <c r="AB590" s="72"/>
      <c r="AD590" s="179"/>
      <c r="AE590" s="179"/>
      <c r="AH590" s="179"/>
      <c r="AJ590" s="179"/>
    </row>
    <row r="591" spans="7:36" x14ac:dyDescent="0.15"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W591" s="179"/>
      <c r="X591" s="72"/>
      <c r="AB591" s="72"/>
      <c r="AD591" s="179"/>
      <c r="AE591" s="179"/>
      <c r="AH591" s="179"/>
      <c r="AJ591" s="179"/>
    </row>
    <row r="592" spans="7:36" x14ac:dyDescent="0.15"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W592" s="179"/>
      <c r="X592" s="72"/>
      <c r="AB592" s="72"/>
      <c r="AD592" s="179"/>
      <c r="AE592" s="179"/>
      <c r="AH592" s="179"/>
      <c r="AJ592" s="179"/>
    </row>
    <row r="593" spans="7:36" x14ac:dyDescent="0.15"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W593" s="179"/>
      <c r="X593" s="72"/>
      <c r="AB593" s="72"/>
      <c r="AD593" s="179"/>
      <c r="AE593" s="179"/>
      <c r="AH593" s="179"/>
      <c r="AJ593" s="179"/>
    </row>
    <row r="594" spans="7:36" x14ac:dyDescent="0.15"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W594" s="179"/>
      <c r="X594" s="72"/>
      <c r="AB594" s="72"/>
      <c r="AD594" s="179"/>
      <c r="AE594" s="179"/>
      <c r="AH594" s="179"/>
      <c r="AJ594" s="179"/>
    </row>
    <row r="595" spans="7:36" x14ac:dyDescent="0.15"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W595" s="179"/>
      <c r="X595" s="72"/>
      <c r="AB595" s="72"/>
      <c r="AD595" s="179"/>
      <c r="AE595" s="179"/>
      <c r="AH595" s="179"/>
      <c r="AJ595" s="179"/>
    </row>
    <row r="596" spans="7:36" x14ac:dyDescent="0.15"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W596" s="179"/>
      <c r="X596" s="72"/>
      <c r="AB596" s="72"/>
      <c r="AD596" s="179"/>
      <c r="AE596" s="179"/>
      <c r="AH596" s="179"/>
      <c r="AJ596" s="179"/>
    </row>
    <row r="597" spans="7:36" x14ac:dyDescent="0.15"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W597" s="179"/>
      <c r="X597" s="72"/>
      <c r="AB597" s="72"/>
      <c r="AD597" s="179"/>
      <c r="AE597" s="179"/>
      <c r="AH597" s="179"/>
      <c r="AJ597" s="179"/>
    </row>
    <row r="598" spans="7:36" x14ac:dyDescent="0.15"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W598" s="179"/>
      <c r="X598" s="72"/>
      <c r="AB598" s="72"/>
      <c r="AD598" s="179"/>
      <c r="AE598" s="179"/>
      <c r="AH598" s="179"/>
      <c r="AJ598" s="179"/>
    </row>
    <row r="599" spans="7:36" x14ac:dyDescent="0.15"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W599" s="179"/>
      <c r="X599" s="72"/>
      <c r="AB599" s="72"/>
      <c r="AD599" s="179"/>
      <c r="AE599" s="179"/>
      <c r="AH599" s="179"/>
      <c r="AJ599" s="179"/>
    </row>
    <row r="600" spans="7:36" x14ac:dyDescent="0.15"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W600" s="179"/>
      <c r="X600" s="72"/>
      <c r="AB600" s="72"/>
      <c r="AD600" s="179"/>
      <c r="AE600" s="179"/>
      <c r="AH600" s="179"/>
      <c r="AJ600" s="179"/>
    </row>
    <row r="601" spans="7:36" x14ac:dyDescent="0.15"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W601" s="179"/>
      <c r="X601" s="72"/>
      <c r="AB601" s="72"/>
      <c r="AD601" s="179"/>
      <c r="AE601" s="179"/>
      <c r="AH601" s="179"/>
      <c r="AJ601" s="179"/>
    </row>
    <row r="602" spans="7:36" x14ac:dyDescent="0.15"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W602" s="179"/>
      <c r="X602" s="72"/>
      <c r="AB602" s="72"/>
      <c r="AD602" s="179"/>
      <c r="AE602" s="179"/>
      <c r="AH602" s="179"/>
      <c r="AJ602" s="179"/>
    </row>
    <row r="603" spans="7:36" x14ac:dyDescent="0.15"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W603" s="179"/>
      <c r="X603" s="72"/>
      <c r="AB603" s="72"/>
      <c r="AD603" s="179"/>
      <c r="AE603" s="179"/>
      <c r="AH603" s="179"/>
      <c r="AJ603" s="179"/>
    </row>
    <row r="604" spans="7:36" x14ac:dyDescent="0.15"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W604" s="179"/>
      <c r="X604" s="72"/>
      <c r="AB604" s="72"/>
      <c r="AD604" s="179"/>
      <c r="AE604" s="179"/>
      <c r="AH604" s="179"/>
      <c r="AJ604" s="179"/>
    </row>
    <row r="605" spans="7:36" x14ac:dyDescent="0.15"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W605" s="179"/>
      <c r="X605" s="72"/>
      <c r="AB605" s="72"/>
      <c r="AD605" s="179"/>
      <c r="AE605" s="179"/>
      <c r="AH605" s="179"/>
      <c r="AJ605" s="179"/>
    </row>
    <row r="606" spans="7:36" x14ac:dyDescent="0.15"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W606" s="179"/>
      <c r="X606" s="72"/>
      <c r="AB606" s="72"/>
      <c r="AD606" s="179"/>
      <c r="AE606" s="179"/>
      <c r="AH606" s="179"/>
      <c r="AJ606" s="179"/>
    </row>
    <row r="607" spans="7:36" x14ac:dyDescent="0.15"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W607" s="179"/>
      <c r="X607" s="72"/>
      <c r="AB607" s="72"/>
      <c r="AD607" s="179"/>
      <c r="AE607" s="179"/>
      <c r="AH607" s="179"/>
      <c r="AJ607" s="179"/>
    </row>
    <row r="608" spans="7:36" x14ac:dyDescent="0.15"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W608" s="179"/>
      <c r="X608" s="72"/>
      <c r="AB608" s="72"/>
      <c r="AD608" s="179"/>
      <c r="AE608" s="179"/>
      <c r="AH608" s="179"/>
      <c r="AJ608" s="179"/>
    </row>
    <row r="609" spans="7:36" x14ac:dyDescent="0.15"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W609" s="179"/>
      <c r="X609" s="72"/>
      <c r="AB609" s="72"/>
      <c r="AD609" s="179"/>
      <c r="AE609" s="179"/>
      <c r="AH609" s="179"/>
      <c r="AJ609" s="179"/>
    </row>
    <row r="610" spans="7:36" x14ac:dyDescent="0.15"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W610" s="179"/>
      <c r="X610" s="72"/>
      <c r="AB610" s="72"/>
      <c r="AD610" s="179"/>
      <c r="AE610" s="179"/>
      <c r="AH610" s="179"/>
      <c r="AJ610" s="179"/>
    </row>
    <row r="611" spans="7:36" x14ac:dyDescent="0.15"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W611" s="179"/>
      <c r="X611" s="72"/>
      <c r="AB611" s="72"/>
      <c r="AD611" s="179"/>
      <c r="AE611" s="179"/>
      <c r="AH611" s="179"/>
      <c r="AJ611" s="179"/>
    </row>
    <row r="612" spans="7:36" x14ac:dyDescent="0.15"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W612" s="179"/>
      <c r="X612" s="72"/>
      <c r="AB612" s="72"/>
      <c r="AD612" s="179"/>
      <c r="AE612" s="179"/>
      <c r="AH612" s="179"/>
      <c r="AJ612" s="179"/>
    </row>
    <row r="613" spans="7:36" x14ac:dyDescent="0.15"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W613" s="179"/>
      <c r="X613" s="72"/>
      <c r="AB613" s="72"/>
      <c r="AD613" s="179"/>
      <c r="AE613" s="179"/>
      <c r="AH613" s="179"/>
      <c r="AJ613" s="179"/>
    </row>
    <row r="614" spans="7:36" x14ac:dyDescent="0.15"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W614" s="179"/>
      <c r="X614" s="72"/>
      <c r="AB614" s="72"/>
      <c r="AD614" s="179"/>
      <c r="AE614" s="179"/>
      <c r="AH614" s="179"/>
      <c r="AJ614" s="179"/>
    </row>
    <row r="615" spans="7:36" x14ac:dyDescent="0.15"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W615" s="179"/>
      <c r="X615" s="72"/>
      <c r="AB615" s="72"/>
      <c r="AD615" s="179"/>
      <c r="AE615" s="179"/>
      <c r="AH615" s="179"/>
      <c r="AJ615" s="179"/>
    </row>
    <row r="616" spans="7:36" x14ac:dyDescent="0.15"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W616" s="179"/>
      <c r="X616" s="72"/>
      <c r="AB616" s="72"/>
      <c r="AD616" s="179"/>
      <c r="AE616" s="179"/>
      <c r="AH616" s="179"/>
      <c r="AJ616" s="179"/>
    </row>
    <row r="617" spans="7:36" x14ac:dyDescent="0.15"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W617" s="179"/>
      <c r="X617" s="72"/>
      <c r="AB617" s="72"/>
      <c r="AD617" s="179"/>
      <c r="AE617" s="179"/>
      <c r="AH617" s="179"/>
      <c r="AJ617" s="179"/>
    </row>
    <row r="618" spans="7:36" x14ac:dyDescent="0.15"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W618" s="179"/>
      <c r="X618" s="72"/>
      <c r="AB618" s="72"/>
      <c r="AD618" s="179"/>
      <c r="AE618" s="179"/>
      <c r="AH618" s="179"/>
      <c r="AJ618" s="179"/>
    </row>
    <row r="619" spans="7:36" x14ac:dyDescent="0.15"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W619" s="179"/>
      <c r="X619" s="72"/>
      <c r="AB619" s="72"/>
      <c r="AD619" s="179"/>
      <c r="AE619" s="179"/>
      <c r="AH619" s="179"/>
      <c r="AJ619" s="179"/>
    </row>
    <row r="620" spans="7:36" x14ac:dyDescent="0.15"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W620" s="179"/>
      <c r="X620" s="72"/>
      <c r="AB620" s="72"/>
      <c r="AD620" s="179"/>
      <c r="AE620" s="179"/>
      <c r="AH620" s="179"/>
      <c r="AJ620" s="179"/>
    </row>
    <row r="621" spans="7:36" x14ac:dyDescent="0.15"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W621" s="179"/>
      <c r="X621" s="72"/>
      <c r="AB621" s="72"/>
      <c r="AD621" s="179"/>
      <c r="AE621" s="179"/>
      <c r="AH621" s="179"/>
      <c r="AJ621" s="179"/>
    </row>
    <row r="622" spans="7:36" x14ac:dyDescent="0.15"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W622" s="179"/>
      <c r="X622" s="72"/>
      <c r="AB622" s="72"/>
      <c r="AD622" s="179"/>
      <c r="AE622" s="179"/>
      <c r="AH622" s="179"/>
      <c r="AJ622" s="179"/>
    </row>
    <row r="623" spans="7:36" x14ac:dyDescent="0.15"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W623" s="179"/>
      <c r="X623" s="72"/>
      <c r="AB623" s="72"/>
      <c r="AD623" s="179"/>
      <c r="AE623" s="179"/>
      <c r="AH623" s="179"/>
      <c r="AJ623" s="179"/>
    </row>
    <row r="624" spans="7:36" x14ac:dyDescent="0.15"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W624" s="179"/>
      <c r="X624" s="72"/>
      <c r="AB624" s="72"/>
      <c r="AD624" s="179"/>
      <c r="AE624" s="179"/>
      <c r="AH624" s="179"/>
      <c r="AJ624" s="179"/>
    </row>
    <row r="625" spans="7:36" x14ac:dyDescent="0.15"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W625" s="179"/>
      <c r="X625" s="72"/>
      <c r="AB625" s="72"/>
      <c r="AD625" s="179"/>
      <c r="AE625" s="179"/>
      <c r="AH625" s="179"/>
      <c r="AJ625" s="179"/>
    </row>
    <row r="626" spans="7:36" x14ac:dyDescent="0.15"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W626" s="179"/>
      <c r="X626" s="72"/>
      <c r="AB626" s="72"/>
      <c r="AD626" s="179"/>
      <c r="AE626" s="179"/>
      <c r="AH626" s="179"/>
      <c r="AJ626" s="179"/>
    </row>
    <row r="627" spans="7:36" x14ac:dyDescent="0.15"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W627" s="179"/>
      <c r="X627" s="72"/>
      <c r="AB627" s="72"/>
      <c r="AD627" s="179"/>
      <c r="AE627" s="179"/>
      <c r="AH627" s="179"/>
      <c r="AJ627" s="179"/>
    </row>
    <row r="628" spans="7:36" x14ac:dyDescent="0.15"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W628" s="179"/>
      <c r="X628" s="72"/>
      <c r="AB628" s="72"/>
      <c r="AD628" s="179"/>
      <c r="AE628" s="179"/>
      <c r="AH628" s="179"/>
      <c r="AJ628" s="179"/>
    </row>
    <row r="629" spans="7:36" x14ac:dyDescent="0.15"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W629" s="179"/>
      <c r="X629" s="72"/>
      <c r="AB629" s="72"/>
      <c r="AD629" s="179"/>
      <c r="AE629" s="179"/>
      <c r="AH629" s="179"/>
      <c r="AJ629" s="179"/>
    </row>
    <row r="630" spans="7:36" x14ac:dyDescent="0.15"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W630" s="179"/>
      <c r="X630" s="72"/>
      <c r="AB630" s="72"/>
      <c r="AD630" s="179"/>
      <c r="AE630" s="179"/>
      <c r="AH630" s="179"/>
      <c r="AJ630" s="179"/>
    </row>
    <row r="631" spans="7:36" x14ac:dyDescent="0.15"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W631" s="179"/>
      <c r="X631" s="72"/>
      <c r="AB631" s="72"/>
      <c r="AD631" s="179"/>
      <c r="AE631" s="179"/>
      <c r="AH631" s="179"/>
      <c r="AJ631" s="179"/>
    </row>
    <row r="632" spans="7:36" x14ac:dyDescent="0.15"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W632" s="179"/>
      <c r="X632" s="72"/>
      <c r="AB632" s="72"/>
      <c r="AD632" s="179"/>
      <c r="AE632" s="179"/>
      <c r="AH632" s="179"/>
      <c r="AJ632" s="179"/>
    </row>
    <row r="633" spans="7:36" x14ac:dyDescent="0.15"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W633" s="179"/>
      <c r="X633" s="72"/>
      <c r="AB633" s="72"/>
      <c r="AD633" s="179"/>
      <c r="AE633" s="179"/>
      <c r="AH633" s="179"/>
      <c r="AJ633" s="179"/>
    </row>
    <row r="634" spans="7:36" x14ac:dyDescent="0.15"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W634" s="179"/>
      <c r="X634" s="72"/>
      <c r="AB634" s="72"/>
      <c r="AD634" s="179"/>
      <c r="AE634" s="179"/>
      <c r="AH634" s="179"/>
      <c r="AJ634" s="179"/>
    </row>
    <row r="635" spans="7:36" x14ac:dyDescent="0.15"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W635" s="179"/>
      <c r="X635" s="72"/>
      <c r="AB635" s="72"/>
      <c r="AD635" s="179"/>
      <c r="AE635" s="179"/>
      <c r="AH635" s="179"/>
      <c r="AJ635" s="179"/>
    </row>
    <row r="636" spans="7:36" x14ac:dyDescent="0.15"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W636" s="179"/>
      <c r="X636" s="72"/>
      <c r="AB636" s="72"/>
      <c r="AD636" s="179"/>
      <c r="AE636" s="179"/>
      <c r="AH636" s="179"/>
      <c r="AJ636" s="179"/>
    </row>
    <row r="637" spans="7:36" x14ac:dyDescent="0.15"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W637" s="179"/>
      <c r="X637" s="72"/>
      <c r="AB637" s="72"/>
      <c r="AD637" s="179"/>
      <c r="AE637" s="179"/>
      <c r="AH637" s="179"/>
      <c r="AJ637" s="179"/>
    </row>
    <row r="638" spans="7:36" x14ac:dyDescent="0.15"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W638" s="179"/>
      <c r="X638" s="72"/>
      <c r="AB638" s="72"/>
      <c r="AD638" s="179"/>
      <c r="AE638" s="179"/>
      <c r="AH638" s="179"/>
      <c r="AJ638" s="179"/>
    </row>
    <row r="639" spans="7:36" x14ac:dyDescent="0.15"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W639" s="179"/>
      <c r="X639" s="72"/>
      <c r="AB639" s="72"/>
      <c r="AD639" s="179"/>
      <c r="AE639" s="179"/>
      <c r="AH639" s="179"/>
      <c r="AJ639" s="179"/>
    </row>
    <row r="640" spans="7:36" x14ac:dyDescent="0.15"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W640" s="179"/>
      <c r="X640" s="72"/>
      <c r="AB640" s="72"/>
      <c r="AD640" s="179"/>
      <c r="AE640" s="179"/>
      <c r="AH640" s="179"/>
      <c r="AJ640" s="179"/>
    </row>
    <row r="641" spans="7:36" x14ac:dyDescent="0.15"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W641" s="179"/>
      <c r="X641" s="72"/>
      <c r="AB641" s="72"/>
      <c r="AD641" s="179"/>
      <c r="AE641" s="179"/>
      <c r="AH641" s="179"/>
      <c r="AJ641" s="179"/>
    </row>
    <row r="642" spans="7:36" x14ac:dyDescent="0.15"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W642" s="179"/>
      <c r="X642" s="72"/>
      <c r="AB642" s="72"/>
      <c r="AD642" s="179"/>
      <c r="AE642" s="179"/>
      <c r="AH642" s="179"/>
      <c r="AJ642" s="179"/>
    </row>
  </sheetData>
  <phoneticPr fontId="4" type="noConversion"/>
  <conditionalFormatting sqref="F2 F5:F9 F15:F17">
    <cfRule type="duplicateValues" dxfId="6" priority="7"/>
  </conditionalFormatting>
  <conditionalFormatting sqref="F3:F4">
    <cfRule type="duplicateValues" dxfId="5" priority="3"/>
  </conditionalFormatting>
  <conditionalFormatting sqref="F10:F14">
    <cfRule type="duplicateValues" dxfId="4" priority="5"/>
  </conditionalFormatting>
  <conditionalFormatting sqref="F18:F19">
    <cfRule type="duplicateValues" dxfId="3" priority="6"/>
  </conditionalFormatting>
  <conditionalFormatting sqref="F20:F21">
    <cfRule type="duplicateValues" dxfId="2" priority="4"/>
  </conditionalFormatting>
  <conditionalFormatting sqref="G20">
    <cfRule type="duplicateValues" dxfId="1" priority="1"/>
  </conditionalFormatting>
  <pageMargins left="0.75" right="0.75" top="1" bottom="1" header="0.5" footer="0.5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V20"/>
  <sheetViews>
    <sheetView workbookViewId="0">
      <selection activeCell="A15" sqref="A15:XFD15"/>
    </sheetView>
  </sheetViews>
  <sheetFormatPr defaultColWidth="9" defaultRowHeight="14.25" x14ac:dyDescent="0.15"/>
  <cols>
    <col min="1" max="1" width="9" style="76"/>
    <col min="2" max="2" width="10.625" style="76" customWidth="1"/>
    <col min="3" max="5" width="9" style="76"/>
    <col min="6" max="6" width="9.5" style="76" bestFit="1" customWidth="1"/>
    <col min="7" max="7" width="9.875" style="122" customWidth="1"/>
    <col min="8" max="8" width="9" style="76"/>
    <col min="9" max="9" width="11.25" style="76" customWidth="1"/>
    <col min="10" max="11" width="10.375" style="122" customWidth="1"/>
    <col min="12" max="12" width="13" style="122" customWidth="1"/>
    <col min="13" max="13" width="12.5" style="122" customWidth="1"/>
    <col min="14" max="14" width="12.5" style="76" customWidth="1"/>
    <col min="15" max="15" width="13.5" style="76" customWidth="1"/>
    <col min="16" max="16384" width="9" style="76"/>
  </cols>
  <sheetData>
    <row r="1" spans="1:22" x14ac:dyDescent="0.15">
      <c r="A1" s="149" t="s">
        <v>252</v>
      </c>
      <c r="B1" s="149" t="s">
        <v>63</v>
      </c>
      <c r="C1" s="149" t="s">
        <v>285</v>
      </c>
      <c r="D1" s="149" t="s">
        <v>251</v>
      </c>
      <c r="E1" s="149" t="s">
        <v>155</v>
      </c>
      <c r="F1" s="150" t="s">
        <v>286</v>
      </c>
      <c r="G1" s="151" t="s">
        <v>198</v>
      </c>
      <c r="H1" s="150" t="s">
        <v>313</v>
      </c>
      <c r="I1" s="150" t="s">
        <v>314</v>
      </c>
      <c r="J1" s="151" t="s">
        <v>315</v>
      </c>
      <c r="K1" s="151" t="s">
        <v>317</v>
      </c>
      <c r="L1" s="152" t="s">
        <v>316</v>
      </c>
      <c r="M1" s="152" t="s">
        <v>267</v>
      </c>
      <c r="N1" s="153" t="s">
        <v>273</v>
      </c>
      <c r="O1" s="153" t="s">
        <v>318</v>
      </c>
      <c r="P1" s="154" t="s">
        <v>274</v>
      </c>
      <c r="Q1" s="154" t="s">
        <v>203</v>
      </c>
      <c r="R1" s="154" t="s">
        <v>287</v>
      </c>
      <c r="S1" s="149" t="s">
        <v>73</v>
      </c>
      <c r="T1" s="149" t="s">
        <v>258</v>
      </c>
      <c r="U1" s="149" t="s">
        <v>288</v>
      </c>
      <c r="V1" s="149" t="s">
        <v>64</v>
      </c>
    </row>
    <row r="2" spans="1:22" x14ac:dyDescent="0.15">
      <c r="B2" s="76" t="s">
        <v>82</v>
      </c>
      <c r="G2" s="122">
        <f>科技部核算!V3</f>
        <v>4000</v>
      </c>
      <c r="H2" s="76">
        <f>科技部核算!Y3</f>
        <v>0</v>
      </c>
      <c r="I2" s="76">
        <f>科技部核算!Z3</f>
        <v>10242.6</v>
      </c>
      <c r="K2" s="122">
        <f>_xlfn.XLOOKUP(B2,科技部核算!F:F,科技部核算!AG:AG,0)</f>
        <v>0</v>
      </c>
      <c r="L2" s="122">
        <f>SUM(H2:K2)</f>
        <v>10242.6</v>
      </c>
      <c r="M2" s="122" t="str">
        <f>_xlfn.XLOOKUP(B2,科技部核算!F:F,科技部核算!AD:AD,0)</f>
        <v/>
      </c>
      <c r="N2" s="76">
        <f>_xlfn.XLOOKUP(B2,科技部核算!F:F,科技部核算!AN:AN,0)</f>
        <v>0</v>
      </c>
      <c r="O2" s="76">
        <f>_xlfn.XLOOKUP(B2,科技部核算!F:F,科技部核算!AL:AL,0)</f>
        <v>0</v>
      </c>
    </row>
    <row r="3" spans="1:22" x14ac:dyDescent="0.15">
      <c r="B3" s="76" t="s">
        <v>91</v>
      </c>
      <c r="G3" s="122">
        <f>科技部核算!V4</f>
        <v>4000</v>
      </c>
      <c r="H3" s="76">
        <f>科技部核算!Y4</f>
        <v>660.61</v>
      </c>
      <c r="I3" s="76">
        <f>科技部核算!Z4</f>
        <v>4701.68</v>
      </c>
      <c r="K3" s="122">
        <f>_xlfn.XLOOKUP(B3,科技部核算!F:F,科技部核算!AG:AG,0)</f>
        <v>0</v>
      </c>
      <c r="L3" s="122">
        <f t="shared" ref="L3:L17" si="0">SUM(H3:K3)</f>
        <v>5362.29</v>
      </c>
      <c r="M3" s="122" t="str">
        <f>_xlfn.XLOOKUP(B3,科技部核算!F:F,科技部核算!AD:AD,0)</f>
        <v/>
      </c>
      <c r="N3" s="76">
        <f>_xlfn.XLOOKUP(B3,科技部核算!F:F,科技部核算!AN:AN,0)</f>
        <v>0</v>
      </c>
      <c r="O3" s="76">
        <f>_xlfn.XLOOKUP(B3,科技部核算!F:F,科技部核算!AL:AL,0)</f>
        <v>0</v>
      </c>
    </row>
    <row r="4" spans="1:22" x14ac:dyDescent="0.15">
      <c r="B4" s="76" t="s">
        <v>85</v>
      </c>
      <c r="G4" s="122">
        <f>_xlfn.XLOOKUP(B4,科技部核算!F:F,科技部核算!W:W,0)</f>
        <v>3000</v>
      </c>
      <c r="J4" s="122">
        <f>_xlfn.XLOOKUP(B4,科技部核算!F:F,科技部核算!AA:AA,0)</f>
        <v>1510.7</v>
      </c>
      <c r="K4" s="122">
        <f>_xlfn.XLOOKUP(B4,科技部核算!F:F,科技部核算!AG:AG,0)</f>
        <v>1051.4749999999999</v>
      </c>
      <c r="L4" s="122">
        <f t="shared" si="0"/>
        <v>2562.1750000000002</v>
      </c>
      <c r="M4" s="122">
        <f>_xlfn.XLOOKUP(B4,科技部核算!F:F,科技部核算!AD:AD,0)</f>
        <v>692.05145000000005</v>
      </c>
      <c r="N4" s="76">
        <f>_xlfn.XLOOKUP(B4,科技部核算!F:F,科技部核算!AN:AN,0)</f>
        <v>2100</v>
      </c>
      <c r="O4" s="76">
        <f>_xlfn.XLOOKUP(B4,科技部核算!F:F,科技部核算!AL:AL,0)</f>
        <v>120</v>
      </c>
    </row>
    <row r="5" spans="1:22" x14ac:dyDescent="0.15">
      <c r="B5" s="76" t="s">
        <v>83</v>
      </c>
      <c r="G5" s="122">
        <f>_xlfn.XLOOKUP(B5,科技部核算!F:F,科技部核算!W:W,0)</f>
        <v>3000</v>
      </c>
      <c r="J5" s="122">
        <f>_xlfn.XLOOKUP(B5,科技部核算!F:F,科技部核算!AA:AA,0)</f>
        <v>5060.8899999999994</v>
      </c>
      <c r="K5" s="122">
        <f>_xlfn.XLOOKUP(B5,科技部核算!F:F,科技部核算!AG:AG,0)</f>
        <v>781.13</v>
      </c>
      <c r="L5" s="122">
        <f t="shared" si="0"/>
        <v>5842.0199999999995</v>
      </c>
      <c r="M5" s="122">
        <f>_xlfn.XLOOKUP(B5,科技部核算!F:F,科技部核算!AD:AD,0)</f>
        <v>1786.5264999999999</v>
      </c>
      <c r="N5" s="76">
        <f>_xlfn.XLOOKUP(B5,科技部核算!F:F,科技部核算!AN:AN,0)</f>
        <v>4150</v>
      </c>
      <c r="O5" s="76">
        <f>_xlfn.XLOOKUP(B5,科技部核算!F:F,科技部核算!AL:AL,0)</f>
        <v>60</v>
      </c>
    </row>
    <row r="6" spans="1:22" x14ac:dyDescent="0.15">
      <c r="B6" s="76" t="s">
        <v>84</v>
      </c>
      <c r="G6" s="122">
        <f>_xlfn.XLOOKUP(B6,科技部核算!F:F,科技部核算!W:W,0)</f>
        <v>2419.3548387096771</v>
      </c>
      <c r="J6" s="122">
        <f>_xlfn.XLOOKUP(B6,科技部核算!F:F,科技部核算!AA:AA,0)</f>
        <v>1415.55</v>
      </c>
      <c r="K6" s="122">
        <f>_xlfn.XLOOKUP(B6,科技部核算!F:F,科技部核算!AG:AG,0)</f>
        <v>0</v>
      </c>
      <c r="L6" s="122">
        <f t="shared" si="0"/>
        <v>1415.55</v>
      </c>
      <c r="M6" s="122">
        <f>_xlfn.XLOOKUP(B6,科技部核算!F:F,科技部核算!AD:AD,0)</f>
        <v>715.93020000000001</v>
      </c>
      <c r="N6" s="76">
        <f>_xlfn.XLOOKUP(B6,科技部核算!F:F,科技部核算!AN:AN,0)</f>
        <v>3290</v>
      </c>
      <c r="O6" s="76">
        <f>_xlfn.XLOOKUP(B6,科技部核算!F:F,科技部核算!AL:AL,0)</f>
        <v>90</v>
      </c>
    </row>
    <row r="7" spans="1:22" x14ac:dyDescent="0.15">
      <c r="B7" s="76" t="s">
        <v>86</v>
      </c>
      <c r="G7" s="122">
        <f>_xlfn.XLOOKUP(B7,科技部核算!F:F,科技部核算!W:W,0)</f>
        <v>0</v>
      </c>
      <c r="J7" s="122">
        <f>_xlfn.XLOOKUP(B7,科技部核算!F:F,科技部核算!AA:AA,0)</f>
        <v>0</v>
      </c>
      <c r="K7" s="122">
        <f>_xlfn.XLOOKUP(B7,科技部核算!F:F,科技部核算!AG:AG,0)</f>
        <v>0</v>
      </c>
      <c r="L7" s="122">
        <f t="shared" si="0"/>
        <v>0</v>
      </c>
      <c r="M7" s="122" t="str">
        <f>_xlfn.XLOOKUP(B7,科技部核算!F:F,科技部核算!AD:AD,0)</f>
        <v/>
      </c>
      <c r="N7" s="76">
        <f>_xlfn.XLOOKUP(B7,科技部核算!F:F,科技部核算!AN:AN,0)</f>
        <v>0</v>
      </c>
      <c r="O7" s="76">
        <f>_xlfn.XLOOKUP(B7,科技部核算!F:F,科技部核算!AL:AL,0)</f>
        <v>0</v>
      </c>
    </row>
    <row r="8" spans="1:22" x14ac:dyDescent="0.15">
      <c r="B8" s="76" t="s">
        <v>87</v>
      </c>
      <c r="G8" s="122">
        <f>_xlfn.XLOOKUP(B8,科技部核算!F:F,科技部核算!W:W,0)</f>
        <v>2500</v>
      </c>
      <c r="J8" s="122">
        <f>_xlfn.XLOOKUP(B8,科技部核算!F:F,科技部核算!AA:AA,0)</f>
        <v>1079.28</v>
      </c>
      <c r="K8" s="122">
        <f>_xlfn.XLOOKUP(B8,科技部核算!F:F,科技部核算!AG:AG,0)</f>
        <v>0</v>
      </c>
      <c r="L8" s="122">
        <f t="shared" si="0"/>
        <v>1079.28</v>
      </c>
      <c r="M8" s="122">
        <f>_xlfn.XLOOKUP(B8,科技部核算!F:F,科技部核算!AD:AD,0)</f>
        <v>973.01145000000008</v>
      </c>
      <c r="N8" s="76">
        <f>_xlfn.XLOOKUP(B8,科技部核算!F:F,科技部核算!AN:AN,0)</f>
        <v>3570</v>
      </c>
      <c r="O8" s="76">
        <f>_xlfn.XLOOKUP(B8,科技部核算!F:F,科技部核算!AL:AL,0)</f>
        <v>120</v>
      </c>
    </row>
    <row r="9" spans="1:22" x14ac:dyDescent="0.15">
      <c r="B9" s="76" t="s">
        <v>88</v>
      </c>
      <c r="G9" s="122">
        <f>_xlfn.XLOOKUP(B9,科技部核算!F:F,科技部核算!W:W,0)</f>
        <v>3000</v>
      </c>
      <c r="J9" s="122">
        <f>_xlfn.XLOOKUP(B9,科技部核算!F:F,科技部核算!AA:AA,0)</f>
        <v>1790.1</v>
      </c>
      <c r="K9" s="122">
        <f>_xlfn.XLOOKUP(B9,科技部核算!F:F,科技部核算!AG:AG,0)</f>
        <v>0</v>
      </c>
      <c r="L9" s="122">
        <f t="shared" si="0"/>
        <v>1790.1</v>
      </c>
      <c r="M9" s="122">
        <f>_xlfn.XLOOKUP(B9,科技部核算!F:F,科技部核算!AD:AD,0)</f>
        <v>605.93264999999997</v>
      </c>
      <c r="N9" s="76">
        <f>_xlfn.XLOOKUP(B9,科技部核算!F:F,科技部核算!AN:AN,0)</f>
        <v>2940</v>
      </c>
      <c r="O9" s="76">
        <f>_xlfn.XLOOKUP(B9,科技部核算!F:F,科技部核算!AL:AL,0)</f>
        <v>30</v>
      </c>
    </row>
    <row r="10" spans="1:22" x14ac:dyDescent="0.15">
      <c r="B10" s="76" t="s">
        <v>279</v>
      </c>
      <c r="G10" s="122">
        <f>_xlfn.XLOOKUP(B10,科技部核算!F:F,科技部核算!W:W,0)</f>
        <v>2338.7096774193546</v>
      </c>
      <c r="J10" s="122">
        <f>_xlfn.XLOOKUP(B10,科技部核算!F:F,科技部核算!AA:AA,0)</f>
        <v>876.28</v>
      </c>
      <c r="K10" s="122">
        <f>_xlfn.XLOOKUP(B10,科技部核算!F:F,科技部核算!AG:AG,0)</f>
        <v>0</v>
      </c>
      <c r="L10" s="122">
        <f t="shared" si="0"/>
        <v>876.28</v>
      </c>
      <c r="M10" s="122">
        <f>_xlfn.XLOOKUP(B10,科技部核算!F:F,科技部核算!AD:AD,0)</f>
        <v>0</v>
      </c>
      <c r="N10" s="76">
        <f>_xlfn.XLOOKUP(B10,科技部核算!F:F,科技部核算!AN:AN,0)</f>
        <v>1850</v>
      </c>
      <c r="O10" s="76">
        <f>_xlfn.XLOOKUP(B10,科技部核算!F:F,科技部核算!AL:AL,0)</f>
        <v>30</v>
      </c>
    </row>
    <row r="11" spans="1:22" x14ac:dyDescent="0.15">
      <c r="B11" s="76" t="s">
        <v>89</v>
      </c>
      <c r="G11" s="122">
        <f>_xlfn.XLOOKUP(B11,科技部核算!F:F,科技部核算!W:W,0)</f>
        <v>3500</v>
      </c>
      <c r="J11" s="122">
        <f>_xlfn.XLOOKUP(B11,科技部核算!F:F,科技部核算!AA:AA,0)</f>
        <v>2462.9250000000002</v>
      </c>
      <c r="K11" s="122">
        <f>_xlfn.XLOOKUP(B11,科技部核算!F:F,科技部核算!AG:AG,0)</f>
        <v>0</v>
      </c>
      <c r="L11" s="122">
        <f t="shared" si="0"/>
        <v>2462.9250000000002</v>
      </c>
      <c r="M11" s="122">
        <f>_xlfn.XLOOKUP(B11,科技部核算!F:F,科技部核算!AD:AD,0)</f>
        <v>852.28089999999997</v>
      </c>
      <c r="N11" s="76">
        <f>_xlfn.XLOOKUP(B11,科技部核算!F:F,科技部核算!AN:AN,0)</f>
        <v>3795</v>
      </c>
      <c r="O11" s="76">
        <f>_xlfn.XLOOKUP(B11,科技部核算!F:F,科技部核算!AL:AL,0)</f>
        <v>60</v>
      </c>
    </row>
    <row r="12" spans="1:22" x14ac:dyDescent="0.15">
      <c r="B12" s="76" t="s">
        <v>280</v>
      </c>
      <c r="G12" s="122">
        <f>_xlfn.XLOOKUP(B12,科技部核算!F:F,科技部核算!W:W,0)</f>
        <v>0</v>
      </c>
      <c r="J12" s="122">
        <f>_xlfn.XLOOKUP(B12,科技部核算!F:F,科技部核算!AA:AA,0)</f>
        <v>0</v>
      </c>
      <c r="K12" s="122">
        <f>_xlfn.XLOOKUP(B12,科技部核算!F:F,科技部核算!AG:AG,0)</f>
        <v>0</v>
      </c>
      <c r="L12" s="122">
        <f t="shared" si="0"/>
        <v>0</v>
      </c>
      <c r="M12" s="122">
        <f>_xlfn.XLOOKUP(B12,科技部核算!F:F,科技部核算!AD:AD,0)</f>
        <v>0</v>
      </c>
      <c r="N12" s="76">
        <f>_xlfn.XLOOKUP(B12,科技部核算!F:F,科技部核算!AN:AN,0)</f>
        <v>0</v>
      </c>
      <c r="O12" s="76">
        <f>_xlfn.XLOOKUP(B12,科技部核算!F:F,科技部核算!AL:AL,0)</f>
        <v>0</v>
      </c>
    </row>
    <row r="13" spans="1:22" x14ac:dyDescent="0.15">
      <c r="B13" s="76" t="s">
        <v>95</v>
      </c>
      <c r="G13" s="122">
        <f>_xlfn.XLOOKUP(B13,科技部核算!F:F,科技部核算!W:W,0)</f>
        <v>3000</v>
      </c>
      <c r="J13" s="122">
        <f>_xlfn.XLOOKUP(B13,科技部核算!F:F,科技部核算!AA:AA,0)</f>
        <v>1687.2</v>
      </c>
      <c r="K13" s="122">
        <f>_xlfn.XLOOKUP(B13,科技部核算!F:F,科技部核算!AG:AG,0)</f>
        <v>0</v>
      </c>
      <c r="L13" s="122">
        <f t="shared" si="0"/>
        <v>1687.2</v>
      </c>
      <c r="M13" s="122">
        <f>_xlfn.XLOOKUP(B13,科技部核算!F:F,科技部核算!AD:AD,0)</f>
        <v>685.13335000000006</v>
      </c>
      <c r="N13" s="76">
        <f>_xlfn.XLOOKUP(B13,科技部核算!F:F,科技部核算!AN:AN,0)</f>
        <v>3405</v>
      </c>
      <c r="O13" s="76">
        <f>_xlfn.XLOOKUP(B13,科技部核算!F:F,科技部核算!AL:AL,0)</f>
        <v>120</v>
      </c>
    </row>
    <row r="14" spans="1:22" x14ac:dyDescent="0.15">
      <c r="B14" s="76" t="s">
        <v>92</v>
      </c>
      <c r="G14" s="122">
        <f>_xlfn.XLOOKUP(B14,科技部核算!F:F,科技部核算!W:W,0)</f>
        <v>3500</v>
      </c>
      <c r="J14" s="122">
        <f>_xlfn.XLOOKUP(B14,科技部核算!F:F,科技部核算!AA:AA,0)</f>
        <v>2610.9499999999998</v>
      </c>
      <c r="K14" s="122">
        <f>_xlfn.XLOOKUP(B14,科技部核算!F:F,科技部核算!AG:AG,0)</f>
        <v>0</v>
      </c>
      <c r="L14" s="122">
        <f t="shared" si="0"/>
        <v>2610.9499999999998</v>
      </c>
      <c r="M14" s="122">
        <f>_xlfn.XLOOKUP(B14,科技部核算!F:F,科技部核算!AD:AD,0)</f>
        <v>725.64300000000003</v>
      </c>
      <c r="N14" s="76">
        <f>_xlfn.XLOOKUP(B14,科技部核算!F:F,科技部核算!AN:AN,0)</f>
        <v>3275</v>
      </c>
      <c r="O14" s="76">
        <f>_xlfn.XLOOKUP(B14,科技部核算!F:F,科技部核算!AL:AL,0)</f>
        <v>90</v>
      </c>
    </row>
    <row r="15" spans="1:22" x14ac:dyDescent="0.15">
      <c r="B15" s="76" t="s">
        <v>93</v>
      </c>
      <c r="G15" s="122">
        <f>_xlfn.XLOOKUP(B15,科技部核算!F:F,科技部核算!W:W,0)</f>
        <v>2500</v>
      </c>
      <c r="J15" s="122">
        <f>_xlfn.XLOOKUP(B15,科技部核算!F:F,科技部核算!AA:AA,0)</f>
        <v>0</v>
      </c>
      <c r="K15" s="122">
        <f>_xlfn.XLOOKUP(B15,科技部核算!F:F,科技部核算!AG:AG,0)</f>
        <v>0</v>
      </c>
      <c r="L15" s="122">
        <f t="shared" si="0"/>
        <v>0</v>
      </c>
      <c r="M15" s="122">
        <f>_xlfn.XLOOKUP(B15,科技部核算!F:F,科技部核算!AD:AD,0)</f>
        <v>614.56910000000005</v>
      </c>
      <c r="N15" s="76">
        <f>_xlfn.XLOOKUP(B15,科技部核算!F:F,科技部核算!AN:AN,0)</f>
        <v>2555</v>
      </c>
      <c r="O15" s="76">
        <f>_xlfn.XLOOKUP(B15,科技部核算!F:F,科技部核算!AL:AL,0)</f>
        <v>60</v>
      </c>
    </row>
    <row r="16" spans="1:22" x14ac:dyDescent="0.15">
      <c r="B16" s="76" t="s">
        <v>94</v>
      </c>
      <c r="G16" s="122">
        <f>_xlfn.XLOOKUP(B16,科技部核算!F:F,科技部核算!W:W,0)</f>
        <v>3000</v>
      </c>
      <c r="J16" s="122">
        <f>_xlfn.XLOOKUP(B16,科技部核算!F:F,科技部核算!AA:AA,0)</f>
        <v>2154.5</v>
      </c>
      <c r="K16" s="122">
        <f>_xlfn.XLOOKUP(B16,科技部核算!F:F,科技部核算!AG:AG,0)</f>
        <v>0</v>
      </c>
      <c r="L16" s="122">
        <f t="shared" si="0"/>
        <v>2154.5</v>
      </c>
      <c r="M16" s="122">
        <f>_xlfn.XLOOKUP(B16,科技部核算!F:F,科技部核算!AD:AD,0)</f>
        <v>614.46785</v>
      </c>
      <c r="N16" s="76">
        <f>_xlfn.XLOOKUP(B16,科技部核算!F:F,科技部核算!AN:AN,0)</f>
        <v>3015</v>
      </c>
      <c r="O16" s="76">
        <f>_xlfn.XLOOKUP(B16,科技部核算!F:F,科技部核算!AL:AL,0)</f>
        <v>60</v>
      </c>
    </row>
    <row r="17" spans="2:15" x14ac:dyDescent="0.15">
      <c r="B17" s="76" t="s">
        <v>311</v>
      </c>
      <c r="G17" s="122">
        <f>_xlfn.XLOOKUP(B17,科技部核算!F:F,科技部核算!W:W,0)</f>
        <v>2500</v>
      </c>
      <c r="J17" s="122">
        <f>_xlfn.XLOOKUP(B17,科技部核算!F:F,科技部核算!AA:AA,0)</f>
        <v>1118.44</v>
      </c>
      <c r="K17" s="122">
        <f>_xlfn.XLOOKUP(B17,科技部核算!F:F,科技部核算!AG:AG,0)</f>
        <v>0</v>
      </c>
      <c r="L17" s="122">
        <f t="shared" si="0"/>
        <v>1118.44</v>
      </c>
      <c r="M17" s="122">
        <f>_xlfn.XLOOKUP(B17,科技部核算!F:F,科技部核算!AD:AD,0)</f>
        <v>626.60469999999998</v>
      </c>
      <c r="N17" s="76">
        <f>_xlfn.XLOOKUP(B17,科技部核算!F:F,科技部核算!AN:AN,0)</f>
        <v>2670</v>
      </c>
      <c r="O17" s="76">
        <f>_xlfn.XLOOKUP(B17,科技部核算!F:F,科技部核算!AL:AL,0)</f>
        <v>120</v>
      </c>
    </row>
    <row r="18" spans="2:15" x14ac:dyDescent="0.15">
      <c r="B18" s="76" t="s">
        <v>793</v>
      </c>
      <c r="G18" s="122">
        <f>_xlfn.XLOOKUP(B18,科技部核算!F:F,科技部核算!W:W,0)</f>
        <v>0</v>
      </c>
      <c r="J18" s="122">
        <f>_xlfn.XLOOKUP(B18,科技部核算!F:F,科技部核算!AA:AA,0)</f>
        <v>120.3</v>
      </c>
      <c r="K18" s="122">
        <f>_xlfn.XLOOKUP(B18,科技部核算!F:F,科技部核算!AG:AG,0)</f>
        <v>0</v>
      </c>
      <c r="L18" s="122">
        <f t="shared" ref="L18:L19" si="1">SUM(H18:K18)</f>
        <v>120.3</v>
      </c>
      <c r="M18" s="122" t="str">
        <f>_xlfn.XLOOKUP(B18,科技部核算!F:F,科技部核算!AD:AD,0)</f>
        <v/>
      </c>
      <c r="N18" s="76">
        <f>_xlfn.XLOOKUP(B18,科技部核算!F:F,科技部核算!AN:AN,0)</f>
        <v>0</v>
      </c>
      <c r="O18" s="76">
        <f>_xlfn.XLOOKUP(B18,科技部核算!F:F,科技部核算!AL:AL,0)</f>
        <v>0</v>
      </c>
    </row>
    <row r="19" spans="2:15" x14ac:dyDescent="0.15">
      <c r="B19" s="76" t="s">
        <v>794</v>
      </c>
      <c r="G19" s="122">
        <f>_xlfn.XLOOKUP(B19,科技部核算!F:F,科技部核算!W:W,0)</f>
        <v>0</v>
      </c>
      <c r="J19" s="122">
        <f>_xlfn.XLOOKUP(B19,科技部核算!F:F,科技部核算!AA:AA,0)</f>
        <v>1246.3399999999999</v>
      </c>
      <c r="K19" s="122">
        <f>_xlfn.XLOOKUP(B19,科技部核算!F:F,科技部核算!AG:AG,0)</f>
        <v>0</v>
      </c>
      <c r="L19" s="122">
        <f t="shared" si="1"/>
        <v>1246.3399999999999</v>
      </c>
      <c r="M19" s="122" t="str">
        <f>_xlfn.XLOOKUP(B19,科技部核算!F:F,科技部核算!AD:AD,0)</f>
        <v/>
      </c>
      <c r="N19" s="76">
        <f>_xlfn.XLOOKUP(B19,科技部核算!F:F,科技部核算!AN:AN,0)</f>
        <v>0</v>
      </c>
      <c r="O19" s="76">
        <f>_xlfn.XLOOKUP(B19,科技部核算!F:F,科技部核算!AL:AL,0)</f>
        <v>0</v>
      </c>
    </row>
    <row r="20" spans="2:15" x14ac:dyDescent="0.15">
      <c r="B20" s="76" t="s">
        <v>796</v>
      </c>
      <c r="G20" s="122">
        <f>_xlfn.XLOOKUP(B20,科技部核算!F:F,科技部核算!W:W,0)</f>
        <v>645.16129032258061</v>
      </c>
      <c r="J20" s="122">
        <f>_xlfn.XLOOKUP(B20,科技部核算!F:F,科技部核算!AA:AA,0)</f>
        <v>0</v>
      </c>
      <c r="K20" s="122">
        <f>_xlfn.XLOOKUP(B20,科技部核算!F:F,科技部核算!AG:AG,0)</f>
        <v>0</v>
      </c>
      <c r="L20" s="122">
        <f t="shared" ref="L20" si="2">SUM(H20:K20)</f>
        <v>0</v>
      </c>
      <c r="M20" s="122">
        <f>_xlfn.XLOOKUP(B20,科技部核算!F:F,科技部核算!AD:AD,0)</f>
        <v>0</v>
      </c>
      <c r="N20" s="76">
        <f>_xlfn.XLOOKUP(B20,科技部核算!F:F,科技部核算!AN:AN,0)</f>
        <v>90</v>
      </c>
      <c r="O20" s="76">
        <f>_xlfn.XLOOKUP(B20,科技部核算!F:F,科技部核算!AL:AL,0)</f>
        <v>0</v>
      </c>
    </row>
  </sheetData>
  <phoneticPr fontId="4" type="noConversion"/>
  <conditionalFormatting sqref="B1">
    <cfRule type="duplicateValues" dxfId="0" priority="1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62939-D55C-4B87-8E24-59F546B981EB}">
  <dimension ref="A2:G6"/>
  <sheetViews>
    <sheetView workbookViewId="0">
      <selection activeCell="G16" sqref="G16"/>
    </sheetView>
  </sheetViews>
  <sheetFormatPr defaultRowHeight="13.5" x14ac:dyDescent="0.15"/>
  <cols>
    <col min="4" max="4" width="11" bestFit="1" customWidth="1"/>
    <col min="6" max="6" width="10.625" style="3" customWidth="1"/>
    <col min="7" max="7" width="69.375" bestFit="1" customWidth="1"/>
  </cols>
  <sheetData>
    <row r="2" spans="1:7" x14ac:dyDescent="0.15">
      <c r="A2" s="5" t="s">
        <v>799</v>
      </c>
      <c r="B2" t="s">
        <v>279</v>
      </c>
      <c r="D2" s="5" t="s">
        <v>810</v>
      </c>
      <c r="E2" s="5" t="s">
        <v>800</v>
      </c>
      <c r="F2" s="3">
        <v>220</v>
      </c>
    </row>
    <row r="3" spans="1:7" x14ac:dyDescent="0.15">
      <c r="A3" s="5" t="s">
        <v>799</v>
      </c>
      <c r="B3" t="s">
        <v>279</v>
      </c>
      <c r="D3" s="5" t="s">
        <v>810</v>
      </c>
      <c r="E3" s="5" t="s">
        <v>384</v>
      </c>
      <c r="F3" s="3">
        <f>2500/31*6</f>
        <v>483.87096774193549</v>
      </c>
    </row>
    <row r="4" spans="1:7" x14ac:dyDescent="0.15">
      <c r="A4" s="5" t="s">
        <v>801</v>
      </c>
      <c r="B4" s="5" t="s">
        <v>802</v>
      </c>
      <c r="C4" s="5" t="s">
        <v>812</v>
      </c>
      <c r="D4" s="5" t="s">
        <v>811</v>
      </c>
      <c r="E4" s="5"/>
      <c r="F4" s="3">
        <v>-1799</v>
      </c>
      <c r="G4" s="5" t="s">
        <v>803</v>
      </c>
    </row>
    <row r="5" spans="1:7" x14ac:dyDescent="0.15">
      <c r="A5" s="5" t="s">
        <v>801</v>
      </c>
      <c r="B5" s="5" t="s">
        <v>804</v>
      </c>
      <c r="C5" s="5" t="s">
        <v>813</v>
      </c>
      <c r="D5" s="5" t="s">
        <v>816</v>
      </c>
      <c r="E5" s="5" t="s">
        <v>805</v>
      </c>
      <c r="F5" s="3">
        <v>83</v>
      </c>
      <c r="G5" s="5" t="s">
        <v>806</v>
      </c>
    </row>
    <row r="6" spans="1:7" x14ac:dyDescent="0.15">
      <c r="A6" s="5" t="s">
        <v>801</v>
      </c>
      <c r="B6" s="5" t="s">
        <v>809</v>
      </c>
      <c r="C6" s="5" t="s">
        <v>814</v>
      </c>
      <c r="D6" s="5" t="s">
        <v>815</v>
      </c>
      <c r="E6" s="5" t="s">
        <v>818</v>
      </c>
      <c r="F6" s="3">
        <f>-(1566.65+200+150)/31*(31-15)</f>
        <v>-989.23870967741937</v>
      </c>
      <c r="G6" s="5" t="s">
        <v>817</v>
      </c>
    </row>
  </sheetData>
  <phoneticPr fontId="3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35BA7-0982-4173-99A6-DE8864BF6BF6}">
  <dimension ref="A1:K32"/>
  <sheetViews>
    <sheetView workbookViewId="0">
      <selection activeCell="K16" sqref="K16"/>
    </sheetView>
  </sheetViews>
  <sheetFormatPr defaultRowHeight="13.5" x14ac:dyDescent="0.15"/>
  <cols>
    <col min="1" max="1" width="11" bestFit="1" customWidth="1"/>
    <col min="2" max="2" width="10" style="68" customWidth="1"/>
    <col min="4" max="4" width="14.625" customWidth="1"/>
    <col min="5" max="5" width="13.25" style="37" customWidth="1"/>
    <col min="6" max="6" width="16.125" style="37" customWidth="1"/>
    <col min="7" max="7" width="13.125" style="71" customWidth="1"/>
    <col min="8" max="9" width="9.375" style="37" customWidth="1"/>
    <col min="10" max="11" width="12" style="71" customWidth="1"/>
  </cols>
  <sheetData>
    <row r="1" spans="1:11" x14ac:dyDescent="0.15">
      <c r="A1" s="5" t="s">
        <v>801</v>
      </c>
      <c r="B1" s="68">
        <v>31</v>
      </c>
      <c r="E1" s="37" t="s">
        <v>374</v>
      </c>
      <c r="F1" s="37" t="s">
        <v>375</v>
      </c>
      <c r="G1" s="71" t="s">
        <v>379</v>
      </c>
      <c r="H1" s="37" t="s">
        <v>384</v>
      </c>
      <c r="I1" s="37" t="s">
        <v>306</v>
      </c>
      <c r="J1" s="71" t="s">
        <v>358</v>
      </c>
    </row>
    <row r="2" spans="1:11" ht="14.25" x14ac:dyDescent="0.15">
      <c r="A2" s="37" t="s">
        <v>96</v>
      </c>
      <c r="B2" s="67" t="s">
        <v>380</v>
      </c>
      <c r="C2" s="37" t="s">
        <v>367</v>
      </c>
      <c r="D2" s="37" t="s">
        <v>373</v>
      </c>
      <c r="E2" s="37">
        <f>_xlfn.XLOOKUP(D2,[5]大项目部业绩统计!$A:$A,[5]大项目部业绩统计!$E:$E,0)</f>
        <v>625493</v>
      </c>
      <c r="F2" s="37">
        <f>SUMIFS([6]大项目部业绩统计!$N:$N,[6]大项目部业绩统计!$M:$M,C2)</f>
        <v>0</v>
      </c>
      <c r="G2" s="71" cm="1">
        <f t="array" ref="G2">IF(E2&lt;$C$10,0,SUMPRODUCT((E2&gt;$B$10:$B$12)*(E2-$B$10:$B$12),$E$10:$E$12))</f>
        <v>6254.93</v>
      </c>
      <c r="H2" s="37">
        <v>3500</v>
      </c>
      <c r="I2" s="37">
        <f>_xlfn.XLOOKUP(C2,'[3]②7月-汇总'!$D:$D,'[3]②7月-汇总'!$L:$L,0)</f>
        <v>0</v>
      </c>
      <c r="J2" s="71">
        <f>H2/$B$1*($B$1-I2)</f>
        <v>3500</v>
      </c>
    </row>
    <row r="3" spans="1:11" ht="14.25" x14ac:dyDescent="0.15">
      <c r="A3" s="37" t="s">
        <v>96</v>
      </c>
      <c r="B3" s="67" t="s">
        <v>366</v>
      </c>
      <c r="C3" s="37" t="s">
        <v>368</v>
      </c>
      <c r="D3" s="37" t="s">
        <v>372</v>
      </c>
      <c r="E3" s="37">
        <f>_xlfn.XLOOKUP(D3,[5]大项目部业绩统计!$A:$A,[5]大项目部业绩统计!$E:$E,0)</f>
        <v>385650</v>
      </c>
      <c r="F3" s="37">
        <f>SUMIFS([6]大项目部业绩统计!$N:$N,[6]大项目部业绩统计!$M:$M,C3)</f>
        <v>0</v>
      </c>
      <c r="G3" s="71" cm="1">
        <f t="array" ref="G3">IF(E3&lt;$C$10,0,SUMPRODUCT((E3&gt;$B$10:$B$12)*(E3-$B$10:$B$12),$E$10:$E$12))</f>
        <v>0</v>
      </c>
      <c r="H3" s="37">
        <v>3500</v>
      </c>
      <c r="I3" s="37">
        <f>_xlfn.XLOOKUP(C3,'[3]②7月-汇总'!$D:$D,'[3]②7月-汇总'!$L:$L,0)</f>
        <v>1</v>
      </c>
      <c r="J3" s="71">
        <f t="shared" ref="J3:J5" si="0">H3/$B$1*($B$1-I3)</f>
        <v>3387.0967741935483</v>
      </c>
      <c r="K3" s="71">
        <f>H3-J3</f>
        <v>112.9032258064517</v>
      </c>
    </row>
    <row r="4" spans="1:11" ht="14.25" x14ac:dyDescent="0.15">
      <c r="A4" s="37" t="s">
        <v>96</v>
      </c>
      <c r="B4" s="67" t="s">
        <v>369</v>
      </c>
      <c r="C4" s="37" t="s">
        <v>370</v>
      </c>
      <c r="E4" s="37">
        <f>_xlfn.XLOOKUP(D4,[5]大项目部业绩统计!$A:$A,[5]大项目部业绩统计!$E:$E,0)</f>
        <v>0</v>
      </c>
      <c r="F4" s="37">
        <f>SUMIFS([6]大项目部业绩统计!$N:$N,[6]大项目部业绩统计!$M:$M,C4)</f>
        <v>153076</v>
      </c>
      <c r="G4" s="71" cm="1">
        <f t="array" ref="G4">IF(F4&lt;$C$15,0,SUMPRODUCT((F4&gt;$B$15:$B$17)*(F4-$B$15:$B$17),$E$15:$E$17))</f>
        <v>0</v>
      </c>
      <c r="H4" s="37">
        <v>3000</v>
      </c>
      <c r="I4" s="37">
        <f>_xlfn.XLOOKUP(C4,'[3]②7月-汇总'!$D:$D,'[3]②7月-汇总'!$L:$L,0)</f>
        <v>0</v>
      </c>
      <c r="J4" s="71">
        <f t="shared" si="0"/>
        <v>3000</v>
      </c>
    </row>
    <row r="5" spans="1:11" ht="14.25" x14ac:dyDescent="0.15">
      <c r="A5" s="37" t="s">
        <v>96</v>
      </c>
      <c r="B5" s="67" t="s">
        <v>369</v>
      </c>
      <c r="C5" s="37" t="s">
        <v>371</v>
      </c>
      <c r="E5" s="37">
        <f>_xlfn.XLOOKUP(D5,[5]大项目部业绩统计!$A:$A,[5]大项目部业绩统计!$E:$E,0)</f>
        <v>0</v>
      </c>
      <c r="F5" s="37">
        <f>SUMIFS([6]大项目部业绩统计!$N:$N,[6]大项目部业绩统计!$M:$M,C5)</f>
        <v>85230</v>
      </c>
      <c r="G5" s="71" cm="1">
        <f t="array" ref="G5">IF(F5&lt;$C$15,0,SUMPRODUCT((F5&gt;$B$15:$B$17)*(F5-$B$15:$B$17),$E$15:$E$17))</f>
        <v>0</v>
      </c>
      <c r="H5" s="37">
        <v>3000</v>
      </c>
      <c r="I5" s="37">
        <f>_xlfn.XLOOKUP(C5,'[3]②7月-汇总'!$D:$D,'[3]②7月-汇总'!$L:$L,0)</f>
        <v>0</v>
      </c>
      <c r="J5" s="71">
        <f t="shared" si="0"/>
        <v>3000</v>
      </c>
    </row>
    <row r="6" spans="1:11" ht="14.25" x14ac:dyDescent="0.15">
      <c r="A6" s="37"/>
      <c r="B6" s="67"/>
      <c r="C6" s="37"/>
    </row>
    <row r="7" spans="1:11" x14ac:dyDescent="0.15">
      <c r="C7" s="37"/>
      <c r="D7" s="37"/>
    </row>
    <row r="8" spans="1:11" x14ac:dyDescent="0.15">
      <c r="A8" s="37"/>
    </row>
    <row r="9" spans="1:11" x14ac:dyDescent="0.15">
      <c r="A9" s="37" t="s">
        <v>376</v>
      </c>
      <c r="C9" s="37" t="s">
        <v>381</v>
      </c>
      <c r="D9" s="37" t="s">
        <v>382</v>
      </c>
      <c r="E9" s="37" t="s">
        <v>383</v>
      </c>
    </row>
    <row r="10" spans="1:11" ht="14.25" x14ac:dyDescent="0.15">
      <c r="A10" s="37" t="s">
        <v>377</v>
      </c>
      <c r="B10" s="67"/>
      <c r="C10" s="67">
        <v>500000</v>
      </c>
      <c r="D10" s="69">
        <v>0</v>
      </c>
      <c r="E10" s="70">
        <v>0</v>
      </c>
    </row>
    <row r="11" spans="1:11" ht="14.25" x14ac:dyDescent="0.15">
      <c r="A11" s="37"/>
      <c r="B11" s="67">
        <v>0</v>
      </c>
      <c r="C11" s="67">
        <v>700000</v>
      </c>
      <c r="D11" s="69">
        <v>0.01</v>
      </c>
      <c r="E11" s="70">
        <v>0.01</v>
      </c>
    </row>
    <row r="12" spans="1:11" ht="14.25" x14ac:dyDescent="0.15">
      <c r="B12" s="67">
        <v>700000</v>
      </c>
      <c r="C12" s="67"/>
      <c r="D12" s="69">
        <v>1.4999999999999999E-2</v>
      </c>
      <c r="E12" s="70">
        <v>5.0000000000000001E-3</v>
      </c>
    </row>
    <row r="13" spans="1:11" ht="14.25" x14ac:dyDescent="0.15">
      <c r="B13" s="67"/>
      <c r="C13" s="67"/>
      <c r="D13" s="69"/>
    </row>
    <row r="14" spans="1:11" x14ac:dyDescent="0.15">
      <c r="A14" s="37"/>
      <c r="C14" s="37"/>
    </row>
    <row r="15" spans="1:11" ht="14.25" x14ac:dyDescent="0.15">
      <c r="A15" s="37" t="s">
        <v>378</v>
      </c>
      <c r="B15" s="67">
        <v>0</v>
      </c>
      <c r="C15" s="67">
        <v>200000</v>
      </c>
      <c r="D15" s="69">
        <v>0</v>
      </c>
      <c r="E15" s="70">
        <v>0</v>
      </c>
    </row>
    <row r="16" spans="1:11" ht="14.25" x14ac:dyDescent="0.15">
      <c r="A16" s="37"/>
      <c r="B16" s="67">
        <v>0</v>
      </c>
      <c r="C16" s="67">
        <v>1000000</v>
      </c>
      <c r="D16" s="69">
        <v>0.02</v>
      </c>
      <c r="E16" s="70">
        <v>0.02</v>
      </c>
    </row>
    <row r="17" spans="2:5" ht="14.25" x14ac:dyDescent="0.15">
      <c r="B17" s="67">
        <v>1000000</v>
      </c>
      <c r="C17" s="67"/>
      <c r="D17" s="69">
        <v>2.5000000000000001E-2</v>
      </c>
      <c r="E17" s="70">
        <v>5.0000000000000001E-3</v>
      </c>
    </row>
    <row r="19" spans="2:5" x14ac:dyDescent="0.15">
      <c r="C19" s="37"/>
    </row>
    <row r="24" spans="2:5" x14ac:dyDescent="0.15">
      <c r="C24" s="37"/>
    </row>
    <row r="25" spans="2:5" x14ac:dyDescent="0.15">
      <c r="C25" s="37"/>
    </row>
    <row r="26" spans="2:5" x14ac:dyDescent="0.15">
      <c r="C26" s="37"/>
    </row>
    <row r="28" spans="2:5" x14ac:dyDescent="0.15">
      <c r="C28" s="37"/>
    </row>
    <row r="29" spans="2:5" x14ac:dyDescent="0.15">
      <c r="C29" s="37"/>
    </row>
    <row r="32" spans="2:5" x14ac:dyDescent="0.15">
      <c r="C32" s="37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S29"/>
  <sheetViews>
    <sheetView workbookViewId="0">
      <selection activeCell="G21" sqref="G21"/>
    </sheetView>
  </sheetViews>
  <sheetFormatPr defaultColWidth="9" defaultRowHeight="13.5" x14ac:dyDescent="0.15"/>
  <cols>
    <col min="1" max="1" width="14" style="26" customWidth="1"/>
    <col min="3" max="3" width="6.125" style="25" customWidth="1"/>
    <col min="4" max="4" width="2.875" customWidth="1"/>
    <col min="5" max="5" width="9" style="26"/>
    <col min="7" max="7" width="7" style="25" customWidth="1"/>
    <col min="8" max="8" width="2.375" customWidth="1"/>
    <col min="9" max="9" width="9" style="26"/>
    <col min="10" max="10" width="9" style="25"/>
    <col min="11" max="11" width="4.125" customWidth="1"/>
    <col min="12" max="12" width="9" style="26"/>
    <col min="13" max="13" width="12" style="25" customWidth="1"/>
    <col min="14" max="14" width="2" customWidth="1"/>
  </cols>
  <sheetData>
    <row r="1" spans="1:19" x14ac:dyDescent="0.15">
      <c r="A1" s="58" t="s">
        <v>14</v>
      </c>
      <c r="B1" s="59" t="s">
        <v>289</v>
      </c>
      <c r="C1" s="60" t="s">
        <v>290</v>
      </c>
      <c r="E1" s="61" t="s">
        <v>16</v>
      </c>
      <c r="F1" s="59" t="s">
        <v>289</v>
      </c>
      <c r="G1" s="60" t="s">
        <v>290</v>
      </c>
      <c r="I1" s="61" t="s">
        <v>15</v>
      </c>
      <c r="J1" s="60" t="s">
        <v>289</v>
      </c>
      <c r="L1" s="61" t="s">
        <v>319</v>
      </c>
      <c r="M1" s="62" t="s">
        <v>289</v>
      </c>
      <c r="O1" s="61" t="s">
        <v>328</v>
      </c>
      <c r="S1" s="5" t="s">
        <v>329</v>
      </c>
    </row>
    <row r="2" spans="1:19" x14ac:dyDescent="0.15">
      <c r="A2" s="26" t="str" cm="1">
        <f t="array" ref="A2:A26">_xlfn.UNIQUE(_xlfn._xlws.FILTER('①考勤-B-a-26考勤汇总表'!$D:$D,'①考勤-B-a-26考勤汇总表'!$B:$B='①-①人事取数'!$A$1))</f>
        <v>易春梅</v>
      </c>
      <c r="B2" t="str">
        <f>_xlfn.XLOOKUP(A2,'①考勤-B-a-26考勤汇总表'!D:D,'①考勤-B-a-26考勤汇总表'!A:A,0)</f>
        <v>华润</v>
      </c>
      <c r="C2" s="25" t="str">
        <f>_xlfn.XLOOKUP(A2,'①考勤-B-a-26考勤汇总表'!D:D,'①考勤-B-a-26考勤汇总表'!B:B,0)</f>
        <v>店长</v>
      </c>
      <c r="E2" s="26" t="str" cm="1">
        <f t="array" ref="E2:E11">_xlfn.UNIQUE(_xlfn._xlws.FILTER('①考勤-B-a-26考勤汇总表'!D:D,'①考勤-B-a-26考勤汇总表'!$B:$B=$E$1))</f>
        <v>李春华</v>
      </c>
      <c r="F2" t="str">
        <f>_xlfn.XLOOKUP(E2,'①考勤-B-a-26考勤汇总表'!D:D,'①考勤-B-a-26考勤汇总表'!A:A,0)</f>
        <v>紫荆</v>
      </c>
      <c r="G2" s="25" t="str">
        <f>_xlfn.XLOOKUP(E2,'①考勤-B-a-26考勤汇总表'!D:D,'①考勤-B-a-26考勤汇总表'!B:B,0)</f>
        <v>主任</v>
      </c>
      <c r="I2" s="26" t="str" cm="1">
        <f t="array" ref="I2:I29">_xlfn.UNIQUE(_xlfn._xlws.FILTER('①考勤-B-a-26考勤汇总表'!$D:$D,'①考勤-B-a-26考勤汇总表'!B:B=$I$1))</f>
        <v>江玲</v>
      </c>
      <c r="J2" s="25" t="str">
        <f>_xlfn.XLOOKUP(I2,'①考勤-B-a-26考勤汇总表'!$D:$D,'①考勤-B-a-26考勤汇总表'!$A:$A,0)</f>
        <v>华润</v>
      </c>
      <c r="L2" s="26" t="str" cm="1">
        <f t="array" ref="L2:L3">_xlfn.UNIQUE(_xlfn._xlws.FILTER('①考勤-B-a-26考勤汇总表'!$D:$D,'①考勤-B-a-26考勤汇总表'!B:B=$L$1))</f>
        <v>樊琳</v>
      </c>
      <c r="M2" s="25" t="str">
        <f>_xlfn.XLOOKUP(L2,'①考勤-B-a-26考勤汇总表'!$D:$D,'①考勤-B-a-26考勤汇总表'!$A:$A,0)</f>
        <v>静居寺</v>
      </c>
    </row>
    <row r="3" spans="1:19" x14ac:dyDescent="0.15">
      <c r="A3" s="26" t="str">
        <v>莫志英</v>
      </c>
      <c r="B3" t="str">
        <f>_xlfn.XLOOKUP(A3,'①考勤-B-a-26考勤汇总表'!D:D,'①考勤-B-a-26考勤汇总表'!A:A,0)</f>
        <v>紫荆</v>
      </c>
      <c r="C3" s="25" t="str">
        <f>_xlfn.XLOOKUP(A3,'①考勤-B-a-26考勤汇总表'!D:D,'①考勤-B-a-26考勤汇总表'!B:B,0)</f>
        <v>店长</v>
      </c>
      <c r="E3" s="26" t="str">
        <v>吴敏</v>
      </c>
      <c r="F3">
        <f>_xlfn.XLOOKUP(E3,'①考勤-B-a-26考勤汇总表'!D:D,'①考勤-B-a-26考勤汇总表'!A:A,0)</f>
        <v>468</v>
      </c>
      <c r="G3" s="25" t="str">
        <f>_xlfn.XLOOKUP(E3,'①考勤-B-a-26考勤汇总表'!D:D,'①考勤-B-a-26考勤汇总表'!B:B,0)</f>
        <v>主任</v>
      </c>
      <c r="I3" s="26" t="str">
        <v>吴琴</v>
      </c>
      <c r="J3" s="25" t="str">
        <f>_xlfn.XLOOKUP(I3,'①考勤-B-a-26考勤汇总表'!D:D,'①考勤-B-a-26考勤汇总表'!A:A,0)</f>
        <v>紫荆</v>
      </c>
      <c r="L3" s="26" t="str">
        <v>牟光燕</v>
      </c>
      <c r="M3" s="25" t="str">
        <f>_xlfn.XLOOKUP(L3,'①考勤-B-a-26考勤汇总表'!$D:$D,'①考勤-B-a-26考勤汇总表'!$A:$A,0)</f>
        <v>荣华北路</v>
      </c>
    </row>
    <row r="4" spans="1:19" x14ac:dyDescent="0.15">
      <c r="A4" s="26" t="str">
        <v>彭龙惠</v>
      </c>
      <c r="B4" t="str">
        <f>_xlfn.XLOOKUP(A4,'①考勤-B-a-26考勤汇总表'!D:D,'①考勤-B-a-26考勤汇总表'!A:A,0)</f>
        <v>龙湖</v>
      </c>
      <c r="C4" s="25" t="str">
        <f>_xlfn.XLOOKUP(A4,'①考勤-B-a-26考勤汇总表'!D:D,'①考勤-B-a-26考勤汇总表'!B:B,0)</f>
        <v>店长</v>
      </c>
      <c r="E4" s="26" t="str">
        <v>李萱君</v>
      </c>
      <c r="F4" t="str">
        <f>_xlfn.XLOOKUP(E4,'①考勤-B-a-26考勤汇总表'!D:D,'①考勤-B-a-26考勤汇总表'!A:A,0)</f>
        <v>融创</v>
      </c>
      <c r="G4" s="25" t="str">
        <f>_xlfn.XLOOKUP(E4,'①考勤-B-a-26考勤汇总表'!D:D,'①考勤-B-a-26考勤汇总表'!B:B,0)</f>
        <v>主任</v>
      </c>
      <c r="I4" s="26" t="str">
        <v>赵小红</v>
      </c>
      <c r="J4" s="25" t="str">
        <f>_xlfn.XLOOKUP(I4,'①考勤-B-a-26考勤汇总表'!D:D,'①考勤-B-a-26考勤汇总表'!A:A,0)</f>
        <v>龙湖</v>
      </c>
    </row>
    <row r="5" spans="1:19" x14ac:dyDescent="0.15">
      <c r="A5" s="26" t="str">
        <v>向郑瑶</v>
      </c>
      <c r="B5" t="str">
        <f>_xlfn.XLOOKUP(A5,'①考勤-B-a-26考勤汇总表'!D:D,'①考勤-B-a-26考勤汇总表'!A:A,0)</f>
        <v>沙河</v>
      </c>
      <c r="C5" s="25" t="str">
        <f>_xlfn.XLOOKUP(A5,'①考勤-B-a-26考勤汇总表'!D:D,'①考勤-B-a-26考勤汇总表'!B:B,0)</f>
        <v>店长</v>
      </c>
      <c r="E5" s="26" t="str">
        <v>刘晓林</v>
      </c>
      <c r="F5" t="str">
        <f>_xlfn.XLOOKUP(E5,'①考勤-B-a-26考勤汇总表'!D:D,'①考勤-B-a-26考勤汇总表'!A:A,0)</f>
        <v>川师</v>
      </c>
      <c r="G5" s="25" t="str">
        <f>_xlfn.XLOOKUP(E5,'①考勤-B-a-26考勤汇总表'!D:D,'①考勤-B-a-26考勤汇总表'!B:B,0)</f>
        <v>主任</v>
      </c>
      <c r="I5" s="26" t="str">
        <v>谭莹</v>
      </c>
      <c r="J5" s="25" t="str">
        <f>_xlfn.XLOOKUP(I5,'①考勤-B-a-26考勤汇总表'!D:D,'①考勤-B-a-26考勤汇总表'!A:A,0)</f>
        <v>沙河</v>
      </c>
    </row>
    <row r="6" spans="1:19" x14ac:dyDescent="0.15">
      <c r="A6" s="26" t="str">
        <v>陈怡名</v>
      </c>
      <c r="B6" t="str">
        <f>_xlfn.XLOOKUP(A6,'①考勤-B-a-26考勤汇总表'!D:D,'①考勤-B-a-26考勤汇总表'!A:A,0)</f>
        <v>静居寺</v>
      </c>
      <c r="C6" s="25" t="str">
        <f>_xlfn.XLOOKUP(A6,'①考勤-B-a-26考勤汇总表'!D:D,'①考勤-B-a-26考勤汇总表'!B:B,0)</f>
        <v>店长</v>
      </c>
      <c r="E6" s="26" t="str">
        <v>刘金凤</v>
      </c>
      <c r="F6" t="str">
        <f>_xlfn.XLOOKUP(E6,'①考勤-B-a-26考勤汇总表'!D:D,'①考勤-B-a-26考勤汇总表'!A:A,0)</f>
        <v>光华</v>
      </c>
      <c r="G6" s="25" t="str">
        <f>_xlfn.XLOOKUP(E6,'①考勤-B-a-26考勤汇总表'!D:D,'①考勤-B-a-26考勤汇总表'!B:B,0)</f>
        <v>主任</v>
      </c>
      <c r="I6" s="26" t="str">
        <v>王任燕</v>
      </c>
      <c r="J6" s="25">
        <f>_xlfn.XLOOKUP(I6,'①考勤-B-a-26考勤汇总表'!D:D,'①考勤-B-a-26考勤汇总表'!A:A,0)</f>
        <v>468</v>
      </c>
    </row>
    <row r="7" spans="1:19" x14ac:dyDescent="0.15">
      <c r="A7" s="26" t="str">
        <v>张小华</v>
      </c>
      <c r="B7">
        <f>_xlfn.XLOOKUP(A7,'①考勤-B-a-26考勤汇总表'!D:D,'①考勤-B-a-26考勤汇总表'!A:A,0)</f>
        <v>468</v>
      </c>
      <c r="C7" s="25" t="str">
        <f>_xlfn.XLOOKUP(A7,'①考勤-B-a-26考勤汇总表'!D:D,'①考勤-B-a-26考勤汇总表'!B:B,0)</f>
        <v>店长</v>
      </c>
      <c r="E7" s="26" t="str">
        <v>竹艳梅</v>
      </c>
      <c r="F7" t="str">
        <f>_xlfn.XLOOKUP(E7,'①考勤-B-a-26考勤汇总表'!D:D,'①考勤-B-a-26考勤汇总表'!A:A,0)</f>
        <v>龙城国际</v>
      </c>
      <c r="G7" s="25" t="str">
        <f>_xlfn.XLOOKUP(E7,'①考勤-B-a-26考勤汇总表'!D:D,'①考勤-B-a-26考勤汇总表'!B:B,0)</f>
        <v>主任</v>
      </c>
      <c r="I7" s="26" t="str">
        <v>陈佳丽</v>
      </c>
      <c r="J7" s="25" t="str">
        <f>_xlfn.XLOOKUP(I7,'①考勤-B-a-26考勤汇总表'!D:D,'①考勤-B-a-26考勤汇总表'!A:A,0)</f>
        <v>光华</v>
      </c>
    </row>
    <row r="8" spans="1:19" x14ac:dyDescent="0.15">
      <c r="A8" s="26" t="str">
        <v>徐睦垚</v>
      </c>
      <c r="B8" t="str">
        <f>_xlfn.XLOOKUP(A8,'①考勤-B-a-26考勤汇总表'!D:D,'①考勤-B-a-26考勤汇总表'!A:A,0)</f>
        <v>光华</v>
      </c>
      <c r="C8" s="25" t="str">
        <f>_xlfn.XLOOKUP(A8,'①考勤-B-a-26考勤汇总表'!D:D,'①考勤-B-a-26考勤汇总表'!B:B,0)</f>
        <v>店长</v>
      </c>
      <c r="E8" s="26" t="str">
        <v>高红艳</v>
      </c>
      <c r="F8" t="str">
        <f>_xlfn.XLOOKUP(E8,'①考勤-B-a-26考勤汇总表'!D:D,'①考勤-B-a-26考勤汇总表'!A:A,0)</f>
        <v>涌泉</v>
      </c>
      <c r="G8" s="25" t="str">
        <f>_xlfn.XLOOKUP(E8,'①考勤-B-a-26考勤汇总表'!D:D,'①考勤-B-a-26考勤汇总表'!B:B,0)</f>
        <v>主任</v>
      </c>
      <c r="I8" s="26" t="str">
        <v>但红玉</v>
      </c>
      <c r="J8" s="25" t="str">
        <f>_xlfn.XLOOKUP(I8,'①考勤-B-a-26考勤汇总表'!D:D,'①考勤-B-a-26考勤汇总表'!A:A,0)</f>
        <v>融创</v>
      </c>
    </row>
    <row r="9" spans="1:19" x14ac:dyDescent="0.15">
      <c r="A9" s="26" t="str">
        <v>刘安琼</v>
      </c>
      <c r="B9" t="str">
        <f>_xlfn.XLOOKUP(A9,'①考勤-B-a-26考勤汇总表'!D:D,'①考勤-B-a-26考勤汇总表'!A:A,0)</f>
        <v>川师</v>
      </c>
      <c r="C9" s="25" t="str">
        <f>_xlfn.XLOOKUP(A9,'①考勤-B-a-26考勤汇总表'!D:D,'①考勤-B-a-26考勤汇总表'!B:B,0)</f>
        <v>店长</v>
      </c>
      <c r="E9" s="26" t="str">
        <v>罗林芳</v>
      </c>
      <c r="F9" t="str">
        <f>_xlfn.XLOOKUP(E9,'①考勤-B-a-26考勤汇总表'!D:D,'①考勤-B-a-26考勤汇总表'!A:A,0)</f>
        <v>保利</v>
      </c>
      <c r="G9" s="25" t="str">
        <f>_xlfn.XLOOKUP(E9,'①考勤-B-a-26考勤汇总表'!D:D,'①考勤-B-a-26考勤汇总表'!B:B,0)</f>
        <v>主任</v>
      </c>
      <c r="I9" s="26" t="str">
        <v>林萍</v>
      </c>
      <c r="J9" s="25" t="str">
        <f>_xlfn.XLOOKUP(I9,'①考勤-B-a-26考勤汇总表'!D:D,'①考勤-B-a-26考勤汇总表'!A:A,0)</f>
        <v>川师</v>
      </c>
    </row>
    <row r="10" spans="1:19" x14ac:dyDescent="0.15">
      <c r="A10" s="26" t="str">
        <v>何琼华</v>
      </c>
      <c r="B10" t="str">
        <f>_xlfn.XLOOKUP(A10,'①考勤-B-a-26考勤汇总表'!D:D,'①考勤-B-a-26考勤汇总表'!A:A,0)</f>
        <v>鹭岛</v>
      </c>
      <c r="C10" s="25" t="str">
        <f>_xlfn.XLOOKUP(A10,'①考勤-B-a-26考勤汇总表'!D:D,'①考勤-B-a-26考勤汇总表'!B:B,0)</f>
        <v>店长</v>
      </c>
      <c r="E10" s="26" t="str">
        <v>任艺</v>
      </c>
      <c r="F10" t="str">
        <f>_xlfn.XLOOKUP(E10,'①考勤-B-a-26考勤汇总表'!D:D,'①考勤-B-a-26考勤汇总表'!A:A,0)</f>
        <v>川音</v>
      </c>
      <c r="G10" s="25" t="str">
        <f>_xlfn.XLOOKUP(E10,'①考勤-B-a-26考勤汇总表'!D:D,'①考勤-B-a-26考勤汇总表'!B:B,0)</f>
        <v>主任</v>
      </c>
      <c r="I10" s="26" t="str">
        <v>蒋圆圆</v>
      </c>
      <c r="J10" s="25" t="str">
        <f>_xlfn.XLOOKUP(I10,'①考勤-B-a-26考勤汇总表'!D:D,'①考勤-B-a-26考勤汇总表'!A:A,0)</f>
        <v>鹭岛</v>
      </c>
    </row>
    <row r="11" spans="1:19" x14ac:dyDescent="0.15">
      <c r="A11" s="26" t="str">
        <v>秦娜</v>
      </c>
      <c r="B11" t="str">
        <f>_xlfn.XLOOKUP(A11,'①考勤-B-a-26考勤汇总表'!D:D,'①考勤-B-a-26考勤汇总表'!A:A,0)</f>
        <v>荣华北路</v>
      </c>
      <c r="C11" s="25" t="str">
        <f>_xlfn.XLOOKUP(A11,'①考勤-B-a-26考勤汇总表'!D:D,'①考勤-B-a-26考勤汇总表'!B:B,0)</f>
        <v>店长</v>
      </c>
      <c r="E11" s="26" t="str">
        <v>康丹</v>
      </c>
      <c r="F11" t="str">
        <f>_xlfn.XLOOKUP(E11,'①考勤-B-a-26考勤汇总表'!D:D,'①考勤-B-a-26考勤汇总表'!A:A,0)</f>
        <v>骑士郡</v>
      </c>
      <c r="G11" s="25" t="str">
        <f>_xlfn.XLOOKUP(E11,'①考勤-B-a-26考勤汇总表'!D:D,'①考勤-B-a-26考勤汇总表'!B:B,0)</f>
        <v>主任</v>
      </c>
      <c r="I11" s="26" t="str">
        <v>张明艳</v>
      </c>
      <c r="J11" s="25" t="str">
        <f>_xlfn.XLOOKUP(I11,'①考勤-B-a-26考勤汇总表'!D:D,'①考勤-B-a-26考勤汇总表'!A:A,0)</f>
        <v>荣华南路</v>
      </c>
    </row>
    <row r="12" spans="1:19" x14ac:dyDescent="0.15">
      <c r="A12" s="26" t="str">
        <v>邓丽莉</v>
      </c>
      <c r="B12" t="str">
        <f>_xlfn.XLOOKUP(A12,'①考勤-B-a-26考勤汇总表'!D:D,'①考勤-B-a-26考勤汇总表'!A:A,0)</f>
        <v>荣华南路</v>
      </c>
      <c r="C12" s="25" t="str">
        <f>_xlfn.XLOOKUP(A12,'①考勤-B-a-26考勤汇总表'!D:D,'①考勤-B-a-26考勤汇总表'!B:B,0)</f>
        <v>店长</v>
      </c>
      <c r="F12" t="str">
        <f>_xlfn.XLOOKUP(E12,'①考勤-B-a-26考勤汇总表'!D:D,'①考勤-B-a-26考勤汇总表'!A:A,0)</f>
        <v>7月</v>
      </c>
      <c r="G12" s="25">
        <f>_xlfn.XLOOKUP(E12,'①考勤-B-a-26考勤汇总表'!D:D,'①考勤-B-a-26考勤汇总表'!B:B,0)</f>
        <v>2025</v>
      </c>
      <c r="I12" s="26" t="str">
        <v>郑华跃</v>
      </c>
      <c r="J12" s="25" t="str">
        <f>_xlfn.XLOOKUP(I12,'①考勤-B-a-26考勤汇总表'!D:D,'①考勤-B-a-26考勤汇总表'!A:A,0)</f>
        <v>大丰</v>
      </c>
    </row>
    <row r="13" spans="1:19" x14ac:dyDescent="0.15">
      <c r="A13" s="26" t="str">
        <v>李茂</v>
      </c>
      <c r="B13" t="str">
        <f>_xlfn.XLOOKUP(A13,'①考勤-B-a-26考勤汇总表'!D:D,'①考勤-B-a-26考勤汇总表'!A:A,0)</f>
        <v>大丰</v>
      </c>
      <c r="C13" s="25" t="str">
        <f>_xlfn.XLOOKUP(A13,'①考勤-B-a-26考勤汇总表'!D:D,'①考勤-B-a-26考勤汇总表'!B:B,0)</f>
        <v>店长</v>
      </c>
      <c r="F13" t="str">
        <f>_xlfn.XLOOKUP(E13,'①考勤-B-a-26考勤汇总表'!D:D,'①考勤-B-a-26考勤汇总表'!A:A,0)</f>
        <v>7月</v>
      </c>
      <c r="G13" s="25">
        <f>_xlfn.XLOOKUP(E13,'①考勤-B-a-26考勤汇总表'!D:D,'①考勤-B-a-26考勤汇总表'!B:B,0)</f>
        <v>2025</v>
      </c>
      <c r="I13" s="26" t="str">
        <v>陈琳</v>
      </c>
      <c r="J13" s="25" t="str">
        <f>_xlfn.XLOOKUP(I13,'①考勤-B-a-26考勤汇总表'!D:D,'①考勤-B-a-26考勤汇总表'!A:A,0)</f>
        <v>双流</v>
      </c>
    </row>
    <row r="14" spans="1:19" x14ac:dyDescent="0.15">
      <c r="A14" s="26" t="str">
        <v>王晓琳</v>
      </c>
      <c r="B14" t="str">
        <f>_xlfn.XLOOKUP(A14,'①考勤-B-a-26考勤汇总表'!D:D,'①考勤-B-a-26考勤汇总表'!A:A,0)</f>
        <v>双流</v>
      </c>
      <c r="C14" s="25" t="str">
        <f>_xlfn.XLOOKUP(A14,'①考勤-B-a-26考勤汇总表'!D:D,'①考勤-B-a-26考勤汇总表'!B:B,0)</f>
        <v>店长</v>
      </c>
      <c r="F14" t="str">
        <f>_xlfn.XLOOKUP(E14,'①考勤-B-a-26考勤汇总表'!D:D,'①考勤-B-a-26考勤汇总表'!A:A,0)</f>
        <v>7月</v>
      </c>
      <c r="G14" s="25">
        <f>_xlfn.XLOOKUP(E14,'①考勤-B-a-26考勤汇总表'!D:D,'①考勤-B-a-26考勤汇总表'!B:B,0)</f>
        <v>2025</v>
      </c>
      <c r="I14" s="26" t="str">
        <v>雷怡</v>
      </c>
      <c r="J14" s="25" t="str">
        <f>_xlfn.XLOOKUP(I14,'①考勤-B-a-26考勤汇总表'!D:D,'①考勤-B-a-26考勤汇总表'!A:A,0)</f>
        <v>骑士郡</v>
      </c>
    </row>
    <row r="15" spans="1:19" x14ac:dyDescent="0.15">
      <c r="A15" s="26" t="str">
        <v>张勤</v>
      </c>
      <c r="B15" t="str">
        <f>_xlfn.XLOOKUP(A15,'①考勤-B-a-26考勤汇总表'!D:D,'①考勤-B-a-26考勤汇总表'!A:A,0)</f>
        <v>骑士郡</v>
      </c>
      <c r="C15" s="25" t="str">
        <f>_xlfn.XLOOKUP(A15,'①考勤-B-a-26考勤汇总表'!D:D,'①考勤-B-a-26考勤汇总表'!B:B,0)</f>
        <v>店长</v>
      </c>
      <c r="I15" s="26" t="str">
        <v>陈嘉仪</v>
      </c>
      <c r="J15" s="25" t="str">
        <f>_xlfn.XLOOKUP(I15,'①考勤-B-a-26考勤汇总表'!D:D,'①考勤-B-a-26考勤汇总表'!A:A,0)</f>
        <v>明信</v>
      </c>
    </row>
    <row r="16" spans="1:19" x14ac:dyDescent="0.15">
      <c r="A16" s="26" t="str">
        <v>糜清云</v>
      </c>
      <c r="B16" t="str">
        <f>_xlfn.XLOOKUP(A16,'①考勤-B-a-26考勤汇总表'!D:D,'①考勤-B-a-26考勤汇总表'!A:A,0)</f>
        <v>明信</v>
      </c>
      <c r="C16" s="25" t="str">
        <f>_xlfn.XLOOKUP(A16,'①考勤-B-a-26考勤汇总表'!D:D,'①考勤-B-a-26考勤汇总表'!B:B,0)</f>
        <v>店长</v>
      </c>
      <c r="I16" s="26" t="str">
        <v>彭兰钦</v>
      </c>
      <c r="J16" s="25" t="str">
        <f>_xlfn.XLOOKUP(I16,'①考勤-B-a-26考勤汇总表'!D:D,'①考勤-B-a-26考勤汇总表'!A:A,0)</f>
        <v>犀浦</v>
      </c>
    </row>
    <row r="17" spans="1:10" x14ac:dyDescent="0.15">
      <c r="A17" s="26" t="str">
        <v>曾玉莲</v>
      </c>
      <c r="B17" t="str">
        <f>_xlfn.XLOOKUP(A17,'①考勤-B-a-26考勤汇总表'!D:D,'①考勤-B-a-26考勤汇总表'!A:A,0)</f>
        <v>犀浦</v>
      </c>
      <c r="C17" s="25" t="str">
        <f>_xlfn.XLOOKUP(A17,'①考勤-B-a-26考勤汇总表'!D:D,'①考勤-B-a-26考勤汇总表'!B:B,0)</f>
        <v>店长</v>
      </c>
      <c r="I17" s="26" t="str">
        <v>郑巧玲</v>
      </c>
      <c r="J17" s="25" t="str">
        <f>_xlfn.XLOOKUP(I17,'①考勤-B-a-26考勤汇总表'!D:D,'①考勤-B-a-26考勤汇总表'!A:A,0)</f>
        <v>千禧</v>
      </c>
    </row>
    <row r="18" spans="1:10" x14ac:dyDescent="0.15">
      <c r="A18" s="26" t="str">
        <v>白丽</v>
      </c>
      <c r="B18" t="str">
        <f>_xlfn.XLOOKUP(A18,'①考勤-B-a-26考勤汇总表'!D:D,'①考勤-B-a-26考勤汇总表'!A:A,0)</f>
        <v>千禧</v>
      </c>
      <c r="C18" s="25" t="str">
        <f>_xlfn.XLOOKUP(A18,'①考勤-B-a-26考勤汇总表'!D:D,'①考勤-B-a-26考勤汇总表'!B:B,0)</f>
        <v>店长</v>
      </c>
      <c r="I18" s="26" t="str">
        <v>谢珂欣</v>
      </c>
      <c r="J18" s="25" t="str">
        <f>_xlfn.XLOOKUP(I18,'①考勤-B-a-26考勤汇总表'!D:D,'①考勤-B-a-26考勤汇总表'!A:A,0)</f>
        <v>亚洲湾</v>
      </c>
    </row>
    <row r="19" spans="1:10" x14ac:dyDescent="0.15">
      <c r="A19" s="26" t="str">
        <v>尧丹丹</v>
      </c>
      <c r="B19" t="str">
        <f>_xlfn.XLOOKUP(A19,'①考勤-B-a-26考勤汇总表'!D:D,'①考勤-B-a-26考勤汇总表'!A:A,0)</f>
        <v>亚洲湾</v>
      </c>
      <c r="C19" s="25" t="str">
        <f>_xlfn.XLOOKUP(A19,'①考勤-B-a-26考勤汇总表'!D:D,'①考勤-B-a-26考勤汇总表'!B:B,0)</f>
        <v>店长</v>
      </c>
      <c r="I19" s="26" t="str">
        <v>贺慧</v>
      </c>
      <c r="J19" s="25" t="str">
        <f>_xlfn.XLOOKUP(I19,'①考勤-B-a-26考勤汇总表'!D:D,'①考勤-B-a-26考勤汇总表'!A:A,0)</f>
        <v>中和</v>
      </c>
    </row>
    <row r="20" spans="1:10" x14ac:dyDescent="0.15">
      <c r="A20" s="26" t="str">
        <v>关晓燕</v>
      </c>
      <c r="B20" t="str">
        <f>_xlfn.XLOOKUP(A20,'①考勤-B-a-26考勤汇总表'!D:D,'①考勤-B-a-26考勤汇总表'!A:A,0)</f>
        <v>中和</v>
      </c>
      <c r="C20" s="25" t="str">
        <f>_xlfn.XLOOKUP(A20,'①考勤-B-a-26考勤汇总表'!D:D,'①考勤-B-a-26考勤汇总表'!B:B,0)</f>
        <v>店长</v>
      </c>
      <c r="I20" s="26" t="str">
        <v>叶璐璐</v>
      </c>
      <c r="J20" s="25" t="str">
        <f>_xlfn.XLOOKUP(I20,'①考勤-B-a-26考勤汇总表'!D:D,'①考勤-B-a-26考勤汇总表'!A:A,0)</f>
        <v>凤凰山</v>
      </c>
    </row>
    <row r="21" spans="1:10" x14ac:dyDescent="0.15">
      <c r="A21" s="26" t="str">
        <v>魏柯</v>
      </c>
      <c r="B21" t="str">
        <f>_xlfn.XLOOKUP(A21,'①考勤-B-a-26考勤汇总表'!D:D,'①考勤-B-a-26考勤汇总表'!A:A,0)</f>
        <v>凤凰山</v>
      </c>
      <c r="C21" s="25" t="str">
        <f>_xlfn.XLOOKUP(A21,'①考勤-B-a-26考勤汇总表'!D:D,'①考勤-B-a-26考勤汇总表'!B:B,0)</f>
        <v>店长</v>
      </c>
      <c r="I21" s="26" t="str">
        <v>施凤皎</v>
      </c>
      <c r="J21" s="25" t="str">
        <f>_xlfn.XLOOKUP(I21,'①考勤-B-a-26考勤汇总表'!D:D,'①考勤-B-a-26考勤汇总表'!A:A,0)</f>
        <v>南湖</v>
      </c>
    </row>
    <row r="22" spans="1:10" x14ac:dyDescent="0.15">
      <c r="A22" s="26" t="str">
        <v>龚茜</v>
      </c>
      <c r="B22" t="str">
        <f>_xlfn.XLOOKUP(A22,'①考勤-B-a-26考勤汇总表'!D:D,'①考勤-B-a-26考勤汇总表'!A:A,0)</f>
        <v>南湖</v>
      </c>
      <c r="C22" s="25" t="str">
        <f>_xlfn.XLOOKUP(A22,'①考勤-B-a-26考勤汇总表'!D:D,'①考勤-B-a-26考勤汇总表'!B:B,0)</f>
        <v>店长</v>
      </c>
      <c r="I22" s="26" t="str">
        <v>林锶莹</v>
      </c>
      <c r="J22" s="25" t="str">
        <f>_xlfn.XLOOKUP(I22,'①考勤-B-a-26考勤汇总表'!D:D,'①考勤-B-a-26考勤汇总表'!A:A,0)</f>
        <v>涌泉</v>
      </c>
    </row>
    <row r="23" spans="1:10" x14ac:dyDescent="0.15">
      <c r="A23" s="26" t="str">
        <v>赵忠芬</v>
      </c>
      <c r="B23" t="str">
        <f>_xlfn.XLOOKUP(A23,'①考勤-B-a-26考勤汇总表'!D:D,'①考勤-B-a-26考勤汇总表'!A:A,0)</f>
        <v>涌泉</v>
      </c>
      <c r="C23" s="25" t="str">
        <f>_xlfn.XLOOKUP(A23,'①考勤-B-a-26考勤汇总表'!D:D,'①考勤-B-a-26考勤汇总表'!B:B,0)</f>
        <v>店长</v>
      </c>
      <c r="I23" s="26" t="str">
        <v>刘香</v>
      </c>
      <c r="J23" s="25" t="str">
        <f>_xlfn.XLOOKUP(I23,'①考勤-B-a-26考勤汇总表'!D:D,'①考勤-B-a-26考勤汇总表'!A:A,0)</f>
        <v>优品道</v>
      </c>
    </row>
    <row r="24" spans="1:10" x14ac:dyDescent="0.15">
      <c r="A24" s="26" t="str">
        <v>张清华</v>
      </c>
      <c r="B24" t="str">
        <f>_xlfn.XLOOKUP(A24,'①考勤-B-a-26考勤汇总表'!D:D,'①考勤-B-a-26考勤汇总表'!A:A,0)</f>
        <v>优品道</v>
      </c>
      <c r="C24" s="25" t="str">
        <f>_xlfn.XLOOKUP(A24,'①考勤-B-a-26考勤汇总表'!D:D,'①考勤-B-a-26考勤汇总表'!B:B,0)</f>
        <v>店长</v>
      </c>
      <c r="I24" s="26" t="str">
        <v>陈燕辉</v>
      </c>
      <c r="J24" s="25" t="str">
        <f>_xlfn.XLOOKUP(I24,'①考勤-B-a-26考勤汇总表'!D:D,'①考勤-B-a-26考勤汇总表'!A:A,0)</f>
        <v>大源</v>
      </c>
    </row>
    <row r="25" spans="1:10" x14ac:dyDescent="0.15">
      <c r="A25" s="26" t="str">
        <v>张红霞</v>
      </c>
      <c r="B25" t="str">
        <f>_xlfn.XLOOKUP(A25,'①考勤-B-a-26考勤汇总表'!D:D,'①考勤-B-a-26考勤汇总表'!A:A,0)</f>
        <v>大源</v>
      </c>
      <c r="C25" s="25" t="str">
        <f>_xlfn.XLOOKUP(A25,'①考勤-B-a-26考勤汇总表'!D:D,'①考勤-B-a-26考勤汇总表'!B:B,0)</f>
        <v>店长</v>
      </c>
      <c r="I25" s="26" t="str">
        <v>谢双叶</v>
      </c>
      <c r="J25" s="25" t="str">
        <f>_xlfn.XLOOKUP(I25,'①考勤-B-a-26考勤汇总表'!D:D,'①考勤-B-a-26考勤汇总表'!A:A,0)</f>
        <v>红光</v>
      </c>
    </row>
    <row r="26" spans="1:10" x14ac:dyDescent="0.15">
      <c r="A26" s="26" t="str">
        <v>宋林琳</v>
      </c>
      <c r="B26" t="str">
        <f>_xlfn.XLOOKUP(A26,'①考勤-B-a-26考勤汇总表'!D:D,'①考勤-B-a-26考勤汇总表'!A:A,0)</f>
        <v>红光</v>
      </c>
      <c r="C26" s="25" t="str">
        <f>_xlfn.XLOOKUP(A26,'①考勤-B-a-26考勤汇总表'!D:D,'①考勤-B-a-26考勤汇总表'!B:B,0)</f>
        <v>店长</v>
      </c>
      <c r="I26" s="26" t="str">
        <v>汪丽娟</v>
      </c>
      <c r="J26" s="25" t="str">
        <f>_xlfn.XLOOKUP(I26,'①考勤-B-a-26考勤汇总表'!D:D,'①考勤-B-a-26考勤汇总表'!A:A,0)</f>
        <v>保利</v>
      </c>
    </row>
    <row r="27" spans="1:10" x14ac:dyDescent="0.15">
      <c r="B27" t="str">
        <f>_xlfn.XLOOKUP(A27,'①考勤-B-a-26考勤汇总表'!D:D,'①考勤-B-a-26考勤汇总表'!A:A,0)</f>
        <v>7月</v>
      </c>
      <c r="I27" s="26" t="str">
        <v>胡祝曲</v>
      </c>
      <c r="J27" s="25" t="str">
        <f>_xlfn.XLOOKUP(I27,'①考勤-B-a-26考勤汇总表'!D:D,'①考勤-B-a-26考勤汇总表'!A:A,0)</f>
        <v>龙城国际</v>
      </c>
    </row>
    <row r="28" spans="1:10" x14ac:dyDescent="0.15">
      <c r="I28" s="26" t="str">
        <v>涂莹丹</v>
      </c>
      <c r="J28" s="25" t="str">
        <f>_xlfn.XLOOKUP(I28,'①考勤-B-a-26考勤汇总表'!D:D,'①考勤-B-a-26考勤汇总表'!A:A,0)</f>
        <v>川音</v>
      </c>
    </row>
    <row r="29" spans="1:10" x14ac:dyDescent="0.15">
      <c r="I29" s="26" t="str">
        <v>刘雨佳</v>
      </c>
      <c r="J29" s="25" t="str">
        <f>_xlfn.XLOOKUP(I29,'①考勤-B-a-26考勤汇总表'!D:D,'①考勤-B-a-26考勤汇总表'!A:A,0)</f>
        <v>双流</v>
      </c>
    </row>
  </sheetData>
  <phoneticPr fontId="4" type="noConversion"/>
  <conditionalFormatting sqref="A1:A1048576">
    <cfRule type="duplicateValues" dxfId="26" priority="8"/>
  </conditionalFormatting>
  <conditionalFormatting sqref="E1:E1048576">
    <cfRule type="duplicateValues" dxfId="25" priority="7"/>
  </conditionalFormatting>
  <conditionalFormatting sqref="I1:I1048576">
    <cfRule type="duplicateValues" dxfId="24" priority="6"/>
  </conditionalFormatting>
  <conditionalFormatting sqref="J1:J1048576">
    <cfRule type="duplicateValues" dxfId="23" priority="5"/>
  </conditionalFormatting>
  <conditionalFormatting sqref="L1">
    <cfRule type="duplicateValues" dxfId="22" priority="4"/>
  </conditionalFormatting>
  <conditionalFormatting sqref="L2">
    <cfRule type="duplicateValues" dxfId="21" priority="3"/>
  </conditionalFormatting>
  <conditionalFormatting sqref="M2:M3">
    <cfRule type="duplicateValues" dxfId="20" priority="2"/>
  </conditionalFormatting>
  <conditionalFormatting sqref="O1">
    <cfRule type="duplicateValues" dxfId="19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O32"/>
  <sheetViews>
    <sheetView topLeftCell="B1" workbookViewId="0">
      <selection activeCell="G37" sqref="G37"/>
    </sheetView>
  </sheetViews>
  <sheetFormatPr defaultColWidth="9" defaultRowHeight="14.25" x14ac:dyDescent="0.15"/>
  <cols>
    <col min="1" max="1" width="13.25" style="72" customWidth="1"/>
    <col min="2" max="2" width="9" style="72"/>
    <col min="3" max="3" width="19.75" style="72" bestFit="1" customWidth="1"/>
    <col min="4" max="4" width="20.5" style="72" customWidth="1"/>
    <col min="5" max="6" width="19.75" style="72" bestFit="1" customWidth="1"/>
    <col min="7" max="7" width="14" style="72" bestFit="1" customWidth="1"/>
    <col min="8" max="8" width="13.125" style="72" customWidth="1"/>
    <col min="9" max="9" width="17.375" style="72" bestFit="1" customWidth="1"/>
    <col min="10" max="11" width="17.625" style="72" bestFit="1" customWidth="1"/>
    <col min="12" max="12" width="17.375" style="72" bestFit="1" customWidth="1"/>
    <col min="13" max="13" width="16.125" style="72" customWidth="1"/>
    <col min="14" max="14" width="12.75" style="72" customWidth="1"/>
    <col min="15" max="16384" width="9" style="72"/>
  </cols>
  <sheetData>
    <row r="1" spans="1:15" x14ac:dyDescent="0.15">
      <c r="C1" s="72" t="s">
        <v>736</v>
      </c>
      <c r="D1" s="72" t="s">
        <v>737</v>
      </c>
      <c r="E1" s="72" t="s">
        <v>737</v>
      </c>
      <c r="F1" s="72" t="s">
        <v>737</v>
      </c>
      <c r="G1" s="72" t="s">
        <v>738</v>
      </c>
      <c r="H1" s="72" t="s">
        <v>738</v>
      </c>
      <c r="I1" s="72" t="s">
        <v>739</v>
      </c>
      <c r="J1" s="72" t="s">
        <v>740</v>
      </c>
      <c r="K1" s="72" t="s">
        <v>740</v>
      </c>
      <c r="L1" s="72" t="s">
        <v>739</v>
      </c>
      <c r="M1" s="72" t="s">
        <v>741</v>
      </c>
      <c r="N1" s="72" t="s">
        <v>741</v>
      </c>
    </row>
    <row r="2" spans="1:15" x14ac:dyDescent="0.15">
      <c r="C2" s="72">
        <f>SUM(C4:C32)</f>
        <v>5377232.8799999999</v>
      </c>
      <c r="D2" s="72">
        <f t="shared" ref="D2:F2" si="0">SUM(D4:D32)</f>
        <v>4525940.03</v>
      </c>
      <c r="E2" s="72">
        <f t="shared" si="0"/>
        <v>4861</v>
      </c>
      <c r="F2" s="72">
        <f t="shared" si="0"/>
        <v>15694</v>
      </c>
      <c r="G2" s="73">
        <f t="shared" ref="G2:L2" si="1">SUM(G4:G34)</f>
        <v>95113.01</v>
      </c>
      <c r="H2" s="73">
        <f t="shared" si="1"/>
        <v>34078.119999999995</v>
      </c>
      <c r="I2" s="73">
        <f>SUM(I4:I34)</f>
        <v>119902.72000000002</v>
      </c>
      <c r="J2" s="73">
        <f t="shared" si="1"/>
        <v>287822.5</v>
      </c>
      <c r="K2" s="73">
        <f t="shared" si="1"/>
        <v>16434.400000000001</v>
      </c>
      <c r="L2" s="73">
        <f t="shared" si="1"/>
        <v>23727.000000000004</v>
      </c>
      <c r="M2" s="72">
        <f>SUM(G2:L2)</f>
        <v>577077.75</v>
      </c>
      <c r="N2" s="72">
        <f>SUM(N4:N33)</f>
        <v>4800155.13</v>
      </c>
    </row>
    <row r="3" spans="1:15" x14ac:dyDescent="0.15">
      <c r="A3" s="72" t="s">
        <v>7</v>
      </c>
      <c r="C3" s="74" t="s">
        <v>154</v>
      </c>
      <c r="D3" s="74" t="s">
        <v>155</v>
      </c>
      <c r="E3" s="74" t="s">
        <v>156</v>
      </c>
      <c r="F3" s="74" t="s">
        <v>157</v>
      </c>
      <c r="G3" s="75" t="s">
        <v>158</v>
      </c>
      <c r="H3" s="75" t="s">
        <v>159</v>
      </c>
      <c r="I3" s="75" t="s">
        <v>160</v>
      </c>
      <c r="J3" s="75" t="s">
        <v>161</v>
      </c>
      <c r="K3" s="75" t="s">
        <v>162</v>
      </c>
      <c r="L3" s="75" t="s">
        <v>163</v>
      </c>
      <c r="M3" s="72" t="s">
        <v>164</v>
      </c>
      <c r="N3" s="72" t="s">
        <v>165</v>
      </c>
    </row>
    <row r="4" spans="1:15" x14ac:dyDescent="0.15">
      <c r="A4" s="72" t="s">
        <v>118</v>
      </c>
      <c r="B4" s="72" t="s">
        <v>40</v>
      </c>
      <c r="C4" s="72">
        <f>_xlfn.XLOOKUP(B4,[1]门店排名!$C:$C,[1]门店排名!$E:$E,0)</f>
        <v>522756</v>
      </c>
      <c r="D4" s="72">
        <f>_xlfn.XLOOKUP(B4,[1]人头人次表!$GB:$GB,[1]人头人次表!$GG:$GG,0)</f>
        <v>368762.45</v>
      </c>
      <c r="E4" s="72">
        <f>_xlfn.XLOOKUP(B4,[1]人头人次表!$GB:$GB,[1]人头人次表!$GD:$GD,0)</f>
        <v>210</v>
      </c>
      <c r="F4" s="72">
        <f>_xlfn.XLOOKUP(B4,[1]人头人次表!$GB:$GB,[1]人头人次表!$GF:$GF,0)</f>
        <v>816</v>
      </c>
      <c r="G4" s="72">
        <f>_xlfn.XLOOKUP($B$4,[2]汇总!$B:$B,[2]汇总!C:C,0)</f>
        <v>2025</v>
      </c>
      <c r="H4" s="72">
        <f>_xlfn.XLOOKUP(B4,[2]汇总!$B:$B,[2]汇总!D:D,0)</f>
        <v>1715.29</v>
      </c>
      <c r="I4" s="72">
        <f>_xlfn.XLOOKUP(B4,[2]汇总!$B:$B,[2]汇总!E:E,0)</f>
        <v>3589.34</v>
      </c>
      <c r="J4" s="72">
        <f>_xlfn.XLOOKUP(B4,[2]汇总!$B:$B,[2]汇总!F:F,0)</f>
        <v>23805</v>
      </c>
      <c r="K4" s="72">
        <f>_xlfn.XLOOKUP(B4,[2]汇总!$B:$B,[2]汇总!G:G,0)</f>
        <v>0</v>
      </c>
      <c r="L4" s="72">
        <f>_xlfn.XLOOKUP(B4,[2]汇总!$B:$B,[2]汇总!H:H,0)</f>
        <v>961.8</v>
      </c>
      <c r="M4" s="72">
        <f>SUM(G4:L4)</f>
        <v>32096.43</v>
      </c>
      <c r="N4" s="72">
        <f t="shared" ref="N4:N32" si="2">C4-M4</f>
        <v>490659.57</v>
      </c>
      <c r="O4" s="72">
        <f>N4/C4</f>
        <v>0.93860150816059507</v>
      </c>
    </row>
    <row r="5" spans="1:15" x14ac:dyDescent="0.15">
      <c r="A5" s="72" t="s">
        <v>120</v>
      </c>
      <c r="B5" s="72" t="s">
        <v>42</v>
      </c>
      <c r="C5" s="72">
        <f>_xlfn.XLOOKUP(B5,[1]门店排名!$C:$C,[1]门店排名!$E:$E,0)</f>
        <v>220223</v>
      </c>
      <c r="D5" s="72">
        <f>_xlfn.XLOOKUP(B5,[1]人头人次表!$GB:$GB,[1]人头人次表!$GG:$GG,0)</f>
        <v>210203.02</v>
      </c>
      <c r="E5" s="72">
        <f>_xlfn.XLOOKUP(B5,[1]人头人次表!$GB:$GB,[1]人头人次表!$GD:$GD,0)</f>
        <v>205</v>
      </c>
      <c r="F5" s="72">
        <f>_xlfn.XLOOKUP(B5,[1]人头人次表!$GB:$GB,[1]人头人次表!$GF:$GF,0)</f>
        <v>658</v>
      </c>
      <c r="G5" s="72">
        <f>_xlfn.XLOOKUP(B5,[2]汇总!$B:$B,[2]汇总!C:C,0)</f>
        <v>2426.79</v>
      </c>
      <c r="H5" s="72">
        <f>_xlfn.XLOOKUP(B5,[2]汇总!$B:$B,[2]汇总!D:D,0)</f>
        <v>997.28</v>
      </c>
      <c r="I5" s="72">
        <f>_xlfn.XLOOKUP(B5,[2]汇总!$B:$B,[2]汇总!E:E,0)</f>
        <v>3222.84</v>
      </c>
      <c r="J5" s="72">
        <f>_xlfn.XLOOKUP(B5,[2]汇总!$B:$B,[2]汇总!F:F,0)</f>
        <v>8600</v>
      </c>
      <c r="K5" s="72">
        <f>_xlfn.XLOOKUP(B5,[2]汇总!$B:$B,[2]汇总!G:G,0)</f>
        <v>0</v>
      </c>
      <c r="L5" s="72">
        <f>_xlfn.XLOOKUP(B5,[2]汇总!$B:$B,[2]汇总!H:H,0)</f>
        <v>775.2</v>
      </c>
      <c r="M5" s="72">
        <f t="shared" ref="M5:M32" si="3">SUM(G5:L5)</f>
        <v>16022.11</v>
      </c>
      <c r="N5" s="72">
        <f t="shared" si="2"/>
        <v>204200.89</v>
      </c>
    </row>
    <row r="6" spans="1:15" x14ac:dyDescent="0.15">
      <c r="A6" s="72" t="s">
        <v>121</v>
      </c>
      <c r="B6" s="72" t="s">
        <v>35</v>
      </c>
      <c r="C6" s="72">
        <f>_xlfn.XLOOKUP(B6,[1]门店排名!$C:$C,[1]门店排名!$E:$E,0)</f>
        <v>150694</v>
      </c>
      <c r="D6" s="72">
        <f>_xlfn.XLOOKUP(B6,[1]人头人次表!$GB:$GB,[1]人头人次表!$GG:$GG,0)</f>
        <v>142453.84</v>
      </c>
      <c r="E6" s="72">
        <f>_xlfn.XLOOKUP(B6,[1]人头人次表!$GB:$GB,[1]人头人次表!$GD:$GD,0)</f>
        <v>160</v>
      </c>
      <c r="F6" s="72">
        <f>_xlfn.XLOOKUP(B6,[1]人头人次表!$GB:$GB,[1]人头人次表!$GF:$GF,0)</f>
        <v>622</v>
      </c>
      <c r="G6" s="72">
        <f>_xlfn.XLOOKUP(B6,[2]汇总!$B:$B,[2]汇总!C:C,0)</f>
        <v>2001</v>
      </c>
      <c r="H6" s="72">
        <f>_xlfn.XLOOKUP(B6,[2]汇总!$B:$B,[2]汇总!D:D,0)</f>
        <v>2190.15</v>
      </c>
      <c r="I6" s="72">
        <f>_xlfn.XLOOKUP(B6,[2]汇总!$B:$B,[2]汇总!E:E,0)</f>
        <v>11665.32</v>
      </c>
      <c r="J6" s="72">
        <f>_xlfn.XLOOKUP(B6,[2]汇总!$B:$B,[2]汇总!F:F,0)</f>
        <v>2450</v>
      </c>
      <c r="K6" s="72">
        <f>_xlfn.XLOOKUP(B6,[2]汇总!$B:$B,[2]汇总!G:G,0)</f>
        <v>0</v>
      </c>
      <c r="L6" s="72">
        <f>_xlfn.XLOOKUP(B6,[2]汇总!$B:$B,[2]汇总!H:H,0)</f>
        <v>1113.3</v>
      </c>
      <c r="M6" s="72">
        <f t="shared" si="3"/>
        <v>19419.77</v>
      </c>
      <c r="N6" s="72">
        <f t="shared" si="2"/>
        <v>131274.23000000001</v>
      </c>
    </row>
    <row r="7" spans="1:15" x14ac:dyDescent="0.15">
      <c r="A7" s="72" t="s">
        <v>123</v>
      </c>
      <c r="B7" s="72" t="s">
        <v>23</v>
      </c>
      <c r="C7" s="72">
        <f>_xlfn.XLOOKUP(B7,[1]门店排名!$C:$C,[1]门店排名!$E:$E,0)</f>
        <v>201952.3</v>
      </c>
      <c r="D7" s="72">
        <f>_xlfn.XLOOKUP(B7,[1]人头人次表!$GB:$GB,[1]人头人次表!$GG:$GG,0)</f>
        <v>179433.01</v>
      </c>
      <c r="E7" s="72">
        <f>_xlfn.XLOOKUP(B7,[1]人头人次表!$GB:$GB,[1]人头人次表!$GD:$GD,0)</f>
        <v>195</v>
      </c>
      <c r="F7" s="72">
        <f>_xlfn.XLOOKUP(B7,[1]人头人次表!$GB:$GB,[1]人头人次表!$GF:$GF,0)</f>
        <v>595</v>
      </c>
      <c r="G7" s="72">
        <f>_xlfn.XLOOKUP(B7,[2]汇总!$B:$B,[2]汇总!C:C,0)</f>
        <v>2114.34</v>
      </c>
      <c r="H7" s="72">
        <f>_xlfn.XLOOKUP(B7,[2]汇总!$B:$B,[2]汇总!D:D,0)</f>
        <v>701.6</v>
      </c>
      <c r="I7" s="72">
        <f>_xlfn.XLOOKUP(B7,[2]汇总!$B:$B,[2]汇总!E:E,0)</f>
        <v>2895.52</v>
      </c>
      <c r="J7" s="72">
        <f>_xlfn.XLOOKUP(B7,[2]汇总!$B:$B,[2]汇总!F:F,0)</f>
        <v>4750</v>
      </c>
      <c r="K7" s="72">
        <f>_xlfn.XLOOKUP(B7,[2]汇总!$B:$B,[2]汇总!G:G,0)</f>
        <v>0</v>
      </c>
      <c r="L7" s="72">
        <f>_xlfn.XLOOKUP(B7,[2]汇总!$B:$B,[2]汇总!H:H,0)</f>
        <v>1005.1</v>
      </c>
      <c r="M7" s="72">
        <f t="shared" si="3"/>
        <v>11466.56</v>
      </c>
      <c r="N7" s="72">
        <f t="shared" si="2"/>
        <v>190485.74</v>
      </c>
    </row>
    <row r="8" spans="1:15" x14ac:dyDescent="0.15">
      <c r="A8" s="72" t="s">
        <v>124</v>
      </c>
      <c r="B8" s="72" t="s">
        <v>19</v>
      </c>
      <c r="C8" s="72">
        <f>_xlfn.XLOOKUP(B8,[1]门店排名!$C:$C,[1]门店排名!$E:$E,0)</f>
        <v>407490.19</v>
      </c>
      <c r="D8" s="72">
        <f>_xlfn.XLOOKUP(B8,[1]人头人次表!$GB:$GB,[1]人头人次表!$GG:$GG,0)</f>
        <v>518617.05</v>
      </c>
      <c r="E8" s="72">
        <f>_xlfn.XLOOKUP(B8,[1]人头人次表!$GB:$GB,[1]人头人次表!$GD:$GD,0)</f>
        <v>206</v>
      </c>
      <c r="F8" s="72">
        <f>_xlfn.XLOOKUP(B8,[1]人头人次表!$GB:$GB,[1]人头人次表!$GF:$GF,0)</f>
        <v>777</v>
      </c>
      <c r="G8" s="72">
        <f>_xlfn.XLOOKUP(B8,[2]汇总!$B:$B,[2]汇总!C:C,0)</f>
        <v>4907.0600000000004</v>
      </c>
      <c r="H8" s="72">
        <f>_xlfn.XLOOKUP(B8,[2]汇总!$B:$B,[2]汇总!D:D,0)</f>
        <v>689.11</v>
      </c>
      <c r="I8" s="72">
        <f>_xlfn.XLOOKUP(B8,[2]汇总!$B:$B,[2]汇总!E:E,0)</f>
        <v>3515.1</v>
      </c>
      <c r="J8" s="72">
        <f>_xlfn.XLOOKUP(B8,[2]汇总!$B:$B,[2]汇总!F:F,0)</f>
        <v>25892.5</v>
      </c>
      <c r="K8" s="72">
        <f>_xlfn.XLOOKUP(B8,[2]汇总!$B:$B,[2]汇总!G:G,0)</f>
        <v>7360</v>
      </c>
      <c r="L8" s="72">
        <f>_xlfn.XLOOKUP(B8,[2]汇总!$B:$B,[2]汇总!H:H,0)</f>
        <v>1155.3</v>
      </c>
      <c r="M8" s="72">
        <f t="shared" si="3"/>
        <v>43519.070000000007</v>
      </c>
      <c r="N8" s="72">
        <f t="shared" si="2"/>
        <v>363971.12</v>
      </c>
    </row>
    <row r="9" spans="1:15" x14ac:dyDescent="0.15">
      <c r="A9" s="72" t="s">
        <v>125</v>
      </c>
      <c r="B9" s="72" t="s">
        <v>30</v>
      </c>
      <c r="C9" s="72">
        <f>_xlfn.XLOOKUP(B9,[1]门店排名!$C:$C,[1]门店排名!$E:$E,0)</f>
        <v>160812</v>
      </c>
      <c r="D9" s="72">
        <f>_xlfn.XLOOKUP(B9,[1]人头人次表!$GB:$GB,[1]人头人次表!$GG:$GG,0)</f>
        <v>146778.57999999999</v>
      </c>
      <c r="E9" s="72">
        <f>_xlfn.XLOOKUP(B9,[1]人头人次表!$GB:$GB,[1]人头人次表!$GD:$GD,0)</f>
        <v>192</v>
      </c>
      <c r="F9" s="72">
        <f>_xlfn.XLOOKUP(B9,[1]人头人次表!$GB:$GB,[1]人头人次表!$GF:$GF,0)</f>
        <v>673</v>
      </c>
      <c r="G9" s="72">
        <f>_xlfn.XLOOKUP(B9,[2]汇总!$B:$B,[2]汇总!C:C,0)</f>
        <v>3500</v>
      </c>
      <c r="H9" s="72">
        <f>_xlfn.XLOOKUP(B9,[2]汇总!$B:$B,[2]汇总!D:D,0)</f>
        <v>1215.3800000000001</v>
      </c>
      <c r="I9" s="72">
        <f>_xlfn.XLOOKUP(B9,[2]汇总!$B:$B,[2]汇总!E:E,0)</f>
        <v>3582.9</v>
      </c>
      <c r="J9" s="72">
        <f>_xlfn.XLOOKUP(B9,[2]汇总!$B:$B,[2]汇总!F:F,0)</f>
        <v>5590</v>
      </c>
      <c r="K9" s="72">
        <f>_xlfn.XLOOKUP(B9,[2]汇总!$B:$B,[2]汇总!G:G,0)</f>
        <v>0</v>
      </c>
      <c r="L9" s="72">
        <f>_xlfn.XLOOKUP(B9,[2]汇总!$B:$B,[2]汇总!H:H,0)</f>
        <v>920.3</v>
      </c>
      <c r="M9" s="72">
        <f t="shared" si="3"/>
        <v>14808.58</v>
      </c>
      <c r="N9" s="72">
        <f t="shared" si="2"/>
        <v>146003.42000000001</v>
      </c>
    </row>
    <row r="10" spans="1:15" x14ac:dyDescent="0.15">
      <c r="A10" s="72" t="s">
        <v>126</v>
      </c>
      <c r="B10" s="72">
        <v>468</v>
      </c>
      <c r="C10" s="72">
        <f>_xlfn.XLOOKUP(B10,[1]门店排名!$C:$C,[1]门店排名!$E:$E,0)</f>
        <v>140295</v>
      </c>
      <c r="D10" s="72">
        <f>_xlfn.XLOOKUP(B10,[1]人头人次表!$GB:$GB,[1]人头人次表!$GG:$GG,0)</f>
        <v>190782.77</v>
      </c>
      <c r="E10" s="72">
        <f>_xlfn.XLOOKUP(B10,[1]人头人次表!$GB:$GB,[1]人头人次表!$GD:$GD,0)</f>
        <v>217</v>
      </c>
      <c r="F10" s="72">
        <f>_xlfn.XLOOKUP(B10,[1]人头人次表!$GB:$GB,[1]人头人次表!$GF:$GF,0)</f>
        <v>705</v>
      </c>
      <c r="G10" s="72">
        <f>_xlfn.XLOOKUP(B10,[2]汇总!$B:$B,[2]汇总!C:C,0)</f>
        <v>3754.95</v>
      </c>
      <c r="H10" s="72">
        <f>_xlfn.XLOOKUP(B10,[2]汇总!$B:$B,[2]汇总!D:D,0)</f>
        <v>1491.04</v>
      </c>
      <c r="I10" s="72">
        <f>_xlfn.XLOOKUP(B10,[2]汇总!$B:$B,[2]汇总!E:E,0)</f>
        <v>3218.6</v>
      </c>
      <c r="J10" s="72">
        <f>_xlfn.XLOOKUP(B10,[2]汇总!$B:$B,[2]汇总!F:F,0)</f>
        <v>3600</v>
      </c>
      <c r="K10" s="72">
        <f>_xlfn.XLOOKUP(B10,[2]汇总!$B:$B,[2]汇总!G:G,0)</f>
        <v>90</v>
      </c>
      <c r="L10" s="72">
        <f>_xlfn.XLOOKUP(B10,[2]汇总!$B:$B,[2]汇总!H:H,0)</f>
        <v>947.3</v>
      </c>
      <c r="M10" s="72">
        <f t="shared" si="3"/>
        <v>13101.89</v>
      </c>
      <c r="N10" s="72">
        <f t="shared" si="2"/>
        <v>127193.11</v>
      </c>
    </row>
    <row r="11" spans="1:15" x14ac:dyDescent="0.15">
      <c r="A11" s="72" t="s">
        <v>127</v>
      </c>
      <c r="B11" s="72" t="s">
        <v>47</v>
      </c>
      <c r="C11" s="72">
        <f>_xlfn.XLOOKUP(B11,[1]门店排名!$C:$C,[1]门店排名!$E:$E,0)</f>
        <v>135590</v>
      </c>
      <c r="D11" s="72">
        <f>_xlfn.XLOOKUP(B11,[1]人头人次表!$GB:$GB,[1]人头人次表!$GG:$GG,0)</f>
        <v>120657.22</v>
      </c>
      <c r="E11" s="72">
        <f>_xlfn.XLOOKUP(B11,[1]人头人次表!$GB:$GB,[1]人头人次表!$GD:$GD,0)</f>
        <v>150</v>
      </c>
      <c r="F11" s="72">
        <f>_xlfn.XLOOKUP(B11,[1]人头人次表!$GB:$GB,[1]人头人次表!$GF:$GF,0)</f>
        <v>475</v>
      </c>
      <c r="G11" s="72">
        <f>_xlfn.XLOOKUP(B11,[2]汇总!$B:$B,[2]汇总!C:C,0)</f>
        <v>1259.28</v>
      </c>
      <c r="H11" s="72">
        <f>_xlfn.XLOOKUP(B11,[2]汇总!$B:$B,[2]汇总!D:D,0)</f>
        <v>1380.21</v>
      </c>
      <c r="I11" s="72">
        <f>_xlfn.XLOOKUP(B11,[2]汇总!$B:$B,[2]汇总!E:E,0)</f>
        <v>3929.7</v>
      </c>
      <c r="J11" s="72">
        <f>_xlfn.XLOOKUP(B11,[2]汇总!$B:$B,[2]汇总!F:F,0)</f>
        <v>3240</v>
      </c>
      <c r="K11" s="72">
        <f>_xlfn.XLOOKUP(B11,[2]汇总!$B:$B,[2]汇总!G:G,0)</f>
        <v>0</v>
      </c>
      <c r="L11" s="72">
        <f>_xlfn.XLOOKUP(B11,[2]汇总!$B:$B,[2]汇总!H:H,0)</f>
        <v>428.8</v>
      </c>
      <c r="M11" s="72">
        <f t="shared" si="3"/>
        <v>10237.989999999998</v>
      </c>
      <c r="N11" s="72">
        <f t="shared" si="2"/>
        <v>125352.01000000001</v>
      </c>
    </row>
    <row r="12" spans="1:15" x14ac:dyDescent="0.15">
      <c r="A12" s="72" t="s">
        <v>128</v>
      </c>
      <c r="B12" s="72" t="s">
        <v>37</v>
      </c>
      <c r="C12" s="72">
        <f>_xlfn.XLOOKUP(B12,[1]门店排名!$C:$C,[1]门店排名!$E:$E,0)</f>
        <v>152421</v>
      </c>
      <c r="D12" s="72">
        <f>_xlfn.XLOOKUP(B12,[1]人头人次表!$GB:$GB,[1]人头人次表!$GG:$GG,0)</f>
        <v>117167.22</v>
      </c>
      <c r="E12" s="72">
        <f>_xlfn.XLOOKUP(B12,[1]人头人次表!$GB:$GB,[1]人头人次表!$GD:$GD,0)</f>
        <v>138</v>
      </c>
      <c r="F12" s="72">
        <f>_xlfn.XLOOKUP(B12,[1]人头人次表!$GB:$GB,[1]人头人次表!$GF:$GF,0)</f>
        <v>479</v>
      </c>
      <c r="G12" s="72">
        <f>_xlfn.XLOOKUP(B12,[2]汇总!$B:$B,[2]汇总!C:C,0)</f>
        <v>2889.06</v>
      </c>
      <c r="H12" s="72">
        <f>_xlfn.XLOOKUP(B12,[2]汇总!$B:$B,[2]汇总!D:D,0)</f>
        <v>981.27</v>
      </c>
      <c r="I12" s="72">
        <f>_xlfn.XLOOKUP(B12,[2]汇总!$B:$B,[2]汇总!E:E,0)</f>
        <v>2847.42</v>
      </c>
      <c r="J12" s="72">
        <f>_xlfn.XLOOKUP(B12,[2]汇总!$B:$B,[2]汇总!F:F,0)</f>
        <v>-800</v>
      </c>
      <c r="K12" s="72">
        <f>_xlfn.XLOOKUP(B12,[2]汇总!$B:$B,[2]汇总!G:G,0)</f>
        <v>0</v>
      </c>
      <c r="L12" s="72">
        <f>_xlfn.XLOOKUP(B12,[2]汇总!$B:$B,[2]汇总!H:H,0)</f>
        <v>589.20000000000005</v>
      </c>
      <c r="M12" s="72">
        <f t="shared" si="3"/>
        <v>6506.95</v>
      </c>
      <c r="N12" s="72">
        <f t="shared" si="2"/>
        <v>145914.04999999999</v>
      </c>
    </row>
    <row r="13" spans="1:15" x14ac:dyDescent="0.15">
      <c r="A13" s="72" t="s">
        <v>129</v>
      </c>
      <c r="B13" s="72" t="s">
        <v>49</v>
      </c>
      <c r="C13" s="72">
        <f>_xlfn.XLOOKUP(B13,[1]门店排名!$C:$C,[1]门店排名!$E:$E,0)</f>
        <v>205041</v>
      </c>
      <c r="D13" s="72">
        <f>_xlfn.XLOOKUP(B13,[1]人头人次表!$GB:$GB,[1]人头人次表!$GG:$GG,0)</f>
        <v>194741.48</v>
      </c>
      <c r="E13" s="72">
        <f>_xlfn.XLOOKUP(B13,[1]人头人次表!$GB:$GB,[1]人头人次表!$GD:$GD,0)</f>
        <v>157</v>
      </c>
      <c r="F13" s="72">
        <f>_xlfn.XLOOKUP(B13,[1]人头人次表!$GB:$GB,[1]人头人次表!$GF:$GF,0)</f>
        <v>522</v>
      </c>
      <c r="G13" s="72">
        <f>_xlfn.XLOOKUP(B13,[2]汇总!$B:$B,[2]汇总!C:C,0)</f>
        <v>2000</v>
      </c>
      <c r="H13" s="72">
        <f>_xlfn.XLOOKUP(B13,[2]汇总!$B:$B,[2]汇总!D:D,0)</f>
        <v>902.66</v>
      </c>
      <c r="I13" s="72">
        <f>_xlfn.XLOOKUP(B13,[2]汇总!$B:$B,[2]汇总!E:E,0)</f>
        <v>1049.7</v>
      </c>
      <c r="J13" s="72">
        <f>_xlfn.XLOOKUP(B13,[2]汇总!$B:$B,[2]汇总!F:F,0)</f>
        <v>12845</v>
      </c>
      <c r="K13" s="72">
        <f>_xlfn.XLOOKUP(B13,[2]汇总!$B:$B,[2]汇总!G:G,0)</f>
        <v>3203</v>
      </c>
      <c r="L13" s="72">
        <f>_xlfn.XLOOKUP(B13,[2]汇总!$B:$B,[2]汇总!H:H,0)</f>
        <v>701.7</v>
      </c>
      <c r="M13" s="72">
        <f t="shared" si="3"/>
        <v>20702.060000000001</v>
      </c>
      <c r="N13" s="72">
        <f t="shared" si="2"/>
        <v>184338.94</v>
      </c>
    </row>
    <row r="14" spans="1:15" x14ac:dyDescent="0.15">
      <c r="A14" s="72" t="s">
        <v>130</v>
      </c>
      <c r="B14" s="72" t="s">
        <v>46</v>
      </c>
      <c r="C14" s="72">
        <f>_xlfn.XLOOKUP(B14,[1]门店排名!$C:$C,[1]门店排名!$E:$E,0)</f>
        <v>111267</v>
      </c>
      <c r="D14" s="72">
        <f>_xlfn.XLOOKUP(B14,[1]人头人次表!$GB:$GB,[1]人头人次表!$GG:$GG,0)</f>
        <v>87745.89</v>
      </c>
      <c r="E14" s="72">
        <f>_xlfn.XLOOKUP(B14,[1]人头人次表!$GB:$GB,[1]人头人次表!$GD:$GD,0)</f>
        <v>142</v>
      </c>
      <c r="F14" s="72">
        <f>_xlfn.XLOOKUP(B14,[1]人头人次表!$GB:$GB,[1]人头人次表!$GF:$GF,0)</f>
        <v>538</v>
      </c>
      <c r="G14" s="72">
        <f>_xlfn.XLOOKUP(B14,[2]汇总!$B:$B,[2]汇总!C:C,0)</f>
        <v>7901.28</v>
      </c>
      <c r="H14" s="72">
        <f>_xlfn.XLOOKUP(B14,[2]汇总!$B:$B,[2]汇总!D:D,0)</f>
        <v>896.98</v>
      </c>
      <c r="I14" s="72">
        <f>_xlfn.XLOOKUP(B14,[2]汇总!$B:$B,[2]汇总!E:E,0)</f>
        <v>3666.72</v>
      </c>
      <c r="J14" s="72">
        <f>_xlfn.XLOOKUP(B14,[2]汇总!$B:$B,[2]汇总!F:F,0)</f>
        <v>2550</v>
      </c>
      <c r="K14" s="72">
        <f>_xlfn.XLOOKUP(B14,[2]汇总!$B:$B,[2]汇总!G:G,0)</f>
        <v>0</v>
      </c>
      <c r="L14" s="72">
        <f>_xlfn.XLOOKUP(B14,[2]汇总!$B:$B,[2]汇总!H:H,0)</f>
        <v>717.2</v>
      </c>
      <c r="M14" s="72">
        <f t="shared" si="3"/>
        <v>15732.18</v>
      </c>
      <c r="N14" s="72">
        <f t="shared" si="2"/>
        <v>95534.82</v>
      </c>
    </row>
    <row r="15" spans="1:15" x14ac:dyDescent="0.15">
      <c r="A15" s="72" t="s">
        <v>132</v>
      </c>
      <c r="B15" s="72" t="s">
        <v>36</v>
      </c>
      <c r="C15" s="72">
        <f>_xlfn.XLOOKUP(B15,[1]门店排名!$C:$C,[1]门店排名!$E:$E,0)</f>
        <v>180024</v>
      </c>
      <c r="D15" s="72">
        <f>_xlfn.XLOOKUP(B15,[1]人头人次表!$GB:$GB,[1]人头人次表!$GG:$GG,0)</f>
        <v>87671.5</v>
      </c>
      <c r="E15" s="72">
        <f>_xlfn.XLOOKUP(B15,[1]人头人次表!$GB:$GB,[1]人头人次表!$GD:$GD,0)</f>
        <v>140</v>
      </c>
      <c r="F15" s="72">
        <f>_xlfn.XLOOKUP(B15,[1]人头人次表!$GB:$GB,[1]人头人次表!$GF:$GF,0)</f>
        <v>435</v>
      </c>
      <c r="G15" s="72">
        <f>_xlfn.XLOOKUP(B15,[2]汇总!$B:$B,[2]汇总!C:C,0)</f>
        <v>2665.77</v>
      </c>
      <c r="H15" s="72">
        <f>_xlfn.XLOOKUP(B15,[2]汇总!$B:$B,[2]汇总!D:D,0)</f>
        <v>2365.85</v>
      </c>
      <c r="I15" s="72">
        <f>_xlfn.XLOOKUP(B15,[2]汇总!$B:$B,[2]汇总!E:E,0)</f>
        <v>2773.14</v>
      </c>
      <c r="J15" s="72">
        <f>_xlfn.XLOOKUP(B15,[2]汇总!$B:$B,[2]汇总!F:F,0)</f>
        <v>0</v>
      </c>
      <c r="K15" s="72">
        <f>_xlfn.XLOOKUP(B15,[2]汇总!$B:$B,[2]汇总!G:G,0)</f>
        <v>0</v>
      </c>
      <c r="L15" s="72">
        <f>_xlfn.XLOOKUP(B15,[2]汇总!$B:$B,[2]汇总!H:H,0)</f>
        <v>858.8</v>
      </c>
      <c r="M15" s="72">
        <f t="shared" si="3"/>
        <v>8663.56</v>
      </c>
      <c r="N15" s="72">
        <f t="shared" si="2"/>
        <v>171360.44</v>
      </c>
    </row>
    <row r="16" spans="1:15" x14ac:dyDescent="0.15">
      <c r="A16" s="72" t="s">
        <v>133</v>
      </c>
      <c r="B16" s="72" t="s">
        <v>48</v>
      </c>
      <c r="C16" s="72">
        <f>_xlfn.XLOOKUP(B16,[1]门店排名!$C:$C,[1]门店排名!$E:$E,0)</f>
        <v>153950.6</v>
      </c>
      <c r="D16" s="72">
        <f>_xlfn.XLOOKUP(B16,[1]人头人次表!$GB:$GB,[1]人头人次表!$GG:$GG,0)</f>
        <v>140812.54</v>
      </c>
      <c r="E16" s="72">
        <f>_xlfn.XLOOKUP(B16,[1]人头人次表!$GB:$GB,[1]人头人次表!$GD:$GD,0)</f>
        <v>153</v>
      </c>
      <c r="F16" s="72">
        <f>_xlfn.XLOOKUP(B16,[1]人头人次表!$GB:$GB,[1]人头人次表!$GF:$GF,0)</f>
        <v>525</v>
      </c>
      <c r="G16" s="72">
        <f>_xlfn.XLOOKUP(B16,[2]汇总!$B:$B,[2]汇总!C:C,0)</f>
        <v>3263.25</v>
      </c>
      <c r="H16" s="72">
        <f>_xlfn.XLOOKUP(B16,[2]汇总!$B:$B,[2]汇总!D:D,0)</f>
        <v>1044.5</v>
      </c>
      <c r="I16" s="72">
        <f>_xlfn.XLOOKUP(B16,[2]汇总!$B:$B,[2]汇总!E:E,0)</f>
        <v>4129.88</v>
      </c>
      <c r="J16" s="72">
        <f>_xlfn.XLOOKUP(B16,[2]汇总!$B:$B,[2]汇总!F:F,0)</f>
        <v>2040</v>
      </c>
      <c r="K16" s="72">
        <f>_xlfn.XLOOKUP(B16,[2]汇总!$B:$B,[2]汇总!G:G,0)</f>
        <v>0</v>
      </c>
      <c r="L16" s="72">
        <f>_xlfn.XLOOKUP(B16,[2]汇总!$B:$B,[2]汇总!H:H,0)</f>
        <v>888.4</v>
      </c>
      <c r="M16" s="72">
        <f t="shared" si="3"/>
        <v>11366.03</v>
      </c>
      <c r="N16" s="72">
        <f t="shared" si="2"/>
        <v>142584.57</v>
      </c>
    </row>
    <row r="17" spans="1:14" x14ac:dyDescent="0.15">
      <c r="A17" s="72" t="s">
        <v>134</v>
      </c>
      <c r="B17" s="72" t="s">
        <v>39</v>
      </c>
      <c r="C17" s="72">
        <f>_xlfn.XLOOKUP(B17,[1]门店排名!$C:$C,[1]门店排名!$E:$E,0)</f>
        <v>169632</v>
      </c>
      <c r="D17" s="72">
        <f>_xlfn.XLOOKUP(B17,[1]人头人次表!$GB:$GB,[1]人头人次表!$GG:$GG,0)</f>
        <v>139162.62</v>
      </c>
      <c r="E17" s="72">
        <f>_xlfn.XLOOKUP(B17,[1]人头人次表!$GB:$GB,[1]人头人次表!$GD:$GD,0)</f>
        <v>180</v>
      </c>
      <c r="F17" s="72">
        <f>_xlfn.XLOOKUP(B17,[1]人头人次表!$GB:$GB,[1]人头人次表!$GF:$GF,0)</f>
        <v>427</v>
      </c>
      <c r="G17" s="72">
        <f>_xlfn.XLOOKUP(B17,[2]汇总!$B:$B,[2]汇总!C:C,0)</f>
        <v>4000</v>
      </c>
      <c r="H17" s="72">
        <f>_xlfn.XLOOKUP(B17,[2]汇总!$B:$B,[2]汇总!D:D,0)</f>
        <v>869.26</v>
      </c>
      <c r="I17" s="72">
        <f>_xlfn.XLOOKUP(B17,[2]汇总!$B:$B,[2]汇总!E:E,0)</f>
        <v>4870.34</v>
      </c>
      <c r="J17" s="72">
        <f>_xlfn.XLOOKUP(B17,[2]汇总!$B:$B,[2]汇总!F:F,0)</f>
        <v>17777.5</v>
      </c>
      <c r="K17" s="72">
        <f>_xlfn.XLOOKUP(B17,[2]汇总!$B:$B,[2]汇总!G:G,0)</f>
        <v>0</v>
      </c>
      <c r="L17" s="72">
        <f>_xlfn.XLOOKUP(B17,[2]汇总!$B:$B,[2]汇总!H:H,0)</f>
        <v>817.1</v>
      </c>
      <c r="M17" s="72">
        <f t="shared" si="3"/>
        <v>28334.199999999997</v>
      </c>
      <c r="N17" s="72">
        <f t="shared" si="2"/>
        <v>141297.79999999999</v>
      </c>
    </row>
    <row r="18" spans="1:14" x14ac:dyDescent="0.15">
      <c r="A18" s="72" t="s">
        <v>135</v>
      </c>
      <c r="B18" s="72" t="s">
        <v>53</v>
      </c>
      <c r="C18" s="72">
        <f>_xlfn.XLOOKUP(B18,[1]门店排名!$C:$C,[1]门店排名!$E:$E,0)</f>
        <v>200049.7</v>
      </c>
      <c r="D18" s="72">
        <f>_xlfn.XLOOKUP(B18,[1]人头人次表!$GB:$GB,[1]人头人次表!$GG:$GG,0)</f>
        <v>192405.22</v>
      </c>
      <c r="E18" s="72">
        <f>_xlfn.XLOOKUP(B18,[1]人头人次表!$GB:$GB,[1]人头人次表!$GD:$GD,0)</f>
        <v>172</v>
      </c>
      <c r="F18" s="72">
        <f>_xlfn.XLOOKUP(B18,[1]人头人次表!$GB:$GB,[1]人头人次表!$GF:$GF,0)</f>
        <v>556</v>
      </c>
      <c r="G18" s="72">
        <f>_xlfn.XLOOKUP(B18,[2]汇总!$B:$B,[2]汇总!C:C,0)</f>
        <v>2686.64</v>
      </c>
      <c r="H18" s="72">
        <f>_xlfn.XLOOKUP(B18,[2]汇总!$B:$B,[2]汇总!D:D,0)</f>
        <v>1269.98</v>
      </c>
      <c r="I18" s="72">
        <f>_xlfn.XLOOKUP(B18,[2]汇总!$B:$B,[2]汇总!E:E,0)</f>
        <v>2572.54</v>
      </c>
      <c r="J18" s="72">
        <f>_xlfn.XLOOKUP(B18,[2]汇总!$B:$B,[2]汇总!F:F,0)</f>
        <v>10560</v>
      </c>
      <c r="K18" s="72">
        <f>_xlfn.XLOOKUP(B18,[2]汇总!$B:$B,[2]汇总!G:G,0)</f>
        <v>281.39999999999998</v>
      </c>
      <c r="L18" s="72">
        <f>_xlfn.XLOOKUP(B18,[2]汇总!$B:$B,[2]汇总!H:H,0)</f>
        <v>820.9</v>
      </c>
      <c r="M18" s="72">
        <f t="shared" si="3"/>
        <v>18191.460000000003</v>
      </c>
      <c r="N18" s="72">
        <f t="shared" si="2"/>
        <v>181858.24000000002</v>
      </c>
    </row>
    <row r="19" spans="1:14" x14ac:dyDescent="0.15">
      <c r="A19" s="72" t="s">
        <v>136</v>
      </c>
      <c r="B19" s="72" t="s">
        <v>43</v>
      </c>
      <c r="C19" s="72">
        <f>_xlfn.XLOOKUP(B19,[1]门店排名!$C:$C,[1]门店排名!$E:$E,0)</f>
        <v>311108</v>
      </c>
      <c r="D19" s="72">
        <f>_xlfn.XLOOKUP(B19,[1]人头人次表!$GB:$GB,[1]人头人次表!$GG:$GG,0)</f>
        <v>291471.05</v>
      </c>
      <c r="E19" s="72">
        <f>_xlfn.XLOOKUP(B19,[1]人头人次表!$GB:$GB,[1]人头人次表!$GD:$GD,0)</f>
        <v>163</v>
      </c>
      <c r="F19" s="72">
        <f>_xlfn.XLOOKUP(B19,[1]人头人次表!$GB:$GB,[1]人头人次表!$GF:$GF,0)</f>
        <v>566</v>
      </c>
      <c r="G19" s="72">
        <f>_xlfn.XLOOKUP(B19,[2]汇总!$B:$B,[2]汇总!C:C,0)</f>
        <v>2500</v>
      </c>
      <c r="H19" s="72">
        <f>_xlfn.XLOOKUP(B19,[2]汇总!$B:$B,[2]汇总!D:D,0)</f>
        <v>571.79</v>
      </c>
      <c r="I19" s="72">
        <f>_xlfn.XLOOKUP(B19,[2]汇总!$B:$B,[2]汇总!E:E,0)</f>
        <v>3078.24</v>
      </c>
      <c r="J19" s="72">
        <f>_xlfn.XLOOKUP(B19,[2]汇总!$B:$B,[2]汇总!F:F,0)</f>
        <v>62020</v>
      </c>
      <c r="K19" s="72">
        <f>_xlfn.XLOOKUP(B19,[2]汇总!$B:$B,[2]汇总!G:G,0)</f>
        <v>5200</v>
      </c>
      <c r="L19" s="72">
        <f>_xlfn.XLOOKUP(B19,[2]汇总!$B:$B,[2]汇总!H:H,0)</f>
        <v>722.2</v>
      </c>
      <c r="M19" s="72">
        <f t="shared" si="3"/>
        <v>74092.23</v>
      </c>
      <c r="N19" s="72">
        <f t="shared" si="2"/>
        <v>237015.77000000002</v>
      </c>
    </row>
    <row r="20" spans="1:14" x14ac:dyDescent="0.15">
      <c r="A20" s="72" t="s">
        <v>137</v>
      </c>
      <c r="B20" s="72" t="s">
        <v>33</v>
      </c>
      <c r="C20" s="72">
        <f>_xlfn.XLOOKUP(B20,[1]门店排名!$C:$C,[1]门店排名!$E:$E,0)</f>
        <v>158633</v>
      </c>
      <c r="D20" s="72">
        <f>_xlfn.XLOOKUP(B20,[1]人头人次表!$GB:$GB,[1]人头人次表!$GG:$GG,0)</f>
        <v>123760.98</v>
      </c>
      <c r="E20" s="72">
        <f>_xlfn.XLOOKUP(B20,[1]人头人次表!$GB:$GB,[1]人头人次表!$GD:$GD,0)</f>
        <v>177</v>
      </c>
      <c r="F20" s="72">
        <f>_xlfn.XLOOKUP(B20,[1]人头人次表!$GB:$GB,[1]人头人次表!$GF:$GF,0)</f>
        <v>565</v>
      </c>
      <c r="G20" s="72">
        <f>_xlfn.XLOOKUP(B20,[2]汇总!$B:$B,[2]汇总!C:C,0)</f>
        <v>4219.55</v>
      </c>
      <c r="H20" s="72">
        <f>_xlfn.XLOOKUP(B20,[2]汇总!$B:$B,[2]汇总!D:D,0)</f>
        <v>955.53</v>
      </c>
      <c r="I20" s="72">
        <f>_xlfn.XLOOKUP(B20,[2]汇总!$B:$B,[2]汇总!E:E,0)</f>
        <v>3464.34</v>
      </c>
      <c r="J20" s="72">
        <f>_xlfn.XLOOKUP(B20,[2]汇总!$B:$B,[2]汇总!F:F,0)</f>
        <v>-3750</v>
      </c>
      <c r="K20" s="72">
        <f>_xlfn.XLOOKUP(B20,[2]汇总!$B:$B,[2]汇总!G:G,0)</f>
        <v>300</v>
      </c>
      <c r="L20" s="72">
        <f>_xlfn.XLOOKUP(B20,[2]汇总!$B:$B,[2]汇总!H:H,0)</f>
        <v>1373.4</v>
      </c>
      <c r="M20" s="72">
        <f t="shared" si="3"/>
        <v>6562.82</v>
      </c>
      <c r="N20" s="72">
        <f t="shared" si="2"/>
        <v>152070.18</v>
      </c>
    </row>
    <row r="21" spans="1:14" x14ac:dyDescent="0.15">
      <c r="A21" s="72" t="s">
        <v>138</v>
      </c>
      <c r="B21" s="72" t="s">
        <v>51</v>
      </c>
      <c r="C21" s="72">
        <f>_xlfn.XLOOKUP(B21,[1]门店排名!$C:$C,[1]门店排名!$E:$E,0)</f>
        <v>92371</v>
      </c>
      <c r="D21" s="72">
        <f>_xlfn.XLOOKUP(B21,[1]人头人次表!$GB:$GB,[1]人头人次表!$GG:$GG,0)</f>
        <v>58105.8</v>
      </c>
      <c r="E21" s="72">
        <f>_xlfn.XLOOKUP(B21,[1]人头人次表!$GB:$GB,[1]人头人次表!$GD:$GD,0)</f>
        <v>169</v>
      </c>
      <c r="F21" s="72">
        <f>_xlfn.XLOOKUP(B21,[1]人头人次表!$GB:$GB,[1]人头人次表!$GF:$GF,0)</f>
        <v>422</v>
      </c>
      <c r="G21" s="72">
        <f>_xlfn.XLOOKUP(B21,[2]汇总!$B:$B,[2]汇总!C:C,0)</f>
        <v>156</v>
      </c>
      <c r="H21" s="72">
        <f>_xlfn.XLOOKUP(B21,[2]汇总!$B:$B,[2]汇总!D:D,0)</f>
        <v>375.92</v>
      </c>
      <c r="I21" s="72">
        <f>_xlfn.XLOOKUP(B21,[2]汇总!$B:$B,[2]汇总!E:E,0)</f>
        <v>3175.2</v>
      </c>
      <c r="J21" s="72">
        <f>_xlfn.XLOOKUP(B21,[2]汇总!$B:$B,[2]汇总!F:F,0)</f>
        <v>0</v>
      </c>
      <c r="K21" s="72">
        <f>_xlfn.XLOOKUP(B21,[2]汇总!$B:$B,[2]汇总!G:G,0)</f>
        <v>0</v>
      </c>
      <c r="L21" s="72">
        <f>_xlfn.XLOOKUP(B21,[2]汇总!$B:$B,[2]汇总!H:H,0)</f>
        <v>723.3</v>
      </c>
      <c r="M21" s="72">
        <f t="shared" si="3"/>
        <v>4430.42</v>
      </c>
      <c r="N21" s="72">
        <f t="shared" si="2"/>
        <v>87940.58</v>
      </c>
    </row>
    <row r="22" spans="1:14" x14ac:dyDescent="0.15">
      <c r="A22" s="72" t="s">
        <v>139</v>
      </c>
      <c r="B22" s="72" t="s">
        <v>26</v>
      </c>
      <c r="C22" s="72">
        <f>_xlfn.XLOOKUP(B22,[1]门店排名!$C:$C,[1]门店排名!$E:$E,0)</f>
        <v>100934</v>
      </c>
      <c r="D22" s="72">
        <f>_xlfn.XLOOKUP(B22,[1]人头人次表!$GB:$GB,[1]人头人次表!$GG:$GG,0)</f>
        <v>120573.32</v>
      </c>
      <c r="E22" s="72">
        <f>_xlfn.XLOOKUP(B22,[1]人头人次表!$GB:$GB,[1]人头人次表!$GD:$GD,0)</f>
        <v>183</v>
      </c>
      <c r="F22" s="72">
        <f>_xlfn.XLOOKUP(B22,[1]人头人次表!$GB:$GB,[1]人头人次表!$GF:$GF,0)</f>
        <v>687</v>
      </c>
      <c r="G22" s="72">
        <f>_xlfn.XLOOKUP(B22,[2]汇总!$B:$B,[2]汇总!C:C,0)</f>
        <v>5076.66</v>
      </c>
      <c r="H22" s="72">
        <f>_xlfn.XLOOKUP(B22,[2]汇总!$B:$B,[2]汇总!D:D,0)</f>
        <v>1209.6500000000001</v>
      </c>
      <c r="I22" s="72">
        <f>_xlfn.XLOOKUP(B22,[2]汇总!$B:$B,[2]汇总!E:E,0)</f>
        <v>4620.6000000000004</v>
      </c>
      <c r="J22" s="72">
        <f>_xlfn.XLOOKUP(B22,[2]汇总!$B:$B,[2]汇总!F:F,0)</f>
        <v>0</v>
      </c>
      <c r="K22" s="72">
        <f>_xlfn.XLOOKUP(B22,[2]汇总!$B:$B,[2]汇总!G:G,0)</f>
        <v>0</v>
      </c>
      <c r="L22" s="72">
        <f>_xlfn.XLOOKUP(B22,[2]汇总!$B:$B,[2]汇总!H:H,0)</f>
        <v>930.3</v>
      </c>
      <c r="M22" s="72">
        <f t="shared" si="3"/>
        <v>11837.21</v>
      </c>
      <c r="N22" s="72">
        <f t="shared" si="2"/>
        <v>89096.790000000008</v>
      </c>
    </row>
    <row r="23" spans="1:14" x14ac:dyDescent="0.15">
      <c r="A23" s="72" t="s">
        <v>140</v>
      </c>
      <c r="B23" s="72" t="s">
        <v>56</v>
      </c>
      <c r="C23" s="72">
        <f>_xlfn.XLOOKUP(B23,[1]门店排名!$C:$C,[1]门店排名!$E:$E,0)</f>
        <v>151129</v>
      </c>
      <c r="D23" s="72">
        <f>_xlfn.XLOOKUP(B23,[1]人头人次表!$GB:$GB,[1]人头人次表!$GG:$GG,0)</f>
        <v>112580.75</v>
      </c>
      <c r="E23" s="72">
        <f>_xlfn.XLOOKUP(B23,[1]人头人次表!$GB:$GB,[1]人头人次表!$GD:$GD,0)</f>
        <v>164</v>
      </c>
      <c r="F23" s="72">
        <f>_xlfn.XLOOKUP(B23,[1]人头人次表!$GB:$GB,[1]人头人次表!$GF:$GF,0)</f>
        <v>466</v>
      </c>
      <c r="G23" s="72">
        <f>_xlfn.XLOOKUP(B23,[2]汇总!$B:$B,[2]汇总!C:C,0)</f>
        <v>6040.43</v>
      </c>
      <c r="H23" s="72">
        <f>_xlfn.XLOOKUP(B23,[2]汇总!$B:$B,[2]汇总!D:D,0)</f>
        <v>477.24</v>
      </c>
      <c r="I23" s="72">
        <f>_xlfn.XLOOKUP(B23,[2]汇总!$B:$B,[2]汇总!E:E,0)</f>
        <v>3086.14</v>
      </c>
      <c r="J23" s="72">
        <f>_xlfn.XLOOKUP(B23,[2]汇总!$B:$B,[2]汇总!F:F,0)</f>
        <v>-4305</v>
      </c>
      <c r="K23" s="72">
        <f>_xlfn.XLOOKUP(B23,[2]汇总!$B:$B,[2]汇总!G:G,0)</f>
        <v>0</v>
      </c>
      <c r="L23" s="72">
        <f>_xlfn.XLOOKUP(B23,[2]汇总!$B:$B,[2]汇总!H:H,0)</f>
        <v>871.5</v>
      </c>
      <c r="M23" s="72">
        <f t="shared" si="3"/>
        <v>6170.3099999999995</v>
      </c>
      <c r="N23" s="72">
        <f t="shared" si="2"/>
        <v>144958.69</v>
      </c>
    </row>
    <row r="24" spans="1:14" x14ac:dyDescent="0.15">
      <c r="A24" s="72" t="s">
        <v>141</v>
      </c>
      <c r="B24" s="72" t="s">
        <v>52</v>
      </c>
      <c r="C24" s="72">
        <f>_xlfn.XLOOKUP(B24,[1]门店排名!$C:$C,[1]门店排名!$E:$E,0)</f>
        <v>143757</v>
      </c>
      <c r="D24" s="72">
        <f>_xlfn.XLOOKUP(B24,[1]人头人次表!$GB:$GB,[1]人头人次表!$GG:$GG,0)</f>
        <v>100865.33</v>
      </c>
      <c r="E24" s="72">
        <f>_xlfn.XLOOKUP(B24,[1]人头人次表!$GB:$GB,[1]人头人次表!$GD:$GD,0)</f>
        <v>156</v>
      </c>
      <c r="F24" s="72">
        <f>_xlfn.XLOOKUP(B24,[1]人头人次表!$GB:$GB,[1]人头人次表!$GF:$GF,0)</f>
        <v>499</v>
      </c>
      <c r="G24" s="72">
        <f>_xlfn.XLOOKUP(B24,[2]汇总!$B:$B,[2]汇总!C:C,0)</f>
        <v>3000</v>
      </c>
      <c r="H24" s="72">
        <f>_xlfn.XLOOKUP(B24,[2]汇总!$B:$B,[2]汇总!D:D,0)</f>
        <v>681.77</v>
      </c>
      <c r="I24" s="72">
        <f>_xlfn.XLOOKUP(B24,[2]汇总!$B:$B,[2]汇总!E:E,0)</f>
        <v>2764.42</v>
      </c>
      <c r="J24" s="72">
        <f>_xlfn.XLOOKUP(B24,[2]汇总!$B:$B,[2]汇总!F:F,0)</f>
        <v>10520</v>
      </c>
      <c r="K24" s="72">
        <f>_xlfn.XLOOKUP(B24,[2]汇总!$B:$B,[2]汇总!G:G,0)</f>
        <v>0</v>
      </c>
      <c r="L24" s="72">
        <f>_xlfn.XLOOKUP(B24,[2]汇总!$B:$B,[2]汇总!H:H,0)</f>
        <v>618.70000000000005</v>
      </c>
      <c r="M24" s="72">
        <f t="shared" si="3"/>
        <v>17584.890000000003</v>
      </c>
      <c r="N24" s="72">
        <f t="shared" si="2"/>
        <v>126172.11</v>
      </c>
    </row>
    <row r="25" spans="1:14" x14ac:dyDescent="0.15">
      <c r="A25" s="72" t="s">
        <v>142</v>
      </c>
      <c r="B25" s="72" t="s">
        <v>38</v>
      </c>
      <c r="C25" s="72">
        <f>_xlfn.XLOOKUP(B25,[1]门店排名!$C:$C,[1]门店排名!$E:$E,0)</f>
        <v>150422</v>
      </c>
      <c r="D25" s="72">
        <f>_xlfn.XLOOKUP(B25,[1]人头人次表!$GB:$GB,[1]人头人次表!$GG:$GG,0)</f>
        <v>103361.72</v>
      </c>
      <c r="E25" s="72">
        <f>_xlfn.XLOOKUP(B25,[1]人头人次表!$GB:$GB,[1]人头人次表!$GD:$GD,0)</f>
        <v>111</v>
      </c>
      <c r="F25" s="72">
        <f>_xlfn.XLOOKUP(B25,[1]人头人次表!$GB:$GB,[1]人头人次表!$GF:$GF,0)</f>
        <v>504</v>
      </c>
      <c r="G25" s="72">
        <f>_xlfn.XLOOKUP(B25,[2]汇总!$B:$B,[2]汇总!C:C,0)</f>
        <v>2371.5</v>
      </c>
      <c r="H25" s="72">
        <f>_xlfn.XLOOKUP(B25,[2]汇总!$B:$B,[2]汇总!D:D,0)</f>
        <v>1827.5</v>
      </c>
      <c r="I25" s="72">
        <f>_xlfn.XLOOKUP(B25,[2]汇总!$B:$B,[2]汇总!E:E,0)</f>
        <v>3256.3</v>
      </c>
      <c r="J25" s="72">
        <f>_xlfn.XLOOKUP(B25,[2]汇总!$B:$B,[2]汇总!F:F,0)</f>
        <v>4590</v>
      </c>
      <c r="K25" s="72">
        <f>_xlfn.XLOOKUP(B25,[2]汇总!$B:$B,[2]汇总!G:G,0)</f>
        <v>0</v>
      </c>
      <c r="L25" s="72">
        <f>_xlfn.XLOOKUP(B25,[2]汇总!$B:$B,[2]汇总!H:H,0)</f>
        <v>791.3</v>
      </c>
      <c r="M25" s="72">
        <f t="shared" si="3"/>
        <v>12836.599999999999</v>
      </c>
      <c r="N25" s="72">
        <f t="shared" si="2"/>
        <v>137585.4</v>
      </c>
    </row>
    <row r="26" spans="1:14" x14ac:dyDescent="0.15">
      <c r="A26" s="72" t="s">
        <v>143</v>
      </c>
      <c r="B26" s="72" t="s">
        <v>55</v>
      </c>
      <c r="C26" s="72">
        <f>_xlfn.XLOOKUP(B26,[1]门店排名!$C:$C,[1]门店排名!$E:$E,0)</f>
        <v>180307.8</v>
      </c>
      <c r="D26" s="72">
        <f>_xlfn.XLOOKUP(B26,[1]人头人次表!$GB:$GB,[1]人头人次表!$GG:$GG,0)</f>
        <v>89092.800000000003</v>
      </c>
      <c r="E26" s="72">
        <f>_xlfn.XLOOKUP(B26,[1]人头人次表!$GB:$GB,[1]人头人次表!$GD:$GD,0)</f>
        <v>154</v>
      </c>
      <c r="F26" s="72">
        <f>_xlfn.XLOOKUP(B26,[1]人头人次表!$GB:$GB,[1]人头人次表!$GF:$GF,0)</f>
        <v>465</v>
      </c>
      <c r="G26" s="72">
        <f>_xlfn.XLOOKUP(B26,[2]汇总!$B:$B,[2]汇总!C:C,0)</f>
        <v>4438.3599999999997</v>
      </c>
      <c r="H26" s="72">
        <f>_xlfn.XLOOKUP(B26,[2]汇总!$B:$B,[2]汇总!D:D,0)</f>
        <v>1593.28</v>
      </c>
      <c r="I26" s="72">
        <f>_xlfn.XLOOKUP(B26,[2]汇总!$B:$B,[2]汇总!E:E,0)</f>
        <v>4101.6000000000004</v>
      </c>
      <c r="J26" s="72">
        <f>_xlfn.XLOOKUP(B26,[2]汇总!$B:$B,[2]汇总!F:F,0)</f>
        <v>1655</v>
      </c>
      <c r="K26" s="72">
        <f>_xlfn.XLOOKUP(B26,[2]汇总!$B:$B,[2]汇总!G:G,0)</f>
        <v>0</v>
      </c>
      <c r="L26" s="72">
        <f>_xlfn.XLOOKUP(B26,[2]汇总!$B:$B,[2]汇总!H:H,0)</f>
        <v>1122.5</v>
      </c>
      <c r="M26" s="72">
        <f t="shared" si="3"/>
        <v>12910.74</v>
      </c>
      <c r="N26" s="72">
        <f t="shared" si="2"/>
        <v>167397.06</v>
      </c>
    </row>
    <row r="27" spans="1:14" x14ac:dyDescent="0.15">
      <c r="A27" s="72" t="s">
        <v>144</v>
      </c>
      <c r="B27" s="72" t="s">
        <v>45</v>
      </c>
      <c r="C27" s="72">
        <f>_xlfn.XLOOKUP(B27,[1]门店排名!$C:$C,[1]门店排名!$E:$E,0)</f>
        <v>139022</v>
      </c>
      <c r="D27" s="72">
        <f>_xlfn.XLOOKUP(B27,[1]人头人次表!$GB:$GB,[1]人头人次表!$GG:$GG,0)</f>
        <v>127157.72</v>
      </c>
      <c r="E27" s="72">
        <f>_xlfn.XLOOKUP(B27,[1]人头人次表!$GB:$GB,[1]人头人次表!$GD:$GD,0)</f>
        <v>191</v>
      </c>
      <c r="F27" s="72">
        <f>_xlfn.XLOOKUP(B27,[1]人头人次表!$GB:$GB,[1]人头人次表!$GF:$GF,0)</f>
        <v>507</v>
      </c>
      <c r="G27" s="72">
        <f>_xlfn.XLOOKUP(B27,[2]汇总!$B:$B,[2]汇总!C:C,0)</f>
        <v>4456.45</v>
      </c>
      <c r="H27" s="72">
        <f>_xlfn.XLOOKUP(B27,[2]汇总!$B:$B,[2]汇总!D:D,0)</f>
        <v>1510.72</v>
      </c>
      <c r="I27" s="72">
        <f>_xlfn.XLOOKUP(B27,[2]汇总!$B:$B,[2]汇总!E:E,0)</f>
        <v>3717.66</v>
      </c>
      <c r="J27" s="72">
        <f>_xlfn.XLOOKUP(B27,[2]汇总!$B:$B,[2]汇总!F:F,0)</f>
        <v>8980</v>
      </c>
      <c r="K27" s="72">
        <f>_xlfn.XLOOKUP(B27,[2]汇总!$B:$B,[2]汇总!G:G,0)</f>
        <v>0</v>
      </c>
      <c r="L27" s="72">
        <f>_xlfn.XLOOKUP(B27,[2]汇总!$B:$B,[2]汇总!H:H,0)</f>
        <v>881.5</v>
      </c>
      <c r="M27" s="72">
        <f t="shared" si="3"/>
        <v>19546.330000000002</v>
      </c>
      <c r="N27" s="72">
        <f t="shared" si="2"/>
        <v>119475.67</v>
      </c>
    </row>
    <row r="28" spans="1:14" x14ac:dyDescent="0.15">
      <c r="A28" s="72" t="s">
        <v>145</v>
      </c>
      <c r="B28" s="72" t="s">
        <v>32</v>
      </c>
      <c r="C28" s="72">
        <f>_xlfn.XLOOKUP(B28,[1]门店排名!$C:$C,[1]门店排名!$E:$E,0)</f>
        <v>120949.6</v>
      </c>
      <c r="D28" s="72">
        <f>_xlfn.XLOOKUP(B28,[1]人头人次表!$GB:$GB,[1]人头人次表!$GG:$GG,0)</f>
        <v>82307.44</v>
      </c>
      <c r="E28" s="72">
        <f>_xlfn.XLOOKUP(B28,[1]人头人次表!$GB:$GB,[1]人头人次表!$GD:$GD,0)</f>
        <v>149</v>
      </c>
      <c r="F28" s="72">
        <f>_xlfn.XLOOKUP(B28,[1]人头人次表!$GB:$GB,[1]人头人次表!$GF:$GF,0)</f>
        <v>470</v>
      </c>
      <c r="G28" s="72">
        <f>_xlfn.XLOOKUP(B28,[2]汇总!$B:$B,[2]汇总!C:C,0)</f>
        <v>3699.8</v>
      </c>
      <c r="H28" s="72">
        <f>_xlfn.XLOOKUP(B28,[2]汇总!$B:$B,[2]汇总!D:D,0)</f>
        <v>646.76</v>
      </c>
      <c r="I28" s="72">
        <f>_xlfn.XLOOKUP(B28,[2]汇总!$B:$B,[2]汇总!E:E,0)</f>
        <v>6831.08</v>
      </c>
      <c r="J28" s="72">
        <f>_xlfn.XLOOKUP(B28,[2]汇总!$B:$B,[2]汇总!F:F,0)</f>
        <v>7225</v>
      </c>
      <c r="K28" s="72">
        <f>_xlfn.XLOOKUP(B28,[2]汇总!$B:$B,[2]汇总!G:G,0)</f>
        <v>0</v>
      </c>
      <c r="L28" s="72">
        <f>_xlfn.XLOOKUP(B28,[2]汇总!$B:$B,[2]汇总!H:H,0)</f>
        <v>525.5</v>
      </c>
      <c r="M28" s="72">
        <f t="shared" si="3"/>
        <v>18928.14</v>
      </c>
      <c r="N28" s="72">
        <f t="shared" si="2"/>
        <v>102021.46</v>
      </c>
    </row>
    <row r="29" spans="1:14" x14ac:dyDescent="0.15">
      <c r="A29" s="72" t="s">
        <v>146</v>
      </c>
      <c r="B29" s="72" t="s">
        <v>29</v>
      </c>
      <c r="C29" s="72">
        <f>_xlfn.XLOOKUP(B29,[1]门店排名!$C:$C,[1]门店排名!$E:$E,0)</f>
        <v>259744.88</v>
      </c>
      <c r="D29" s="72">
        <f>_xlfn.XLOOKUP(B29,[1]人头人次表!$GB:$GB,[1]人头人次表!$GG:$GG,0)</f>
        <v>180406.1</v>
      </c>
      <c r="E29" s="72">
        <f>_xlfn.XLOOKUP(B29,[1]人头人次表!$GB:$GB,[1]人头人次表!$GD:$GD,0)</f>
        <v>155</v>
      </c>
      <c r="F29" s="72">
        <f>_xlfn.XLOOKUP(B29,[1]人头人次表!$GB:$GB,[1]人头人次表!$GF:$GF,0)</f>
        <v>473</v>
      </c>
      <c r="G29" s="72">
        <f>_xlfn.XLOOKUP(B29,[2]汇总!$B:$B,[2]汇总!C:C,0)</f>
        <v>2250</v>
      </c>
      <c r="H29" s="72">
        <f>_xlfn.XLOOKUP(B29,[2]汇总!$B:$B,[2]汇总!D:D,0)</f>
        <v>892.58</v>
      </c>
      <c r="I29" s="72">
        <f>_xlfn.XLOOKUP(B29,[2]汇总!$B:$B,[2]汇总!E:E,0)</f>
        <v>2190.88</v>
      </c>
      <c r="J29" s="72">
        <f>_xlfn.XLOOKUP(B29,[2]汇总!$B:$B,[2]汇总!F:F,0)</f>
        <v>39560</v>
      </c>
      <c r="K29" s="72">
        <f>_xlfn.XLOOKUP(B29,[2]汇总!$B:$B,[2]汇总!G:G,0)</f>
        <v>0</v>
      </c>
      <c r="L29" s="72">
        <f>_xlfn.XLOOKUP(B29,[2]汇总!$B:$B,[2]汇总!H:H,0)</f>
        <v>582.9</v>
      </c>
      <c r="M29" s="72">
        <f t="shared" si="3"/>
        <v>45476.36</v>
      </c>
      <c r="N29" s="72">
        <f t="shared" si="2"/>
        <v>214268.52000000002</v>
      </c>
    </row>
    <row r="30" spans="1:14" x14ac:dyDescent="0.15">
      <c r="A30" s="72" t="s">
        <v>148</v>
      </c>
      <c r="B30" s="72" t="s">
        <v>59</v>
      </c>
      <c r="C30" s="72">
        <f>_xlfn.XLOOKUP(B30,[1]门店排名!$C:$C,[1]门店排名!$E:$E,0)</f>
        <v>150031.32999999999</v>
      </c>
      <c r="D30" s="72">
        <f>_xlfn.XLOOKUP(B30,[1]人头人次表!$GB:$GB,[1]人头人次表!$GG:$GG,0)</f>
        <v>65878.570000000007</v>
      </c>
      <c r="E30" s="72">
        <f>_xlfn.XLOOKUP(B30,[1]人头人次表!$GB:$GB,[1]人头人次表!$GD:$GD,0)</f>
        <v>186</v>
      </c>
      <c r="F30" s="72">
        <f>_xlfn.XLOOKUP(B30,[1]人头人次表!$GB:$GB,[1]人头人次表!$GF:$GF,0)</f>
        <v>485</v>
      </c>
      <c r="G30" s="72">
        <f>_xlfn.XLOOKUP(B30,[2]汇总!$B:$B,[2]汇总!C:C,0)</f>
        <v>4509.84</v>
      </c>
      <c r="H30" s="72">
        <f>_xlfn.XLOOKUP(B30,[2]汇总!$B:$B,[2]汇总!D:D,0)</f>
        <v>1001.07</v>
      </c>
      <c r="I30" s="72">
        <f>_xlfn.XLOOKUP(B30,[2]汇总!$B:$B,[2]汇总!E:E,0)</f>
        <v>4515.3</v>
      </c>
      <c r="J30" s="72">
        <f>_xlfn.XLOOKUP(B30,[2]汇总!$B:$B,[2]汇总!F:F,0)</f>
        <v>5940</v>
      </c>
      <c r="K30" s="72">
        <f>_xlfn.XLOOKUP(B30,[2]汇总!$B:$B,[2]汇总!G:G,0)</f>
        <v>0</v>
      </c>
      <c r="L30" s="72">
        <f>_xlfn.XLOOKUP(B30,[2]汇总!$B:$B,[2]汇总!H:H,0)</f>
        <v>537.20000000000005</v>
      </c>
      <c r="M30" s="72">
        <f t="shared" si="3"/>
        <v>16503.41</v>
      </c>
      <c r="N30" s="72">
        <f t="shared" si="2"/>
        <v>133527.91999999998</v>
      </c>
    </row>
    <row r="31" spans="1:14" x14ac:dyDescent="0.15">
      <c r="A31" s="72" t="s">
        <v>166</v>
      </c>
      <c r="B31" s="72" t="s">
        <v>57</v>
      </c>
      <c r="C31" s="72">
        <f>_xlfn.XLOOKUP(B31,[1]门店排名!$C:$C,[1]门店排名!$E:$E,0)</f>
        <v>133334.88</v>
      </c>
      <c r="D31" s="72">
        <f>_xlfn.XLOOKUP(B31,[1]人头人次表!$GB:$GB,[1]人头人次表!$GG:$GG,0)</f>
        <v>117423.44</v>
      </c>
      <c r="E31" s="72">
        <f>_xlfn.XLOOKUP(B31,[1]人头人次表!$GB:$GB,[1]人头人次表!$GD:$GD,0)</f>
        <v>117</v>
      </c>
      <c r="F31" s="72">
        <f>_xlfn.XLOOKUP(B31,[1]人头人次表!$GB:$GB,[1]人头人次表!$GF:$GF,0)</f>
        <v>353</v>
      </c>
      <c r="G31" s="72">
        <f>_xlfn.XLOOKUP(B31,[2]汇总!$B:$B,[2]汇总!C:C,0)</f>
        <v>1000</v>
      </c>
      <c r="H31" s="72">
        <f>_xlfn.XLOOKUP(B31,[2]汇总!$B:$B,[2]汇总!D:D,0)</f>
        <v>1563.73</v>
      </c>
      <c r="I31" s="72">
        <f>_xlfn.XLOOKUP(B31,[2]汇总!$B:$B,[2]汇总!E:E,0)</f>
        <v>7388.46</v>
      </c>
      <c r="J31" s="72">
        <f>_xlfn.XLOOKUP(B31,[2]汇总!$B:$B,[2]汇总!F:F,0)</f>
        <v>8495</v>
      </c>
      <c r="K31" s="72">
        <f>_xlfn.XLOOKUP(B31,[2]汇总!$B:$B,[2]汇总!G:G,0)</f>
        <v>0</v>
      </c>
      <c r="L31" s="72">
        <f>_xlfn.XLOOKUP(B31,[2]汇总!$B:$B,[2]汇总!H:H,0)</f>
        <v>482.4</v>
      </c>
      <c r="M31" s="72">
        <f t="shared" si="3"/>
        <v>18929.590000000004</v>
      </c>
      <c r="N31" s="72">
        <f t="shared" si="2"/>
        <v>114405.29000000001</v>
      </c>
    </row>
    <row r="32" spans="1:14" x14ac:dyDescent="0.15">
      <c r="A32" s="72" t="s">
        <v>152</v>
      </c>
      <c r="B32" s="72" t="s">
        <v>60</v>
      </c>
      <c r="C32" s="72">
        <f>_xlfn.XLOOKUP(B32,[1]门店排名!$C:$C,[1]门店排名!$E:$E,0)</f>
        <v>173290.6</v>
      </c>
      <c r="D32" s="72">
        <f>_xlfn.XLOOKUP(B32,[1]人头人次表!$GB:$GB,[1]人头人次表!$GG:$GG,0)</f>
        <v>115560.6</v>
      </c>
      <c r="E32" s="72">
        <f>_xlfn.XLOOKUP(B32,[1]人头人次表!$GB:$GB,[1]人头人次表!$GD:$GD,0)</f>
        <v>169</v>
      </c>
      <c r="F32" s="72">
        <f>_xlfn.XLOOKUP(B32,[1]人头人次表!$GB:$GB,[1]人头人次表!$GF:$GF,0)</f>
        <v>429</v>
      </c>
      <c r="G32" s="72">
        <f>_xlfn.XLOOKUP(B32,[2]汇总!$B:$B,[2]汇总!C:C,0)</f>
        <v>4000</v>
      </c>
      <c r="H32" s="72">
        <f>_xlfn.XLOOKUP(B32,[2]汇总!$B:$B,[2]汇总!D:D,0)</f>
        <v>2060.02</v>
      </c>
      <c r="I32" s="72">
        <f>_xlfn.XLOOKUP(B32,[2]汇总!$B:$B,[2]汇总!E:E,0)</f>
        <v>10183.44</v>
      </c>
      <c r="J32" s="72">
        <f>_xlfn.XLOOKUP(B32,[2]汇总!$B:$B,[2]汇总!F:F,0)</f>
        <v>23992.5</v>
      </c>
      <c r="K32" s="72">
        <f>_xlfn.XLOOKUP(B32,[2]汇总!$B:$B,[2]汇总!G:G,0)</f>
        <v>0</v>
      </c>
      <c r="L32" s="72">
        <f>_xlfn.XLOOKUP(B32,[2]汇总!$B:$B,[2]汇总!H:H,0)</f>
        <v>863.9</v>
      </c>
      <c r="M32" s="72">
        <f t="shared" si="3"/>
        <v>41099.86</v>
      </c>
      <c r="N32" s="72">
        <f t="shared" si="2"/>
        <v>132190.74</v>
      </c>
    </row>
  </sheetData>
  <phoneticPr fontId="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Q36"/>
  <sheetViews>
    <sheetView topLeftCell="A15" workbookViewId="0">
      <selection activeCell="G16" sqref="G16"/>
    </sheetView>
  </sheetViews>
  <sheetFormatPr defaultColWidth="9" defaultRowHeight="17.25" customHeight="1" x14ac:dyDescent="0.15"/>
  <cols>
    <col min="1" max="1" width="18.75" style="92" bestFit="1" customWidth="1"/>
    <col min="2" max="2" width="12.125" style="92" customWidth="1"/>
    <col min="3" max="3" width="20.375" style="92" customWidth="1"/>
    <col min="4" max="4" width="14.75" style="92" customWidth="1"/>
    <col min="5" max="5" width="14.5" style="93" customWidth="1"/>
    <col min="6" max="6" width="12.125" style="76" customWidth="1"/>
    <col min="7" max="7" width="8.125" style="76" bestFit="1" customWidth="1"/>
    <col min="8" max="8" width="9" style="76" customWidth="1"/>
    <col min="9" max="10" width="11.375" style="76" customWidth="1"/>
    <col min="11" max="11" width="13" style="96" customWidth="1"/>
    <col min="12" max="12" width="12.5" style="76" customWidth="1"/>
    <col min="13" max="13" width="13.25" style="97" customWidth="1"/>
    <col min="14" max="14" width="13.25" style="76" customWidth="1"/>
    <col min="15" max="15" width="9" style="76"/>
    <col min="16" max="16" width="12.875" style="76" customWidth="1"/>
    <col min="17" max="17" width="14.875" style="76" customWidth="1"/>
    <col min="18" max="16384" width="9" style="76"/>
  </cols>
  <sheetData>
    <row r="1" spans="1:17" ht="24.75" customHeight="1" x14ac:dyDescent="0.15">
      <c r="A1" s="156" t="s">
        <v>744</v>
      </c>
      <c r="B1" s="156"/>
      <c r="C1" s="156"/>
      <c r="D1" s="156"/>
      <c r="E1" s="156"/>
      <c r="F1" s="155"/>
      <c r="G1" s="155" t="s">
        <v>743</v>
      </c>
      <c r="H1" s="155"/>
      <c r="I1" s="155"/>
      <c r="J1" s="155"/>
      <c r="K1" s="157" t="s">
        <v>331</v>
      </c>
      <c r="L1" s="158"/>
      <c r="M1" s="159"/>
      <c r="N1" s="160"/>
    </row>
    <row r="2" spans="1:17" ht="17.25" customHeight="1" x14ac:dyDescent="0.15">
      <c r="A2" s="94" t="s">
        <v>742</v>
      </c>
      <c r="B2" s="94"/>
      <c r="C2" s="94"/>
      <c r="D2" s="94"/>
      <c r="E2" s="95"/>
      <c r="F2" s="76" t="s">
        <v>3</v>
      </c>
      <c r="P2" s="76" t="s">
        <v>4</v>
      </c>
      <c r="Q2" s="86" t="s">
        <v>5</v>
      </c>
    </row>
    <row r="3" spans="1:17" ht="17.25" customHeight="1" x14ac:dyDescent="0.15">
      <c r="A3" s="98" t="s">
        <v>6</v>
      </c>
      <c r="B3" s="98" t="s">
        <v>7</v>
      </c>
      <c r="C3" s="98" t="s">
        <v>8</v>
      </c>
      <c r="D3" s="98" t="s">
        <v>9</v>
      </c>
      <c r="E3" s="99" t="s">
        <v>10</v>
      </c>
      <c r="F3" s="85" t="s">
        <v>6</v>
      </c>
      <c r="G3" s="85"/>
      <c r="H3" s="85" t="s">
        <v>11</v>
      </c>
      <c r="I3" s="85" t="s">
        <v>12</v>
      </c>
      <c r="J3" s="85" t="s">
        <v>13</v>
      </c>
      <c r="K3" s="100" t="s">
        <v>14</v>
      </c>
      <c r="L3" s="85" t="s">
        <v>15</v>
      </c>
      <c r="M3" s="101" t="s">
        <v>16</v>
      </c>
      <c r="N3" s="85" t="s">
        <v>319</v>
      </c>
      <c r="P3" s="76" t="s">
        <v>17</v>
      </c>
      <c r="Q3" s="76" t="s">
        <v>291</v>
      </c>
    </row>
    <row r="4" spans="1:17" ht="17.25" customHeight="1" x14ac:dyDescent="0.15">
      <c r="A4" s="200" t="s">
        <v>4</v>
      </c>
      <c r="B4" s="102" t="s">
        <v>19</v>
      </c>
      <c r="C4" s="103">
        <v>320000</v>
      </c>
      <c r="D4" s="103">
        <v>200</v>
      </c>
      <c r="E4" s="103">
        <v>400000</v>
      </c>
      <c r="F4" s="76" t="s">
        <v>4</v>
      </c>
      <c r="I4" s="76" t="s">
        <v>20</v>
      </c>
      <c r="J4" s="76">
        <v>0</v>
      </c>
      <c r="K4" s="96" t="str">
        <f>_xlfn.XLOOKUP(B4,'①-①人事取数'!B:B,'①-①人事取数'!A:A,0)</f>
        <v>陈怡名</v>
      </c>
      <c r="L4" s="76">
        <f>_xlfn.XLOOKUP(B4,'①-①人事取数'!J:J,'①-①人事取数'!I:I,0)</f>
        <v>0</v>
      </c>
      <c r="M4" s="97">
        <f>_xlfn.XLOOKUP(B4,'①-①人事取数'!F:F,'①-①人事取数'!E:E,0)</f>
        <v>0</v>
      </c>
      <c r="N4" s="76" t="str">
        <f>_xlfn.XLOOKUP(B4,'①-①人事取数'!M:M,'①-①人事取数'!L:L,0)</f>
        <v>樊琳</v>
      </c>
      <c r="P4" s="76" t="s">
        <v>21</v>
      </c>
      <c r="Q4" s="86" t="s">
        <v>5</v>
      </c>
    </row>
    <row r="5" spans="1:17" ht="17.25" customHeight="1" x14ac:dyDescent="0.15">
      <c r="A5" s="200"/>
      <c r="B5" s="102">
        <v>468</v>
      </c>
      <c r="C5" s="103">
        <v>200000</v>
      </c>
      <c r="D5" s="103">
        <v>200</v>
      </c>
      <c r="E5" s="103">
        <v>180000</v>
      </c>
      <c r="F5" s="76" t="s">
        <v>4</v>
      </c>
      <c r="I5" s="76" t="s">
        <v>20</v>
      </c>
      <c r="J5" s="76">
        <v>0</v>
      </c>
      <c r="K5" s="96" t="str">
        <f>_xlfn.XLOOKUP(B5,'①-①人事取数'!B:B,'①-①人事取数'!A:A,0)</f>
        <v>张小华</v>
      </c>
      <c r="L5" s="76" t="str">
        <f>_xlfn.XLOOKUP(B5,'①-①人事取数'!J:J,'①-①人事取数'!I:I,0)</f>
        <v>王任燕</v>
      </c>
      <c r="M5" s="97" t="str">
        <f>_xlfn.XLOOKUP(B5,'①-①人事取数'!F:F,'①-①人事取数'!E:E,0)</f>
        <v>吴敏</v>
      </c>
      <c r="N5" s="76">
        <f>_xlfn.XLOOKUP(B5,'①-①人事取数'!M:M,'①-①人事取数'!L:L,0)</f>
        <v>0</v>
      </c>
      <c r="P5" s="76" t="s">
        <v>22</v>
      </c>
      <c r="Q5" s="86" t="s">
        <v>5</v>
      </c>
    </row>
    <row r="6" spans="1:17" ht="17.25" customHeight="1" x14ac:dyDescent="0.15">
      <c r="A6" s="200"/>
      <c r="B6" s="102" t="s">
        <v>23</v>
      </c>
      <c r="C6" s="103">
        <v>250000</v>
      </c>
      <c r="D6" s="103">
        <v>190</v>
      </c>
      <c r="E6" s="103">
        <v>300000</v>
      </c>
      <c r="F6" s="76" t="s">
        <v>4</v>
      </c>
      <c r="I6" s="76" t="s">
        <v>20</v>
      </c>
      <c r="J6" s="76">
        <v>0</v>
      </c>
      <c r="K6" s="96" t="str">
        <f>_xlfn.XLOOKUP(B6,'①-①人事取数'!B:B,'①-①人事取数'!A:A,0)</f>
        <v>易春梅</v>
      </c>
      <c r="L6" s="76" t="str">
        <f>_xlfn.XLOOKUP(B6,'①-①人事取数'!J:J,'①-①人事取数'!I:I,0)</f>
        <v>江玲</v>
      </c>
      <c r="M6" s="97">
        <f>_xlfn.XLOOKUP(B6,'①-①人事取数'!F:F,'①-①人事取数'!E:E,0)</f>
        <v>0</v>
      </c>
      <c r="N6" s="76">
        <f>_xlfn.XLOOKUP(B6,'①-①人事取数'!M:M,'①-①人事取数'!L:L,0)</f>
        <v>0</v>
      </c>
      <c r="P6" s="76" t="s">
        <v>24</v>
      </c>
      <c r="Q6" s="76" t="s">
        <v>25</v>
      </c>
    </row>
    <row r="7" spans="1:17" ht="17.25" customHeight="1" x14ac:dyDescent="0.15">
      <c r="A7" s="200"/>
      <c r="B7" s="102" t="s">
        <v>26</v>
      </c>
      <c r="C7" s="103">
        <v>150000</v>
      </c>
      <c r="D7" s="103">
        <v>160</v>
      </c>
      <c r="E7" s="103">
        <v>200000</v>
      </c>
      <c r="F7" s="76" t="s">
        <v>4</v>
      </c>
      <c r="I7" s="76" t="s">
        <v>20</v>
      </c>
      <c r="J7" s="76" t="s">
        <v>27</v>
      </c>
      <c r="K7" s="96" t="str">
        <f>_xlfn.XLOOKUP(B7,'①-①人事取数'!B:B,'①-①人事取数'!A:A,0)</f>
        <v>曾玉莲</v>
      </c>
      <c r="L7" s="76" t="str">
        <f>_xlfn.XLOOKUP(B7,'①-①人事取数'!J:J,'①-①人事取数'!I:I,0)</f>
        <v>彭兰钦</v>
      </c>
      <c r="M7" s="97">
        <f>_xlfn.XLOOKUP(B7,'①-①人事取数'!F:F,'①-①人事取数'!E:E,0)</f>
        <v>0</v>
      </c>
      <c r="N7" s="76">
        <f>_xlfn.XLOOKUP(B7,'①-①人事取数'!M:M,'①-①人事取数'!L:L,0)</f>
        <v>0</v>
      </c>
      <c r="P7" s="76" t="s">
        <v>28</v>
      </c>
      <c r="Q7" s="76" t="s">
        <v>25</v>
      </c>
    </row>
    <row r="8" spans="1:17" ht="17.25" customHeight="1" x14ac:dyDescent="0.15">
      <c r="A8" s="200"/>
      <c r="B8" s="102" t="s">
        <v>29</v>
      </c>
      <c r="C8" s="103">
        <v>120000</v>
      </c>
      <c r="D8" s="103">
        <v>150</v>
      </c>
      <c r="E8" s="103">
        <v>0</v>
      </c>
      <c r="F8" s="76" t="s">
        <v>4</v>
      </c>
      <c r="I8" s="76" t="s">
        <v>20</v>
      </c>
      <c r="J8" s="76" t="s">
        <v>27</v>
      </c>
      <c r="K8" s="96" t="str">
        <f>_xlfn.XLOOKUP(B8,'①-①人事取数'!B:B,'①-①人事取数'!A:A,0)</f>
        <v>宋林琳</v>
      </c>
      <c r="L8" s="76" t="str">
        <f>_xlfn.XLOOKUP(B8,'①-①人事取数'!J:J,'①-①人事取数'!I:I,0)</f>
        <v>谢双叶</v>
      </c>
      <c r="M8" s="97">
        <f>_xlfn.XLOOKUP(B8,'①-①人事取数'!F:F,'①-①人事取数'!E:E,0)</f>
        <v>0</v>
      </c>
      <c r="N8" s="76">
        <f>_xlfn.XLOOKUP(B8,'①-①人事取数'!M:M,'①-①人事取数'!L:L,0)</f>
        <v>0</v>
      </c>
    </row>
    <row r="9" spans="1:17" ht="17.25" customHeight="1" x14ac:dyDescent="0.15">
      <c r="A9" s="200" t="s">
        <v>17</v>
      </c>
      <c r="B9" s="102" t="s">
        <v>30</v>
      </c>
      <c r="C9" s="103">
        <v>150000</v>
      </c>
      <c r="D9" s="103">
        <v>180</v>
      </c>
      <c r="E9" s="103">
        <v>200000</v>
      </c>
      <c r="F9" s="76" t="s">
        <v>17</v>
      </c>
      <c r="I9" s="76" t="s">
        <v>31</v>
      </c>
      <c r="J9" s="76">
        <v>0</v>
      </c>
      <c r="K9" s="96" t="str">
        <f>_xlfn.XLOOKUP(B9,'①-①人事取数'!B:B,'①-①人事取数'!A:A,0)</f>
        <v>张清华</v>
      </c>
      <c r="L9" s="76" t="str">
        <f>_xlfn.XLOOKUP(B9,'①-①人事取数'!J:J,'①-①人事取数'!I:I,0)</f>
        <v>刘香</v>
      </c>
      <c r="M9" s="97">
        <f>_xlfn.XLOOKUP(B9,'①-①人事取数'!F:F,'①-①人事取数'!E:E,0)</f>
        <v>0</v>
      </c>
      <c r="N9" s="76">
        <f>_xlfn.XLOOKUP(B9,'①-①人事取数'!M:M,'①-①人事取数'!L:L,0)</f>
        <v>0</v>
      </c>
    </row>
    <row r="10" spans="1:17" ht="17.25" customHeight="1" x14ac:dyDescent="0.15">
      <c r="A10" s="200"/>
      <c r="B10" s="102" t="s">
        <v>32</v>
      </c>
      <c r="C10" s="103">
        <v>120000</v>
      </c>
      <c r="D10" s="103">
        <v>145</v>
      </c>
      <c r="E10" s="103">
        <v>100000</v>
      </c>
      <c r="F10" s="76" t="s">
        <v>17</v>
      </c>
      <c r="I10" s="76" t="s">
        <v>31</v>
      </c>
      <c r="J10" s="76">
        <v>0</v>
      </c>
      <c r="K10" s="96" t="str">
        <f>_xlfn.XLOOKUP(B10,'①-①人事取数'!B:B,'①-①人事取数'!A:A,0)</f>
        <v>张红霞</v>
      </c>
      <c r="L10" s="76" t="str">
        <f>_xlfn.XLOOKUP(B10,'①-①人事取数'!J:J,'①-①人事取数'!I:I,0)</f>
        <v>陈燕辉</v>
      </c>
      <c r="M10" s="97">
        <f>_xlfn.XLOOKUP(B10,'①-①人事取数'!F:F,'①-①人事取数'!E:E,0)</f>
        <v>0</v>
      </c>
      <c r="N10" s="76">
        <f>_xlfn.XLOOKUP(B10,'①-①人事取数'!M:M,'①-①人事取数'!L:L,0)</f>
        <v>0</v>
      </c>
    </row>
    <row r="11" spans="1:17" ht="17.25" customHeight="1" x14ac:dyDescent="0.15">
      <c r="A11" s="200" t="s">
        <v>21</v>
      </c>
      <c r="B11" s="102" t="s">
        <v>33</v>
      </c>
      <c r="C11" s="103">
        <v>200000</v>
      </c>
      <c r="D11" s="103">
        <v>170</v>
      </c>
      <c r="E11" s="103">
        <v>250000</v>
      </c>
      <c r="F11" s="76" t="s">
        <v>21</v>
      </c>
      <c r="I11" s="76" t="s">
        <v>34</v>
      </c>
      <c r="J11" s="76">
        <v>0</v>
      </c>
      <c r="K11" s="96" t="str">
        <f>_xlfn.XLOOKUP(B11,'①-①人事取数'!B:B,'①-①人事取数'!A:A,0)</f>
        <v>张勤</v>
      </c>
      <c r="L11" s="76" t="str">
        <f>_xlfn.XLOOKUP(B11,'①-①人事取数'!J:J,'①-①人事取数'!I:I,0)</f>
        <v>雷怡</v>
      </c>
      <c r="M11" s="97" t="str">
        <f>_xlfn.XLOOKUP(B11,'①-①人事取数'!F:F,'①-①人事取数'!E:E,0)</f>
        <v>康丹</v>
      </c>
      <c r="N11" s="76">
        <f>_xlfn.XLOOKUP(B11,'①-①人事取数'!M:M,'①-①人事取数'!L:L,0)</f>
        <v>0</v>
      </c>
    </row>
    <row r="12" spans="1:17" ht="17.25" customHeight="1" x14ac:dyDescent="0.15">
      <c r="A12" s="200"/>
      <c r="B12" s="102" t="s">
        <v>35</v>
      </c>
      <c r="C12" s="103">
        <v>150000</v>
      </c>
      <c r="D12" s="103">
        <v>160</v>
      </c>
      <c r="E12" s="103">
        <v>180000</v>
      </c>
      <c r="F12" s="76" t="s">
        <v>21</v>
      </c>
      <c r="I12" s="76" t="s">
        <v>34</v>
      </c>
      <c r="J12" s="76">
        <v>0</v>
      </c>
      <c r="K12" s="96" t="str">
        <f>_xlfn.XLOOKUP(B12,'①-①人事取数'!B:B,'①-①人事取数'!A:A,0)</f>
        <v>向郑瑶</v>
      </c>
      <c r="L12" s="76" t="str">
        <f>_xlfn.XLOOKUP(B12,'①-①人事取数'!J:J,'①-①人事取数'!I:I,0)</f>
        <v>谭莹</v>
      </c>
      <c r="M12" s="97">
        <f>_xlfn.XLOOKUP(B12,'①-①人事取数'!F:F,'①-①人事取数'!E:E,0)</f>
        <v>0</v>
      </c>
      <c r="N12" s="76">
        <f>_xlfn.XLOOKUP(B12,'①-①人事取数'!M:M,'①-①人事取数'!L:L,0)</f>
        <v>0</v>
      </c>
    </row>
    <row r="13" spans="1:17" ht="17.25" customHeight="1" x14ac:dyDescent="0.15">
      <c r="A13" s="200"/>
      <c r="B13" s="102" t="s">
        <v>36</v>
      </c>
      <c r="C13" s="103">
        <v>150000</v>
      </c>
      <c r="D13" s="103">
        <v>140</v>
      </c>
      <c r="E13" s="103">
        <v>180000</v>
      </c>
      <c r="F13" s="76" t="s">
        <v>21</v>
      </c>
      <c r="I13" s="76" t="s">
        <v>34</v>
      </c>
      <c r="J13" s="76">
        <v>0</v>
      </c>
      <c r="K13" s="96" t="str">
        <f>_xlfn.XLOOKUP(B13,'①-①人事取数'!B:B,'①-①人事取数'!A:A,0)</f>
        <v>邓丽莉</v>
      </c>
      <c r="L13" s="76" t="str">
        <f>_xlfn.XLOOKUP(B13,'①-①人事取数'!J:J,'①-①人事取数'!I:I,0)</f>
        <v>张明艳</v>
      </c>
      <c r="M13" s="97">
        <f>_xlfn.XLOOKUP(B13,'①-①人事取数'!F:F,'①-①人事取数'!E:E,0)</f>
        <v>0</v>
      </c>
      <c r="N13" s="76">
        <f>_xlfn.XLOOKUP(B13,'①-①人事取数'!M:M,'①-①人事取数'!L:L,0)</f>
        <v>0</v>
      </c>
    </row>
    <row r="14" spans="1:17" ht="17.25" customHeight="1" x14ac:dyDescent="0.15">
      <c r="A14" s="200"/>
      <c r="B14" s="102" t="s">
        <v>37</v>
      </c>
      <c r="C14" s="103">
        <v>150000</v>
      </c>
      <c r="D14" s="103">
        <v>160</v>
      </c>
      <c r="E14" s="103">
        <v>220000</v>
      </c>
      <c r="F14" s="76" t="s">
        <v>21</v>
      </c>
      <c r="I14" s="76" t="s">
        <v>34</v>
      </c>
      <c r="J14" s="76" t="s">
        <v>324</v>
      </c>
      <c r="K14" s="96">
        <f>_xlfn.XLOOKUP(B14,'①-①人事取数'!B:B,'①-①人事取数'!A:A,0)</f>
        <v>0</v>
      </c>
      <c r="L14" s="76" t="str">
        <f>_xlfn.XLOOKUP(B14,'①-①人事取数'!J:J,'①-①人事取数'!I:I,0)</f>
        <v>但红玉</v>
      </c>
      <c r="M14" s="97" t="str">
        <f>_xlfn.XLOOKUP(B14,'①-①人事取数'!F:F,'①-①人事取数'!E:E,0)</f>
        <v>李萱君</v>
      </c>
      <c r="N14" s="76">
        <f>_xlfn.XLOOKUP(B14,'①-①人事取数'!M:M,'①-①人事取数'!L:L,0)</f>
        <v>0</v>
      </c>
    </row>
    <row r="15" spans="1:17" ht="17.25" customHeight="1" x14ac:dyDescent="0.15">
      <c r="A15" s="200"/>
      <c r="B15" s="102" t="s">
        <v>38</v>
      </c>
      <c r="C15" s="103">
        <v>150000</v>
      </c>
      <c r="D15" s="103">
        <v>135</v>
      </c>
      <c r="E15" s="103">
        <v>200000</v>
      </c>
      <c r="F15" s="76" t="s">
        <v>21</v>
      </c>
      <c r="I15" s="76" t="s">
        <v>34</v>
      </c>
      <c r="K15" s="96" t="str">
        <f>_xlfn.XLOOKUP(B15,'①-①人事取数'!B:B,'①-①人事取数'!A:A,0)</f>
        <v>关晓燕</v>
      </c>
      <c r="L15" s="76" t="str">
        <f>_xlfn.XLOOKUP(B15,'①-①人事取数'!J:J,'①-①人事取数'!I:I,0)</f>
        <v>贺慧</v>
      </c>
      <c r="M15" s="97">
        <f>_xlfn.XLOOKUP(B15,'①-①人事取数'!F:F,'①-①人事取数'!E:E,0)</f>
        <v>0</v>
      </c>
      <c r="N15" s="76">
        <f>_xlfn.XLOOKUP(B15,'①-①人事取数'!M:M,'①-①人事取数'!L:L,0)</f>
        <v>0</v>
      </c>
    </row>
    <row r="16" spans="1:17" ht="17.25" customHeight="1" x14ac:dyDescent="0.15">
      <c r="A16" s="200"/>
      <c r="B16" s="102" t="s">
        <v>39</v>
      </c>
      <c r="C16" s="103">
        <v>150000</v>
      </c>
      <c r="D16" s="103">
        <v>170</v>
      </c>
      <c r="E16" s="103">
        <v>200000</v>
      </c>
      <c r="F16" s="76" t="s">
        <v>21</v>
      </c>
      <c r="I16" s="76" t="s">
        <v>34</v>
      </c>
      <c r="J16" s="76">
        <v>0</v>
      </c>
      <c r="K16" s="96" t="str">
        <f>_xlfn.XLOOKUP(B16,'①-①人事取数'!B:B,'①-①人事取数'!A:A,0)</f>
        <v>赵忠芬</v>
      </c>
      <c r="L16" s="76" t="str">
        <f>_xlfn.XLOOKUP(B16,'①-①人事取数'!J:J,'①-①人事取数'!I:I,0)</f>
        <v>林锶莹</v>
      </c>
      <c r="M16" s="97" t="str">
        <f>_xlfn.XLOOKUP(B16,'①-①人事取数'!F:F,'①-①人事取数'!E:E,0)</f>
        <v>高红艳</v>
      </c>
      <c r="N16" s="76">
        <f>_xlfn.XLOOKUP(B16,'①-①人事取数'!M:M,'①-①人事取数'!L:L,0)</f>
        <v>0</v>
      </c>
    </row>
    <row r="17" spans="1:14" ht="17.25" customHeight="1" x14ac:dyDescent="0.15">
      <c r="A17" s="200" t="s">
        <v>22</v>
      </c>
      <c r="B17" s="102" t="s">
        <v>40</v>
      </c>
      <c r="C17" s="103">
        <v>350000</v>
      </c>
      <c r="D17" s="103">
        <v>200</v>
      </c>
      <c r="E17" s="103">
        <v>420000</v>
      </c>
      <c r="F17" s="76" t="s">
        <v>22</v>
      </c>
      <c r="I17" s="76" t="s">
        <v>41</v>
      </c>
      <c r="J17" s="76">
        <v>0</v>
      </c>
      <c r="K17" s="96" t="str">
        <f>_xlfn.XLOOKUP(B17,'①-①人事取数'!B:B,'①-①人事取数'!A:A,0)</f>
        <v>莫志英</v>
      </c>
      <c r="L17" s="76" t="str">
        <f>_xlfn.XLOOKUP(B17,'①-①人事取数'!J:J,'①-①人事取数'!I:I,0)</f>
        <v>吴琴</v>
      </c>
      <c r="M17" s="97" t="str">
        <f>_xlfn.XLOOKUP(B17,'①-①人事取数'!F:F,'①-①人事取数'!E:E,0)</f>
        <v>李春华</v>
      </c>
      <c r="N17" s="76">
        <f>_xlfn.XLOOKUP(B17,'①-①人事取数'!M:M,'①-①人事取数'!L:L,0)</f>
        <v>0</v>
      </c>
    </row>
    <row r="18" spans="1:14" ht="17.25" customHeight="1" x14ac:dyDescent="0.15">
      <c r="A18" s="200"/>
      <c r="B18" s="102" t="s">
        <v>42</v>
      </c>
      <c r="C18" s="103">
        <v>300000</v>
      </c>
      <c r="D18" s="103">
        <v>190</v>
      </c>
      <c r="E18" s="103">
        <v>300000</v>
      </c>
      <c r="F18" s="76" t="s">
        <v>22</v>
      </c>
      <c r="I18" s="76" t="s">
        <v>41</v>
      </c>
      <c r="J18" s="76">
        <v>0</v>
      </c>
      <c r="K18" s="96" t="str">
        <f>_xlfn.XLOOKUP(B18,'①-①人事取数'!B:B,'①-①人事取数'!A:A,0)</f>
        <v>彭龙惠</v>
      </c>
      <c r="L18" s="76" t="str">
        <f>_xlfn.XLOOKUP(B18,'①-①人事取数'!J:J,'①-①人事取数'!I:I,0)</f>
        <v>赵小红</v>
      </c>
      <c r="M18" s="97">
        <f>_xlfn.XLOOKUP(B18,'①-①人事取数'!F:F,'①-①人事取数'!E:E,0)</f>
        <v>0</v>
      </c>
      <c r="N18" s="76">
        <f>_xlfn.XLOOKUP(B18,'①-①人事取数'!M:M,'①-①人事取数'!L:L,0)</f>
        <v>0</v>
      </c>
    </row>
    <row r="19" spans="1:14" ht="17.25" customHeight="1" x14ac:dyDescent="0.15">
      <c r="A19" s="200"/>
      <c r="B19" s="104" t="s">
        <v>43</v>
      </c>
      <c r="C19" s="103">
        <v>150000</v>
      </c>
      <c r="D19" s="103">
        <v>160</v>
      </c>
      <c r="E19" s="103">
        <v>200000</v>
      </c>
      <c r="F19" s="76" t="s">
        <v>22</v>
      </c>
      <c r="J19" s="76" t="s">
        <v>44</v>
      </c>
      <c r="K19" s="96" t="str">
        <f>_xlfn.XLOOKUP(B19,'①-①人事取数'!B:B,'①-①人事取数'!A:A,0)</f>
        <v>王晓琳</v>
      </c>
      <c r="L19" s="76" t="str">
        <f>_xlfn.XLOOKUP(B19,'①-①人事取数'!J:J,'①-①人事取数'!I:I,0)</f>
        <v>陈琳</v>
      </c>
      <c r="M19" s="97">
        <f>_xlfn.XLOOKUP(B19,'①-①人事取数'!F:F,'①-①人事取数'!E:E,0)</f>
        <v>0</v>
      </c>
      <c r="N19" s="76">
        <f>_xlfn.XLOOKUP(B19,'①-①人事取数'!M:M,'①-①人事取数'!L:L,0)</f>
        <v>0</v>
      </c>
    </row>
    <row r="20" spans="1:14" ht="17.25" customHeight="1" x14ac:dyDescent="0.15">
      <c r="A20" s="200"/>
      <c r="B20" s="104" t="s">
        <v>45</v>
      </c>
      <c r="C20" s="103">
        <v>180000</v>
      </c>
      <c r="D20" s="103">
        <v>180</v>
      </c>
      <c r="E20" s="103">
        <v>200000</v>
      </c>
      <c r="F20" s="76" t="s">
        <v>22</v>
      </c>
      <c r="J20" s="76" t="s">
        <v>44</v>
      </c>
      <c r="K20" s="96" t="str">
        <f>_xlfn.XLOOKUP(B20,'①-①人事取数'!B:B,'①-①人事取数'!A:A,0)</f>
        <v>龚茜</v>
      </c>
      <c r="L20" s="76" t="str">
        <f>_xlfn.XLOOKUP(B20,'①-①人事取数'!J:J,'①-①人事取数'!I:I,0)</f>
        <v>施凤皎</v>
      </c>
      <c r="M20" s="97">
        <f>_xlfn.XLOOKUP(B20,'①-①人事取数'!F:F,'①-①人事取数'!E:E,0)</f>
        <v>0</v>
      </c>
      <c r="N20" s="76">
        <f>_xlfn.XLOOKUP(B20,'①-①人事取数'!M:M,'①-①人事取数'!L:L,0)</f>
        <v>0</v>
      </c>
    </row>
    <row r="21" spans="1:14" ht="17.25" customHeight="1" x14ac:dyDescent="0.15">
      <c r="A21" s="200"/>
      <c r="B21" s="102" t="s">
        <v>46</v>
      </c>
      <c r="C21" s="103">
        <v>120000</v>
      </c>
      <c r="D21" s="103">
        <v>140</v>
      </c>
      <c r="E21" s="103">
        <v>180000</v>
      </c>
      <c r="F21" s="76" t="s">
        <v>22</v>
      </c>
      <c r="I21" s="76" t="s">
        <v>41</v>
      </c>
      <c r="J21" s="76">
        <v>0</v>
      </c>
      <c r="K21" s="96" t="str">
        <f>_xlfn.XLOOKUP(B21,'①-①人事取数'!B:B,'①-①人事取数'!A:A,0)</f>
        <v>何琼华</v>
      </c>
      <c r="L21" s="76" t="str">
        <f>_xlfn.XLOOKUP(B21,'①-①人事取数'!J:J,'①-①人事取数'!I:I,0)</f>
        <v>蒋圆圆</v>
      </c>
      <c r="M21" s="97">
        <f>_xlfn.XLOOKUP(B21,'①-①人事取数'!F:F,'①-①人事取数'!E:E,0)</f>
        <v>0</v>
      </c>
      <c r="N21" s="76">
        <f>_xlfn.XLOOKUP(B21,'①-①人事取数'!M:M,'①-①人事取数'!L:L,0)</f>
        <v>0</v>
      </c>
    </row>
    <row r="22" spans="1:14" ht="17.25" customHeight="1" x14ac:dyDescent="0.15">
      <c r="A22" s="200"/>
      <c r="B22" s="102" t="s">
        <v>47</v>
      </c>
      <c r="C22" s="103">
        <v>150000</v>
      </c>
      <c r="D22" s="103">
        <v>150</v>
      </c>
      <c r="E22" s="103">
        <v>150000</v>
      </c>
      <c r="F22" s="76" t="s">
        <v>22</v>
      </c>
      <c r="I22" s="76" t="s">
        <v>41</v>
      </c>
      <c r="J22" s="76">
        <v>0</v>
      </c>
      <c r="K22" s="96" t="str">
        <f>_xlfn.XLOOKUP(B22,'①-①人事取数'!B:B,'①-①人事取数'!A:A,0)</f>
        <v>徐睦垚</v>
      </c>
      <c r="L22" s="76" t="str">
        <f>_xlfn.XLOOKUP(B22,'①-①人事取数'!J:J,'①-①人事取数'!I:I,0)</f>
        <v>陈佳丽</v>
      </c>
      <c r="M22" s="97" t="str">
        <f>_xlfn.XLOOKUP(B22,'①-①人事取数'!F:F,'①-①人事取数'!E:E,0)</f>
        <v>刘金凤</v>
      </c>
      <c r="N22" s="76">
        <f>_xlfn.XLOOKUP(B22,'①-①人事取数'!M:M,'①-①人事取数'!L:L,0)</f>
        <v>0</v>
      </c>
    </row>
    <row r="23" spans="1:14" ht="17.25" customHeight="1" x14ac:dyDescent="0.15">
      <c r="A23" s="200"/>
      <c r="B23" s="102" t="s">
        <v>48</v>
      </c>
      <c r="C23" s="103">
        <v>150000</v>
      </c>
      <c r="D23" s="103">
        <v>170</v>
      </c>
      <c r="E23" s="103">
        <v>200000</v>
      </c>
      <c r="F23" s="76" t="s">
        <v>22</v>
      </c>
      <c r="I23" s="76" t="s">
        <v>41</v>
      </c>
      <c r="J23" s="76">
        <v>0</v>
      </c>
      <c r="K23" s="96" t="str">
        <f>_xlfn.XLOOKUP(B23,'①-①人事取数'!B:B,'①-①人事取数'!A:A,0)</f>
        <v>秦娜</v>
      </c>
      <c r="L23" s="76">
        <f>_xlfn.XLOOKUP(B23,'①-①人事取数'!J:J,'①-①人事取数'!I:I,0)</f>
        <v>0</v>
      </c>
      <c r="M23" s="97">
        <f>_xlfn.XLOOKUP(B23,'①-①人事取数'!F:F,'①-①人事取数'!E:E,0)</f>
        <v>0</v>
      </c>
      <c r="N23" s="76" t="str">
        <f>_xlfn.XLOOKUP(B23,'①-①人事取数'!M:M,'①-①人事取数'!L:L,0)</f>
        <v>牟光燕</v>
      </c>
    </row>
    <row r="24" spans="1:14" ht="17.25" customHeight="1" x14ac:dyDescent="0.15">
      <c r="A24" s="200" t="s">
        <v>24</v>
      </c>
      <c r="B24" s="102" t="s">
        <v>49</v>
      </c>
      <c r="C24" s="103">
        <v>200000</v>
      </c>
      <c r="D24" s="103">
        <v>170</v>
      </c>
      <c r="E24" s="103">
        <v>220000</v>
      </c>
      <c r="F24" s="76" t="s">
        <v>24</v>
      </c>
      <c r="I24" s="76" t="s">
        <v>50</v>
      </c>
      <c r="J24" s="76">
        <v>0</v>
      </c>
      <c r="K24" s="96" t="str">
        <f>_xlfn.XLOOKUP(B24,'①-①人事取数'!B:B,'①-①人事取数'!A:A,0)</f>
        <v>刘安琼</v>
      </c>
      <c r="L24" s="76" t="str">
        <f>_xlfn.XLOOKUP(B24,'①-①人事取数'!J:J,'①-①人事取数'!I:I,0)</f>
        <v>林萍</v>
      </c>
      <c r="M24" s="97" t="str">
        <f>_xlfn.XLOOKUP(B24,'①-①人事取数'!F:F,'①-①人事取数'!E:E,0)</f>
        <v>刘晓林</v>
      </c>
      <c r="N24" s="76">
        <f>_xlfn.XLOOKUP(B24,'①-①人事取数'!M:M,'①-①人事取数'!L:L,0)</f>
        <v>0</v>
      </c>
    </row>
    <row r="25" spans="1:14" ht="17.25" customHeight="1" x14ac:dyDescent="0.15">
      <c r="A25" s="200"/>
      <c r="B25" s="102" t="s">
        <v>51</v>
      </c>
      <c r="C25" s="103">
        <v>120000</v>
      </c>
      <c r="D25" s="103">
        <v>140</v>
      </c>
      <c r="E25" s="103">
        <v>100000</v>
      </c>
      <c r="F25" s="76" t="s">
        <v>24</v>
      </c>
      <c r="I25" s="76" t="s">
        <v>50</v>
      </c>
      <c r="J25" s="76">
        <v>0</v>
      </c>
      <c r="K25" s="96" t="str">
        <f>_xlfn.XLOOKUP(B25,'①-①人事取数'!B:B,'①-①人事取数'!A:A,0)</f>
        <v>糜清云</v>
      </c>
      <c r="L25" s="76" t="str">
        <f>_xlfn.XLOOKUP(B25,'①-①人事取数'!J:J,'①-①人事取数'!I:I,0)</f>
        <v>陈嘉仪</v>
      </c>
      <c r="M25" s="97">
        <f>_xlfn.XLOOKUP(B25,'①-①人事取数'!F:F,'①-①人事取数'!E:E,0)</f>
        <v>0</v>
      </c>
      <c r="N25" s="76">
        <f>_xlfn.XLOOKUP(B25,'①-①人事取数'!M:M,'①-①人事取数'!L:L,0)</f>
        <v>0</v>
      </c>
    </row>
    <row r="26" spans="1:14" ht="17.25" customHeight="1" x14ac:dyDescent="0.15">
      <c r="A26" s="200"/>
      <c r="B26" s="102" t="s">
        <v>52</v>
      </c>
      <c r="C26" s="103">
        <v>120000</v>
      </c>
      <c r="D26" s="103">
        <v>180</v>
      </c>
      <c r="E26" s="103">
        <v>160000</v>
      </c>
      <c r="F26" s="76" t="s">
        <v>24</v>
      </c>
      <c r="I26" s="76" t="s">
        <v>50</v>
      </c>
      <c r="J26" s="76">
        <v>0</v>
      </c>
      <c r="K26" s="96" t="str">
        <f>_xlfn.XLOOKUP(B26,'①-①人事取数'!B:B,'①-①人事取数'!A:A,0)</f>
        <v>尧丹丹</v>
      </c>
      <c r="L26" s="76" t="str">
        <f>_xlfn.XLOOKUP(B26,'①-①人事取数'!J:J,'①-①人事取数'!I:I,0)</f>
        <v>谢珂欣</v>
      </c>
      <c r="M26" s="97">
        <f>_xlfn.XLOOKUP(B26,'①-①人事取数'!F:F,'①-①人事取数'!E:E,0)</f>
        <v>0</v>
      </c>
      <c r="N26" s="76">
        <f>_xlfn.XLOOKUP(B26,'①-①人事取数'!M:M,'①-①人事取数'!L:L,0)</f>
        <v>0</v>
      </c>
    </row>
    <row r="27" spans="1:14" ht="17.25" customHeight="1" x14ac:dyDescent="0.15">
      <c r="A27" s="200" t="s">
        <v>28</v>
      </c>
      <c r="B27" s="102" t="s">
        <v>53</v>
      </c>
      <c r="C27" s="103">
        <v>200000</v>
      </c>
      <c r="D27" s="103">
        <v>170</v>
      </c>
      <c r="E27" s="103">
        <v>220000</v>
      </c>
      <c r="F27" s="76" t="s">
        <v>28</v>
      </c>
      <c r="I27" s="76" t="s">
        <v>54</v>
      </c>
      <c r="J27" s="76">
        <v>0</v>
      </c>
      <c r="K27" s="96" t="str">
        <f>_xlfn.XLOOKUP(B27,'①-①人事取数'!B:B,'①-①人事取数'!A:A,0)</f>
        <v>李茂</v>
      </c>
      <c r="L27" s="76" t="str">
        <f>_xlfn.XLOOKUP(B27,'①-①人事取数'!J:J,'①-①人事取数'!I:I,0)</f>
        <v>郑华跃</v>
      </c>
      <c r="M27" s="97">
        <f>_xlfn.XLOOKUP(B27,'①-①人事取数'!F:F,'①-①人事取数'!E:E,0)</f>
        <v>0</v>
      </c>
      <c r="N27" s="76">
        <f>_xlfn.XLOOKUP(B27,'①-①人事取数'!M:M,'①-①人事取数'!L:L,0)</f>
        <v>0</v>
      </c>
    </row>
    <row r="28" spans="1:14" ht="17.25" customHeight="1" x14ac:dyDescent="0.15">
      <c r="A28" s="200"/>
      <c r="B28" s="102" t="s">
        <v>55</v>
      </c>
      <c r="C28" s="103">
        <v>180000</v>
      </c>
      <c r="D28" s="103">
        <v>170</v>
      </c>
      <c r="E28" s="103">
        <v>220000</v>
      </c>
      <c r="F28" s="76" t="s">
        <v>28</v>
      </c>
      <c r="I28" s="76" t="s">
        <v>54</v>
      </c>
      <c r="J28" s="76">
        <v>0</v>
      </c>
      <c r="K28" s="96" t="str">
        <f>_xlfn.XLOOKUP(B28,'①-①人事取数'!B:B,'①-①人事取数'!A:A,0)</f>
        <v>魏柯</v>
      </c>
      <c r="L28" s="76" t="str">
        <f>_xlfn.XLOOKUP(B28,'①-①人事取数'!J:J,'①-①人事取数'!I:I,0)</f>
        <v>叶璐璐</v>
      </c>
      <c r="M28" s="97">
        <f>_xlfn.XLOOKUP(B28,'①-①人事取数'!F:F,'①-①人事取数'!E:E,0)</f>
        <v>0</v>
      </c>
      <c r="N28" s="76">
        <f>_xlfn.XLOOKUP(B28,'①-①人事取数'!M:M,'①-①人事取数'!L:L,0)</f>
        <v>0</v>
      </c>
    </row>
    <row r="29" spans="1:14" ht="17.25" customHeight="1" x14ac:dyDescent="0.15">
      <c r="A29" s="201"/>
      <c r="B29" s="105" t="s">
        <v>56</v>
      </c>
      <c r="C29" s="103">
        <v>150000</v>
      </c>
      <c r="D29" s="103">
        <v>160</v>
      </c>
      <c r="E29" s="103">
        <v>200000</v>
      </c>
      <c r="F29" s="76" t="s">
        <v>28</v>
      </c>
      <c r="I29" s="76" t="s">
        <v>54</v>
      </c>
      <c r="J29" s="76">
        <v>0</v>
      </c>
      <c r="K29" s="96" t="str">
        <f>_xlfn.XLOOKUP(B29,'①-①人事取数'!B:B,'①-①人事取数'!A:A,0)</f>
        <v>白丽</v>
      </c>
      <c r="L29" s="76" t="str">
        <f>_xlfn.XLOOKUP(B29,'①-①人事取数'!J:J,'①-①人事取数'!I:I,0)</f>
        <v>郑巧玲</v>
      </c>
      <c r="M29" s="97">
        <f>_xlfn.XLOOKUP(B29,'①-①人事取数'!F:F,'①-①人事取数'!E:E,0)</f>
        <v>0</v>
      </c>
      <c r="N29" s="76">
        <f>_xlfn.XLOOKUP(B29,'①-①人事取数'!M:M,'①-①人事取数'!L:L,0)</f>
        <v>0</v>
      </c>
    </row>
    <row r="30" spans="1:14" ht="17.25" customHeight="1" x14ac:dyDescent="0.15">
      <c r="B30" s="105" t="s">
        <v>57</v>
      </c>
      <c r="C30" s="103">
        <v>120000</v>
      </c>
      <c r="D30" s="103">
        <v>130</v>
      </c>
      <c r="E30" s="103">
        <v>0</v>
      </c>
      <c r="F30" s="76" t="s">
        <v>4</v>
      </c>
      <c r="G30" s="76" t="s">
        <v>58</v>
      </c>
      <c r="J30" s="76" t="s">
        <v>27</v>
      </c>
      <c r="K30" s="96">
        <f>_xlfn.XLOOKUP(B30,'①-①人事取数'!B:B,'①-①人事取数'!A:A,0)</f>
        <v>0</v>
      </c>
      <c r="L30" s="76" t="str">
        <f>_xlfn.XLOOKUP(B30,'①-①人事取数'!J:J,'①-①人事取数'!I:I,0)</f>
        <v>胡祝曲</v>
      </c>
      <c r="M30" s="97" t="str">
        <f>_xlfn.XLOOKUP(B30,'①-①人事取数'!F:F,'①-①人事取数'!E:E,0)</f>
        <v>竹艳梅</v>
      </c>
      <c r="N30" s="76">
        <f>_xlfn.XLOOKUP(B30,'①-①人事取数'!M:M,'①-①人事取数'!L:L,0)</f>
        <v>0</v>
      </c>
    </row>
    <row r="31" spans="1:14" ht="17.25" customHeight="1" x14ac:dyDescent="0.15">
      <c r="B31" s="105" t="s">
        <v>59</v>
      </c>
      <c r="C31" s="103">
        <v>150000</v>
      </c>
      <c r="D31" s="103">
        <v>180</v>
      </c>
      <c r="E31" s="103">
        <v>0</v>
      </c>
      <c r="F31" s="76" t="s">
        <v>17</v>
      </c>
      <c r="G31" s="76" t="s">
        <v>58</v>
      </c>
      <c r="I31" s="76" t="s">
        <v>31</v>
      </c>
      <c r="K31" s="96">
        <f>_xlfn.XLOOKUP(B31,'①-①人事取数'!B:B,'①-①人事取数'!A:A,0)</f>
        <v>0</v>
      </c>
      <c r="L31" s="76" t="str">
        <f>_xlfn.XLOOKUP(B31,'①-①人事取数'!J:J,'①-①人事取数'!I:I,0)</f>
        <v>汪丽娟</v>
      </c>
      <c r="M31" s="97" t="str">
        <f>_xlfn.XLOOKUP(B31,'①-①人事取数'!F:F,'①-①人事取数'!E:E,0)</f>
        <v>罗林芳</v>
      </c>
      <c r="N31" s="76">
        <f>_xlfn.XLOOKUP(B31,'①-①人事取数'!M:M,'①-①人事取数'!L:L,0)</f>
        <v>0</v>
      </c>
    </row>
    <row r="32" spans="1:14" ht="17.25" customHeight="1" x14ac:dyDescent="0.15">
      <c r="B32" s="105" t="s">
        <v>60</v>
      </c>
      <c r="C32" s="103">
        <v>150000</v>
      </c>
      <c r="D32" s="103">
        <v>180</v>
      </c>
      <c r="E32" s="103">
        <v>0</v>
      </c>
      <c r="F32" s="76" t="s">
        <v>21</v>
      </c>
      <c r="G32" s="76" t="s">
        <v>58</v>
      </c>
      <c r="H32" s="76" t="s">
        <v>61</v>
      </c>
      <c r="J32" s="76" t="s">
        <v>324</v>
      </c>
      <c r="K32" s="96">
        <f>_xlfn.XLOOKUP(B32,'①-①人事取数'!B:B,'①-①人事取数'!A:A,0)</f>
        <v>0</v>
      </c>
      <c r="L32" s="76" t="str">
        <f>_xlfn.XLOOKUP(B32,'①-①人事取数'!J:J,'①-①人事取数'!I:I,0)</f>
        <v>涂莹丹</v>
      </c>
      <c r="M32" s="97" t="str">
        <f>_xlfn.XLOOKUP(B32,'①-①人事取数'!F:F,'①-①人事取数'!E:E,0)</f>
        <v>任艺</v>
      </c>
      <c r="N32" s="76">
        <f>_xlfn.XLOOKUP(B32,'①-①人事取数'!M:M,'①-①人事取数'!L:L,0)</f>
        <v>0</v>
      </c>
    </row>
    <row r="33" spans="12:14" ht="17.25" customHeight="1" x14ac:dyDescent="0.15">
      <c r="L33" s="76">
        <f>_xlfn.XLOOKUP(B33,'①-①人事取数'!J:J,'①-①人事取数'!I:I,0)</f>
        <v>0</v>
      </c>
      <c r="M33" s="97">
        <f>_xlfn.XLOOKUP(B33,'①-①人事取数'!F:F,'①-①人事取数'!E:E,0)</f>
        <v>0</v>
      </c>
      <c r="N33" s="76">
        <f>_xlfn.XLOOKUP(B33,'①-①人事取数'!M:M,'①-①人事取数'!L:L,0)</f>
        <v>0</v>
      </c>
    </row>
    <row r="34" spans="12:14" ht="17.25" customHeight="1" x14ac:dyDescent="0.15">
      <c r="L34" s="76">
        <f>_xlfn.XLOOKUP(B34,'①-①人事取数'!J:J,'①-①人事取数'!I:I,0)</f>
        <v>0</v>
      </c>
      <c r="M34" s="97">
        <f>_xlfn.XLOOKUP(B34,'①-①人事取数'!F:F,'①-①人事取数'!E:E,0)</f>
        <v>0</v>
      </c>
      <c r="N34" s="76">
        <f>_xlfn.XLOOKUP(B34,'①-①人事取数'!M:M,'①-①人事取数'!L:L,0)</f>
        <v>0</v>
      </c>
    </row>
    <row r="35" spans="12:14" ht="17.25" customHeight="1" x14ac:dyDescent="0.15">
      <c r="L35" s="76">
        <f>_xlfn.XLOOKUP(B35,'①-①人事取数'!J:J,'①-①人事取数'!I:I,0)</f>
        <v>0</v>
      </c>
      <c r="M35" s="97">
        <f>_xlfn.XLOOKUP(B35,'①-①人事取数'!F:F,'①-①人事取数'!E:E,0)</f>
        <v>0</v>
      </c>
      <c r="N35" s="76">
        <f>_xlfn.XLOOKUP(B35,'①-①人事取数'!M:M,'①-①人事取数'!L:L,0)</f>
        <v>0</v>
      </c>
    </row>
    <row r="36" spans="12:14" ht="17.25" customHeight="1" x14ac:dyDescent="0.15">
      <c r="M36" s="97">
        <f>_xlfn.XLOOKUP(B36,'①-①人事取数'!F:F,'①-①人事取数'!E:E,0)</f>
        <v>0</v>
      </c>
      <c r="N36" s="76">
        <f>_xlfn.XLOOKUP(B36,'①-①人事取数'!M:M,'①-①人事取数'!L:L,0)</f>
        <v>0</v>
      </c>
    </row>
  </sheetData>
  <mergeCells count="6">
    <mergeCell ref="A27:A29"/>
    <mergeCell ref="A4:A8"/>
    <mergeCell ref="A9:A10"/>
    <mergeCell ref="A11:A16"/>
    <mergeCell ref="A17:A23"/>
    <mergeCell ref="A24:A26"/>
  </mergeCells>
  <phoneticPr fontId="4" type="noConversion"/>
  <conditionalFormatting sqref="B1:B1048576">
    <cfRule type="duplicateValues" dxfId="18" priority="1"/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B1651-62C1-40AC-849B-3A3F8E143C21}">
  <sheetPr>
    <tabColor rgb="FF92D050"/>
  </sheetPr>
  <dimension ref="B2:E3"/>
  <sheetViews>
    <sheetView workbookViewId="0">
      <selection activeCell="J34" sqref="J34"/>
    </sheetView>
  </sheetViews>
  <sheetFormatPr defaultRowHeight="13.5" x14ac:dyDescent="0.15"/>
  <sheetData>
    <row r="2" spans="2:5" x14ac:dyDescent="0.15">
      <c r="B2" s="5" t="s">
        <v>336</v>
      </c>
      <c r="C2" s="5" t="s">
        <v>337</v>
      </c>
      <c r="D2" s="5" t="s">
        <v>338</v>
      </c>
      <c r="E2">
        <v>37000</v>
      </c>
    </row>
    <row r="3" spans="2:5" x14ac:dyDescent="0.15">
      <c r="B3" s="5" t="s">
        <v>336</v>
      </c>
      <c r="C3" s="5" t="s">
        <v>337</v>
      </c>
      <c r="D3" s="5" t="s">
        <v>338</v>
      </c>
      <c r="E3">
        <v>5000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AD38"/>
  <sheetViews>
    <sheetView workbookViewId="0">
      <selection activeCell="A32" sqref="A32:XFD32"/>
    </sheetView>
  </sheetViews>
  <sheetFormatPr defaultColWidth="9" defaultRowHeight="13.5" x14ac:dyDescent="0.15"/>
  <cols>
    <col min="1" max="3" width="13.25" customWidth="1"/>
    <col min="4" max="4" width="8.375" customWidth="1"/>
    <col min="5" max="5" width="8.75" customWidth="1"/>
    <col min="6" max="6" width="11" bestFit="1" customWidth="1"/>
    <col min="7" max="7" width="12" customWidth="1"/>
    <col min="8" max="8" width="11" style="15" customWidth="1"/>
    <col min="9" max="10" width="14.5" style="1" customWidth="1"/>
    <col min="11" max="11" width="7" style="25" customWidth="1"/>
    <col min="12" max="12" width="2" customWidth="1"/>
    <col min="13" max="14" width="14" style="15" customWidth="1"/>
    <col min="15" max="15" width="13.25" style="1" customWidth="1"/>
    <col min="16" max="16" width="14.375" style="1" customWidth="1"/>
    <col min="17" max="17" width="9" style="16" customWidth="1"/>
    <col min="18" max="18" width="1.5" customWidth="1"/>
    <col min="19" max="19" width="12.5" style="26" customWidth="1"/>
    <col min="20" max="20" width="20.5" customWidth="1"/>
    <col min="21" max="21" width="14.125" customWidth="1"/>
    <col min="22" max="22" width="10.375" customWidth="1"/>
    <col min="23" max="23" width="12.625" customWidth="1"/>
    <col min="24" max="24" width="10.125" customWidth="1"/>
    <col min="26" max="26" width="9" style="25"/>
    <col min="27" max="27" width="11" style="15" customWidth="1"/>
    <col min="28" max="29" width="14.5" style="1" customWidth="1"/>
    <col min="30" max="30" width="7" style="25" customWidth="1"/>
  </cols>
  <sheetData>
    <row r="1" spans="1:30" ht="54" x14ac:dyDescent="0.15">
      <c r="A1" s="5" t="s">
        <v>97</v>
      </c>
      <c r="G1" t="s">
        <v>98</v>
      </c>
      <c r="H1" s="27" t="s">
        <v>99</v>
      </c>
      <c r="I1" s="23"/>
      <c r="J1" s="23"/>
      <c r="K1" s="29"/>
      <c r="M1" s="30" t="s">
        <v>100</v>
      </c>
      <c r="N1" s="30"/>
      <c r="O1" s="18"/>
      <c r="P1" s="18" t="s">
        <v>101</v>
      </c>
      <c r="Q1" s="19"/>
      <c r="S1" s="31"/>
      <c r="T1" s="32" t="s">
        <v>102</v>
      </c>
      <c r="U1" s="33" t="s">
        <v>103</v>
      </c>
      <c r="V1" s="34"/>
      <c r="W1" s="32" t="s">
        <v>102</v>
      </c>
      <c r="X1" s="34"/>
      <c r="Y1" s="34"/>
      <c r="Z1" s="29"/>
      <c r="AA1" s="27" t="s">
        <v>99</v>
      </c>
      <c r="AB1" s="23"/>
      <c r="AC1" s="23"/>
      <c r="AD1" s="29"/>
    </row>
    <row r="2" spans="1:30" x14ac:dyDescent="0.15">
      <c r="A2" t="s">
        <v>7</v>
      </c>
      <c r="C2" t="s">
        <v>6</v>
      </c>
      <c r="D2" t="s">
        <v>104</v>
      </c>
      <c r="E2" t="s">
        <v>105</v>
      </c>
      <c r="F2" t="s">
        <v>106</v>
      </c>
      <c r="G2" t="s">
        <v>107</v>
      </c>
      <c r="H2" s="28" t="s">
        <v>108</v>
      </c>
      <c r="I2" s="1" t="s">
        <v>109</v>
      </c>
      <c r="J2" s="1" t="s">
        <v>110</v>
      </c>
      <c r="M2" s="28" t="s">
        <v>16</v>
      </c>
      <c r="N2" s="28" t="s">
        <v>14</v>
      </c>
      <c r="O2" s="1" t="s">
        <v>111</v>
      </c>
      <c r="P2" s="1" t="s">
        <v>112</v>
      </c>
      <c r="Q2" s="16" t="s">
        <v>113</v>
      </c>
      <c r="S2" s="26" t="s">
        <v>12</v>
      </c>
      <c r="T2" t="s">
        <v>114</v>
      </c>
      <c r="U2" t="s">
        <v>115</v>
      </c>
      <c r="V2" t="s">
        <v>13</v>
      </c>
      <c r="W2" t="s">
        <v>114</v>
      </c>
      <c r="X2" t="s">
        <v>115</v>
      </c>
      <c r="AA2" s="55" t="s">
        <v>321</v>
      </c>
      <c r="AB2" s="1" t="s">
        <v>109</v>
      </c>
      <c r="AC2" s="1" t="s">
        <v>110</v>
      </c>
    </row>
    <row r="3" spans="1:30" x14ac:dyDescent="0.15">
      <c r="A3" t="s">
        <v>116</v>
      </c>
      <c r="B3" t="s">
        <v>117</v>
      </c>
      <c r="C3">
        <f>IFERROR(VLOOKUP(B3,③工资核算浮动条件设置①!B:F,5,0),0)</f>
        <v>0</v>
      </c>
      <c r="D3">
        <v>0</v>
      </c>
      <c r="G3">
        <f>IFERROR(VLOOKUP(B3,③工资核算浮动条件设置①!B:C,2,0),0)</f>
        <v>0</v>
      </c>
      <c r="H3" s="28">
        <f>IFERROR(VLOOKUP(B3,③工资核算浮动条件设置①!B:L,11,0),0)</f>
        <v>0</v>
      </c>
      <c r="M3" s="28">
        <f>IFERROR(VLOOKUP(B3,③工资核算浮动条件设置①!B:M,11,0),0)</f>
        <v>0</v>
      </c>
      <c r="N3" s="28">
        <f>IFERROR(VLOOKUP(B3,③工资核算浮动条件设置①!B:K,10,0),0)</f>
        <v>0</v>
      </c>
      <c r="O3" s="1">
        <f>IFERROR(VLOOKUP(B3,③工资核算浮动条件设置①!B:C,2,0),0)</f>
        <v>0</v>
      </c>
      <c r="P3" s="1">
        <f>IFERROR(VLOOKUP(B3,③工资核算浮动条件设置①!B:D,3,0),0)</f>
        <v>0</v>
      </c>
      <c r="Q3" s="16">
        <f>IFERROR(VLOOKUP(B3,③工资核算浮动条件设置①!B:E,4,0),0)</f>
        <v>0</v>
      </c>
      <c r="S3" s="35">
        <f>IFERROR(VLOOKUP(B3,③工资核算浮动条件设置①!B:I,8,0),0)</f>
        <v>0</v>
      </c>
      <c r="T3">
        <v>0</v>
      </c>
      <c r="U3">
        <v>0</v>
      </c>
      <c r="V3" s="35">
        <f>IFERROR(VLOOKUP(B3,③工资核算浮动条件设置①!B:J,9,0),0)</f>
        <v>0</v>
      </c>
      <c r="W3">
        <v>0</v>
      </c>
      <c r="X3">
        <v>0</v>
      </c>
      <c r="AA3" s="28">
        <f>IFERROR(VLOOKUP(B3,③工资核算浮动条件设置①!B:N,13,0),0)</f>
        <v>0</v>
      </c>
    </row>
    <row r="4" spans="1:30" x14ac:dyDescent="0.15">
      <c r="A4" t="s">
        <v>118</v>
      </c>
      <c r="B4" t="s">
        <v>40</v>
      </c>
      <c r="C4" t="str">
        <f>IFERROR(VLOOKUP(B4,③工资核算浮动条件设置①!B:F,5,0),0)</f>
        <v>事业四部</v>
      </c>
      <c r="D4" t="s">
        <v>119</v>
      </c>
      <c r="G4">
        <f>IFERROR(VLOOKUP(B4,③工资核算浮动条件设置①!B:C,2,0),0)</f>
        <v>350000</v>
      </c>
      <c r="H4" s="28" t="str">
        <f>IFERROR(VLOOKUP(B4,③工资核算浮动条件设置①!B:L,11,0),0)</f>
        <v>吴琴</v>
      </c>
      <c r="I4" s="1">
        <v>200</v>
      </c>
      <c r="J4" s="1">
        <v>260</v>
      </c>
      <c r="M4" s="28" t="str">
        <f>IFERROR(VLOOKUP(B4,③工资核算浮动条件设置①!B:M,12,0),0)</f>
        <v>李春华</v>
      </c>
      <c r="N4" s="28" t="str">
        <f>IFERROR(VLOOKUP(B4,③工资核算浮动条件设置①!B:K,10,0),0)</f>
        <v>莫志英</v>
      </c>
      <c r="O4" s="1">
        <f>IFERROR(VLOOKUP(B4,③工资核算浮动条件设置①!B:C,2,0),0)</f>
        <v>350000</v>
      </c>
      <c r="P4" s="1">
        <f>IFERROR(VLOOKUP(B4,③工资核算浮动条件设置①!B:D,3,0),0)</f>
        <v>200</v>
      </c>
      <c r="Q4" s="16">
        <f>IFERROR(VLOOKUP(B4,③工资核算浮动条件设置①!B:E,4,0),0)</f>
        <v>420000</v>
      </c>
      <c r="S4" s="35" t="str">
        <f>IFERROR(VLOOKUP(B4,③工资核算浮动条件设置①!B:I,8,0),0)</f>
        <v>饶秋华</v>
      </c>
      <c r="T4">
        <v>350000</v>
      </c>
      <c r="U4">
        <v>400000</v>
      </c>
      <c r="V4" s="35">
        <f>IFERROR(VLOOKUP(B4,③工资核算浮动条件设置①!B:J,9,0),0)</f>
        <v>0</v>
      </c>
      <c r="W4">
        <v>0</v>
      </c>
      <c r="X4">
        <v>0</v>
      </c>
      <c r="AA4" s="28">
        <f>IFERROR(VLOOKUP(B4,③工资核算浮动条件设置①!B:N,13,0),0)</f>
        <v>0</v>
      </c>
      <c r="AB4" s="1">
        <v>200</v>
      </c>
      <c r="AC4" s="1">
        <v>260</v>
      </c>
    </row>
    <row r="5" spans="1:30" x14ac:dyDescent="0.15">
      <c r="A5" t="s">
        <v>120</v>
      </c>
      <c r="B5" t="s">
        <v>42</v>
      </c>
      <c r="C5" t="str">
        <f>IFERROR(VLOOKUP(B5,③工资核算浮动条件设置①!B:F,5,0),0)</f>
        <v>事业四部</v>
      </c>
      <c r="D5" t="s">
        <v>119</v>
      </c>
      <c r="G5" s="106">
        <v>300000</v>
      </c>
      <c r="H5" s="28" t="str">
        <f>IFERROR(VLOOKUP(B5,③工资核算浮动条件设置①!B:L,11,0),0)</f>
        <v>赵小红</v>
      </c>
      <c r="I5" s="1">
        <v>160</v>
      </c>
      <c r="J5" s="1">
        <v>190</v>
      </c>
      <c r="M5" s="28">
        <f>IFERROR(VLOOKUP(B5,③工资核算浮动条件设置①!B:M,12,0),0)</f>
        <v>0</v>
      </c>
      <c r="N5" s="28" t="str">
        <f>IFERROR(VLOOKUP(B5,③工资核算浮动条件设置①!B:K,10,0),0)</f>
        <v>彭龙惠</v>
      </c>
      <c r="O5" s="1">
        <f>IFERROR(VLOOKUP(B5,③工资核算浮动条件设置①!B:C,2,0),0)</f>
        <v>300000</v>
      </c>
      <c r="P5" s="1">
        <f>IFERROR(VLOOKUP(B5,③工资核算浮动条件设置①!B:D,3,0),0)</f>
        <v>190</v>
      </c>
      <c r="Q5" s="16">
        <f>IFERROR(VLOOKUP(B5,③工资核算浮动条件设置①!B:E,4,0),0)</f>
        <v>300000</v>
      </c>
      <c r="S5" s="35" t="str">
        <f>IFERROR(VLOOKUP(B5,③工资核算浮动条件设置①!B:I,8,0),0)</f>
        <v>饶秋华</v>
      </c>
      <c r="T5">
        <v>250000</v>
      </c>
      <c r="U5">
        <v>300000</v>
      </c>
      <c r="V5" s="35">
        <f>IFERROR(VLOOKUP(B5,③工资核算浮动条件设置①!B:J,9,0),0)</f>
        <v>0</v>
      </c>
      <c r="W5">
        <v>0</v>
      </c>
      <c r="X5">
        <v>0</v>
      </c>
      <c r="AA5" s="28">
        <f>IFERROR(VLOOKUP(B5,③工资核算浮动条件设置①!B:N,13,0),0)</f>
        <v>0</v>
      </c>
      <c r="AB5" s="1">
        <v>160</v>
      </c>
      <c r="AC5" s="1">
        <v>190</v>
      </c>
    </row>
    <row r="6" spans="1:30" x14ac:dyDescent="0.15">
      <c r="A6" t="s">
        <v>121</v>
      </c>
      <c r="B6" t="s">
        <v>35</v>
      </c>
      <c r="C6" t="str">
        <f>IFERROR(VLOOKUP(B6,③工资核算浮动条件设置①!B:F,5,0),0)</f>
        <v>事业三部</v>
      </c>
      <c r="D6" t="s">
        <v>122</v>
      </c>
      <c r="G6">
        <f>IFERROR(VLOOKUP(B6,③工资核算浮动条件设置①!B:C,2,0),0)</f>
        <v>150000</v>
      </c>
      <c r="H6" s="28" t="str">
        <f>IFERROR(VLOOKUP(B6,③工资核算浮动条件设置①!B:L,11,0),0)</f>
        <v>谭莹</v>
      </c>
      <c r="I6" s="1">
        <v>140</v>
      </c>
      <c r="J6" s="1">
        <v>180</v>
      </c>
      <c r="M6" s="28">
        <f>IFERROR(VLOOKUP(B6,③工资核算浮动条件设置①!B:M,12,0),0)</f>
        <v>0</v>
      </c>
      <c r="N6" s="28" t="str">
        <f>IFERROR(VLOOKUP(B6,③工资核算浮动条件设置①!B:K,10,0),0)</f>
        <v>向郑瑶</v>
      </c>
      <c r="O6" s="1">
        <f>IFERROR(VLOOKUP(B6,③工资核算浮动条件设置①!B:C,2,0),0)</f>
        <v>150000</v>
      </c>
      <c r="P6" s="1">
        <f>IFERROR(VLOOKUP(B6,③工资核算浮动条件设置①!B:D,3,0),0)</f>
        <v>160</v>
      </c>
      <c r="Q6" s="16">
        <f>IFERROR(VLOOKUP(B6,③工资核算浮动条件设置①!B:E,4,0),0)</f>
        <v>180000</v>
      </c>
      <c r="S6" s="35" t="str">
        <f>IFERROR(VLOOKUP(B6,③工资核算浮动条件设置①!B:I,8,0),0)</f>
        <v>秦亚平</v>
      </c>
      <c r="T6">
        <v>150000</v>
      </c>
      <c r="U6">
        <v>200000</v>
      </c>
      <c r="V6" s="35">
        <f>IFERROR(VLOOKUP(B6,③工资核算浮动条件设置①!B:J,9,0),0)</f>
        <v>0</v>
      </c>
      <c r="W6">
        <v>0</v>
      </c>
      <c r="X6">
        <v>0</v>
      </c>
      <c r="AA6" s="28">
        <f>IFERROR(VLOOKUP(B6,③工资核算浮动条件设置①!B:N,13,0),0)</f>
        <v>0</v>
      </c>
      <c r="AB6" s="1">
        <v>140</v>
      </c>
      <c r="AC6" s="1">
        <v>180</v>
      </c>
    </row>
    <row r="7" spans="1:30" x14ac:dyDescent="0.15">
      <c r="A7" t="s">
        <v>123</v>
      </c>
      <c r="B7" t="s">
        <v>23</v>
      </c>
      <c r="C7" t="str">
        <f>IFERROR(VLOOKUP(B7,③工资核算浮动条件设置①!B:F,5,0),0)</f>
        <v>事业一部</v>
      </c>
      <c r="D7" t="s">
        <v>119</v>
      </c>
      <c r="G7" s="106">
        <v>250000</v>
      </c>
      <c r="H7" s="28" t="str">
        <f>IFERROR(VLOOKUP(B7,③工资核算浮动条件设置①!B:L,11,0),0)</f>
        <v>江玲</v>
      </c>
      <c r="I7" s="1">
        <v>150</v>
      </c>
      <c r="J7" s="1">
        <v>190</v>
      </c>
      <c r="M7" s="28">
        <f>IFERROR(VLOOKUP(B7,③工资核算浮动条件设置①!B:M,12,0),0)</f>
        <v>0</v>
      </c>
      <c r="N7" s="28" t="str">
        <f>IFERROR(VLOOKUP(B7,③工资核算浮动条件设置①!B:K,10,0),0)</f>
        <v>易春梅</v>
      </c>
      <c r="O7" s="1">
        <f>IFERROR(VLOOKUP(B7,③工资核算浮动条件设置①!B:C,2,0),0)</f>
        <v>250000</v>
      </c>
      <c r="P7" s="1">
        <f>IFERROR(VLOOKUP(B7,③工资核算浮动条件设置①!B:D,3,0),0)</f>
        <v>190</v>
      </c>
      <c r="Q7" s="16">
        <f>IFERROR(VLOOKUP(B7,③工资核算浮动条件设置①!B:E,4,0),0)</f>
        <v>300000</v>
      </c>
      <c r="S7" s="35" t="str">
        <f>IFERROR(VLOOKUP(B7,③工资核算浮动条件设置①!B:I,8,0),0)</f>
        <v>邹福贞</v>
      </c>
      <c r="T7">
        <v>250000</v>
      </c>
      <c r="U7">
        <v>300000</v>
      </c>
      <c r="V7" s="35">
        <f>IFERROR(VLOOKUP(B7,③工资核算浮动条件设置①!B:J,9,0),0)</f>
        <v>0</v>
      </c>
      <c r="W7">
        <v>0</v>
      </c>
      <c r="X7">
        <v>0</v>
      </c>
      <c r="AA7" s="28">
        <f>IFERROR(VLOOKUP(B7,③工资核算浮动条件设置①!B:N,13,0),0)</f>
        <v>0</v>
      </c>
      <c r="AB7" s="1">
        <v>150</v>
      </c>
      <c r="AC7" s="1">
        <v>190</v>
      </c>
    </row>
    <row r="8" spans="1:30" x14ac:dyDescent="0.15">
      <c r="A8" t="s">
        <v>124</v>
      </c>
      <c r="B8" t="s">
        <v>19</v>
      </c>
      <c r="C8" t="str">
        <f>IFERROR(VLOOKUP(B8,③工资核算浮动条件设置①!B:F,5,0),0)</f>
        <v>事业一部</v>
      </c>
      <c r="D8" t="s">
        <v>119</v>
      </c>
      <c r="G8">
        <f>IFERROR(VLOOKUP(B8,③工资核算浮动条件设置①!B:C,2,0),0)</f>
        <v>320000</v>
      </c>
      <c r="H8" s="28">
        <f>IFERROR(VLOOKUP(B8,③工资核算浮动条件设置①!B:L,11,0),0)</f>
        <v>0</v>
      </c>
      <c r="I8" s="1">
        <v>190</v>
      </c>
      <c r="J8" s="1">
        <v>220</v>
      </c>
      <c r="M8" s="28">
        <f>IFERROR(VLOOKUP(B8,③工资核算浮动条件设置①!B:M,12,0),0)</f>
        <v>0</v>
      </c>
      <c r="N8" s="28" t="str">
        <f>IFERROR(VLOOKUP(B8,③工资核算浮动条件设置①!B:K,10,0),0)</f>
        <v>陈怡名</v>
      </c>
      <c r="O8" s="1">
        <f>IFERROR(VLOOKUP(B8,③工资核算浮动条件设置①!B:C,2,0),0)</f>
        <v>320000</v>
      </c>
      <c r="P8" s="1">
        <f>IFERROR(VLOOKUP(B8,③工资核算浮动条件设置①!B:D,3,0),0)</f>
        <v>200</v>
      </c>
      <c r="Q8" s="16">
        <f>IFERROR(VLOOKUP(B8,③工资核算浮动条件设置①!B:E,4,0),0)</f>
        <v>400000</v>
      </c>
      <c r="S8" s="35" t="str">
        <f>IFERROR(VLOOKUP(B8,③工资核算浮动条件设置①!B:I,8,0),0)</f>
        <v>邹福贞</v>
      </c>
      <c r="T8">
        <v>320000</v>
      </c>
      <c r="U8">
        <v>370000</v>
      </c>
      <c r="V8" s="35">
        <f>IFERROR(VLOOKUP(B8,③工资核算浮动条件设置①!B:J,9,0),0)</f>
        <v>0</v>
      </c>
      <c r="W8">
        <v>0</v>
      </c>
      <c r="X8">
        <v>0</v>
      </c>
      <c r="AA8" s="28" t="str">
        <f>IFERROR(VLOOKUP(B8,③工资核算浮动条件设置①!B:N,13,0),0)</f>
        <v>樊琳</v>
      </c>
      <c r="AB8" s="1">
        <v>190</v>
      </c>
      <c r="AC8" s="1">
        <v>220</v>
      </c>
    </row>
    <row r="9" spans="1:30" x14ac:dyDescent="0.15">
      <c r="A9" t="s">
        <v>125</v>
      </c>
      <c r="B9" t="s">
        <v>30</v>
      </c>
      <c r="C9" t="str">
        <f>IFERROR(VLOOKUP(B9,③工资核算浮动条件设置①!B:F,5,0),0)</f>
        <v>事业二部</v>
      </c>
      <c r="D9" t="s">
        <v>122</v>
      </c>
      <c r="G9">
        <f>IFERROR(VLOOKUP(B9,③工资核算浮动条件设置①!B:C,2,0),0)</f>
        <v>150000</v>
      </c>
      <c r="H9" s="28" t="str">
        <f>IFERROR(VLOOKUP(B9,③工资核算浮动条件设置①!B:L,11,0),0)</f>
        <v>刘香</v>
      </c>
      <c r="I9" s="1">
        <v>160</v>
      </c>
      <c r="J9" s="1">
        <v>190</v>
      </c>
      <c r="M9" s="28">
        <f>IFERROR(VLOOKUP(B9,③工资核算浮动条件设置①!B:M,12,0),0)</f>
        <v>0</v>
      </c>
      <c r="N9" s="28" t="str">
        <f>IFERROR(VLOOKUP(B9,③工资核算浮动条件设置①!B:K,10,0),0)</f>
        <v>张清华</v>
      </c>
      <c r="O9" s="1">
        <f>IFERROR(VLOOKUP(B9,③工资核算浮动条件设置①!B:C,2,0),0)</f>
        <v>150000</v>
      </c>
      <c r="P9" s="1">
        <f>IFERROR(VLOOKUP(B9,③工资核算浮动条件设置①!B:D,3,0),0)</f>
        <v>180</v>
      </c>
      <c r="Q9" s="16">
        <f>IFERROR(VLOOKUP(B9,③工资核算浮动条件设置①!B:E,4,0),0)</f>
        <v>200000</v>
      </c>
      <c r="S9" s="35" t="str">
        <f>IFERROR(VLOOKUP(B9,③工资核算浮动条件设置①!B:I,8,0),0)</f>
        <v>张艳秋</v>
      </c>
      <c r="T9">
        <v>150000</v>
      </c>
      <c r="U9">
        <v>200000</v>
      </c>
      <c r="V9" s="35">
        <f>IFERROR(VLOOKUP(B9,③工资核算浮动条件设置①!B:J,9,0),0)</f>
        <v>0</v>
      </c>
      <c r="W9">
        <v>0</v>
      </c>
      <c r="X9">
        <v>0</v>
      </c>
      <c r="AA9" s="28">
        <f>IFERROR(VLOOKUP(B9,③工资核算浮动条件设置①!B:N,13,0),0)</f>
        <v>0</v>
      </c>
      <c r="AB9" s="1">
        <v>160</v>
      </c>
      <c r="AC9" s="1">
        <v>190</v>
      </c>
    </row>
    <row r="10" spans="1:30" x14ac:dyDescent="0.15">
      <c r="A10" t="s">
        <v>126</v>
      </c>
      <c r="B10">
        <v>468</v>
      </c>
      <c r="C10" t="str">
        <f>IFERROR(VLOOKUP(B10,③工资核算浮动条件设置①!B:F,5,0),0)</f>
        <v>事业一部</v>
      </c>
      <c r="D10" t="s">
        <v>119</v>
      </c>
      <c r="G10">
        <f>IFERROR(VLOOKUP(B10,③工资核算浮动条件设置①!B:C,2,0),0)</f>
        <v>200000</v>
      </c>
      <c r="H10" s="28" t="str">
        <f>IFERROR(VLOOKUP(B10,③工资核算浮动条件设置①!B:L,11,0),0)</f>
        <v>王任燕</v>
      </c>
      <c r="I10" s="1">
        <v>160</v>
      </c>
      <c r="J10" s="1">
        <v>210</v>
      </c>
      <c r="M10" s="28" t="str">
        <f>IFERROR(VLOOKUP(B10,③工资核算浮动条件设置①!B:M,12,0),0)</f>
        <v>吴敏</v>
      </c>
      <c r="N10" s="28" t="str">
        <f>IFERROR(VLOOKUP(B10,③工资核算浮动条件设置①!B:K,10,0),0)</f>
        <v>张小华</v>
      </c>
      <c r="O10" s="1">
        <f>IFERROR(VLOOKUP(B10,③工资核算浮动条件设置①!B:C,2,0),0)</f>
        <v>200000</v>
      </c>
      <c r="P10" s="1">
        <f>IFERROR(VLOOKUP(B10,③工资核算浮动条件设置①!B:D,3,0),0)</f>
        <v>200</v>
      </c>
      <c r="Q10" s="16">
        <f>IFERROR(VLOOKUP(B10,③工资核算浮动条件设置①!B:E,4,0),0)</f>
        <v>180000</v>
      </c>
      <c r="S10" s="35" t="str">
        <f>IFERROR(VLOOKUP(B10,③工资核算浮动条件设置①!B:I,8,0),0)</f>
        <v>邹福贞</v>
      </c>
      <c r="T10">
        <v>200000</v>
      </c>
      <c r="U10">
        <v>250000</v>
      </c>
      <c r="V10" s="35">
        <f>IFERROR(VLOOKUP(B10,③工资核算浮动条件设置①!B:J,9,0),0)</f>
        <v>0</v>
      </c>
      <c r="W10">
        <v>0</v>
      </c>
      <c r="X10">
        <v>0</v>
      </c>
      <c r="AA10" s="28">
        <f>IFERROR(VLOOKUP(B10,③工资核算浮动条件设置①!B:N,13,0),0)</f>
        <v>0</v>
      </c>
      <c r="AB10" s="1">
        <v>160</v>
      </c>
      <c r="AC10" s="1">
        <v>210</v>
      </c>
    </row>
    <row r="11" spans="1:30" x14ac:dyDescent="0.15">
      <c r="A11" t="s">
        <v>127</v>
      </c>
      <c r="B11" t="s">
        <v>47</v>
      </c>
      <c r="C11" t="str">
        <f>IFERROR(VLOOKUP(B11,③工资核算浮动条件设置①!B:F,5,0),0)</f>
        <v>事业四部</v>
      </c>
      <c r="D11" t="s">
        <v>122</v>
      </c>
      <c r="G11">
        <f>IFERROR(VLOOKUP(B11,③工资核算浮动条件设置①!B:C,2,0),0)</f>
        <v>150000</v>
      </c>
      <c r="H11" s="28" t="str">
        <f>IFERROR(VLOOKUP(B11,③工资核算浮动条件设置①!B:L,11,0),0)</f>
        <v>陈佳丽</v>
      </c>
      <c r="I11" s="1">
        <v>140</v>
      </c>
      <c r="J11" s="1">
        <v>170</v>
      </c>
      <c r="M11" s="28" t="str">
        <f>IFERROR(VLOOKUP(B11,③工资核算浮动条件设置①!B:M,12,0),0)</f>
        <v>刘金凤</v>
      </c>
      <c r="N11" s="28" t="str">
        <f>IFERROR(VLOOKUP(B11,③工资核算浮动条件设置①!B:K,10,0),0)</f>
        <v>徐睦垚</v>
      </c>
      <c r="O11" s="1">
        <f>IFERROR(VLOOKUP(B11,③工资核算浮动条件设置①!B:C,2,0),0)</f>
        <v>150000</v>
      </c>
      <c r="P11" s="1">
        <f>IFERROR(VLOOKUP(B11,③工资核算浮动条件设置①!B:D,3,0),0)</f>
        <v>150</v>
      </c>
      <c r="Q11" s="16">
        <f>IFERROR(VLOOKUP(B11,③工资核算浮动条件设置①!B:E,4,0),0)</f>
        <v>150000</v>
      </c>
      <c r="S11" s="35" t="str">
        <f>IFERROR(VLOOKUP(B11,③工资核算浮动条件设置①!B:I,8,0),0)</f>
        <v>饶秋华</v>
      </c>
      <c r="T11">
        <v>150000</v>
      </c>
      <c r="U11">
        <v>200000</v>
      </c>
      <c r="V11" s="35">
        <f>IFERROR(VLOOKUP(B11,③工资核算浮动条件设置①!B:J,9,0),0)</f>
        <v>0</v>
      </c>
      <c r="W11">
        <v>0</v>
      </c>
      <c r="X11">
        <v>0</v>
      </c>
      <c r="AA11" s="28">
        <f>IFERROR(VLOOKUP(B11,③工资核算浮动条件设置①!B:N,13,0),0)</f>
        <v>0</v>
      </c>
      <c r="AB11" s="1">
        <v>140</v>
      </c>
      <c r="AC11" s="1">
        <v>170</v>
      </c>
    </row>
    <row r="12" spans="1:30" x14ac:dyDescent="0.15">
      <c r="A12" t="s">
        <v>128</v>
      </c>
      <c r="B12" t="s">
        <v>37</v>
      </c>
      <c r="C12" t="str">
        <f>IFERROR(VLOOKUP(B12,③工资核算浮动条件设置①!B:F,5,0),0)</f>
        <v>事业三部</v>
      </c>
      <c r="D12" t="s">
        <v>122</v>
      </c>
      <c r="G12">
        <f>IFERROR(VLOOKUP(B12,③工资核算浮动条件设置①!B:C,2,0),0)</f>
        <v>150000</v>
      </c>
      <c r="H12" s="28" t="str">
        <f>IFERROR(VLOOKUP(B12,③工资核算浮动条件设置①!B:L,11,0),0)</f>
        <v>但红玉</v>
      </c>
      <c r="I12" s="1">
        <v>130</v>
      </c>
      <c r="J12" s="1">
        <v>160</v>
      </c>
      <c r="M12" s="28" t="str">
        <f>IFERROR(VLOOKUP(B12,③工资核算浮动条件设置①!B:M,12,0),0)</f>
        <v>李萱君</v>
      </c>
      <c r="N12" s="28">
        <f>IFERROR(VLOOKUP(B12,③工资核算浮动条件设置①!B:K,10,0),0)</f>
        <v>0</v>
      </c>
      <c r="O12" s="1">
        <f>IFERROR(VLOOKUP(B12,③工资核算浮动条件设置①!B:C,2,0),0)</f>
        <v>150000</v>
      </c>
      <c r="P12" s="1">
        <f>IFERROR(VLOOKUP(B12,③工资核算浮动条件设置①!B:D,3,0),0)</f>
        <v>160</v>
      </c>
      <c r="Q12" s="16">
        <f>IFERROR(VLOOKUP(B12,③工资核算浮动条件设置①!B:E,4,0),0)</f>
        <v>220000</v>
      </c>
      <c r="S12" s="35" t="str">
        <f>IFERROR(VLOOKUP(B12,③工资核算浮动条件设置①!B:I,8,0),0)</f>
        <v>秦亚平</v>
      </c>
      <c r="T12">
        <v>150000</v>
      </c>
      <c r="U12">
        <v>200000</v>
      </c>
      <c r="V12" s="35" t="str">
        <f>IFERROR(VLOOKUP(B12,③工资核算浮动条件设置①!B:J,9,0),0)</f>
        <v>曾雨晴</v>
      </c>
      <c r="W12">
        <v>150000</v>
      </c>
      <c r="X12">
        <v>220000</v>
      </c>
      <c r="AA12" s="28">
        <f>IFERROR(VLOOKUP(B12,③工资核算浮动条件设置①!B:N,13,0),0)</f>
        <v>0</v>
      </c>
      <c r="AB12" s="1">
        <v>130</v>
      </c>
      <c r="AC12" s="1">
        <v>160</v>
      </c>
    </row>
    <row r="13" spans="1:30" x14ac:dyDescent="0.15">
      <c r="A13" t="s">
        <v>129</v>
      </c>
      <c r="B13" t="s">
        <v>49</v>
      </c>
      <c r="C13" t="str">
        <f>IFERROR(VLOOKUP(B13,③工资核算浮动条件设置①!B:F,5,0),0)</f>
        <v>事业五部</v>
      </c>
      <c r="D13" t="s">
        <v>119</v>
      </c>
      <c r="G13">
        <f>IFERROR(VLOOKUP(B13,③工资核算浮动条件设置①!B:C,2,0),0)</f>
        <v>200000</v>
      </c>
      <c r="H13" s="28" t="str">
        <f>IFERROR(VLOOKUP(B13,③工资核算浮动条件设置①!B:L,11,0),0)</f>
        <v>林萍</v>
      </c>
      <c r="I13" s="1">
        <v>100</v>
      </c>
      <c r="J13" s="1">
        <v>140</v>
      </c>
      <c r="M13" s="28" t="str">
        <f>IFERROR(VLOOKUP(B13,③工资核算浮动条件设置①!B:M,12,0),0)</f>
        <v>刘晓林</v>
      </c>
      <c r="N13" s="28" t="str">
        <f>IFERROR(VLOOKUP(B13,③工资核算浮动条件设置①!B:K,10,0),0)</f>
        <v>刘安琼</v>
      </c>
      <c r="O13" s="1">
        <f>IFERROR(VLOOKUP(B13,③工资核算浮动条件设置①!B:C,2,0),0)</f>
        <v>200000</v>
      </c>
      <c r="P13" s="1">
        <f>IFERROR(VLOOKUP(B13,③工资核算浮动条件设置①!B:D,3,0),0)</f>
        <v>170</v>
      </c>
      <c r="Q13" s="16">
        <f>IFERROR(VLOOKUP(B13,③工资核算浮动条件设置①!B:E,4,0),0)</f>
        <v>220000</v>
      </c>
      <c r="S13" s="35" t="str">
        <f>IFERROR(VLOOKUP(B13,③工资核算浮动条件设置①!B:I,8,0),0)</f>
        <v>张小娟</v>
      </c>
      <c r="T13">
        <v>150000</v>
      </c>
      <c r="U13">
        <v>200000</v>
      </c>
      <c r="V13" s="35">
        <f>IFERROR(VLOOKUP(B13,③工资核算浮动条件设置①!B:J,9,0),0)</f>
        <v>0</v>
      </c>
      <c r="W13">
        <v>0</v>
      </c>
      <c r="X13">
        <v>0</v>
      </c>
      <c r="AA13" s="28">
        <f>IFERROR(VLOOKUP(B13,③工资核算浮动条件设置①!B:N,13,0),0)</f>
        <v>0</v>
      </c>
      <c r="AB13" s="1">
        <v>100</v>
      </c>
      <c r="AC13" s="1">
        <v>140</v>
      </c>
    </row>
    <row r="14" spans="1:30" x14ac:dyDescent="0.15">
      <c r="A14" t="s">
        <v>130</v>
      </c>
      <c r="B14" t="s">
        <v>46</v>
      </c>
      <c r="C14" t="str">
        <f>IFERROR(VLOOKUP(B14,③工资核算浮动条件设置①!B:F,5,0),0)</f>
        <v>事业四部</v>
      </c>
      <c r="D14" t="s">
        <v>131</v>
      </c>
      <c r="G14">
        <f>IFERROR(VLOOKUP(B14,③工资核算浮动条件设置①!B:C,2,0),0)</f>
        <v>120000</v>
      </c>
      <c r="H14" s="28" t="str">
        <f>IFERROR(VLOOKUP(B14,③工资核算浮动条件设置①!B:L,11,0),0)</f>
        <v>蒋圆圆</v>
      </c>
      <c r="I14" s="1">
        <v>130</v>
      </c>
      <c r="J14" s="1">
        <v>170</v>
      </c>
      <c r="M14" s="28">
        <f>IFERROR(VLOOKUP(B14,③工资核算浮动条件设置①!B:M,12,0),0)</f>
        <v>0</v>
      </c>
      <c r="N14" s="28" t="str">
        <f>IFERROR(VLOOKUP(B14,③工资核算浮动条件设置①!B:K,10,0),0)</f>
        <v>何琼华</v>
      </c>
      <c r="O14" s="1">
        <f>IFERROR(VLOOKUP(B14,③工资核算浮动条件设置①!B:C,2,0),0)</f>
        <v>120000</v>
      </c>
      <c r="P14" s="1">
        <f>IFERROR(VLOOKUP(B14,③工资核算浮动条件设置①!B:D,3,0),0)</f>
        <v>140</v>
      </c>
      <c r="Q14" s="16">
        <f>IFERROR(VLOOKUP(B14,③工资核算浮动条件设置①!B:E,4,0),0)</f>
        <v>180000</v>
      </c>
      <c r="S14" s="35" t="str">
        <f>IFERROR(VLOOKUP(B14,③工资核算浮动条件设置①!B:I,8,0),0)</f>
        <v>饶秋华</v>
      </c>
      <c r="T14">
        <v>150000</v>
      </c>
      <c r="U14">
        <v>200000</v>
      </c>
      <c r="V14" s="35">
        <f>IFERROR(VLOOKUP(B14,③工资核算浮动条件设置①!B:J,9,0),0)</f>
        <v>0</v>
      </c>
      <c r="W14">
        <v>0</v>
      </c>
      <c r="X14">
        <v>0</v>
      </c>
      <c r="AA14" s="28">
        <f>IFERROR(VLOOKUP(B14,③工资核算浮动条件设置①!B:N,13,0),0)</f>
        <v>0</v>
      </c>
      <c r="AB14" s="1">
        <v>130</v>
      </c>
      <c r="AC14" s="1">
        <v>170</v>
      </c>
    </row>
    <row r="15" spans="1:30" x14ac:dyDescent="0.15">
      <c r="A15" t="s">
        <v>132</v>
      </c>
      <c r="B15" t="s">
        <v>36</v>
      </c>
      <c r="C15" t="str">
        <f>IFERROR(VLOOKUP(B15,③工资核算浮动条件设置①!B:F,5,0),0)</f>
        <v>事业三部</v>
      </c>
      <c r="D15" t="s">
        <v>122</v>
      </c>
      <c r="G15">
        <f>IFERROR(VLOOKUP(B15,③工资核算浮动条件设置①!B:C,2,0),0)</f>
        <v>150000</v>
      </c>
      <c r="H15" s="28" t="str">
        <f>IFERROR(VLOOKUP(B15,③工资核算浮动条件设置①!B:L,11,0),0)</f>
        <v>张明艳</v>
      </c>
      <c r="I15" s="1">
        <v>140</v>
      </c>
      <c r="J15" s="1">
        <v>170</v>
      </c>
      <c r="M15" s="28">
        <f>IFERROR(VLOOKUP(B15,③工资核算浮动条件设置①!B:M,12,0),0)</f>
        <v>0</v>
      </c>
      <c r="N15" s="28" t="str">
        <f>IFERROR(VLOOKUP(B15,③工资核算浮动条件设置①!B:K,10,0),0)</f>
        <v>邓丽莉</v>
      </c>
      <c r="O15" s="1">
        <f>IFERROR(VLOOKUP(B15,③工资核算浮动条件设置①!B:C,2,0),0)</f>
        <v>150000</v>
      </c>
      <c r="P15" s="1">
        <f>IFERROR(VLOOKUP(B15,③工资核算浮动条件设置①!B:D,3,0),0)</f>
        <v>140</v>
      </c>
      <c r="Q15" s="16">
        <f>IFERROR(VLOOKUP(B15,③工资核算浮动条件设置①!B:E,4,0),0)</f>
        <v>180000</v>
      </c>
      <c r="S15" s="35" t="str">
        <f>IFERROR(VLOOKUP(B15,③工资核算浮动条件设置①!B:I,8,0),0)</f>
        <v>秦亚平</v>
      </c>
      <c r="T15">
        <v>150000</v>
      </c>
      <c r="U15">
        <v>200000</v>
      </c>
      <c r="V15" s="35">
        <f>IFERROR(VLOOKUP(B15,③工资核算浮动条件设置①!B:J,9,0),0)</f>
        <v>0</v>
      </c>
      <c r="W15">
        <v>0</v>
      </c>
      <c r="X15">
        <v>0</v>
      </c>
      <c r="AA15" s="28">
        <f>IFERROR(VLOOKUP(B15,③工资核算浮动条件设置①!B:N,13,0),0)</f>
        <v>0</v>
      </c>
      <c r="AB15" s="1">
        <v>140</v>
      </c>
      <c r="AC15" s="1">
        <v>170</v>
      </c>
    </row>
    <row r="16" spans="1:30" x14ac:dyDescent="0.15">
      <c r="A16" t="s">
        <v>133</v>
      </c>
      <c r="B16" t="s">
        <v>48</v>
      </c>
      <c r="C16" t="str">
        <f>IFERROR(VLOOKUP(B16,③工资核算浮动条件设置①!B:F,5,0),0)</f>
        <v>事业四部</v>
      </c>
      <c r="D16" t="s">
        <v>122</v>
      </c>
      <c r="G16">
        <f>IFERROR(VLOOKUP(B16,③工资核算浮动条件设置①!B:C,2,0),0)</f>
        <v>150000</v>
      </c>
      <c r="H16" s="28">
        <f>IFERROR(VLOOKUP(B16,③工资核算浮动条件设置①!B:L,11,0),0)</f>
        <v>0</v>
      </c>
      <c r="I16" s="1">
        <v>130</v>
      </c>
      <c r="J16" s="1">
        <v>160</v>
      </c>
      <c r="M16" s="28">
        <f>IFERROR(VLOOKUP(B16,③工资核算浮动条件设置①!B:M,12,0),0)</f>
        <v>0</v>
      </c>
      <c r="N16" s="28" t="str">
        <f>IFERROR(VLOOKUP(B16,③工资核算浮动条件设置①!B:K,10,0),0)</f>
        <v>秦娜</v>
      </c>
      <c r="O16" s="1">
        <f>IFERROR(VLOOKUP(B16,③工资核算浮动条件设置①!B:C,2,0),0)</f>
        <v>150000</v>
      </c>
      <c r="P16" s="1">
        <f>IFERROR(VLOOKUP(B16,③工资核算浮动条件设置①!B:D,3,0),0)</f>
        <v>170</v>
      </c>
      <c r="Q16" s="16">
        <f>IFERROR(VLOOKUP(B16,③工资核算浮动条件设置①!B:E,4,0),0)</f>
        <v>200000</v>
      </c>
      <c r="S16" s="35" t="str">
        <f>IFERROR(VLOOKUP(B16,③工资核算浮动条件设置①!B:I,8,0),0)</f>
        <v>饶秋华</v>
      </c>
      <c r="T16">
        <v>150000</v>
      </c>
      <c r="U16">
        <v>200000</v>
      </c>
      <c r="V16" s="35">
        <f>IFERROR(VLOOKUP(B16,③工资核算浮动条件设置①!B:J,9,0),0)</f>
        <v>0</v>
      </c>
      <c r="W16">
        <v>0</v>
      </c>
      <c r="X16">
        <v>0</v>
      </c>
      <c r="AA16" s="28" t="str">
        <f>IFERROR(VLOOKUP(B16,③工资核算浮动条件设置①!B:N,13,0),0)</f>
        <v>牟光燕</v>
      </c>
      <c r="AB16" s="1">
        <v>130</v>
      </c>
      <c r="AC16" s="1">
        <v>160</v>
      </c>
    </row>
    <row r="17" spans="1:30" x14ac:dyDescent="0.15">
      <c r="A17" t="s">
        <v>134</v>
      </c>
      <c r="B17" t="s">
        <v>39</v>
      </c>
      <c r="C17" t="str">
        <f>IFERROR(VLOOKUP(B17,③工资核算浮动条件设置①!B:F,5,0),0)</f>
        <v>事业三部</v>
      </c>
      <c r="D17" t="s">
        <v>122</v>
      </c>
      <c r="G17">
        <v>150000</v>
      </c>
      <c r="H17" s="28" t="str">
        <f>IFERROR(VLOOKUP(B17,③工资核算浮动条件设置①!B:L,11,0),0)</f>
        <v>林锶莹</v>
      </c>
      <c r="I17" s="1">
        <v>150</v>
      </c>
      <c r="J17" s="1">
        <v>190</v>
      </c>
      <c r="M17" s="28" t="str">
        <f>IFERROR(VLOOKUP(B17,③工资核算浮动条件设置①!B:M,12,0),0)</f>
        <v>高红艳</v>
      </c>
      <c r="N17" s="28" t="str">
        <f>IFERROR(VLOOKUP(B17,③工资核算浮动条件设置①!B:K,10,0),0)</f>
        <v>赵忠芬</v>
      </c>
      <c r="O17" s="1">
        <f>IFERROR(VLOOKUP(B17,③工资核算浮动条件设置①!B:C,2,0),0)</f>
        <v>150000</v>
      </c>
      <c r="P17" s="1">
        <f>IFERROR(VLOOKUP(B17,③工资核算浮动条件设置①!B:D,3,0),0)</f>
        <v>170</v>
      </c>
      <c r="Q17" s="16">
        <f>IFERROR(VLOOKUP(B17,③工资核算浮动条件设置①!B:E,4,0),0)</f>
        <v>200000</v>
      </c>
      <c r="S17" s="35" t="str">
        <f>IFERROR(VLOOKUP(B17,③工资核算浮动条件设置①!B:I,8,0),0)</f>
        <v>秦亚平</v>
      </c>
      <c r="T17">
        <v>150000</v>
      </c>
      <c r="U17">
        <v>200000</v>
      </c>
      <c r="V17" s="35">
        <f>IFERROR(VLOOKUP(B17,③工资核算浮动条件设置①!B:J,9,0),0)</f>
        <v>0</v>
      </c>
      <c r="W17">
        <v>0</v>
      </c>
      <c r="X17">
        <v>0</v>
      </c>
      <c r="AA17" s="28">
        <f>IFERROR(VLOOKUP(B17,③工资核算浮动条件设置①!B:N,13,0),0)</f>
        <v>0</v>
      </c>
      <c r="AB17" s="1">
        <v>150</v>
      </c>
      <c r="AC17" s="1">
        <v>190</v>
      </c>
    </row>
    <row r="18" spans="1:30" x14ac:dyDescent="0.15">
      <c r="A18" t="s">
        <v>135</v>
      </c>
      <c r="B18" t="s">
        <v>53</v>
      </c>
      <c r="C18" t="str">
        <f>IFERROR(VLOOKUP(B18,③工资核算浮动条件设置①!B:F,5,0),0)</f>
        <v>事业六部</v>
      </c>
      <c r="D18" t="s">
        <v>119</v>
      </c>
      <c r="G18">
        <f>IFERROR(VLOOKUP(B18,③工资核算浮动条件设置①!B:C,2,0),0)</f>
        <v>200000</v>
      </c>
      <c r="H18" s="28" t="str">
        <f>IFERROR(VLOOKUP(B18,③工资核算浮动条件设置①!B:L,11,0),0)</f>
        <v>郑华跃</v>
      </c>
      <c r="I18" s="1">
        <v>150</v>
      </c>
      <c r="J18" s="1">
        <v>180</v>
      </c>
      <c r="M18" s="28">
        <f>IFERROR(VLOOKUP(B18,③工资核算浮动条件设置①!B:M,12,0),0)</f>
        <v>0</v>
      </c>
      <c r="N18" s="28" t="str">
        <f>IFERROR(VLOOKUP(B18,③工资核算浮动条件设置①!B:K,10,0),0)</f>
        <v>李茂</v>
      </c>
      <c r="O18" s="1">
        <f>IFERROR(VLOOKUP(B18,③工资核算浮动条件设置①!B:C,2,0),0)</f>
        <v>200000</v>
      </c>
      <c r="P18" s="1">
        <f>IFERROR(VLOOKUP(B18,③工资核算浮动条件设置①!B:D,3,0),0)</f>
        <v>170</v>
      </c>
      <c r="Q18" s="16">
        <f>IFERROR(VLOOKUP(B18,③工资核算浮动条件设置①!B:E,4,0),0)</f>
        <v>220000</v>
      </c>
      <c r="S18" s="35" t="str">
        <f>IFERROR(VLOOKUP(B18,③工资核算浮动条件设置①!B:I,8,0),0)</f>
        <v>蒲草</v>
      </c>
      <c r="T18">
        <v>200000</v>
      </c>
      <c r="U18">
        <v>250000</v>
      </c>
      <c r="V18" s="35">
        <f>IFERROR(VLOOKUP(B18,③工资核算浮动条件设置①!B:J,9,0),0)</f>
        <v>0</v>
      </c>
      <c r="W18">
        <v>0</v>
      </c>
      <c r="X18">
        <v>0</v>
      </c>
      <c r="AA18" s="28">
        <f>IFERROR(VLOOKUP(B18,③工资核算浮动条件设置①!B:N,13,0),0)</f>
        <v>0</v>
      </c>
      <c r="AB18" s="1">
        <v>150</v>
      </c>
      <c r="AC18" s="1">
        <v>180</v>
      </c>
    </row>
    <row r="19" spans="1:30" x14ac:dyDescent="0.15">
      <c r="A19" t="s">
        <v>136</v>
      </c>
      <c r="B19" t="s">
        <v>43</v>
      </c>
      <c r="C19" t="str">
        <f>IFERROR(VLOOKUP(B19,③工资核算浮动条件设置①!B:F,5,0),0)</f>
        <v>事业四部</v>
      </c>
      <c r="D19" t="s">
        <v>122</v>
      </c>
      <c r="G19">
        <f>IFERROR(VLOOKUP(B19,③工资核算浮动条件设置①!B:C,2,0),0)</f>
        <v>150000</v>
      </c>
      <c r="H19" s="28" t="str">
        <f>IFERROR(VLOOKUP(B19,③工资核算浮动条件设置①!B:L,11,0),0)</f>
        <v>陈琳</v>
      </c>
      <c r="I19" s="1">
        <v>140</v>
      </c>
      <c r="J19" s="1">
        <v>180</v>
      </c>
      <c r="M19" s="28">
        <f>IFERROR(VLOOKUP(B19,③工资核算浮动条件设置①!B:M,12,0),0)</f>
        <v>0</v>
      </c>
      <c r="N19" s="28" t="str">
        <f>IFERROR(VLOOKUP(B19,③工资核算浮动条件设置①!B:K,10,0),0)</f>
        <v>王晓琳</v>
      </c>
      <c r="O19" s="1">
        <f>IFERROR(VLOOKUP(B19,③工资核算浮动条件设置①!B:C,2,0),0)</f>
        <v>150000</v>
      </c>
      <c r="P19" s="1">
        <f>IFERROR(VLOOKUP(B19,③工资核算浮动条件设置①!B:D,3,0),0)</f>
        <v>160</v>
      </c>
      <c r="Q19" s="16">
        <f>IFERROR(VLOOKUP(B19,③工资核算浮动条件设置①!B:E,4,0),0)</f>
        <v>200000</v>
      </c>
      <c r="S19" s="35">
        <f>IFERROR(VLOOKUP(B19,③工资核算浮动条件设置①!B:I,8,0),0)</f>
        <v>0</v>
      </c>
      <c r="T19">
        <v>150000</v>
      </c>
      <c r="U19">
        <v>200000</v>
      </c>
      <c r="V19" s="35" t="str">
        <f>IFERROR(VLOOKUP(B19,③工资核算浮动条件设置①!B:J,9,0),0)</f>
        <v>肖静梅</v>
      </c>
      <c r="W19">
        <v>150000</v>
      </c>
      <c r="X19">
        <v>200000</v>
      </c>
      <c r="AA19" s="28">
        <f>IFERROR(VLOOKUP(B19,③工资核算浮动条件设置①!B:N,13,0),0)</f>
        <v>0</v>
      </c>
      <c r="AB19" s="1">
        <v>140</v>
      </c>
      <c r="AC19" s="1">
        <v>180</v>
      </c>
    </row>
    <row r="20" spans="1:30" x14ac:dyDescent="0.15">
      <c r="A20" t="s">
        <v>137</v>
      </c>
      <c r="B20" t="s">
        <v>33</v>
      </c>
      <c r="C20" t="str">
        <f>IFERROR(VLOOKUP(B20,③工资核算浮动条件设置①!B:F,5,0),0)</f>
        <v>事业三部</v>
      </c>
      <c r="D20" t="s">
        <v>119</v>
      </c>
      <c r="G20">
        <f>IFERROR(VLOOKUP(B20,③工资核算浮动条件设置①!B:C,2,0),0)</f>
        <v>200000</v>
      </c>
      <c r="H20" s="28" t="str">
        <f>IFERROR(VLOOKUP(B20,③工资核算浮动条件设置①!B:L,11,0),0)</f>
        <v>雷怡</v>
      </c>
      <c r="I20" s="1">
        <v>160</v>
      </c>
      <c r="J20" s="1">
        <v>190</v>
      </c>
      <c r="M20" s="28" t="str">
        <f>IFERROR(VLOOKUP(B20,③工资核算浮动条件设置①!B:M,12,0),0)</f>
        <v>康丹</v>
      </c>
      <c r="N20" s="28" t="str">
        <f>IFERROR(VLOOKUP(B20,③工资核算浮动条件设置①!B:K,10,0),0)</f>
        <v>张勤</v>
      </c>
      <c r="O20" s="1">
        <f>IFERROR(VLOOKUP(B20,③工资核算浮动条件设置①!B:C,2,0),0)</f>
        <v>200000</v>
      </c>
      <c r="P20" s="1">
        <f>IFERROR(VLOOKUP(B20,③工资核算浮动条件设置①!B:D,3,0),0)</f>
        <v>170</v>
      </c>
      <c r="Q20" s="16">
        <f>IFERROR(VLOOKUP(B20,③工资核算浮动条件设置①!B:E,4,0),0)</f>
        <v>250000</v>
      </c>
      <c r="S20" s="35" t="str">
        <f>IFERROR(VLOOKUP(B20,③工资核算浮动条件设置①!B:I,8,0),0)</f>
        <v>秦亚平</v>
      </c>
      <c r="T20">
        <v>200000</v>
      </c>
      <c r="U20">
        <v>250000</v>
      </c>
      <c r="V20" s="35">
        <f>IFERROR(VLOOKUP(B20,③工资核算浮动条件设置①!B:J,9,0),0)</f>
        <v>0</v>
      </c>
      <c r="AA20" s="28">
        <f>IFERROR(VLOOKUP(B20,③工资核算浮动条件设置①!B:N,13,0),0)</f>
        <v>0</v>
      </c>
      <c r="AB20" s="1">
        <v>160</v>
      </c>
      <c r="AC20" s="1">
        <v>190</v>
      </c>
    </row>
    <row r="21" spans="1:30" x14ac:dyDescent="0.15">
      <c r="A21" t="s">
        <v>138</v>
      </c>
      <c r="B21" t="s">
        <v>51</v>
      </c>
      <c r="C21" t="str">
        <f>IFERROR(VLOOKUP(B21,③工资核算浮动条件设置①!B:F,5,0),0)</f>
        <v>事业五部</v>
      </c>
      <c r="D21" t="s">
        <v>131</v>
      </c>
      <c r="G21">
        <f>IFERROR(VLOOKUP(B21,③工资核算浮动条件设置①!B:C,2,0),0)</f>
        <v>120000</v>
      </c>
      <c r="H21" s="28" t="str">
        <f>IFERROR(VLOOKUP(B21,③工资核算浮动条件设置①!B:L,11,0),0)</f>
        <v>陈嘉仪</v>
      </c>
      <c r="I21" s="1">
        <v>120</v>
      </c>
      <c r="J21" s="1">
        <v>160</v>
      </c>
      <c r="M21" s="28">
        <f>IFERROR(VLOOKUP(B21,③工资核算浮动条件设置①!B:M,12,0),0)</f>
        <v>0</v>
      </c>
      <c r="N21" s="28" t="str">
        <f>IFERROR(VLOOKUP(B21,③工资核算浮动条件设置①!B:K,10,0),0)</f>
        <v>糜清云</v>
      </c>
      <c r="O21" s="1">
        <f>IFERROR(VLOOKUP(B21,③工资核算浮动条件设置①!B:C,2,0),0)</f>
        <v>120000</v>
      </c>
      <c r="P21" s="1">
        <f>IFERROR(VLOOKUP(B21,③工资核算浮动条件设置①!B:D,3,0),0)</f>
        <v>140</v>
      </c>
      <c r="Q21" s="16">
        <f>IFERROR(VLOOKUP(B21,③工资核算浮动条件设置①!B:E,4,0),0)</f>
        <v>100000</v>
      </c>
      <c r="S21" s="35" t="str">
        <f>IFERROR(VLOOKUP(B21,③工资核算浮动条件设置①!B:I,8,0),0)</f>
        <v>张小娟</v>
      </c>
      <c r="T21">
        <v>100000</v>
      </c>
      <c r="U21">
        <v>150000</v>
      </c>
      <c r="V21" s="35">
        <f>IFERROR(VLOOKUP(B21,③工资核算浮动条件设置①!B:J,9,0),0)</f>
        <v>0</v>
      </c>
      <c r="W21">
        <v>0</v>
      </c>
      <c r="X21">
        <v>0</v>
      </c>
      <c r="AA21" s="28">
        <f>IFERROR(VLOOKUP(B21,③工资核算浮动条件设置①!B:N,13,0),0)</f>
        <v>0</v>
      </c>
      <c r="AB21" s="1">
        <v>120</v>
      </c>
      <c r="AC21" s="1">
        <v>160</v>
      </c>
    </row>
    <row r="22" spans="1:30" x14ac:dyDescent="0.15">
      <c r="A22" t="s">
        <v>139</v>
      </c>
      <c r="B22" t="s">
        <v>26</v>
      </c>
      <c r="C22" t="str">
        <f>IFERROR(VLOOKUP(B22,③工资核算浮动条件设置①!B:F,5,0),0)</f>
        <v>事业一部</v>
      </c>
      <c r="D22" t="s">
        <v>122</v>
      </c>
      <c r="G22">
        <f>IFERROR(VLOOKUP(B22,③工资核算浮动条件设置①!B:C,2,0),0)</f>
        <v>150000</v>
      </c>
      <c r="H22" s="28" t="str">
        <f>IFERROR(VLOOKUP(B22,③工资核算浮动条件设置①!B:L,11,0),0)</f>
        <v>彭兰钦</v>
      </c>
      <c r="I22" s="1">
        <v>150</v>
      </c>
      <c r="J22" s="1">
        <v>190</v>
      </c>
      <c r="M22" s="28">
        <f>IFERROR(VLOOKUP(B22,③工资核算浮动条件设置①!B:M,12,0),0)</f>
        <v>0</v>
      </c>
      <c r="N22" s="28" t="str">
        <f>IFERROR(VLOOKUP(B22,③工资核算浮动条件设置①!B:K,10,0),0)</f>
        <v>曾玉莲</v>
      </c>
      <c r="O22" s="1">
        <f>IFERROR(VLOOKUP(B22,③工资核算浮动条件设置①!B:C,2,0),0)</f>
        <v>150000</v>
      </c>
      <c r="P22" s="1">
        <f>IFERROR(VLOOKUP(B22,③工资核算浮动条件设置①!B:D,3,0),0)</f>
        <v>160</v>
      </c>
      <c r="Q22" s="16">
        <f>IFERROR(VLOOKUP(B22,③工资核算浮动条件设置①!B:E,4,0),0)</f>
        <v>200000</v>
      </c>
      <c r="S22" s="35" t="str">
        <f>IFERROR(VLOOKUP(B22,③工资核算浮动条件设置①!B:I,8,0),0)</f>
        <v>邹福贞</v>
      </c>
      <c r="T22">
        <v>150000</v>
      </c>
      <c r="U22">
        <v>200000</v>
      </c>
      <c r="V22" s="35" t="str">
        <f>IFERROR(VLOOKUP(B22,③工资核算浮动条件设置①!B:J,9,0),0)</f>
        <v>王桂明</v>
      </c>
      <c r="W22">
        <v>150000</v>
      </c>
      <c r="X22">
        <v>200000</v>
      </c>
      <c r="AA22" s="28">
        <f>IFERROR(VLOOKUP(B22,③工资核算浮动条件设置①!B:N,13,0),0)</f>
        <v>0</v>
      </c>
      <c r="AB22" s="1">
        <v>150</v>
      </c>
      <c r="AC22" s="1">
        <v>190</v>
      </c>
    </row>
    <row r="23" spans="1:30" x14ac:dyDescent="0.15">
      <c r="A23" t="s">
        <v>140</v>
      </c>
      <c r="B23" t="s">
        <v>56</v>
      </c>
      <c r="C23" t="str">
        <f>IFERROR(VLOOKUP(B23,③工资核算浮动条件设置①!B:F,5,0),0)</f>
        <v>事业六部</v>
      </c>
      <c r="D23" t="s">
        <v>122</v>
      </c>
      <c r="G23">
        <f>IFERROR(VLOOKUP(B23,③工资核算浮动条件设置①!B:C,2,0),0)</f>
        <v>150000</v>
      </c>
      <c r="H23" s="28" t="str">
        <f>IFERROR(VLOOKUP(B23,③工资核算浮动条件设置①!B:L,11,0),0)</f>
        <v>郑巧玲</v>
      </c>
      <c r="I23" s="1">
        <v>150</v>
      </c>
      <c r="J23" s="1">
        <v>190</v>
      </c>
      <c r="M23" s="28">
        <f>IFERROR(VLOOKUP(B23,③工资核算浮动条件设置①!B:M,12,0),0)</f>
        <v>0</v>
      </c>
      <c r="N23" s="28" t="str">
        <f>IFERROR(VLOOKUP(B23,③工资核算浮动条件设置①!B:K,10,0),0)</f>
        <v>白丽</v>
      </c>
      <c r="O23" s="1">
        <f>IFERROR(VLOOKUP(B23,③工资核算浮动条件设置①!B:C,2,0),0)</f>
        <v>150000</v>
      </c>
      <c r="P23" s="1">
        <f>IFERROR(VLOOKUP(B23,③工资核算浮动条件设置①!B:D,3,0),0)</f>
        <v>160</v>
      </c>
      <c r="Q23" s="16">
        <f>IFERROR(VLOOKUP(B23,③工资核算浮动条件设置①!B:E,4,0),0)</f>
        <v>200000</v>
      </c>
      <c r="S23" s="35" t="str">
        <f>IFERROR(VLOOKUP(B23,③工资核算浮动条件设置①!B:I,8,0),0)</f>
        <v>蒲草</v>
      </c>
      <c r="T23">
        <v>150000</v>
      </c>
      <c r="U23">
        <v>200000</v>
      </c>
      <c r="V23" s="35">
        <f>IFERROR(VLOOKUP(B23,③工资核算浮动条件设置①!B:J,9,0),0)</f>
        <v>0</v>
      </c>
      <c r="W23">
        <v>0</v>
      </c>
      <c r="X23">
        <v>0</v>
      </c>
      <c r="AA23" s="28">
        <f>IFERROR(VLOOKUP(B23,③工资核算浮动条件设置①!B:N,13,0),0)</f>
        <v>0</v>
      </c>
      <c r="AB23" s="1">
        <v>150</v>
      </c>
      <c r="AC23" s="1">
        <v>190</v>
      </c>
    </row>
    <row r="24" spans="1:30" x14ac:dyDescent="0.15">
      <c r="A24" t="s">
        <v>141</v>
      </c>
      <c r="B24" t="s">
        <v>52</v>
      </c>
      <c r="C24" t="str">
        <f>IFERROR(VLOOKUP(B24,③工资核算浮动条件设置①!B:F,5,0),0)</f>
        <v>事业五部</v>
      </c>
      <c r="D24" t="s">
        <v>131</v>
      </c>
      <c r="G24">
        <f>IFERROR(VLOOKUP(B24,③工资核算浮动条件设置①!B:C,2,0),0)</f>
        <v>120000</v>
      </c>
      <c r="H24" s="28" t="str">
        <f>IFERROR(VLOOKUP(B24,③工资核算浮动条件设置①!B:L,11,0),0)</f>
        <v>谢珂欣</v>
      </c>
      <c r="I24" s="1">
        <v>150</v>
      </c>
      <c r="J24" s="1">
        <v>190</v>
      </c>
      <c r="M24" s="28">
        <f>IFERROR(VLOOKUP(B24,③工资核算浮动条件设置①!B:M,12,0),0)</f>
        <v>0</v>
      </c>
      <c r="N24" s="28" t="str">
        <f>IFERROR(VLOOKUP(B24,③工资核算浮动条件设置①!B:K,10,0),0)</f>
        <v>尧丹丹</v>
      </c>
      <c r="O24" s="1">
        <f>IFERROR(VLOOKUP(B24,③工资核算浮动条件设置①!B:C,2,0),0)</f>
        <v>120000</v>
      </c>
      <c r="P24" s="1">
        <f>IFERROR(VLOOKUP(B24,③工资核算浮动条件设置①!B:D,3,0),0)</f>
        <v>180</v>
      </c>
      <c r="Q24" s="16">
        <f>IFERROR(VLOOKUP(B24,③工资核算浮动条件设置①!B:E,4,0),0)</f>
        <v>160000</v>
      </c>
      <c r="S24" s="35" t="str">
        <f>IFERROR(VLOOKUP(B24,③工资核算浮动条件设置①!B:I,8,0),0)</f>
        <v>张小娟</v>
      </c>
      <c r="T24">
        <v>100000</v>
      </c>
      <c r="U24">
        <v>150000</v>
      </c>
      <c r="V24" s="35">
        <f>IFERROR(VLOOKUP(B24,③工资核算浮动条件设置①!B:J,9,0),0)</f>
        <v>0</v>
      </c>
      <c r="W24">
        <v>0</v>
      </c>
      <c r="X24">
        <v>0</v>
      </c>
      <c r="AA24" s="28">
        <f>IFERROR(VLOOKUP(B24,③工资核算浮动条件设置①!B:N,13,0),0)</f>
        <v>0</v>
      </c>
      <c r="AB24" s="1">
        <v>150</v>
      </c>
      <c r="AC24" s="1">
        <v>190</v>
      </c>
    </row>
    <row r="25" spans="1:30" x14ac:dyDescent="0.15">
      <c r="A25" t="s">
        <v>142</v>
      </c>
      <c r="B25" t="s">
        <v>38</v>
      </c>
      <c r="C25" t="str">
        <f>IFERROR(VLOOKUP(B25,③工资核算浮动条件设置①!B:F,5,0),0)</f>
        <v>事业三部</v>
      </c>
      <c r="D25" t="s">
        <v>122</v>
      </c>
      <c r="G25">
        <f>IFERROR(VLOOKUP(B25,③工资核算浮动条件设置①!B:C,2,0),0)</f>
        <v>150000</v>
      </c>
      <c r="H25" s="28" t="str">
        <f>IFERROR(VLOOKUP(B25,③工资核算浮动条件设置①!B:L,11,0),0)</f>
        <v>贺慧</v>
      </c>
      <c r="I25" s="1">
        <v>120</v>
      </c>
      <c r="J25" s="1">
        <v>160</v>
      </c>
      <c r="M25" s="28">
        <f>IFERROR(VLOOKUP(B25,③工资核算浮动条件设置①!B:M,12,0),0)</f>
        <v>0</v>
      </c>
      <c r="N25" s="28" t="str">
        <f>IFERROR(VLOOKUP(B25,③工资核算浮动条件设置①!B:K,10,0),0)</f>
        <v>关晓燕</v>
      </c>
      <c r="O25" s="1">
        <f>IFERROR(VLOOKUP(B25,③工资核算浮动条件设置①!B:C,2,0),0)</f>
        <v>150000</v>
      </c>
      <c r="P25" s="1">
        <f>IFERROR(VLOOKUP(B25,③工资核算浮动条件设置①!B:D,3,0),0)</f>
        <v>135</v>
      </c>
      <c r="Q25" s="16">
        <f>IFERROR(VLOOKUP(B25,③工资核算浮动条件设置①!B:E,4,0),0)</f>
        <v>200000</v>
      </c>
      <c r="S25" s="35" t="str">
        <f>IFERROR(VLOOKUP(B25,③工资核算浮动条件设置①!B:I,8,0),0)</f>
        <v>秦亚平</v>
      </c>
      <c r="T25">
        <v>150000</v>
      </c>
      <c r="U25">
        <v>200000</v>
      </c>
      <c r="V25" s="35">
        <f>IFERROR(VLOOKUP(B25,③工资核算浮动条件设置①!B:J,9,0),0)</f>
        <v>0</v>
      </c>
      <c r="AA25" s="28">
        <f>IFERROR(VLOOKUP(B25,③工资核算浮动条件设置①!B:N,13,0),0)</f>
        <v>0</v>
      </c>
      <c r="AB25" s="1">
        <v>120</v>
      </c>
      <c r="AC25" s="1">
        <v>160</v>
      </c>
    </row>
    <row r="26" spans="1:30" x14ac:dyDescent="0.15">
      <c r="A26" t="s">
        <v>143</v>
      </c>
      <c r="B26" t="s">
        <v>55</v>
      </c>
      <c r="C26" t="str">
        <f>IFERROR(VLOOKUP(B26,③工资核算浮动条件设置①!B:F,5,0),0)</f>
        <v>事业六部</v>
      </c>
      <c r="D26" t="s">
        <v>119</v>
      </c>
      <c r="G26">
        <v>180000</v>
      </c>
      <c r="H26" s="28" t="str">
        <f>IFERROR(VLOOKUP(B26,③工资核算浮动条件设置①!B:L,11,0),0)</f>
        <v>叶璐璐</v>
      </c>
      <c r="I26" s="1">
        <v>180</v>
      </c>
      <c r="J26" s="1">
        <v>220</v>
      </c>
      <c r="M26" s="28">
        <f>IFERROR(VLOOKUP(B26,③工资核算浮动条件设置①!B:M,12,0),0)</f>
        <v>0</v>
      </c>
      <c r="N26" s="28" t="str">
        <f>IFERROR(VLOOKUP(B26,③工资核算浮动条件设置①!B:K,10,0),0)</f>
        <v>魏柯</v>
      </c>
      <c r="O26" s="1">
        <f>IFERROR(VLOOKUP(B26,③工资核算浮动条件设置①!B:C,2,0),0)</f>
        <v>180000</v>
      </c>
      <c r="P26" s="1">
        <f>IFERROR(VLOOKUP(B26,③工资核算浮动条件设置①!B:D,3,0),0)</f>
        <v>170</v>
      </c>
      <c r="Q26" s="16">
        <f>IFERROR(VLOOKUP(B26,③工资核算浮动条件设置①!B:E,4,0),0)</f>
        <v>220000</v>
      </c>
      <c r="S26" s="35" t="str">
        <f>IFERROR(VLOOKUP(B26,③工资核算浮动条件设置①!B:I,8,0),0)</f>
        <v>蒲草</v>
      </c>
      <c r="T26">
        <v>150000</v>
      </c>
      <c r="U26">
        <v>200000</v>
      </c>
      <c r="V26" s="35">
        <f>IFERROR(VLOOKUP(B26,③工资核算浮动条件设置①!B:J,9,0),0)</f>
        <v>0</v>
      </c>
      <c r="W26">
        <v>0</v>
      </c>
      <c r="X26">
        <v>0</v>
      </c>
      <c r="AA26" s="28">
        <f>IFERROR(VLOOKUP(B26,③工资核算浮动条件设置①!B:N,13,0),0)</f>
        <v>0</v>
      </c>
      <c r="AB26" s="1">
        <v>180</v>
      </c>
      <c r="AC26" s="1">
        <v>220</v>
      </c>
    </row>
    <row r="27" spans="1:30" x14ac:dyDescent="0.15">
      <c r="A27" t="s">
        <v>144</v>
      </c>
      <c r="B27" t="s">
        <v>45</v>
      </c>
      <c r="C27" t="str">
        <f>IFERROR(VLOOKUP(B27,③工资核算浮动条件设置①!B:F,5,0),0)</f>
        <v>事业四部</v>
      </c>
      <c r="D27" t="s">
        <v>119</v>
      </c>
      <c r="G27">
        <v>180000</v>
      </c>
      <c r="H27" s="28" t="str">
        <f>IFERROR(VLOOKUP(B27,③工资核算浮动条件设置①!B:L,11,0),0)</f>
        <v>施凤皎</v>
      </c>
      <c r="I27" s="1">
        <v>180</v>
      </c>
      <c r="J27" s="1">
        <v>220</v>
      </c>
      <c r="M27" s="28">
        <f>IFERROR(VLOOKUP(B27,③工资核算浮动条件设置①!B:M,12,0),0)</f>
        <v>0</v>
      </c>
      <c r="N27" s="28" t="str">
        <f>IFERROR(VLOOKUP(B27,③工资核算浮动条件设置①!B:K,10,0),0)</f>
        <v>龚茜</v>
      </c>
      <c r="O27" s="1">
        <f>IFERROR(VLOOKUP(B27,③工资核算浮动条件设置①!B:C,2,0),0)</f>
        <v>180000</v>
      </c>
      <c r="P27" s="1">
        <f>IFERROR(VLOOKUP(B27,③工资核算浮动条件设置①!B:D,3,0),0)</f>
        <v>180</v>
      </c>
      <c r="Q27" s="16">
        <f>IFERROR(VLOOKUP(B27,③工资核算浮动条件设置①!B:E,4,0),0)</f>
        <v>200000</v>
      </c>
      <c r="S27" s="35">
        <f>IFERROR(VLOOKUP(B27,③工资核算浮动条件设置①!B:I,8,0),0)</f>
        <v>0</v>
      </c>
      <c r="T27">
        <v>200000</v>
      </c>
      <c r="U27">
        <v>250000</v>
      </c>
      <c r="V27" s="35" t="str">
        <f>IFERROR(VLOOKUP(B27,③工资核算浮动条件设置①!B:J,9,0),0)</f>
        <v>肖静梅</v>
      </c>
      <c r="W27">
        <v>200000</v>
      </c>
      <c r="X27">
        <v>250000</v>
      </c>
      <c r="AA27" s="28">
        <f>IFERROR(VLOOKUP(B27,③工资核算浮动条件设置①!B:N,13,0),0)</f>
        <v>0</v>
      </c>
      <c r="AB27" s="1">
        <v>180</v>
      </c>
      <c r="AC27" s="1">
        <v>220</v>
      </c>
    </row>
    <row r="28" spans="1:30" x14ac:dyDescent="0.15">
      <c r="A28" t="s">
        <v>145</v>
      </c>
      <c r="B28" t="s">
        <v>32</v>
      </c>
      <c r="C28" t="str">
        <f>IFERROR(VLOOKUP(B28,③工资核算浮动条件设置①!B:F,5,0),0)</f>
        <v>事业二部</v>
      </c>
      <c r="D28" s="9" t="s">
        <v>131</v>
      </c>
      <c r="G28" s="106">
        <v>120000</v>
      </c>
      <c r="H28" s="28" t="str">
        <f>IFERROR(VLOOKUP(B28,③工资核算浮动条件设置①!B:L,11,0),0)</f>
        <v>陈燕辉</v>
      </c>
      <c r="I28" s="1">
        <v>120</v>
      </c>
      <c r="J28" s="1">
        <v>150</v>
      </c>
      <c r="M28" s="28">
        <f>IFERROR(VLOOKUP(B28,③工资核算浮动条件设置①!B:M,12,0),0)</f>
        <v>0</v>
      </c>
      <c r="N28" s="28" t="str">
        <f>IFERROR(VLOOKUP(B28,③工资核算浮动条件设置①!B:K,10,0),0)</f>
        <v>张红霞</v>
      </c>
      <c r="O28" s="1">
        <f>IFERROR(VLOOKUP(B28,③工资核算浮动条件设置①!B:C,2,0),0)</f>
        <v>120000</v>
      </c>
      <c r="P28" s="1">
        <f>IFERROR(VLOOKUP(B28,③工资核算浮动条件设置①!B:D,3,0),0)</f>
        <v>145</v>
      </c>
      <c r="Q28" s="16">
        <f>IFERROR(VLOOKUP(B28,③工资核算浮动条件设置①!B:E,4,0),0)</f>
        <v>100000</v>
      </c>
      <c r="S28" s="35" t="str">
        <f>IFERROR(VLOOKUP(B28,③工资核算浮动条件设置①!B:I,8,0),0)</f>
        <v>张艳秋</v>
      </c>
      <c r="T28" s="9">
        <v>100000</v>
      </c>
      <c r="U28" s="9">
        <v>150000</v>
      </c>
      <c r="V28" s="35">
        <f>IFERROR(VLOOKUP(B28,③工资核算浮动条件设置①!B:J,9,0),0)</f>
        <v>0</v>
      </c>
      <c r="W28">
        <v>0</v>
      </c>
      <c r="X28">
        <v>0</v>
      </c>
      <c r="AA28" s="28">
        <f>IFERROR(VLOOKUP(B28,③工资核算浮动条件设置①!B:N,13,0),0)</f>
        <v>0</v>
      </c>
      <c r="AB28" s="1">
        <v>120</v>
      </c>
      <c r="AC28" s="1">
        <v>150</v>
      </c>
    </row>
    <row r="29" spans="1:30" x14ac:dyDescent="0.15">
      <c r="A29" t="s">
        <v>146</v>
      </c>
      <c r="B29" t="s">
        <v>29</v>
      </c>
      <c r="C29" t="str">
        <f>IFERROR(VLOOKUP(B29,③工资核算浮动条件设置①!B:F,5,0),0)</f>
        <v>事业一部</v>
      </c>
      <c r="D29" t="s">
        <v>131</v>
      </c>
      <c r="E29" t="s">
        <v>147</v>
      </c>
      <c r="F29" s="9" t="s">
        <v>131</v>
      </c>
      <c r="G29">
        <v>120000</v>
      </c>
      <c r="H29" s="28" t="str">
        <f>IFERROR(VLOOKUP(B29,③工资核算浮动条件设置①!B:L,11,0),0)</f>
        <v>谢双叶</v>
      </c>
      <c r="I29" s="1">
        <v>150</v>
      </c>
      <c r="J29" s="1">
        <v>170</v>
      </c>
      <c r="K29" s="25" t="s">
        <v>147</v>
      </c>
      <c r="M29" s="28">
        <f>IFERROR(VLOOKUP(B29,③工资核算浮动条件设置①!B:M,12,0),0)</f>
        <v>0</v>
      </c>
      <c r="N29" s="28" t="str">
        <f>IFERROR(VLOOKUP(B29,③工资核算浮动条件设置①!B:K,10,0),0)</f>
        <v>宋林琳</v>
      </c>
      <c r="O29" s="1">
        <f>IFERROR(VLOOKUP(B29,③工资核算浮动条件设置①!B:C,2,0),0)</f>
        <v>120000</v>
      </c>
      <c r="P29" s="1">
        <f>IFERROR(VLOOKUP(B29,③工资核算浮动条件设置①!B:D,3,0),0)</f>
        <v>150</v>
      </c>
      <c r="Q29" s="16">
        <f>IFERROR(VLOOKUP(B29,③工资核算浮动条件设置①!B:E,4,0),0)</f>
        <v>0</v>
      </c>
      <c r="S29" s="35" t="str">
        <f>IFERROR(VLOOKUP(B29,③工资核算浮动条件设置①!B:I,8,0),0)</f>
        <v>邹福贞</v>
      </c>
      <c r="T29">
        <v>150000</v>
      </c>
      <c r="U29">
        <v>200000</v>
      </c>
      <c r="V29" s="35" t="str">
        <f>IFERROR(VLOOKUP(B29,③工资核算浮动条件设置①!B:J,9,0),0)</f>
        <v>王桂明</v>
      </c>
      <c r="W29">
        <v>120000</v>
      </c>
      <c r="X29">
        <v>170000</v>
      </c>
      <c r="AA29" s="28">
        <f>IFERROR(VLOOKUP(B29,③工资核算浮动条件设置①!B:N,13,0),0)</f>
        <v>0</v>
      </c>
      <c r="AB29" s="1">
        <v>150</v>
      </c>
      <c r="AC29" s="1">
        <v>170</v>
      </c>
      <c r="AD29" s="25" t="s">
        <v>147</v>
      </c>
    </row>
    <row r="30" spans="1:30" x14ac:dyDescent="0.15">
      <c r="A30" t="s">
        <v>148</v>
      </c>
      <c r="B30" t="s">
        <v>59</v>
      </c>
      <c r="C30" t="str">
        <f>IFERROR(VLOOKUP(B30,③工资核算浮动条件设置①!B:F,5,0),0)</f>
        <v>事业二部</v>
      </c>
      <c r="D30" t="s">
        <v>122</v>
      </c>
      <c r="E30" t="s">
        <v>147</v>
      </c>
      <c r="G30">
        <v>150000</v>
      </c>
      <c r="H30" s="28" t="str">
        <f>IFERROR(VLOOKUP(B30,③工资核算浮动条件设置①!B:L,11,0),0)</f>
        <v>汪丽娟</v>
      </c>
      <c r="I30" s="1">
        <v>180</v>
      </c>
      <c r="J30" s="1">
        <v>200</v>
      </c>
      <c r="K30" s="25" t="s">
        <v>147</v>
      </c>
      <c r="M30" s="28" t="str">
        <f>IFERROR(VLOOKUP(B30,③工资核算浮动条件设置①!B:M,12,0),0)</f>
        <v>罗林芳</v>
      </c>
      <c r="N30" s="28">
        <f>IFERROR(VLOOKUP(B30,③工资核算浮动条件设置①!B:K,10,0),0)</f>
        <v>0</v>
      </c>
      <c r="O30" s="1">
        <f>IFERROR(VLOOKUP(B30,③工资核算浮动条件设置①!B:C,2,0),0)</f>
        <v>150000</v>
      </c>
      <c r="P30" s="1">
        <f>IFERROR(VLOOKUP(B30,③工资核算浮动条件设置①!B:D,3,0),0)</f>
        <v>180</v>
      </c>
      <c r="Q30" s="16">
        <f>IFERROR(VLOOKUP(B30,③工资核算浮动条件设置①!B:E,4,0),0)</f>
        <v>0</v>
      </c>
      <c r="S30" s="35" t="str">
        <f>IFERROR(VLOOKUP(B30,③工资核算浮动条件设置①!B:I,8,0),0)</f>
        <v>张艳秋</v>
      </c>
      <c r="T30">
        <v>150000</v>
      </c>
      <c r="U30">
        <v>200000</v>
      </c>
      <c r="V30" s="35">
        <f>IFERROR(VLOOKUP(B30,③工资核算浮动条件设置①!B:J,9,0),0)</f>
        <v>0</v>
      </c>
      <c r="W30">
        <v>0</v>
      </c>
      <c r="X30">
        <v>0</v>
      </c>
      <c r="AA30" s="28">
        <f>IFERROR(VLOOKUP(B30,③工资核算浮动条件设置①!B:N,13,0),0)</f>
        <v>0</v>
      </c>
      <c r="AB30" s="1">
        <v>180</v>
      </c>
      <c r="AC30" s="1">
        <v>200</v>
      </c>
      <c r="AD30" s="25" t="s">
        <v>147</v>
      </c>
    </row>
    <row r="31" spans="1:30" x14ac:dyDescent="0.15">
      <c r="A31" t="s">
        <v>149</v>
      </c>
      <c r="B31" t="s">
        <v>150</v>
      </c>
      <c r="C31">
        <f>IFERROR(VLOOKUP(B31,③工资核算浮动条件设置①!B:F,5,0),0)</f>
        <v>0</v>
      </c>
      <c r="D31" t="s">
        <v>131</v>
      </c>
      <c r="G31">
        <f>IFERROR(VLOOKUP(B31,③工资核算浮动条件设置①!B:C,2,0),0)</f>
        <v>0</v>
      </c>
      <c r="H31" s="28">
        <f>IFERROR(VLOOKUP(B31,③工资核算浮动条件设置①!B:L,11,0),0)</f>
        <v>0</v>
      </c>
      <c r="I31" s="1">
        <v>110</v>
      </c>
      <c r="J31" s="1">
        <v>130</v>
      </c>
      <c r="M31" s="28">
        <f>IFERROR(VLOOKUP(B31,③工资核算浮动条件设置①!B:M,12,0),0)</f>
        <v>0</v>
      </c>
      <c r="N31" s="28">
        <f>IFERROR(VLOOKUP(B31,③工资核算浮动条件设置①!B:K,10,0),0)</f>
        <v>0</v>
      </c>
      <c r="O31" s="1">
        <f>IFERROR(VLOOKUP(B31,③工资核算浮动条件设置①!B:C,2,0),0)</f>
        <v>0</v>
      </c>
      <c r="P31" s="1">
        <f>IFERROR(VLOOKUP(B31,③工资核算浮动条件设置①!B:D,3,0),0)</f>
        <v>0</v>
      </c>
      <c r="Q31" s="16">
        <f>IFERROR(VLOOKUP(B31,③工资核算浮动条件设置①!B:E,4,0),0)</f>
        <v>0</v>
      </c>
      <c r="S31" s="35">
        <f>IFERROR(VLOOKUP(B31,③工资核算浮动条件设置①!B:I,8,0),0)</f>
        <v>0</v>
      </c>
      <c r="T31">
        <v>100000</v>
      </c>
      <c r="U31">
        <v>150000</v>
      </c>
      <c r="V31" s="35">
        <f>IFERROR(VLOOKUP(B31,③工资核算浮动条件设置①!B:J,9,0),0)</f>
        <v>0</v>
      </c>
      <c r="W31">
        <v>0</v>
      </c>
      <c r="X31">
        <v>0</v>
      </c>
      <c r="AA31" s="28">
        <f>IFERROR(VLOOKUP(B31,③工资核算浮动条件设置①!B:N,13,0),0)</f>
        <v>0</v>
      </c>
      <c r="AB31" s="1">
        <v>110</v>
      </c>
      <c r="AC31" s="1">
        <v>130</v>
      </c>
    </row>
    <row r="32" spans="1:30" x14ac:dyDescent="0.15">
      <c r="A32" t="s">
        <v>151</v>
      </c>
      <c r="B32" s="5" t="s">
        <v>57</v>
      </c>
      <c r="C32" t="str">
        <f>IFERROR(VLOOKUP(B32,③工资核算浮动条件设置①!B:F,5,0),0)</f>
        <v>事业一部</v>
      </c>
      <c r="D32" s="9" t="s">
        <v>131</v>
      </c>
      <c r="E32" t="s">
        <v>147</v>
      </c>
      <c r="G32">
        <v>120000</v>
      </c>
      <c r="H32" s="28" t="str">
        <f>IFERROR(VLOOKUP(B32,③工资核算浮动条件设置①!B:L,11,0),0)</f>
        <v>胡祝曲</v>
      </c>
      <c r="I32" s="1">
        <v>120</v>
      </c>
      <c r="J32" s="1">
        <v>140</v>
      </c>
      <c r="K32" s="25" t="s">
        <v>147</v>
      </c>
      <c r="M32" s="28" t="str">
        <f>IFERROR(VLOOKUP(B32,③工资核算浮动条件设置①!B:M,12,0),0)</f>
        <v>竹艳梅</v>
      </c>
      <c r="N32" s="28">
        <f>IFERROR(VLOOKUP(B32,③工资核算浮动条件设置①!B:K,10,0),0)</f>
        <v>0</v>
      </c>
      <c r="O32" s="1">
        <f>IFERROR(VLOOKUP(B32,③工资核算浮动条件设置①!B:C,2,0),0)</f>
        <v>120000</v>
      </c>
      <c r="P32" s="1">
        <f>IFERROR(VLOOKUP(B32,③工资核算浮动条件设置①!B:D,3,0),0)</f>
        <v>130</v>
      </c>
      <c r="Q32" s="16">
        <f>IFERROR(VLOOKUP(B32,③工资核算浮动条件设置①!B:E,4,0),0)</f>
        <v>0</v>
      </c>
      <c r="S32" s="35">
        <f>IFERROR(VLOOKUP(B32,③工资核算浮动条件设置①!B:I,8,0),0)</f>
        <v>0</v>
      </c>
      <c r="T32">
        <v>150000</v>
      </c>
      <c r="U32">
        <v>200000</v>
      </c>
      <c r="V32" s="35" t="str">
        <f>IFERROR(VLOOKUP(B32,③工资核算浮动条件设置①!B:J,9,0),0)</f>
        <v>王桂明</v>
      </c>
      <c r="W32">
        <v>120000</v>
      </c>
      <c r="X32">
        <v>170000</v>
      </c>
      <c r="AA32" s="28">
        <f>IFERROR(VLOOKUP(B32,③工资核算浮动条件设置①!B:N,13,0),0)</f>
        <v>0</v>
      </c>
      <c r="AB32" s="1">
        <v>120</v>
      </c>
      <c r="AC32" s="1">
        <v>140</v>
      </c>
      <c r="AD32" s="25" t="s">
        <v>147</v>
      </c>
    </row>
    <row r="33" spans="1:30" x14ac:dyDescent="0.15">
      <c r="A33" s="54" t="s">
        <v>152</v>
      </c>
      <c r="B33" s="5" t="s">
        <v>60</v>
      </c>
      <c r="C33" s="5" t="s">
        <v>21</v>
      </c>
      <c r="D33" t="s">
        <v>122</v>
      </c>
      <c r="E33" t="s">
        <v>147</v>
      </c>
      <c r="G33" s="25">
        <v>150000</v>
      </c>
      <c r="H33" s="28" t="str">
        <f>IFERROR(VLOOKUP(B33,③工资核算浮动条件设置①!B:L,11,0),0)</f>
        <v>涂莹丹</v>
      </c>
      <c r="I33" s="1">
        <v>0</v>
      </c>
      <c r="J33" s="1">
        <v>0</v>
      </c>
      <c r="K33" s="25" t="s">
        <v>147</v>
      </c>
      <c r="M33" s="28" t="str">
        <f>IFERROR(VLOOKUP(B33,③工资核算浮动条件设置①!B:M,12,0),0)</f>
        <v>任艺</v>
      </c>
      <c r="N33" s="28">
        <f>IFERROR(VLOOKUP(B33,③工资核算浮动条件设置①!B:K,10,0),0)</f>
        <v>0</v>
      </c>
      <c r="O33" s="1">
        <f>IFERROR(VLOOKUP(B33,③工资核算浮动条件设置①!B:C,2,0),0)</f>
        <v>150000</v>
      </c>
      <c r="P33" s="1">
        <f>IFERROR(VLOOKUP(B33,③工资核算浮动条件设置①!B:D,3,0),0)</f>
        <v>180</v>
      </c>
      <c r="Q33" s="16">
        <f>IFERROR(VLOOKUP(B33,③工资核算浮动条件设置①!B:E,4,0),0)</f>
        <v>0</v>
      </c>
      <c r="S33" s="35">
        <f>IFERROR(VLOOKUP(B33,③工资核算浮动条件设置①!B:I,8,0),0)</f>
        <v>0</v>
      </c>
      <c r="T33">
        <v>150000</v>
      </c>
      <c r="U33">
        <v>200000</v>
      </c>
      <c r="V33" s="35" t="str">
        <f>IFERROR(VLOOKUP(B33,③工资核算浮动条件设置①!B:J,9,0),0)</f>
        <v>曾雨晴</v>
      </c>
      <c r="W33">
        <v>150000</v>
      </c>
      <c r="X33">
        <v>200000</v>
      </c>
      <c r="AA33" s="28">
        <f>IFERROR(VLOOKUP(B33,③工资核算浮动条件设置①!B:N,13,0),0)</f>
        <v>0</v>
      </c>
      <c r="AB33" s="1">
        <v>0</v>
      </c>
      <c r="AC33" s="1">
        <v>0</v>
      </c>
      <c r="AD33" s="25" t="s">
        <v>147</v>
      </c>
    </row>
    <row r="34" spans="1:30" x14ac:dyDescent="0.15">
      <c r="H34" s="28"/>
      <c r="M34" s="28">
        <f>IFERROR(VLOOKUP(B34,③工资核算浮动条件设置①!B:M,12,0),0)</f>
        <v>0</v>
      </c>
      <c r="N34" s="28">
        <f>IFERROR(VLOOKUP(B34,③工资核算浮动条件设置①!B:K,10,0),0)</f>
        <v>0</v>
      </c>
      <c r="O34" s="1">
        <f>IFERROR(VLOOKUP(B34,③工资核算浮动条件设置①!B:C,2,0),0)</f>
        <v>0</v>
      </c>
      <c r="P34" s="1">
        <f>IFERROR(VLOOKUP(B34,③工资核算浮动条件设置①!B:D,3,0),0)</f>
        <v>0</v>
      </c>
      <c r="Q34" s="16">
        <f>IFERROR(VLOOKUP(B34,③工资核算浮动条件设置①!B:E,4,0),0)</f>
        <v>0</v>
      </c>
      <c r="S34" s="35">
        <f>IFERROR(VLOOKUP(B34,③工资核算浮动条件设置①!B:I,8,0),0)</f>
        <v>0</v>
      </c>
      <c r="V34" s="35">
        <f>IFERROR(VLOOKUP(B34,③工资核算浮动条件设置①!B:J,9,0),0)</f>
        <v>0</v>
      </c>
      <c r="AA34" s="28"/>
    </row>
    <row r="35" spans="1:30" x14ac:dyDescent="0.15">
      <c r="H35" s="28"/>
      <c r="M35" s="28"/>
      <c r="N35" s="28">
        <f>IFERROR(VLOOKUP(B35,③工资核算浮动条件设置①!B:K,10,0),0)</f>
        <v>0</v>
      </c>
      <c r="O35" s="1">
        <f>IFERROR(VLOOKUP(B35,③工资核算浮动条件设置①!B:C,2,0),0)</f>
        <v>0</v>
      </c>
      <c r="P35" s="1">
        <f>IFERROR(VLOOKUP(B35,③工资核算浮动条件设置①!B:D,3,0),0)</f>
        <v>0</v>
      </c>
      <c r="Q35" s="16">
        <f>IFERROR(VLOOKUP(B35,③工资核算浮动条件设置①!B:E,4,0),0)</f>
        <v>0</v>
      </c>
      <c r="S35" s="35">
        <f>IFERROR(VLOOKUP(B35,③工资核算浮动条件设置①!B:I,8,0),0)</f>
        <v>0</v>
      </c>
      <c r="V35" s="35">
        <f>IFERROR(VLOOKUP(B35,③工资核算浮动条件设置①!B:J,9,0),0)</f>
        <v>0</v>
      </c>
      <c r="AA35" s="28"/>
    </row>
    <row r="36" spans="1:30" x14ac:dyDescent="0.15">
      <c r="H36" s="28"/>
      <c r="M36" s="28"/>
      <c r="N36" s="28">
        <f>IFERROR(VLOOKUP(B36,③工资核算浮动条件设置①!B:K,10,0),0)</f>
        <v>0</v>
      </c>
      <c r="O36" s="1">
        <f>IFERROR(VLOOKUP(B36,③工资核算浮动条件设置①!B:C,2,0),0)</f>
        <v>0</v>
      </c>
      <c r="P36" s="1">
        <f>IFERROR(VLOOKUP(B36,③工资核算浮动条件设置①!B:D,3,0),0)</f>
        <v>0</v>
      </c>
      <c r="Q36" s="16">
        <f>IFERROR(VLOOKUP(B36,③工资核算浮动条件设置①!B:E,4,0),0)</f>
        <v>0</v>
      </c>
      <c r="S36" s="35">
        <f>IFERROR(VLOOKUP(B36,③工资核算浮动条件设置①!B:I,8,0),0)</f>
        <v>0</v>
      </c>
      <c r="V36" s="35">
        <f>IFERROR(VLOOKUP(B36,③工资核算浮动条件设置①!B:J,9,0),0)</f>
        <v>0</v>
      </c>
      <c r="AA36" s="28"/>
    </row>
    <row r="37" spans="1:30" x14ac:dyDescent="0.15">
      <c r="H37" s="28"/>
      <c r="M37" s="28"/>
      <c r="N37" s="28">
        <f>IFERROR(VLOOKUP(B37,③工资核算浮动条件设置①!B:K,10,0),0)</f>
        <v>0</v>
      </c>
      <c r="S37" s="35">
        <f>IFERROR(VLOOKUP(B37,③工资核算浮动条件设置①!B:I,8,0),0)</f>
        <v>0</v>
      </c>
      <c r="V37" s="35">
        <f>IFERROR(VLOOKUP(B37,③工资核算浮动条件设置①!B:J,9,0),0)</f>
        <v>0</v>
      </c>
      <c r="AA37" s="28"/>
    </row>
    <row r="38" spans="1:30" x14ac:dyDescent="0.15">
      <c r="A38" s="186" t="s">
        <v>795</v>
      </c>
      <c r="M38" s="15" t="s">
        <v>153</v>
      </c>
    </row>
  </sheetData>
  <autoFilter ref="A2:K33" xr:uid="{00000000-0009-0000-0000-000004000000}"/>
  <phoneticPr fontId="4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S35"/>
  <sheetViews>
    <sheetView workbookViewId="0">
      <selection activeCell="I7" sqref="I7"/>
    </sheetView>
  </sheetViews>
  <sheetFormatPr defaultColWidth="9" defaultRowHeight="13.5" x14ac:dyDescent="0.15"/>
  <cols>
    <col min="1" max="1" width="13.375" style="15" customWidth="1"/>
    <col min="2" max="6" width="9" style="1"/>
    <col min="7" max="7" width="12.25" style="16" customWidth="1"/>
    <col min="8" max="8" width="12.5" style="1" customWidth="1"/>
    <col min="9" max="9" width="20.5" style="1" customWidth="1"/>
    <col min="10" max="13" width="14.125" style="1" customWidth="1"/>
    <col min="14" max="14" width="7.625" style="1" customWidth="1"/>
    <col min="15" max="16" width="12.125" style="1" customWidth="1"/>
    <col min="17" max="16384" width="9" style="1"/>
  </cols>
  <sheetData>
    <row r="1" spans="1:16" ht="54" x14ac:dyDescent="0.15">
      <c r="A1" s="17"/>
      <c r="B1" s="18"/>
      <c r="C1" s="18"/>
      <c r="D1" s="18"/>
      <c r="E1" s="18"/>
      <c r="F1" s="18"/>
      <c r="G1" s="19" t="s">
        <v>98</v>
      </c>
      <c r="I1" s="22" t="s">
        <v>102</v>
      </c>
      <c r="J1" s="23" t="s">
        <v>103</v>
      </c>
      <c r="K1" s="10"/>
      <c r="L1" s="10"/>
      <c r="M1" s="10"/>
      <c r="O1" s="22" t="s">
        <v>102</v>
      </c>
    </row>
    <row r="2" spans="1:16" x14ac:dyDescent="0.15">
      <c r="A2" s="15" t="s">
        <v>7</v>
      </c>
      <c r="C2" s="1" t="s">
        <v>6</v>
      </c>
      <c r="D2" s="1" t="s">
        <v>104</v>
      </c>
      <c r="E2" s="1" t="s">
        <v>105</v>
      </c>
      <c r="F2" s="1" t="s">
        <v>106</v>
      </c>
      <c r="G2" s="16" t="s">
        <v>107</v>
      </c>
      <c r="H2" s="20" t="s">
        <v>12</v>
      </c>
      <c r="I2" s="1" t="s">
        <v>114</v>
      </c>
      <c r="J2" s="1" t="s">
        <v>115</v>
      </c>
      <c r="N2" s="20" t="s">
        <v>13</v>
      </c>
      <c r="O2" s="1" t="s">
        <v>114</v>
      </c>
      <c r="P2" s="1" t="s">
        <v>115</v>
      </c>
    </row>
    <row r="3" spans="1:16" x14ac:dyDescent="0.15">
      <c r="A3" s="15" t="s">
        <v>116</v>
      </c>
      <c r="B3" s="1" t="s">
        <v>117</v>
      </c>
      <c r="C3" s="1">
        <f>IFERROR(VLOOKUP(B3,③工资核算浮动条件设置①!B:F,5,0),0)</f>
        <v>0</v>
      </c>
      <c r="D3" s="1">
        <v>0</v>
      </c>
      <c r="G3" s="16">
        <f>IFERROR(VLOOKUP(B3,③工资核算浮动条件设置①!B:C,2,0),0)</f>
        <v>0</v>
      </c>
      <c r="H3" s="20"/>
      <c r="I3" s="1">
        <v>0</v>
      </c>
      <c r="J3" s="1">
        <v>0</v>
      </c>
      <c r="N3" s="20"/>
      <c r="O3" s="1">
        <v>0</v>
      </c>
      <c r="P3" s="1">
        <v>0</v>
      </c>
    </row>
    <row r="4" spans="1:16" x14ac:dyDescent="0.15">
      <c r="A4" s="15" t="s">
        <v>118</v>
      </c>
      <c r="B4" s="1" t="s">
        <v>40</v>
      </c>
      <c r="C4" s="1" t="str">
        <f>IFERROR(VLOOKUP(B4,③工资核算浮动条件设置①!B:F,5,0),0)</f>
        <v>事业四部</v>
      </c>
      <c r="D4" s="1" t="s">
        <v>119</v>
      </c>
      <c r="G4" s="16">
        <f>IFERROR(VLOOKUP(B4,③工资核算浮动条件设置①!B:C,2,0),0)</f>
        <v>350000</v>
      </c>
      <c r="H4" s="20" t="str">
        <f>_xlfn.XLOOKUP(B4,③工资核算浮动条件设置①!B:B,③工资核算浮动条件设置①!I:I,0)</f>
        <v>饶秋华</v>
      </c>
      <c r="I4" s="1">
        <v>350000</v>
      </c>
      <c r="J4" s="1">
        <v>400000</v>
      </c>
      <c r="K4" s="1">
        <v>1</v>
      </c>
      <c r="L4" s="1">
        <v>1.5</v>
      </c>
      <c r="M4" s="1">
        <v>2</v>
      </c>
      <c r="N4" s="20">
        <f>_xlfn.XLOOKUP(B4,③工资核算浮动条件设置①!B:B,③工资核算浮动条件设置①!J:J,0)</f>
        <v>0</v>
      </c>
      <c r="O4" s="1">
        <v>0</v>
      </c>
      <c r="P4" s="1">
        <v>0</v>
      </c>
    </row>
    <row r="5" spans="1:16" x14ac:dyDescent="0.15">
      <c r="A5" s="15" t="s">
        <v>120</v>
      </c>
      <c r="B5" s="1" t="s">
        <v>42</v>
      </c>
      <c r="C5" s="1" t="str">
        <f>IFERROR(VLOOKUP(B5,③工资核算浮动条件设置①!B:F,5,0),0)</f>
        <v>事业四部</v>
      </c>
      <c r="D5" s="1" t="s">
        <v>119</v>
      </c>
      <c r="G5" s="16">
        <v>250000</v>
      </c>
      <c r="H5" s="20" t="str">
        <f>_xlfn.XLOOKUP(B5,③工资核算浮动条件设置①!B:B,③工资核算浮动条件设置①!I:I,0)</f>
        <v>饶秋华</v>
      </c>
      <c r="I5" s="1">
        <v>250000</v>
      </c>
      <c r="J5" s="1">
        <v>300000</v>
      </c>
      <c r="K5" s="1">
        <v>1</v>
      </c>
      <c r="L5" s="1">
        <v>1.5</v>
      </c>
      <c r="M5" s="1">
        <v>2</v>
      </c>
      <c r="N5" s="20">
        <f>_xlfn.XLOOKUP(B5,③工资核算浮动条件设置①!B:B,③工资核算浮动条件设置①!J:J,0)</f>
        <v>0</v>
      </c>
      <c r="O5" s="1">
        <v>0</v>
      </c>
      <c r="P5" s="1">
        <v>0</v>
      </c>
    </row>
    <row r="6" spans="1:16" x14ac:dyDescent="0.15">
      <c r="A6" s="15" t="s">
        <v>121</v>
      </c>
      <c r="B6" s="1" t="s">
        <v>35</v>
      </c>
      <c r="C6" s="1" t="str">
        <f>IFERROR(VLOOKUP(B6,③工资核算浮动条件设置①!B:F,5,0),0)</f>
        <v>事业三部</v>
      </c>
      <c r="D6" s="1" t="s">
        <v>122</v>
      </c>
      <c r="G6" s="16">
        <f>IFERROR(VLOOKUP(B6,③工资核算浮动条件设置①!B:C,2,0),0)</f>
        <v>150000</v>
      </c>
      <c r="H6" s="20" t="str">
        <f>_xlfn.XLOOKUP(B6,③工资核算浮动条件设置①!B:B,③工资核算浮动条件设置①!I:I,0)</f>
        <v>秦亚平</v>
      </c>
      <c r="I6" s="1">
        <v>150000</v>
      </c>
      <c r="J6" s="1">
        <v>200000</v>
      </c>
      <c r="K6" s="1">
        <v>1</v>
      </c>
      <c r="L6" s="1">
        <v>1.5</v>
      </c>
      <c r="M6" s="1">
        <v>2</v>
      </c>
      <c r="N6" s="20">
        <f>_xlfn.XLOOKUP(B6,③工资核算浮动条件设置①!B:B,③工资核算浮动条件设置①!J:J,0)</f>
        <v>0</v>
      </c>
      <c r="O6" s="1">
        <v>0</v>
      </c>
      <c r="P6" s="1">
        <v>0</v>
      </c>
    </row>
    <row r="7" spans="1:16" x14ac:dyDescent="0.15">
      <c r="A7" s="15" t="s">
        <v>123</v>
      </c>
      <c r="B7" s="1" t="s">
        <v>23</v>
      </c>
      <c r="C7" s="1" t="str">
        <f>IFERROR(VLOOKUP(B7,③工资核算浮动条件设置①!B:F,5,0),0)</f>
        <v>事业一部</v>
      </c>
      <c r="D7" s="1" t="s">
        <v>119</v>
      </c>
      <c r="G7" s="16">
        <v>230000</v>
      </c>
      <c r="H7" s="20" t="str">
        <f>_xlfn.XLOOKUP(B7,③工资核算浮动条件设置①!B:B,③工资核算浮动条件设置①!I:I,0)</f>
        <v>邹福贞</v>
      </c>
      <c r="I7" s="1">
        <v>250000</v>
      </c>
      <c r="J7" s="1">
        <v>300000</v>
      </c>
      <c r="K7" s="24">
        <v>0.01</v>
      </c>
      <c r="L7" s="14">
        <v>1.4999999999999999E-2</v>
      </c>
      <c r="M7" s="14">
        <v>0.02</v>
      </c>
      <c r="N7" s="20">
        <f>_xlfn.XLOOKUP(B7,③工资核算浮动条件设置①!B:B,③工资核算浮动条件设置①!J:J,0)</f>
        <v>0</v>
      </c>
      <c r="O7" s="1">
        <v>0</v>
      </c>
      <c r="P7" s="1">
        <v>0</v>
      </c>
    </row>
    <row r="8" spans="1:16" x14ac:dyDescent="0.15">
      <c r="A8" s="15" t="s">
        <v>124</v>
      </c>
      <c r="B8" s="1" t="s">
        <v>19</v>
      </c>
      <c r="C8" s="1" t="str">
        <f>IFERROR(VLOOKUP(B8,③工资核算浮动条件设置①!B:F,5,0),0)</f>
        <v>事业一部</v>
      </c>
      <c r="D8" s="1" t="s">
        <v>119</v>
      </c>
      <c r="G8" s="16">
        <f>IFERROR(VLOOKUP(B8,③工资核算浮动条件设置①!B:C,2,0),0)</f>
        <v>320000</v>
      </c>
      <c r="H8" s="20" t="str">
        <f>_xlfn.XLOOKUP(B8,③工资核算浮动条件设置①!B:B,③工资核算浮动条件设置①!I:I,0)</f>
        <v>邹福贞</v>
      </c>
      <c r="I8" s="1">
        <v>320000</v>
      </c>
      <c r="J8" s="1">
        <v>370000</v>
      </c>
      <c r="K8" s="24">
        <v>0.01</v>
      </c>
      <c r="L8" s="14">
        <v>1.4999999999999999E-2</v>
      </c>
      <c r="M8" s="14">
        <v>0.02</v>
      </c>
      <c r="N8" s="20">
        <f>_xlfn.XLOOKUP(B8,③工资核算浮动条件设置①!B:B,③工资核算浮动条件设置①!J:J,0)</f>
        <v>0</v>
      </c>
      <c r="O8" s="1">
        <v>0</v>
      </c>
      <c r="P8" s="1">
        <v>0</v>
      </c>
    </row>
    <row r="9" spans="1:16" x14ac:dyDescent="0.15">
      <c r="A9" s="15" t="s">
        <v>125</v>
      </c>
      <c r="B9" s="1" t="s">
        <v>30</v>
      </c>
      <c r="C9" s="1" t="str">
        <f>IFERROR(VLOOKUP(B9,③工资核算浮动条件设置①!B:F,5,0),0)</f>
        <v>事业二部</v>
      </c>
      <c r="D9" s="1" t="s">
        <v>122</v>
      </c>
      <c r="G9" s="16">
        <f>IFERROR(VLOOKUP(B9,③工资核算浮动条件设置①!B:C,2,0),0)</f>
        <v>150000</v>
      </c>
      <c r="H9" s="20" t="str">
        <f>_xlfn.XLOOKUP(B9,③工资核算浮动条件设置①!B:B,③工资核算浮动条件设置①!I:I,0)</f>
        <v>张艳秋</v>
      </c>
      <c r="I9" s="1">
        <v>150000</v>
      </c>
      <c r="J9" s="1">
        <v>200000</v>
      </c>
      <c r="K9" s="1">
        <v>1.5</v>
      </c>
      <c r="L9" s="1">
        <v>2</v>
      </c>
      <c r="M9" s="1">
        <v>2.5</v>
      </c>
      <c r="N9" s="20">
        <f>_xlfn.XLOOKUP(B9,③工资核算浮动条件设置①!B:B,③工资核算浮动条件设置①!J:J,0)</f>
        <v>0</v>
      </c>
      <c r="O9" s="1">
        <v>0</v>
      </c>
      <c r="P9" s="1">
        <v>0</v>
      </c>
    </row>
    <row r="10" spans="1:16" x14ac:dyDescent="0.15">
      <c r="A10" s="15" t="s">
        <v>126</v>
      </c>
      <c r="B10" s="1">
        <v>468</v>
      </c>
      <c r="C10" s="1" t="str">
        <f>IFERROR(VLOOKUP(B10,③工资核算浮动条件设置①!B:F,5,0),0)</f>
        <v>事业一部</v>
      </c>
      <c r="D10" s="1" t="s">
        <v>119</v>
      </c>
      <c r="G10" s="16">
        <f>IFERROR(VLOOKUP(B10,③工资核算浮动条件设置①!B:C,2,0),0)</f>
        <v>200000</v>
      </c>
      <c r="H10" s="20" t="str">
        <f>_xlfn.XLOOKUP(B10,③工资核算浮动条件设置①!B:B,③工资核算浮动条件设置①!I:I,0)</f>
        <v>邹福贞</v>
      </c>
      <c r="I10" s="1">
        <v>200000</v>
      </c>
      <c r="J10" s="1">
        <v>250000</v>
      </c>
      <c r="K10" s="24">
        <v>0.01</v>
      </c>
      <c r="L10" s="14">
        <v>1.4999999999999999E-2</v>
      </c>
      <c r="M10" s="14">
        <v>0.02</v>
      </c>
      <c r="N10" s="20">
        <f>_xlfn.XLOOKUP(B10,③工资核算浮动条件设置①!B:B,③工资核算浮动条件设置①!J:J,0)</f>
        <v>0</v>
      </c>
      <c r="O10" s="1">
        <v>0</v>
      </c>
      <c r="P10" s="1">
        <v>0</v>
      </c>
    </row>
    <row r="11" spans="1:16" x14ac:dyDescent="0.15">
      <c r="A11" s="15" t="s">
        <v>127</v>
      </c>
      <c r="B11" s="1" t="s">
        <v>47</v>
      </c>
      <c r="C11" s="1" t="str">
        <f>IFERROR(VLOOKUP(B11,③工资核算浮动条件设置①!B:F,5,0),0)</f>
        <v>事业四部</v>
      </c>
      <c r="D11" s="1" t="s">
        <v>122</v>
      </c>
      <c r="G11" s="16">
        <f>IFERROR(VLOOKUP(B11,③工资核算浮动条件设置①!B:C,2,0),0)</f>
        <v>150000</v>
      </c>
      <c r="H11" s="20" t="str">
        <f>_xlfn.XLOOKUP(B11,③工资核算浮动条件设置①!B:B,③工资核算浮动条件设置①!I:I,0)</f>
        <v>饶秋华</v>
      </c>
      <c r="I11" s="1">
        <v>150000</v>
      </c>
      <c r="J11" s="1">
        <v>200000</v>
      </c>
      <c r="K11" s="1">
        <v>1</v>
      </c>
      <c r="L11" s="1">
        <v>1.5</v>
      </c>
      <c r="M11" s="1">
        <v>2</v>
      </c>
      <c r="N11" s="20">
        <f>_xlfn.XLOOKUP(B11,③工资核算浮动条件设置①!B:B,③工资核算浮动条件设置①!J:J,0)</f>
        <v>0</v>
      </c>
      <c r="O11" s="1">
        <v>0</v>
      </c>
      <c r="P11" s="1">
        <v>0</v>
      </c>
    </row>
    <row r="12" spans="1:16" x14ac:dyDescent="0.15">
      <c r="A12" s="15" t="s">
        <v>128</v>
      </c>
      <c r="B12" s="1" t="s">
        <v>37</v>
      </c>
      <c r="C12" s="1" t="str">
        <f>IFERROR(VLOOKUP(B12,③工资核算浮动条件设置①!B:F,5,0),0)</f>
        <v>事业三部</v>
      </c>
      <c r="D12" s="1" t="s">
        <v>122</v>
      </c>
      <c r="G12" s="16">
        <f>IFERROR(VLOOKUP(B12,③工资核算浮动条件设置①!B:C,2,0),0)</f>
        <v>150000</v>
      </c>
      <c r="H12" s="20" t="str">
        <f>_xlfn.XLOOKUP(B12,③工资核算浮动条件设置①!B:B,③工资核算浮动条件设置①!I:I,0)</f>
        <v>秦亚平</v>
      </c>
      <c r="I12" s="1">
        <v>150000</v>
      </c>
      <c r="J12" s="1">
        <v>200000</v>
      </c>
      <c r="K12" s="1">
        <v>1</v>
      </c>
      <c r="L12" s="1">
        <v>1.5</v>
      </c>
      <c r="M12" s="1">
        <v>2</v>
      </c>
      <c r="N12" s="20" t="str">
        <f>_xlfn.XLOOKUP(B12,③工资核算浮动条件设置①!B:B,③工资核算浮动条件设置①!J:J,0)</f>
        <v>曾雨晴</v>
      </c>
      <c r="O12" s="1">
        <v>0</v>
      </c>
      <c r="P12" s="1">
        <v>0</v>
      </c>
    </row>
    <row r="13" spans="1:16" x14ac:dyDescent="0.15">
      <c r="A13" s="15" t="s">
        <v>129</v>
      </c>
      <c r="B13" s="1" t="s">
        <v>49</v>
      </c>
      <c r="C13" s="1" t="str">
        <f>IFERROR(VLOOKUP(B13,③工资核算浮动条件设置①!B:F,5,0),0)</f>
        <v>事业五部</v>
      </c>
      <c r="D13" s="1" t="s">
        <v>119</v>
      </c>
      <c r="G13" s="16">
        <f>IFERROR(VLOOKUP(B13,③工资核算浮动条件设置①!B:C,2,0),0)</f>
        <v>200000</v>
      </c>
      <c r="H13" s="20" t="str">
        <f>_xlfn.XLOOKUP(B13,③工资核算浮动条件设置①!B:B,③工资核算浮动条件设置①!I:I,0)</f>
        <v>张小娟</v>
      </c>
      <c r="I13" s="1">
        <v>150000</v>
      </c>
      <c r="J13" s="1">
        <v>200000</v>
      </c>
      <c r="K13" s="1">
        <v>1</v>
      </c>
      <c r="L13" s="1">
        <v>2</v>
      </c>
      <c r="M13" s="1">
        <v>2.5</v>
      </c>
      <c r="N13" s="20">
        <f>_xlfn.XLOOKUP(B13,③工资核算浮动条件设置①!B:B,③工资核算浮动条件设置①!J:J,0)</f>
        <v>0</v>
      </c>
      <c r="O13" s="1">
        <v>0</v>
      </c>
      <c r="P13" s="1">
        <v>0</v>
      </c>
    </row>
    <row r="14" spans="1:16" x14ac:dyDescent="0.15">
      <c r="A14" s="15" t="s">
        <v>130</v>
      </c>
      <c r="B14" s="1" t="s">
        <v>46</v>
      </c>
      <c r="C14" s="1" t="str">
        <f>IFERROR(VLOOKUP(B14,③工资核算浮动条件设置①!B:F,5,0),0)</f>
        <v>事业四部</v>
      </c>
      <c r="D14" s="1" t="s">
        <v>131</v>
      </c>
      <c r="G14" s="16">
        <f>IFERROR(VLOOKUP(B14,③工资核算浮动条件设置①!B:C,2,0),0)</f>
        <v>120000</v>
      </c>
      <c r="H14" s="20" t="str">
        <f>_xlfn.XLOOKUP(B14,③工资核算浮动条件设置①!B:B,③工资核算浮动条件设置①!I:I,0)</f>
        <v>饶秋华</v>
      </c>
      <c r="I14" s="1">
        <v>150000</v>
      </c>
      <c r="J14" s="1">
        <v>200000</v>
      </c>
      <c r="K14" s="1">
        <v>1</v>
      </c>
      <c r="L14" s="1">
        <v>1.5</v>
      </c>
      <c r="M14" s="1">
        <v>2</v>
      </c>
      <c r="N14" s="20">
        <f>_xlfn.XLOOKUP(B14,③工资核算浮动条件设置①!B:B,③工资核算浮动条件设置①!J:J,0)</f>
        <v>0</v>
      </c>
      <c r="O14" s="1">
        <v>0</v>
      </c>
      <c r="P14" s="1">
        <v>0</v>
      </c>
    </row>
    <row r="15" spans="1:16" x14ac:dyDescent="0.15">
      <c r="A15" s="15" t="s">
        <v>132</v>
      </c>
      <c r="B15" s="1" t="s">
        <v>36</v>
      </c>
      <c r="C15" s="1" t="str">
        <f>IFERROR(VLOOKUP(B15,③工资核算浮动条件设置①!B:F,5,0),0)</f>
        <v>事业三部</v>
      </c>
      <c r="D15" s="1" t="s">
        <v>122</v>
      </c>
      <c r="G15" s="16">
        <f>IFERROR(VLOOKUP(B15,③工资核算浮动条件设置①!B:C,2,0),0)</f>
        <v>150000</v>
      </c>
      <c r="H15" s="20" t="str">
        <f>_xlfn.XLOOKUP(B15,③工资核算浮动条件设置①!B:B,③工资核算浮动条件设置①!I:I,0)</f>
        <v>秦亚平</v>
      </c>
      <c r="I15" s="1">
        <v>150000</v>
      </c>
      <c r="J15" s="1">
        <v>200000</v>
      </c>
      <c r="K15" s="1">
        <v>1</v>
      </c>
      <c r="L15" s="1">
        <v>1.5</v>
      </c>
      <c r="M15" s="1">
        <v>2</v>
      </c>
      <c r="N15" s="20">
        <f>_xlfn.XLOOKUP(B15,③工资核算浮动条件设置①!B:B,③工资核算浮动条件设置①!J:J,0)</f>
        <v>0</v>
      </c>
      <c r="O15" s="1">
        <v>0</v>
      </c>
      <c r="P15" s="1">
        <v>0</v>
      </c>
    </row>
    <row r="16" spans="1:16" x14ac:dyDescent="0.15">
      <c r="A16" s="15" t="s">
        <v>133</v>
      </c>
      <c r="B16" s="1" t="s">
        <v>48</v>
      </c>
      <c r="C16" s="1" t="str">
        <f>IFERROR(VLOOKUP(B16,③工资核算浮动条件设置①!B:F,5,0),0)</f>
        <v>事业四部</v>
      </c>
      <c r="D16" s="1" t="s">
        <v>122</v>
      </c>
      <c r="G16" s="16">
        <f>IFERROR(VLOOKUP(B16,③工资核算浮动条件设置①!B:C,2,0),0)</f>
        <v>150000</v>
      </c>
      <c r="H16" s="20" t="str">
        <f>_xlfn.XLOOKUP(B16,③工资核算浮动条件设置①!B:B,③工资核算浮动条件设置①!I:I,0)</f>
        <v>饶秋华</v>
      </c>
      <c r="I16" s="1">
        <v>150000</v>
      </c>
      <c r="J16" s="1">
        <v>200000</v>
      </c>
      <c r="K16" s="1">
        <v>1</v>
      </c>
      <c r="L16" s="1">
        <v>1.5</v>
      </c>
      <c r="M16" s="1">
        <v>2</v>
      </c>
      <c r="N16" s="20">
        <f>_xlfn.XLOOKUP(B16,③工资核算浮动条件设置①!B:B,③工资核算浮动条件设置①!J:J,0)</f>
        <v>0</v>
      </c>
      <c r="O16" s="1">
        <v>0</v>
      </c>
      <c r="P16" s="1">
        <v>0</v>
      </c>
    </row>
    <row r="17" spans="1:19" x14ac:dyDescent="0.15">
      <c r="A17" s="15" t="s">
        <v>134</v>
      </c>
      <c r="B17" s="1" t="s">
        <v>39</v>
      </c>
      <c r="C17" s="1" t="str">
        <f>IFERROR(VLOOKUP(B17,③工资核算浮动条件设置①!B:F,5,0),0)</f>
        <v>事业三部</v>
      </c>
      <c r="D17" s="1" t="s">
        <v>122</v>
      </c>
      <c r="G17" s="16">
        <v>150000</v>
      </c>
      <c r="H17" s="20" t="str">
        <f>_xlfn.XLOOKUP(B17,③工资核算浮动条件设置①!B:B,③工资核算浮动条件设置①!I:I,0)</f>
        <v>秦亚平</v>
      </c>
      <c r="I17" s="1">
        <v>150000</v>
      </c>
      <c r="J17" s="1">
        <v>200000</v>
      </c>
      <c r="K17" s="1">
        <v>1</v>
      </c>
      <c r="L17" s="1">
        <v>1.5</v>
      </c>
      <c r="M17" s="1">
        <v>2</v>
      </c>
      <c r="N17" s="20">
        <f>_xlfn.XLOOKUP(B17,③工资核算浮动条件设置①!B:B,③工资核算浮动条件设置①!J:J,0)</f>
        <v>0</v>
      </c>
      <c r="O17" s="1">
        <v>0</v>
      </c>
      <c r="P17" s="1">
        <v>0</v>
      </c>
    </row>
    <row r="18" spans="1:19" x14ac:dyDescent="0.15">
      <c r="A18" s="15" t="s">
        <v>135</v>
      </c>
      <c r="B18" s="1" t="s">
        <v>53</v>
      </c>
      <c r="C18" s="1" t="str">
        <f>IFERROR(VLOOKUP(B18,③工资核算浮动条件设置①!B:F,5,0),0)</f>
        <v>事业六部</v>
      </c>
      <c r="D18" s="1" t="s">
        <v>119</v>
      </c>
      <c r="G18" s="16">
        <f>IFERROR(VLOOKUP(B18,③工资核算浮动条件设置①!B:C,2,0),0)</f>
        <v>200000</v>
      </c>
      <c r="H18" s="20" t="str">
        <f>_xlfn.XLOOKUP(B18,③工资核算浮动条件设置①!B:B,③工资核算浮动条件设置①!I:I,0)</f>
        <v>蒲草</v>
      </c>
      <c r="I18" s="1">
        <v>200000</v>
      </c>
      <c r="J18" s="1">
        <v>250000</v>
      </c>
      <c r="K18" s="1">
        <v>1</v>
      </c>
      <c r="L18" s="1">
        <v>2</v>
      </c>
      <c r="M18" s="1">
        <v>2.5</v>
      </c>
      <c r="N18" s="20">
        <f>_xlfn.XLOOKUP(B18,③工资核算浮动条件设置①!B:B,③工资核算浮动条件设置①!J:J,0)</f>
        <v>0</v>
      </c>
      <c r="O18" s="1">
        <v>0</v>
      </c>
      <c r="P18" s="1">
        <v>0</v>
      </c>
    </row>
    <row r="19" spans="1:19" x14ac:dyDescent="0.15">
      <c r="A19" s="15" t="s">
        <v>136</v>
      </c>
      <c r="B19" s="1" t="s">
        <v>43</v>
      </c>
      <c r="C19" s="1" t="str">
        <f>IFERROR(VLOOKUP(B19,③工资核算浮动条件设置①!B:F,5,0),0)</f>
        <v>事业四部</v>
      </c>
      <c r="D19" s="1" t="s">
        <v>122</v>
      </c>
      <c r="G19" s="16">
        <f>IFERROR(VLOOKUP(B19,③工资核算浮动条件设置①!B:C,2,0),0)</f>
        <v>150000</v>
      </c>
      <c r="H19" s="20">
        <f>_xlfn.XLOOKUP(B19,③工资核算浮动条件设置①!B:B,③工资核算浮动条件设置①!I:I,0)</f>
        <v>0</v>
      </c>
      <c r="I19" s="1">
        <v>150000</v>
      </c>
      <c r="J19" s="1">
        <v>200000</v>
      </c>
      <c r="N19" s="20" t="str">
        <f>_xlfn.XLOOKUP(B19,③工资核算浮动条件设置①!B:B,③工资核算浮动条件设置①!J:J,0)</f>
        <v>肖静梅</v>
      </c>
      <c r="O19" s="1">
        <v>150000</v>
      </c>
      <c r="P19" s="1">
        <v>200000</v>
      </c>
      <c r="Q19" s="1">
        <v>1.5</v>
      </c>
      <c r="R19" s="1">
        <v>2</v>
      </c>
      <c r="S19" s="1">
        <v>2.5</v>
      </c>
    </row>
    <row r="20" spans="1:19" x14ac:dyDescent="0.15">
      <c r="A20" s="15" t="s">
        <v>137</v>
      </c>
      <c r="B20" s="1" t="s">
        <v>33</v>
      </c>
      <c r="C20" s="1" t="str">
        <f>IFERROR(VLOOKUP(B20,③工资核算浮动条件设置①!B:F,5,0),0)</f>
        <v>事业三部</v>
      </c>
      <c r="D20" s="1" t="s">
        <v>119</v>
      </c>
      <c r="G20" s="16">
        <f>IFERROR(VLOOKUP(B20,③工资核算浮动条件设置①!B:C,2,0),0)</f>
        <v>200000</v>
      </c>
      <c r="H20" s="20" t="str">
        <f>_xlfn.XLOOKUP(B20,③工资核算浮动条件设置①!B:B,③工资核算浮动条件设置①!I:I,0)</f>
        <v>秦亚平</v>
      </c>
      <c r="I20" s="1">
        <v>200000</v>
      </c>
      <c r="J20" s="1">
        <v>250000</v>
      </c>
      <c r="K20" s="1">
        <v>1</v>
      </c>
      <c r="L20" s="1">
        <v>1.5</v>
      </c>
      <c r="M20" s="1">
        <v>2</v>
      </c>
      <c r="N20" s="20">
        <f>_xlfn.XLOOKUP(B20,③工资核算浮动条件设置①!B:B,③工资核算浮动条件设置①!J:J,0)</f>
        <v>0</v>
      </c>
    </row>
    <row r="21" spans="1:19" x14ac:dyDescent="0.15">
      <c r="A21" s="15" t="s">
        <v>138</v>
      </c>
      <c r="B21" s="1" t="s">
        <v>51</v>
      </c>
      <c r="C21" s="1" t="str">
        <f>IFERROR(VLOOKUP(B21,③工资核算浮动条件设置①!B:F,5,0),0)</f>
        <v>事业五部</v>
      </c>
      <c r="D21" s="1" t="s">
        <v>131</v>
      </c>
      <c r="G21" s="16">
        <f>IFERROR(VLOOKUP(B21,③工资核算浮动条件设置①!B:C,2,0),0)</f>
        <v>120000</v>
      </c>
      <c r="H21" s="20" t="str">
        <f>_xlfn.XLOOKUP(B21,③工资核算浮动条件设置①!B:B,③工资核算浮动条件设置①!I:I,0)</f>
        <v>张小娟</v>
      </c>
      <c r="I21" s="1">
        <v>100000</v>
      </c>
      <c r="J21" s="1">
        <v>150000</v>
      </c>
      <c r="K21" s="1">
        <v>1</v>
      </c>
      <c r="L21" s="1">
        <v>2</v>
      </c>
      <c r="M21" s="1">
        <v>2.5</v>
      </c>
      <c r="N21" s="20">
        <f>_xlfn.XLOOKUP(B21,③工资核算浮动条件设置①!B:B,③工资核算浮动条件设置①!J:J,0)</f>
        <v>0</v>
      </c>
      <c r="O21" s="1">
        <v>0</v>
      </c>
      <c r="P21" s="1">
        <v>0</v>
      </c>
    </row>
    <row r="22" spans="1:19" x14ac:dyDescent="0.15">
      <c r="A22" s="15" t="s">
        <v>139</v>
      </c>
      <c r="B22" s="1" t="s">
        <v>26</v>
      </c>
      <c r="C22" s="1" t="str">
        <f>IFERROR(VLOOKUP(B22,③工资核算浮动条件设置①!B:F,5,0),0)</f>
        <v>事业一部</v>
      </c>
      <c r="D22" s="1" t="s">
        <v>122</v>
      </c>
      <c r="G22" s="16">
        <f>IFERROR(VLOOKUP(B22,③工资核算浮动条件设置①!B:C,2,0),0)</f>
        <v>150000</v>
      </c>
      <c r="H22" s="20" t="str">
        <f>_xlfn.XLOOKUP(B22,③工资核算浮动条件设置①!B:B,③工资核算浮动条件设置①!I:I,0)</f>
        <v>邹福贞</v>
      </c>
      <c r="I22" s="1">
        <v>150000</v>
      </c>
      <c r="J22" s="1">
        <v>200000</v>
      </c>
      <c r="K22" s="24">
        <v>0.01</v>
      </c>
      <c r="L22" s="14">
        <v>1.4999999999999999E-2</v>
      </c>
      <c r="M22" s="14">
        <v>0.02</v>
      </c>
      <c r="N22" s="20" t="str">
        <f>_xlfn.XLOOKUP(B22,③工资核算浮动条件设置①!B:B,③工资核算浮动条件设置①!J:J,0)</f>
        <v>王桂明</v>
      </c>
      <c r="O22" s="1">
        <v>0</v>
      </c>
      <c r="P22" s="1">
        <v>0</v>
      </c>
    </row>
    <row r="23" spans="1:19" x14ac:dyDescent="0.15">
      <c r="A23" s="15" t="s">
        <v>140</v>
      </c>
      <c r="B23" s="1" t="s">
        <v>56</v>
      </c>
      <c r="C23" s="1" t="str">
        <f>IFERROR(VLOOKUP(B23,③工资核算浮动条件设置①!B:F,5,0),0)</f>
        <v>事业六部</v>
      </c>
      <c r="D23" s="1" t="s">
        <v>122</v>
      </c>
      <c r="G23" s="16">
        <f>IFERROR(VLOOKUP(B23,③工资核算浮动条件设置①!B:C,2,0),0)</f>
        <v>150000</v>
      </c>
      <c r="H23" s="20" t="str">
        <f>_xlfn.XLOOKUP(B23,③工资核算浮动条件设置①!B:B,③工资核算浮动条件设置①!I:I,0)</f>
        <v>蒲草</v>
      </c>
      <c r="I23" s="1">
        <v>150000</v>
      </c>
      <c r="J23" s="1">
        <v>200000</v>
      </c>
      <c r="K23" s="1">
        <v>1</v>
      </c>
      <c r="L23" s="1">
        <v>2</v>
      </c>
      <c r="M23" s="1">
        <v>2.5</v>
      </c>
      <c r="N23" s="20">
        <f>_xlfn.XLOOKUP(B23,③工资核算浮动条件设置①!B:B,③工资核算浮动条件设置①!J:J,0)</f>
        <v>0</v>
      </c>
      <c r="O23" s="1">
        <v>0</v>
      </c>
      <c r="P23" s="1">
        <v>0</v>
      </c>
    </row>
    <row r="24" spans="1:19" x14ac:dyDescent="0.15">
      <c r="A24" s="15" t="s">
        <v>141</v>
      </c>
      <c r="B24" s="1" t="s">
        <v>52</v>
      </c>
      <c r="C24" s="1" t="str">
        <f>IFERROR(VLOOKUP(B24,③工资核算浮动条件设置①!B:F,5,0),0)</f>
        <v>事业五部</v>
      </c>
      <c r="D24" s="1" t="s">
        <v>131</v>
      </c>
      <c r="G24" s="16">
        <f>IFERROR(VLOOKUP(B24,③工资核算浮动条件设置①!B:C,2,0),0)</f>
        <v>120000</v>
      </c>
      <c r="H24" s="20" t="str">
        <f>_xlfn.XLOOKUP(B24,③工资核算浮动条件设置①!B:B,③工资核算浮动条件设置①!I:I,0)</f>
        <v>张小娟</v>
      </c>
      <c r="I24" s="1">
        <v>100000</v>
      </c>
      <c r="J24" s="1">
        <v>150000</v>
      </c>
      <c r="K24" s="1">
        <v>1</v>
      </c>
      <c r="L24" s="1">
        <v>2</v>
      </c>
      <c r="M24" s="1">
        <v>2.5</v>
      </c>
      <c r="N24" s="20">
        <f>_xlfn.XLOOKUP(B24,③工资核算浮动条件设置①!B:B,③工资核算浮动条件设置①!J:J,0)</f>
        <v>0</v>
      </c>
      <c r="O24" s="1">
        <v>0</v>
      </c>
      <c r="P24" s="1">
        <v>0</v>
      </c>
    </row>
    <row r="25" spans="1:19" x14ac:dyDescent="0.15">
      <c r="A25" s="15" t="s">
        <v>142</v>
      </c>
      <c r="B25" s="1" t="s">
        <v>38</v>
      </c>
      <c r="C25" s="1" t="str">
        <f>IFERROR(VLOOKUP(B25,③工资核算浮动条件设置①!B:F,5,0),0)</f>
        <v>事业三部</v>
      </c>
      <c r="D25" s="1" t="s">
        <v>122</v>
      </c>
      <c r="G25" s="16">
        <f>IFERROR(VLOOKUP(B25,③工资核算浮动条件设置①!B:C,2,0),0)</f>
        <v>150000</v>
      </c>
      <c r="H25" s="20" t="str">
        <f>_xlfn.XLOOKUP(B25,③工资核算浮动条件设置①!B:B,③工资核算浮动条件设置①!I:I,0)</f>
        <v>秦亚平</v>
      </c>
      <c r="I25" s="1">
        <v>150000</v>
      </c>
      <c r="J25" s="1">
        <v>200000</v>
      </c>
      <c r="K25" s="1">
        <v>1</v>
      </c>
      <c r="L25" s="1">
        <v>1.5</v>
      </c>
      <c r="M25" s="1">
        <v>2</v>
      </c>
      <c r="N25" s="20">
        <f>_xlfn.XLOOKUP(B25,③工资核算浮动条件设置①!B:B,③工资核算浮动条件设置①!J:J,0)</f>
        <v>0</v>
      </c>
    </row>
    <row r="26" spans="1:19" x14ac:dyDescent="0.15">
      <c r="A26" s="15" t="s">
        <v>143</v>
      </c>
      <c r="B26" s="1" t="s">
        <v>55</v>
      </c>
      <c r="C26" s="1" t="str">
        <f>IFERROR(VLOOKUP(B26,③工资核算浮动条件设置①!B:F,5,0),0)</f>
        <v>事业六部</v>
      </c>
      <c r="D26" s="1" t="s">
        <v>119</v>
      </c>
      <c r="G26" s="16">
        <v>180000</v>
      </c>
      <c r="H26" s="20" t="str">
        <f>_xlfn.XLOOKUP(B26,③工资核算浮动条件设置①!B:B,③工资核算浮动条件设置①!I:I,0)</f>
        <v>蒲草</v>
      </c>
      <c r="I26" s="1">
        <v>150000</v>
      </c>
      <c r="J26" s="1">
        <v>200000</v>
      </c>
      <c r="K26" s="1">
        <v>1</v>
      </c>
      <c r="L26" s="1">
        <v>2</v>
      </c>
      <c r="M26" s="1">
        <v>2.5</v>
      </c>
      <c r="N26" s="20">
        <f>_xlfn.XLOOKUP(B26,③工资核算浮动条件设置①!B:B,③工资核算浮动条件设置①!J:J,0)</f>
        <v>0</v>
      </c>
      <c r="O26" s="1">
        <v>0</v>
      </c>
      <c r="P26" s="1">
        <v>0</v>
      </c>
    </row>
    <row r="27" spans="1:19" x14ac:dyDescent="0.15">
      <c r="A27" s="15" t="s">
        <v>144</v>
      </c>
      <c r="B27" s="1" t="s">
        <v>45</v>
      </c>
      <c r="C27" s="1" t="str">
        <f>IFERROR(VLOOKUP(B27,③工资核算浮动条件设置①!B:F,5,0),0)</f>
        <v>事业四部</v>
      </c>
      <c r="D27" s="1" t="s">
        <v>119</v>
      </c>
      <c r="G27" s="16">
        <v>180000</v>
      </c>
      <c r="H27" s="20">
        <f>_xlfn.XLOOKUP(B27,③工资核算浮动条件设置①!B:B,③工资核算浮动条件设置①!I:I,0)</f>
        <v>0</v>
      </c>
      <c r="I27" s="1">
        <v>200000</v>
      </c>
      <c r="J27" s="1">
        <v>250000</v>
      </c>
      <c r="N27" s="20" t="str">
        <f>_xlfn.XLOOKUP(B27,③工资核算浮动条件设置①!B:B,③工资核算浮动条件设置①!J:J,0)</f>
        <v>肖静梅</v>
      </c>
      <c r="O27" s="1">
        <v>200000</v>
      </c>
      <c r="P27" s="1">
        <v>250000</v>
      </c>
      <c r="Q27" s="1">
        <v>1.5</v>
      </c>
      <c r="R27" s="1">
        <v>2</v>
      </c>
      <c r="S27" s="1">
        <v>2.5</v>
      </c>
    </row>
    <row r="28" spans="1:19" x14ac:dyDescent="0.15">
      <c r="A28" s="15" t="s">
        <v>145</v>
      </c>
      <c r="B28" s="1" t="s">
        <v>32</v>
      </c>
      <c r="C28" s="1" t="str">
        <f>IFERROR(VLOOKUP(B28,③工资核算浮动条件设置①!B:F,5,0),0)</f>
        <v>事业二部</v>
      </c>
      <c r="D28" s="1" t="s">
        <v>122</v>
      </c>
      <c r="G28" s="16">
        <f>IFERROR(VLOOKUP(B28,③工资核算浮动条件设置①!B:C,2,0),0)</f>
        <v>120000</v>
      </c>
      <c r="H28" s="20" t="str">
        <f>_xlfn.XLOOKUP(B28,③工资核算浮动条件设置①!B:B,③工资核算浮动条件设置①!I:I,0)</f>
        <v>张艳秋</v>
      </c>
      <c r="I28" s="36">
        <v>100000</v>
      </c>
      <c r="J28" s="36">
        <v>150000</v>
      </c>
      <c r="K28" s="1">
        <v>1.5</v>
      </c>
      <c r="L28" s="1">
        <v>2</v>
      </c>
      <c r="M28" s="1">
        <v>2.5</v>
      </c>
      <c r="N28" s="20">
        <f>_xlfn.XLOOKUP(B28,③工资核算浮动条件设置①!B:B,③工资核算浮动条件设置①!J:J,0)</f>
        <v>0</v>
      </c>
      <c r="O28" s="1">
        <v>0</v>
      </c>
      <c r="P28" s="1">
        <v>0</v>
      </c>
    </row>
    <row r="29" spans="1:19" x14ac:dyDescent="0.15">
      <c r="A29" s="15" t="s">
        <v>146</v>
      </c>
      <c r="B29" s="1" t="s">
        <v>29</v>
      </c>
      <c r="C29" s="1" t="str">
        <f>IFERROR(VLOOKUP(B29,③工资核算浮动条件设置①!B:F,5,0),0)</f>
        <v>事业一部</v>
      </c>
      <c r="D29" s="1" t="s">
        <v>131</v>
      </c>
      <c r="E29" s="1" t="s">
        <v>147</v>
      </c>
      <c r="F29" s="1" t="s">
        <v>122</v>
      </c>
      <c r="G29" s="16">
        <v>120000</v>
      </c>
      <c r="H29" s="20" t="str">
        <f>_xlfn.XLOOKUP(B29,③工资核算浮动条件设置①!B:B,③工资核算浮动条件设置①!I:I,0)</f>
        <v>邹福贞</v>
      </c>
      <c r="I29" s="1">
        <v>150000</v>
      </c>
      <c r="J29" s="1">
        <v>200000</v>
      </c>
      <c r="K29" s="24">
        <v>0.01</v>
      </c>
      <c r="L29" s="14">
        <v>1.4999999999999999E-2</v>
      </c>
      <c r="M29" s="14">
        <v>0.02</v>
      </c>
      <c r="N29" s="20" t="str">
        <f>_xlfn.XLOOKUP(B29,③工资核算浮动条件设置①!B:B,③工资核算浮动条件设置①!J:J,0)</f>
        <v>王桂明</v>
      </c>
      <c r="O29" s="1">
        <v>0</v>
      </c>
      <c r="P29" s="1">
        <v>0</v>
      </c>
    </row>
    <row r="30" spans="1:19" x14ac:dyDescent="0.15">
      <c r="A30" s="15" t="s">
        <v>148</v>
      </c>
      <c r="B30" s="1" t="s">
        <v>59</v>
      </c>
      <c r="C30" s="1" t="str">
        <f>IFERROR(VLOOKUP(B30,③工资核算浮动条件设置①!B:F,5,0),0)</f>
        <v>事业二部</v>
      </c>
      <c r="D30" s="1" t="s">
        <v>122</v>
      </c>
      <c r="E30" s="1" t="s">
        <v>147</v>
      </c>
      <c r="G30" s="16">
        <v>150000</v>
      </c>
      <c r="H30" s="20" t="str">
        <f>_xlfn.XLOOKUP(B30,③工资核算浮动条件设置①!B:B,③工资核算浮动条件设置①!I:I,0)</f>
        <v>张艳秋</v>
      </c>
      <c r="I30" s="1">
        <v>150000</v>
      </c>
      <c r="J30" s="1">
        <v>200000</v>
      </c>
      <c r="K30" s="1">
        <v>1</v>
      </c>
      <c r="L30" s="1">
        <v>2</v>
      </c>
      <c r="M30" s="1">
        <v>2.5</v>
      </c>
      <c r="N30" s="20">
        <f>_xlfn.XLOOKUP(B30,③工资核算浮动条件设置①!B:B,③工资核算浮动条件设置①!J:J,0)</f>
        <v>0</v>
      </c>
      <c r="O30" s="1">
        <v>0</v>
      </c>
      <c r="P30" s="1">
        <v>0</v>
      </c>
    </row>
    <row r="31" spans="1:19" x14ac:dyDescent="0.15">
      <c r="A31" s="15" t="s">
        <v>149</v>
      </c>
      <c r="B31" s="1" t="s">
        <v>150</v>
      </c>
      <c r="C31" s="1">
        <f>IFERROR(VLOOKUP(B31,③工资核算浮动条件设置①!B:F,5,0),0)</f>
        <v>0</v>
      </c>
      <c r="D31" s="1" t="s">
        <v>131</v>
      </c>
      <c r="G31" s="16">
        <f>IFERROR(VLOOKUP(B31,③工资核算浮动条件设置①!B:C,2,0),0)</f>
        <v>0</v>
      </c>
      <c r="H31" s="20">
        <f>_xlfn.XLOOKUP(B31,③工资核算浮动条件设置①!B:B,③工资核算浮动条件设置①!I:I,0)</f>
        <v>0</v>
      </c>
      <c r="I31" s="1">
        <v>100000</v>
      </c>
      <c r="J31" s="1">
        <v>150000</v>
      </c>
      <c r="N31" s="20">
        <f>_xlfn.XLOOKUP(B31,③工资核算浮动条件设置①!B:B,③工资核算浮动条件设置①!J:J,0)</f>
        <v>0</v>
      </c>
      <c r="O31" s="1">
        <v>0</v>
      </c>
      <c r="P31" s="1">
        <v>0</v>
      </c>
    </row>
    <row r="32" spans="1:19" x14ac:dyDescent="0.15">
      <c r="A32" s="15" t="s">
        <v>151</v>
      </c>
      <c r="B32" s="10" t="s">
        <v>57</v>
      </c>
      <c r="C32" s="1" t="str">
        <f>IFERROR(VLOOKUP(B32,③工资核算浮动条件设置①!B:F,5,0),0)</f>
        <v>事业一部</v>
      </c>
      <c r="D32" s="1" t="s">
        <v>122</v>
      </c>
      <c r="E32" s="1" t="s">
        <v>147</v>
      </c>
      <c r="G32" s="16">
        <v>150000</v>
      </c>
      <c r="H32" s="20">
        <f>_xlfn.XLOOKUP(B32,③工资核算浮动条件设置①!B:B,③工资核算浮动条件设置①!I:I,0)</f>
        <v>0</v>
      </c>
      <c r="I32" s="1">
        <v>150000</v>
      </c>
      <c r="J32" s="1">
        <v>200000</v>
      </c>
      <c r="K32" s="24">
        <v>0.01</v>
      </c>
      <c r="L32" s="14">
        <v>1.4999999999999999E-2</v>
      </c>
      <c r="M32" s="14">
        <v>0.02</v>
      </c>
      <c r="N32" s="20" t="str">
        <f>_xlfn.XLOOKUP(B32,③工资核算浮动条件设置①!B:B,③工资核算浮动条件设置①!J:J,0)</f>
        <v>王桂明</v>
      </c>
      <c r="O32" s="1">
        <v>0</v>
      </c>
      <c r="P32" s="1">
        <v>0</v>
      </c>
    </row>
    <row r="33" spans="1:14" x14ac:dyDescent="0.15">
      <c r="A33" s="21" t="s">
        <v>152</v>
      </c>
      <c r="B33" s="10" t="s">
        <v>60</v>
      </c>
      <c r="C33" s="10" t="s">
        <v>21</v>
      </c>
      <c r="E33" s="1" t="s">
        <v>147</v>
      </c>
      <c r="H33" s="20">
        <f>_xlfn.XLOOKUP(B33,③工资核算浮动条件设置①!B:B,③工资核算浮动条件设置①!I:I,0)</f>
        <v>0</v>
      </c>
      <c r="I33" s="1">
        <v>150000</v>
      </c>
      <c r="J33" s="1">
        <v>200000</v>
      </c>
      <c r="K33" s="1">
        <v>1</v>
      </c>
      <c r="L33" s="1">
        <v>1.5</v>
      </c>
      <c r="M33" s="1">
        <v>2</v>
      </c>
      <c r="N33" s="20" t="str">
        <f>_xlfn.XLOOKUP(B33,③工资核算浮动条件设置①!B:B,③工资核算浮动条件设置①!J:J,0)</f>
        <v>曾雨晴</v>
      </c>
    </row>
    <row r="34" spans="1:14" x14ac:dyDescent="0.15">
      <c r="N34" s="1">
        <f>_xlfn.XLOOKUP(B34,③工资核算浮动条件设置①!B:B,③工资核算浮动条件设置①!J:J,0)</f>
        <v>0</v>
      </c>
    </row>
    <row r="35" spans="1:14" x14ac:dyDescent="0.15">
      <c r="N35" s="1">
        <f>_xlfn.XLOOKUP(B35,③工资核算浮动条件设置①!B:B,③工资核算浮动条件设置①!J:J,0)</f>
        <v>0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36"/>
  <sheetViews>
    <sheetView workbookViewId="0">
      <selection activeCell="H22" sqref="H22"/>
    </sheetView>
  </sheetViews>
  <sheetFormatPr defaultColWidth="9" defaultRowHeight="14.25" x14ac:dyDescent="0.15"/>
  <cols>
    <col min="1" max="1" width="13.25" style="76" customWidth="1"/>
    <col min="2" max="2" width="10.125" style="76" customWidth="1"/>
    <col min="3" max="3" width="10.875" style="76" customWidth="1"/>
    <col min="4" max="5" width="8.875" style="76" customWidth="1"/>
    <col min="6" max="6" width="10.875" style="76" customWidth="1"/>
    <col min="7" max="7" width="9.875" style="76" customWidth="1"/>
    <col min="8" max="8" width="9.625" style="76" customWidth="1"/>
    <col min="9" max="9" width="8.375" style="76" customWidth="1"/>
    <col min="10" max="11" width="12" style="76" customWidth="1"/>
    <col min="12" max="12" width="11.5" style="76" customWidth="1"/>
    <col min="13" max="13" width="12.625" style="76" customWidth="1"/>
    <col min="14" max="14" width="9.625" style="76" customWidth="1"/>
    <col min="15" max="15" width="16.375" style="76" customWidth="1"/>
    <col min="16" max="16" width="11.125" style="76" customWidth="1"/>
    <col min="17" max="17" width="9" style="76" customWidth="1"/>
    <col min="18" max="20" width="13.25" style="76" customWidth="1"/>
    <col min="21" max="21" width="11.375" style="76" customWidth="1"/>
    <col min="22" max="23" width="13.25" style="76" customWidth="1"/>
    <col min="24" max="24" width="13.25" style="78" customWidth="1"/>
    <col min="25" max="25" width="15.375" style="79" customWidth="1"/>
    <col min="26" max="26" width="11.5" style="79" customWidth="1"/>
    <col min="27" max="16384" width="9" style="76"/>
  </cols>
  <sheetData>
    <row r="1" spans="1:26" x14ac:dyDescent="0.15">
      <c r="A1" s="76" t="s">
        <v>119</v>
      </c>
      <c r="B1" s="76" t="s">
        <v>122</v>
      </c>
      <c r="C1" s="76" t="s">
        <v>131</v>
      </c>
      <c r="D1" s="76">
        <v>4000</v>
      </c>
      <c r="E1" s="77">
        <v>0.03</v>
      </c>
      <c r="F1" s="78">
        <v>3.5000000000000003E-2</v>
      </c>
      <c r="G1" s="77">
        <v>0.04</v>
      </c>
      <c r="H1" s="78">
        <v>4.4999999999999998E-2</v>
      </c>
      <c r="J1" s="76" t="s">
        <v>147</v>
      </c>
      <c r="L1" s="76">
        <v>150000</v>
      </c>
      <c r="V1" s="76">
        <v>-800</v>
      </c>
    </row>
    <row r="2" spans="1:26" x14ac:dyDescent="0.15">
      <c r="A2" s="76" t="s">
        <v>147</v>
      </c>
      <c r="B2" s="80" t="s">
        <v>119</v>
      </c>
      <c r="C2" s="81" t="s">
        <v>122</v>
      </c>
      <c r="D2" s="76">
        <v>-800</v>
      </c>
      <c r="E2" s="82">
        <v>0.03</v>
      </c>
      <c r="F2" s="83">
        <v>3.5000000000000003E-2</v>
      </c>
      <c r="G2" s="84">
        <v>3.5000000000000003E-2</v>
      </c>
      <c r="H2" s="84">
        <v>0.04</v>
      </c>
    </row>
    <row r="3" spans="1:26" x14ac:dyDescent="0.15">
      <c r="L3" s="76" t="s">
        <v>167</v>
      </c>
    </row>
    <row r="4" spans="1:26" x14ac:dyDescent="0.15">
      <c r="A4" s="76" t="s">
        <v>168</v>
      </c>
      <c r="G4" s="76" t="s">
        <v>169</v>
      </c>
      <c r="J4" s="76" t="s">
        <v>365</v>
      </c>
      <c r="K4" s="76" t="s">
        <v>310</v>
      </c>
      <c r="L4" s="76" t="e">
        <f>SUM(L6:L36)</f>
        <v>#N/A</v>
      </c>
      <c r="M4" s="76" t="e">
        <f>SUM(M6:M36)</f>
        <v>#N/A</v>
      </c>
      <c r="N4" s="76" t="e">
        <f>SUM(N6:N36)</f>
        <v>#N/A</v>
      </c>
      <c r="O4" s="76">
        <f>SUM(O6:O36)</f>
        <v>4279117.1300000008</v>
      </c>
      <c r="W4" s="79">
        <f>SUM(W6:W33)</f>
        <v>82500</v>
      </c>
      <c r="Y4" s="79">
        <f>SUM(Y6:Y33)</f>
        <v>157429.37110000002</v>
      </c>
      <c r="Z4" s="79">
        <f>SUM(Z6:Z33)</f>
        <v>239929.37110000002</v>
      </c>
    </row>
    <row r="5" spans="1:26" x14ac:dyDescent="0.15">
      <c r="A5" s="76" t="s">
        <v>7</v>
      </c>
      <c r="C5" s="76" t="s">
        <v>170</v>
      </c>
      <c r="D5" s="76" t="s">
        <v>171</v>
      </c>
      <c r="E5" s="76" t="s">
        <v>172</v>
      </c>
      <c r="F5" s="76" t="s">
        <v>173</v>
      </c>
      <c r="G5" s="85" t="s">
        <v>105</v>
      </c>
      <c r="H5" s="85" t="s">
        <v>106</v>
      </c>
      <c r="I5" s="85" t="s">
        <v>104</v>
      </c>
      <c r="J5" s="85" t="s">
        <v>107</v>
      </c>
      <c r="K5" s="85" t="s">
        <v>174</v>
      </c>
      <c r="L5" s="86" t="s">
        <v>175</v>
      </c>
      <c r="M5" s="86" t="s">
        <v>176</v>
      </c>
      <c r="N5" s="86" t="s">
        <v>177</v>
      </c>
      <c r="O5" s="86" t="s">
        <v>178</v>
      </c>
      <c r="P5" s="87" t="s">
        <v>14</v>
      </c>
      <c r="Q5" s="76" t="s">
        <v>179</v>
      </c>
      <c r="R5" s="76" t="s">
        <v>180</v>
      </c>
      <c r="S5" s="76" t="s">
        <v>181</v>
      </c>
      <c r="T5" s="76" t="s">
        <v>182</v>
      </c>
      <c r="U5" s="76" t="s">
        <v>183</v>
      </c>
      <c r="V5" s="76" t="s">
        <v>184</v>
      </c>
      <c r="W5" s="76" t="s">
        <v>185</v>
      </c>
      <c r="X5" s="78" t="s">
        <v>186</v>
      </c>
      <c r="Y5" s="79" t="s">
        <v>187</v>
      </c>
      <c r="Z5" s="79" t="s">
        <v>168</v>
      </c>
    </row>
    <row r="6" spans="1:26" s="88" customFormat="1" x14ac:dyDescent="0.15">
      <c r="B6" s="88" t="str">
        <f>IF(P6="","",_xlfn.XLOOKUP(P6,'①-①人事取数'!A:A,'①-①人事取数'!B:B,0))</f>
        <v>华润</v>
      </c>
      <c r="C6" s="88" t="s">
        <v>22</v>
      </c>
      <c r="D6" s="88" t="s">
        <v>188</v>
      </c>
      <c r="E6" s="88" t="s">
        <v>90</v>
      </c>
      <c r="F6" s="88" t="s">
        <v>189</v>
      </c>
      <c r="G6" s="88">
        <f>VLOOKUP(B6,'④前置信息-大固定-包含了工资和总经理'!B:E,4,0)</f>
        <v>0</v>
      </c>
      <c r="H6" s="88">
        <f>VLOOKUP(B6,'④前置信息-大固定-包含了工资和总经理'!B:F,5,0)</f>
        <v>0</v>
      </c>
      <c r="I6" s="88" t="str">
        <f>VLOOKUP(B6,'④前置信息-大固定-包含了工资和总经理'!B:D,3,0)</f>
        <v>A类</v>
      </c>
      <c r="J6" s="88">
        <f>VLOOKUP(B6,'④前置信息-大固定-包含了工资和总经理'!B:G,6,0)</f>
        <v>250000</v>
      </c>
      <c r="K6" s="88">
        <f>IFERROR(VLOOKUP(B6,③工资核算浮动条件设置①!$B$4:$C$31,2,0),0)</f>
        <v>250000</v>
      </c>
      <c r="L6" s="88">
        <f>VLOOKUP(B6,②当月数据及门店毛利!B:C,2,0)</f>
        <v>201952.3</v>
      </c>
      <c r="M6" s="88">
        <f>VLOOKUP(B6,②当月数据及门店毛利!B:D,3,0)</f>
        <v>179433.01</v>
      </c>
      <c r="N6" s="89">
        <f>VLOOKUP(B6,②当月数据及门店毛利!B:E,4,0)</f>
        <v>195</v>
      </c>
      <c r="O6" s="89">
        <f>IFERROR(IF(P6=0,0,VLOOKUP(B6,②当月数据及门店毛利!B:N,13,0)),0)</f>
        <v>190485.74</v>
      </c>
      <c r="P6" s="89" t="str">
        <f>'①-①人事取数'!A2</f>
        <v>易春梅</v>
      </c>
      <c r="Q6" s="88">
        <f>IF(P6=0,0,$D$1)</f>
        <v>4000</v>
      </c>
      <c r="R6" s="88">
        <f>IF(P6=0,0,IF(L6&gt;=K6,"Yes",0))</f>
        <v>0</v>
      </c>
      <c r="S6" s="88" t="str">
        <f>IF(P6=0,0,IF(N6&gt;=VLOOKUP(B6,'④前置信息-大固定-包含了工资和总经理'!B:P,15,0),"YES",0))</f>
        <v>YES</v>
      </c>
      <c r="T6" s="88">
        <f>IF(G6="新店","yes",IF(P6=0,0,IF(M6&gt;=VLOOKUP(B6,'④前置信息-大固定-包含了工资和总经理'!B:Q,16,0),"YES",0)))</f>
        <v>0</v>
      </c>
      <c r="U6" s="88">
        <f t="shared" ref="U6:U32" si="0">COUNTIF(R6:T6,"yes")</f>
        <v>1</v>
      </c>
      <c r="V6" s="88">
        <f t="shared" ref="V6:V32" si="1">IF(G6="新店",IF(P6=0,0,-(3-U6)*800),IF(P6=0,0,-(3-U6)*500))</f>
        <v>-1000</v>
      </c>
      <c r="W6" s="88">
        <f t="shared" ref="W6:W32" si="2">IF(P6=0,0,Q6+V6)</f>
        <v>3000</v>
      </c>
      <c r="X6" s="90">
        <f>IFERROR(IF(G6="新店",IF(H6=$B$2,IF(L6&lt;=J6,$E$2,$F$2),IF(H6=$C$2,IF(L6&lt;=J6,$G$2,$H$2),0)),IF(P6=0,0,IF(I6=$A$1,IF(L6&lt;=J6,$E$1,$F$1),IF(I6=$B$1,IF(L6&lt;=J6,$F$1,$G$1),IF(I6=$C$1,IF(L6&lt;=J6,$G$1,$H$1),0))))),0)</f>
        <v>0.03</v>
      </c>
      <c r="Y6" s="91">
        <f t="shared" ref="Y6:Y32" si="3">X6*O6</f>
        <v>5714.5721999999996</v>
      </c>
      <c r="Z6" s="91">
        <f t="shared" ref="Z6:Z24" si="4">Y6+W6</f>
        <v>8714.5721999999987</v>
      </c>
    </row>
    <row r="7" spans="1:26" s="88" customFormat="1" x14ac:dyDescent="0.15">
      <c r="B7" s="88" t="str">
        <f>IF(P7="","",_xlfn.XLOOKUP(P7,'①-①人事取数'!A:A,'①-①人事取数'!B:B,0))</f>
        <v>紫荆</v>
      </c>
      <c r="C7" s="88" t="s">
        <v>22</v>
      </c>
      <c r="D7" s="88" t="s">
        <v>190</v>
      </c>
      <c r="E7" s="88" t="s">
        <v>81</v>
      </c>
      <c r="F7" s="88" t="s">
        <v>191</v>
      </c>
      <c r="G7" s="88">
        <f>VLOOKUP(B7,'④前置信息-大固定-包含了工资和总经理'!B:E,4,0)</f>
        <v>0</v>
      </c>
      <c r="H7" s="88">
        <f>VLOOKUP(B7,'④前置信息-大固定-包含了工资和总经理'!B:F,5,0)</f>
        <v>0</v>
      </c>
      <c r="I7" s="88" t="str">
        <f>VLOOKUP(B7,'④前置信息-大固定-包含了工资和总经理'!B:D,3,0)</f>
        <v>A类</v>
      </c>
      <c r="J7" s="88">
        <f>VLOOKUP(B7,'④前置信息-大固定-包含了工资和总经理'!B:G,6,0)</f>
        <v>350000</v>
      </c>
      <c r="K7" s="88">
        <f>IFERROR(VLOOKUP(B7,③工资核算浮动条件设置①!$B$4:$C$31,2,0),0)</f>
        <v>350000</v>
      </c>
      <c r="L7" s="88">
        <f>VLOOKUP(B7,②当月数据及门店毛利!B:C,2,0)</f>
        <v>522756</v>
      </c>
      <c r="M7" s="88">
        <f>VLOOKUP(B7,②当月数据及门店毛利!B:D,3,0)</f>
        <v>368762.45</v>
      </c>
      <c r="N7" s="89">
        <f>VLOOKUP(B7,②当月数据及门店毛利!B:E,4,0)</f>
        <v>210</v>
      </c>
      <c r="O7" s="89">
        <f>IFERROR(IF(P7=0,0,VLOOKUP(B7,②当月数据及门店毛利!B:N,13,0)),0)</f>
        <v>490659.57</v>
      </c>
      <c r="P7" s="89" t="str">
        <f>'①-①人事取数'!A3</f>
        <v>莫志英</v>
      </c>
      <c r="Q7" s="88">
        <f t="shared" ref="Q7:Q32" si="5">IF(P7=0,0,$D$1)</f>
        <v>4000</v>
      </c>
      <c r="R7" s="88" t="str">
        <f t="shared" ref="R7:R32" si="6">IF(P7=0,0,IF(L7&gt;=K7,"Yes",0))</f>
        <v>Yes</v>
      </c>
      <c r="S7" s="88" t="str">
        <f>IF(P7=0,0,IF(N7&gt;=VLOOKUP(B7,'④前置信息-大固定-包含了工资和总经理'!B:P,15,0),"YES",0))</f>
        <v>YES</v>
      </c>
      <c r="T7" s="88">
        <f>IF(G7="新店","yes",IF(P7=0,0,IF(M7&gt;=VLOOKUP(B7,'④前置信息-大固定-包含了工资和总经理'!B:Q,16,0),"YES",0)))</f>
        <v>0</v>
      </c>
      <c r="U7" s="88">
        <f t="shared" si="0"/>
        <v>2</v>
      </c>
      <c r="V7" s="88">
        <f t="shared" si="1"/>
        <v>-500</v>
      </c>
      <c r="W7" s="88">
        <f t="shared" si="2"/>
        <v>3500</v>
      </c>
      <c r="X7" s="90">
        <f t="shared" ref="X7:X29" si="7">IFERROR(IF(G7="新店",IF(H7=$B$2,IF(L7&lt;=J7,$E$2,$F$2),IF(H7=$C$2,IF(L7&lt;=J7,$G$2,$H$2),0)),IF(P7=0,0,IF(I7=$A$1,IF(L7&lt;=J7,$E$1,$F$1),IF(I7=$B$1,IF(L7&lt;=J7,$F$1,$G$1),IF(I7=$C$1,IF(L7&lt;=J7,$G$1,$H$1),0))))),0)</f>
        <v>3.5000000000000003E-2</v>
      </c>
      <c r="Y7" s="91">
        <f t="shared" si="3"/>
        <v>17173.08495</v>
      </c>
      <c r="Z7" s="91">
        <f t="shared" si="4"/>
        <v>20673.08495</v>
      </c>
    </row>
    <row r="8" spans="1:26" s="88" customFormat="1" x14ac:dyDescent="0.15">
      <c r="B8" s="88" t="str">
        <f>IF(P8="","",_xlfn.XLOOKUP(P8,'①-①人事取数'!A:A,'①-①人事取数'!B:B,0))</f>
        <v>龙湖</v>
      </c>
      <c r="C8" s="88" t="s">
        <v>21</v>
      </c>
      <c r="D8" s="88" t="s">
        <v>190</v>
      </c>
      <c r="E8" s="88" t="s">
        <v>90</v>
      </c>
      <c r="F8" s="88" t="s">
        <v>191</v>
      </c>
      <c r="G8" s="88">
        <f>VLOOKUP(B8,'④前置信息-大固定-包含了工资和总经理'!B:E,4,0)</f>
        <v>0</v>
      </c>
      <c r="H8" s="88">
        <f>VLOOKUP(B8,'④前置信息-大固定-包含了工资和总经理'!B:F,5,0)</f>
        <v>0</v>
      </c>
      <c r="I8" s="88" t="str">
        <f>VLOOKUP(B8,'④前置信息-大固定-包含了工资和总经理'!B:D,3,0)</f>
        <v>A类</v>
      </c>
      <c r="J8" s="88">
        <f>VLOOKUP(B8,'④前置信息-大固定-包含了工资和总经理'!B:G,6,0)</f>
        <v>300000</v>
      </c>
      <c r="K8" s="88">
        <f>IFERROR(VLOOKUP(B8,③工资核算浮动条件设置①!$B$4:$C$31,2,0),0)</f>
        <v>300000</v>
      </c>
      <c r="L8" s="88">
        <f>VLOOKUP(B8,②当月数据及门店毛利!B:C,2,0)</f>
        <v>220223</v>
      </c>
      <c r="M8" s="88">
        <f>VLOOKUP(B8,②当月数据及门店毛利!B:D,3,0)</f>
        <v>210203.02</v>
      </c>
      <c r="N8" s="89">
        <f>VLOOKUP(B8,②当月数据及门店毛利!B:E,4,0)</f>
        <v>205</v>
      </c>
      <c r="O8" s="89">
        <f>IFERROR(IF(P8=0,0,VLOOKUP(B8,②当月数据及门店毛利!B:N,13,0)),0)</f>
        <v>204200.89</v>
      </c>
      <c r="P8" s="89" t="str">
        <f>'①-①人事取数'!A4</f>
        <v>彭龙惠</v>
      </c>
      <c r="Q8" s="88">
        <f>IF(P8=0,0,$D$1)</f>
        <v>4000</v>
      </c>
      <c r="R8" s="88">
        <f t="shared" si="6"/>
        <v>0</v>
      </c>
      <c r="S8" s="88" t="str">
        <f>IF(P8=0,0,IF(N8&gt;=VLOOKUP(B8,'④前置信息-大固定-包含了工资和总经理'!B:P,15,0),"YES",0))</f>
        <v>YES</v>
      </c>
      <c r="T8" s="88">
        <f>IF(G8="新店","yes",IF(P8=0,0,IF(M8&gt;=VLOOKUP(B8,'④前置信息-大固定-包含了工资和总经理'!B:Q,16,0),"YES",0)))</f>
        <v>0</v>
      </c>
      <c r="U8" s="88">
        <f t="shared" si="0"/>
        <v>1</v>
      </c>
      <c r="V8" s="88">
        <f t="shared" si="1"/>
        <v>-1000</v>
      </c>
      <c r="W8" s="88">
        <f t="shared" si="2"/>
        <v>3000</v>
      </c>
      <c r="X8" s="90">
        <f t="shared" si="7"/>
        <v>0.03</v>
      </c>
      <c r="Y8" s="91">
        <f t="shared" si="3"/>
        <v>6126.0267000000003</v>
      </c>
      <c r="Z8" s="91">
        <f t="shared" si="4"/>
        <v>9126.0267000000003</v>
      </c>
    </row>
    <row r="9" spans="1:26" s="88" customFormat="1" x14ac:dyDescent="0.15">
      <c r="B9" s="88" t="str">
        <f>IF(P9="","",_xlfn.XLOOKUP(P9,'①-①人事取数'!A:A,'①-①人事取数'!B:B,0))</f>
        <v>沙河</v>
      </c>
      <c r="C9" s="88" t="s">
        <v>4</v>
      </c>
      <c r="D9" s="88" t="s">
        <v>190</v>
      </c>
      <c r="E9" s="88" t="s">
        <v>81</v>
      </c>
      <c r="F9" s="88" t="s">
        <v>189</v>
      </c>
      <c r="G9" s="88">
        <f>VLOOKUP(B9,'④前置信息-大固定-包含了工资和总经理'!B:E,4,0)</f>
        <v>0</v>
      </c>
      <c r="H9" s="88">
        <f>VLOOKUP(B9,'④前置信息-大固定-包含了工资和总经理'!B:F,5,0)</f>
        <v>0</v>
      </c>
      <c r="I9" s="88" t="str">
        <f>VLOOKUP(B9,'④前置信息-大固定-包含了工资和总经理'!B:D,3,0)</f>
        <v>B类</v>
      </c>
      <c r="J9" s="88">
        <f>VLOOKUP(B9,'④前置信息-大固定-包含了工资和总经理'!B:G,6,0)</f>
        <v>150000</v>
      </c>
      <c r="K9" s="88">
        <f>IFERROR(VLOOKUP(B9,③工资核算浮动条件设置①!$B$4:$C$31,2,0),0)</f>
        <v>150000</v>
      </c>
      <c r="L9" s="161">
        <f>VLOOKUP(B9,②当月数据及门店毛利!B:C,2,0)+5000</f>
        <v>155694</v>
      </c>
      <c r="M9" s="88">
        <f>VLOOKUP(B9,②当月数据及门店毛利!B:D,3,0)</f>
        <v>142453.84</v>
      </c>
      <c r="N9" s="89">
        <f>VLOOKUP(B9,②当月数据及门店毛利!B:E,4,0)</f>
        <v>160</v>
      </c>
      <c r="O9" s="89">
        <f>IFERROR(IF(P9=0,0,VLOOKUP(B9,②当月数据及门店毛利!B:N,13,0)),0)+5000</f>
        <v>136274.23000000001</v>
      </c>
      <c r="P9" s="89" t="str">
        <f>'①-①人事取数'!A5</f>
        <v>向郑瑶</v>
      </c>
      <c r="Q9" s="88">
        <f t="shared" si="5"/>
        <v>4000</v>
      </c>
      <c r="R9" s="88" t="str">
        <f>IF(P9=0,0,IF(L9&gt;=K9,"Yes",0))</f>
        <v>Yes</v>
      </c>
      <c r="S9" s="88" t="str">
        <f>IF(P9=0,0,IF(N9&gt;=VLOOKUP(B9,'④前置信息-大固定-包含了工资和总经理'!B:P,15,0),"YES",0))</f>
        <v>YES</v>
      </c>
      <c r="T9" s="88">
        <f>IF(G9="新店","yes",IF(P9=0,0,IF(M9&gt;=VLOOKUP(B9,'④前置信息-大固定-包含了工资和总经理'!B:Q,16,0),"YES",0)))</f>
        <v>0</v>
      </c>
      <c r="U9" s="88">
        <f t="shared" si="0"/>
        <v>2</v>
      </c>
      <c r="V9" s="88">
        <f t="shared" si="1"/>
        <v>-500</v>
      </c>
      <c r="W9" s="88">
        <f t="shared" si="2"/>
        <v>3500</v>
      </c>
      <c r="X9" s="90">
        <f t="shared" si="7"/>
        <v>0.04</v>
      </c>
      <c r="Y9" s="91">
        <f t="shared" si="3"/>
        <v>5450.9692000000005</v>
      </c>
      <c r="Z9" s="91">
        <f t="shared" si="4"/>
        <v>8950.9691999999995</v>
      </c>
    </row>
    <row r="10" spans="1:26" s="88" customFormat="1" x14ac:dyDescent="0.15">
      <c r="B10" s="88" t="str">
        <f>IF(P10="","",_xlfn.XLOOKUP(P10,'①-①人事取数'!A:A,'①-①人事取数'!B:B,0))</f>
        <v>静居寺</v>
      </c>
      <c r="C10" s="88" t="s">
        <v>4</v>
      </c>
      <c r="D10" s="88" t="s">
        <v>188</v>
      </c>
      <c r="E10" s="88" t="s">
        <v>81</v>
      </c>
      <c r="F10" s="88" t="s">
        <v>191</v>
      </c>
      <c r="G10" s="88">
        <f>VLOOKUP(B10,'④前置信息-大固定-包含了工资和总经理'!B:E,4,0)</f>
        <v>0</v>
      </c>
      <c r="H10" s="88">
        <f>VLOOKUP(B10,'④前置信息-大固定-包含了工资和总经理'!B:F,5,0)</f>
        <v>0</v>
      </c>
      <c r="I10" s="88" t="str">
        <f>VLOOKUP(B10,'④前置信息-大固定-包含了工资和总经理'!B:D,3,0)</f>
        <v>A类</v>
      </c>
      <c r="J10" s="88">
        <f>VLOOKUP(B10,'④前置信息-大固定-包含了工资和总经理'!B:G,6,0)</f>
        <v>320000</v>
      </c>
      <c r="K10" s="88">
        <f>IFERROR(VLOOKUP(B10,③工资核算浮动条件设置①!$B$4:$C$31,2,0),0)</f>
        <v>320000</v>
      </c>
      <c r="L10" s="88">
        <f>VLOOKUP(B10,②当月数据及门店毛利!B:C,2,0)</f>
        <v>407490.19</v>
      </c>
      <c r="M10" s="88">
        <f>VLOOKUP(B10,②当月数据及门店毛利!B:D,3,0)</f>
        <v>518617.05</v>
      </c>
      <c r="N10" s="89">
        <f>VLOOKUP(B10,②当月数据及门店毛利!B:E,4,0)</f>
        <v>206</v>
      </c>
      <c r="O10" s="89">
        <f>IFERROR(IF(P10=0,0,VLOOKUP(B10,②当月数据及门店毛利!B:N,13,0)),0)</f>
        <v>363971.12</v>
      </c>
      <c r="P10" s="89" t="str">
        <f>'①-①人事取数'!A6</f>
        <v>陈怡名</v>
      </c>
      <c r="Q10" s="88">
        <f>IF(P10=0,0,$D$1)</f>
        <v>4000</v>
      </c>
      <c r="R10" s="88" t="str">
        <f t="shared" si="6"/>
        <v>Yes</v>
      </c>
      <c r="S10" s="88" t="str">
        <f>IF(P10=0,0,IF(N10&gt;=VLOOKUP(B10,'④前置信息-大固定-包含了工资和总经理'!B:P,15,0),"YES",0))</f>
        <v>YES</v>
      </c>
      <c r="T10" s="88" t="str">
        <f>IF(G10="新店","yes",IF(P10=0,0,IF(M10&gt;=VLOOKUP(B10,'④前置信息-大固定-包含了工资和总经理'!B:Q,16,0),"YES",0)))</f>
        <v>YES</v>
      </c>
      <c r="U10" s="88">
        <f t="shared" si="0"/>
        <v>3</v>
      </c>
      <c r="V10" s="88">
        <f t="shared" si="1"/>
        <v>0</v>
      </c>
      <c r="W10" s="88">
        <f t="shared" si="2"/>
        <v>4000</v>
      </c>
      <c r="X10" s="90">
        <f t="shared" si="7"/>
        <v>3.5000000000000003E-2</v>
      </c>
      <c r="Y10" s="91">
        <f t="shared" si="3"/>
        <v>12738.989200000002</v>
      </c>
      <c r="Z10" s="91">
        <f t="shared" si="4"/>
        <v>16738.989200000004</v>
      </c>
    </row>
    <row r="11" spans="1:26" s="88" customFormat="1" x14ac:dyDescent="0.15">
      <c r="B11" s="88">
        <f>IF(P11="","",_xlfn.XLOOKUP(P11,'①-①人事取数'!A:A,'①-①人事取数'!B:B,0))</f>
        <v>468</v>
      </c>
      <c r="C11" s="88" t="s">
        <v>17</v>
      </c>
      <c r="D11" s="88" t="s">
        <v>190</v>
      </c>
      <c r="E11" s="88" t="s">
        <v>90</v>
      </c>
      <c r="F11" s="88" t="s">
        <v>191</v>
      </c>
      <c r="G11" s="88">
        <f>VLOOKUP(B11,'④前置信息-大固定-包含了工资和总经理'!B:E,4,0)</f>
        <v>0</v>
      </c>
      <c r="H11" s="88">
        <f>VLOOKUP(B11,'④前置信息-大固定-包含了工资和总经理'!B:F,5,0)</f>
        <v>0</v>
      </c>
      <c r="I11" s="88" t="str">
        <f>VLOOKUP(B11,'④前置信息-大固定-包含了工资和总经理'!B:D,3,0)</f>
        <v>A类</v>
      </c>
      <c r="J11" s="88">
        <f>VLOOKUP(B11,'④前置信息-大固定-包含了工资和总经理'!B:G,6,0)</f>
        <v>200000</v>
      </c>
      <c r="K11" s="88">
        <f>IFERROR(VLOOKUP(B11,③工资核算浮动条件设置①!$B$4:$C$31,2,0),0)</f>
        <v>200000</v>
      </c>
      <c r="L11" s="88">
        <f>VLOOKUP(B11,②当月数据及门店毛利!B:C,2,0)</f>
        <v>140295</v>
      </c>
      <c r="M11" s="88">
        <f>VLOOKUP(B11,②当月数据及门店毛利!B:D,3,0)</f>
        <v>190782.77</v>
      </c>
      <c r="N11" s="89">
        <f>VLOOKUP(B11,②当月数据及门店毛利!B:E,4,0)</f>
        <v>217</v>
      </c>
      <c r="O11" s="89">
        <f>IFERROR(IF(P11=0,0,VLOOKUP(B11,②当月数据及门店毛利!B:N,13,0)),0)</f>
        <v>127193.11</v>
      </c>
      <c r="P11" s="89" t="str">
        <f>'①-①人事取数'!A7</f>
        <v>张小华</v>
      </c>
      <c r="Q11" s="88">
        <f t="shared" si="5"/>
        <v>4000</v>
      </c>
      <c r="R11" s="88">
        <f t="shared" si="6"/>
        <v>0</v>
      </c>
      <c r="S11" s="88" t="str">
        <f>IF(P11=0,0,IF(N11&gt;=VLOOKUP(B11,'④前置信息-大固定-包含了工资和总经理'!B:P,15,0),"YES",0))</f>
        <v>YES</v>
      </c>
      <c r="T11" s="88" t="str">
        <f>IF(G11="新店","yes",IF(P11=0,0,IF(M11&gt;=VLOOKUP(B11,'④前置信息-大固定-包含了工资和总经理'!B:Q,16,0),"YES",0)))</f>
        <v>YES</v>
      </c>
      <c r="U11" s="88">
        <f t="shared" si="0"/>
        <v>2</v>
      </c>
      <c r="V11" s="88">
        <f t="shared" si="1"/>
        <v>-500</v>
      </c>
      <c r="W11" s="88">
        <f t="shared" si="2"/>
        <v>3500</v>
      </c>
      <c r="X11" s="90">
        <f t="shared" si="7"/>
        <v>0.03</v>
      </c>
      <c r="Y11" s="91">
        <f t="shared" si="3"/>
        <v>3815.7932999999998</v>
      </c>
      <c r="Z11" s="91">
        <f t="shared" si="4"/>
        <v>7315.7932999999994</v>
      </c>
    </row>
    <row r="12" spans="1:26" s="88" customFormat="1" x14ac:dyDescent="0.15">
      <c r="B12" s="88" t="str">
        <f>IF(P12="","",_xlfn.XLOOKUP(P12,'①-①人事取数'!A:A,'①-①人事取数'!B:B,0))</f>
        <v>光华</v>
      </c>
      <c r="C12" s="88" t="s">
        <v>4</v>
      </c>
      <c r="D12" s="88" t="s">
        <v>190</v>
      </c>
      <c r="E12" s="88" t="s">
        <v>81</v>
      </c>
      <c r="F12" s="88" t="s">
        <v>191</v>
      </c>
      <c r="G12" s="88">
        <f>VLOOKUP(B12,'④前置信息-大固定-包含了工资和总经理'!B:E,4,0)</f>
        <v>0</v>
      </c>
      <c r="H12" s="88">
        <f>VLOOKUP(B12,'④前置信息-大固定-包含了工资和总经理'!B:F,5,0)</f>
        <v>0</v>
      </c>
      <c r="I12" s="88" t="str">
        <f>VLOOKUP(B12,'④前置信息-大固定-包含了工资和总经理'!B:D,3,0)</f>
        <v>B类</v>
      </c>
      <c r="J12" s="88">
        <f>VLOOKUP(B12,'④前置信息-大固定-包含了工资和总经理'!B:G,6,0)</f>
        <v>150000</v>
      </c>
      <c r="K12" s="88">
        <f>IFERROR(VLOOKUP(B12,③工资核算浮动条件设置①!$B$4:$C$31,2,0),0)</f>
        <v>150000</v>
      </c>
      <c r="L12" s="88">
        <f>VLOOKUP(B12,②当月数据及门店毛利!B:C,2,0)</f>
        <v>135590</v>
      </c>
      <c r="M12" s="88">
        <f>VLOOKUP(B12,②当月数据及门店毛利!B:D,3,0)</f>
        <v>120657.22</v>
      </c>
      <c r="N12" s="89">
        <f>VLOOKUP(B12,②当月数据及门店毛利!B:E,4,0)</f>
        <v>150</v>
      </c>
      <c r="O12" s="89">
        <f>IFERROR(IF(P12=0,0,VLOOKUP(B12,②当月数据及门店毛利!B:N,13,0)),0)</f>
        <v>125352.01000000001</v>
      </c>
      <c r="P12" s="89" t="str">
        <f>'①-①人事取数'!A8</f>
        <v>徐睦垚</v>
      </c>
      <c r="Q12" s="88">
        <f t="shared" si="5"/>
        <v>4000</v>
      </c>
      <c r="R12" s="88">
        <f t="shared" si="6"/>
        <v>0</v>
      </c>
      <c r="S12" s="88" t="str">
        <f>IF(P12=0,0,IF(N12&gt;=VLOOKUP(B12,'④前置信息-大固定-包含了工资和总经理'!B:P,15,0),"YES",0))</f>
        <v>YES</v>
      </c>
      <c r="T12" s="88">
        <f>IF(G12="新店","yes",IF(P12=0,0,IF(M12&gt;=VLOOKUP(B12,'④前置信息-大固定-包含了工资和总经理'!B:Q,16,0),"YES",0)))</f>
        <v>0</v>
      </c>
      <c r="U12" s="88">
        <f t="shared" si="0"/>
        <v>1</v>
      </c>
      <c r="V12" s="88">
        <f t="shared" si="1"/>
        <v>-1000</v>
      </c>
      <c r="W12" s="88">
        <f t="shared" si="2"/>
        <v>3000</v>
      </c>
      <c r="X12" s="90">
        <f t="shared" si="7"/>
        <v>3.5000000000000003E-2</v>
      </c>
      <c r="Y12" s="91">
        <f t="shared" si="3"/>
        <v>4387.3203500000009</v>
      </c>
      <c r="Z12" s="91">
        <f t="shared" si="4"/>
        <v>7387.3203500000009</v>
      </c>
    </row>
    <row r="13" spans="1:26" s="88" customFormat="1" x14ac:dyDescent="0.15">
      <c r="B13" s="88" t="str">
        <f>IF(P13="","",_xlfn.XLOOKUP(P13,'①-①人事取数'!A:A,'①-①人事取数'!B:B,0))</f>
        <v>川师</v>
      </c>
      <c r="C13" s="88" t="s">
        <v>22</v>
      </c>
      <c r="D13" s="88" t="s">
        <v>188</v>
      </c>
      <c r="E13" s="88" t="s">
        <v>81</v>
      </c>
      <c r="F13" s="88" t="s">
        <v>191</v>
      </c>
      <c r="G13" s="88">
        <f>VLOOKUP(B13,'④前置信息-大固定-包含了工资和总经理'!B:E,4,0)</f>
        <v>0</v>
      </c>
      <c r="H13" s="88">
        <f>VLOOKUP(B13,'④前置信息-大固定-包含了工资和总经理'!B:F,5,0)</f>
        <v>0</v>
      </c>
      <c r="I13" s="88" t="str">
        <f>VLOOKUP(B13,'④前置信息-大固定-包含了工资和总经理'!B:D,3,0)</f>
        <v>A类</v>
      </c>
      <c r="J13" s="88">
        <f>VLOOKUP(B13,'④前置信息-大固定-包含了工资和总经理'!B:G,6,0)</f>
        <v>200000</v>
      </c>
      <c r="K13" s="88">
        <f>IFERROR(VLOOKUP(B13,③工资核算浮动条件设置①!$B$4:$C$31,2,0),0)</f>
        <v>200000</v>
      </c>
      <c r="L13" s="88">
        <f>VLOOKUP(B13,②当月数据及门店毛利!B:C,2,0)</f>
        <v>205041</v>
      </c>
      <c r="M13" s="88">
        <f>VLOOKUP(B13,②当月数据及门店毛利!B:D,3,0)</f>
        <v>194741.48</v>
      </c>
      <c r="N13" s="89">
        <f>VLOOKUP(B13,②当月数据及门店毛利!B:E,4,0)</f>
        <v>157</v>
      </c>
      <c r="O13" s="89">
        <f>IFERROR(IF(P13=0,0,VLOOKUP(B13,②当月数据及门店毛利!B:N,13,0)),0)</f>
        <v>184338.94</v>
      </c>
      <c r="P13" s="89" t="str">
        <f>'①-①人事取数'!A9</f>
        <v>刘安琼</v>
      </c>
      <c r="Q13" s="88">
        <f>IF(P13=0,0,$D$1)</f>
        <v>4000</v>
      </c>
      <c r="R13" s="88" t="str">
        <f t="shared" si="6"/>
        <v>Yes</v>
      </c>
      <c r="S13" s="88">
        <f>IF(P13=0,0,IF(N13&gt;=VLOOKUP(B13,'④前置信息-大固定-包含了工资和总经理'!B:P,15,0),"YES",0))</f>
        <v>0</v>
      </c>
      <c r="T13" s="88">
        <f>IF(G13="新店","yes",IF(P13=0,0,IF(M13&gt;=VLOOKUP(B13,'④前置信息-大固定-包含了工资和总经理'!B:Q,16,0),"YES",0)))</f>
        <v>0</v>
      </c>
      <c r="U13" s="88">
        <f t="shared" si="0"/>
        <v>1</v>
      </c>
      <c r="V13" s="88">
        <f t="shared" si="1"/>
        <v>-1000</v>
      </c>
      <c r="W13" s="88">
        <f t="shared" si="2"/>
        <v>3000</v>
      </c>
      <c r="X13" s="90">
        <f t="shared" si="7"/>
        <v>3.5000000000000003E-2</v>
      </c>
      <c r="Y13" s="91">
        <f t="shared" si="3"/>
        <v>6451.862900000001</v>
      </c>
      <c r="Z13" s="91">
        <f t="shared" si="4"/>
        <v>9451.8629000000001</v>
      </c>
    </row>
    <row r="14" spans="1:26" s="88" customFormat="1" x14ac:dyDescent="0.15">
      <c r="B14" s="88" t="str">
        <f>IF(P14="","",_xlfn.XLOOKUP(P14,'①-①人事取数'!A:A,'①-①人事取数'!B:B,0))</f>
        <v>鹭岛</v>
      </c>
      <c r="C14" s="88" t="s">
        <v>21</v>
      </c>
      <c r="D14" s="88" t="s">
        <v>190</v>
      </c>
      <c r="E14" s="88" t="s">
        <v>81</v>
      </c>
      <c r="F14" s="88" t="s">
        <v>189</v>
      </c>
      <c r="G14" s="88">
        <f>VLOOKUP(B14,'④前置信息-大固定-包含了工资和总经理'!B:E,4,0)</f>
        <v>0</v>
      </c>
      <c r="H14" s="88">
        <f>VLOOKUP(B14,'④前置信息-大固定-包含了工资和总经理'!B:F,5,0)</f>
        <v>0</v>
      </c>
      <c r="I14" s="88" t="str">
        <f>VLOOKUP(B14,'④前置信息-大固定-包含了工资和总经理'!B:D,3,0)</f>
        <v>C类</v>
      </c>
      <c r="J14" s="88">
        <f>VLOOKUP(B14,'④前置信息-大固定-包含了工资和总经理'!B:G,6,0)</f>
        <v>120000</v>
      </c>
      <c r="K14" s="88">
        <f>IFERROR(VLOOKUP(B14,③工资核算浮动条件设置①!$B$4:$C$31,2,0),0)</f>
        <v>120000</v>
      </c>
      <c r="L14" s="88">
        <f>VLOOKUP(B14,②当月数据及门店毛利!B:C,2,0)</f>
        <v>111267</v>
      </c>
      <c r="M14" s="88">
        <f>VLOOKUP(B14,②当月数据及门店毛利!B:D,3,0)</f>
        <v>87745.89</v>
      </c>
      <c r="N14" s="89">
        <f>VLOOKUP(B14,②当月数据及门店毛利!B:E,4,0)</f>
        <v>142</v>
      </c>
      <c r="O14" s="89">
        <f>IFERROR(IF(P14=0,0,VLOOKUP(B14,②当月数据及门店毛利!B:N,13,0)),0)</f>
        <v>95534.82</v>
      </c>
      <c r="P14" s="89" t="str">
        <f>'①-①人事取数'!A10</f>
        <v>何琼华</v>
      </c>
      <c r="Q14" s="88">
        <f t="shared" si="5"/>
        <v>4000</v>
      </c>
      <c r="R14" s="88">
        <f t="shared" si="6"/>
        <v>0</v>
      </c>
      <c r="S14" s="88" t="str">
        <f>IF(P14=0,0,IF(N14&gt;=VLOOKUP(B14,'④前置信息-大固定-包含了工资和总经理'!B:P,15,0),"YES",0))</f>
        <v>YES</v>
      </c>
      <c r="T14" s="88">
        <f>IF(G14="新店","yes",IF(P14=0,0,IF(M14&gt;=VLOOKUP(B14,'④前置信息-大固定-包含了工资和总经理'!B:Q,16,0),"YES",0)))</f>
        <v>0</v>
      </c>
      <c r="U14" s="88">
        <f t="shared" si="0"/>
        <v>1</v>
      </c>
      <c r="V14" s="88">
        <f t="shared" si="1"/>
        <v>-1000</v>
      </c>
      <c r="W14" s="88">
        <f t="shared" si="2"/>
        <v>3000</v>
      </c>
      <c r="X14" s="90">
        <f t="shared" si="7"/>
        <v>0.04</v>
      </c>
      <c r="Y14" s="91">
        <f t="shared" si="3"/>
        <v>3821.3928000000005</v>
      </c>
      <c r="Z14" s="91">
        <f t="shared" si="4"/>
        <v>6821.3928000000005</v>
      </c>
    </row>
    <row r="15" spans="1:26" s="88" customFormat="1" x14ac:dyDescent="0.15">
      <c r="B15" s="88" t="str">
        <f>IF(P15="","",_xlfn.XLOOKUP(P15,'①-①人事取数'!A:A,'①-①人事取数'!B:B,0))</f>
        <v>荣华北路</v>
      </c>
      <c r="C15" s="88" t="s">
        <v>24</v>
      </c>
      <c r="D15" s="88" t="s">
        <v>190</v>
      </c>
      <c r="E15" s="88" t="s">
        <v>90</v>
      </c>
      <c r="F15" s="88" t="s">
        <v>189</v>
      </c>
      <c r="G15" s="88">
        <f>VLOOKUP(B15,'④前置信息-大固定-包含了工资和总经理'!B:E,4,0)</f>
        <v>0</v>
      </c>
      <c r="H15" s="88">
        <f>VLOOKUP(B15,'④前置信息-大固定-包含了工资和总经理'!B:F,5,0)</f>
        <v>0</v>
      </c>
      <c r="I15" s="88" t="str">
        <f>VLOOKUP(B15,'④前置信息-大固定-包含了工资和总经理'!B:D,3,0)</f>
        <v>B类</v>
      </c>
      <c r="J15" s="88">
        <f>VLOOKUP(B15,'④前置信息-大固定-包含了工资和总经理'!B:G,6,0)</f>
        <v>150000</v>
      </c>
      <c r="K15" s="88">
        <f>IFERROR(VLOOKUP(B15,③工资核算浮动条件设置①!$B$4:$C$31,2,0),0)</f>
        <v>150000</v>
      </c>
      <c r="L15" s="88">
        <f>VLOOKUP(B15,②当月数据及门店毛利!B:C,2,0)</f>
        <v>153950.6</v>
      </c>
      <c r="M15" s="88">
        <f>VLOOKUP(B15,②当月数据及门店毛利!B:D,3,0)</f>
        <v>140812.54</v>
      </c>
      <c r="N15" s="89">
        <f>VLOOKUP(B15,②当月数据及门店毛利!B:E,4,0)</f>
        <v>153</v>
      </c>
      <c r="O15" s="89">
        <f>IFERROR(IF(P15=0,0,VLOOKUP(B15,②当月数据及门店毛利!B:N,13,0)),0)</f>
        <v>142584.57</v>
      </c>
      <c r="P15" s="89" t="str">
        <f>'①-①人事取数'!A11</f>
        <v>秦娜</v>
      </c>
      <c r="Q15" s="88">
        <f t="shared" si="5"/>
        <v>4000</v>
      </c>
      <c r="R15" s="88" t="str">
        <f t="shared" si="6"/>
        <v>Yes</v>
      </c>
      <c r="S15" s="88">
        <f>IF(P15=0,0,IF(N15&gt;=VLOOKUP(B15,'④前置信息-大固定-包含了工资和总经理'!B:P,15,0),"YES",0))</f>
        <v>0</v>
      </c>
      <c r="T15" s="88">
        <f>IF(G15="新店","yes",IF(P15=0,0,IF(M15&gt;=VLOOKUP(B15,'④前置信息-大固定-包含了工资和总经理'!B:Q,16,0),"YES",0)))</f>
        <v>0</v>
      </c>
      <c r="U15" s="88">
        <f t="shared" si="0"/>
        <v>1</v>
      </c>
      <c r="V15" s="88">
        <f t="shared" si="1"/>
        <v>-1000</v>
      </c>
      <c r="W15" s="88">
        <f t="shared" si="2"/>
        <v>3000</v>
      </c>
      <c r="X15" s="90">
        <f t="shared" si="7"/>
        <v>0.04</v>
      </c>
      <c r="Y15" s="91">
        <f t="shared" si="3"/>
        <v>5703.3828000000003</v>
      </c>
      <c r="Z15" s="91">
        <f t="shared" si="4"/>
        <v>8703.3827999999994</v>
      </c>
    </row>
    <row r="16" spans="1:26" s="88" customFormat="1" x14ac:dyDescent="0.15">
      <c r="B16" s="88" t="str">
        <f>IF(P16="","",_xlfn.XLOOKUP(P16,'①-①人事取数'!A:A,'①-①人事取数'!B:B,0))</f>
        <v>荣华南路</v>
      </c>
      <c r="C16" s="88" t="s">
        <v>22</v>
      </c>
      <c r="D16" s="88" t="s">
        <v>190</v>
      </c>
      <c r="E16" s="88" t="s">
        <v>90</v>
      </c>
      <c r="F16" s="88" t="s">
        <v>189</v>
      </c>
      <c r="G16" s="88">
        <f>VLOOKUP(B16,'④前置信息-大固定-包含了工资和总经理'!B:E,4,0)</f>
        <v>0</v>
      </c>
      <c r="H16" s="88">
        <f>VLOOKUP(B16,'④前置信息-大固定-包含了工资和总经理'!B:F,5,0)</f>
        <v>0</v>
      </c>
      <c r="I16" s="88" t="str">
        <f>VLOOKUP(B16,'④前置信息-大固定-包含了工资和总经理'!B:D,3,0)</f>
        <v>B类</v>
      </c>
      <c r="J16" s="88">
        <f>VLOOKUP(B16,'④前置信息-大固定-包含了工资和总经理'!B:G,6,0)</f>
        <v>150000</v>
      </c>
      <c r="K16" s="88">
        <f>IFERROR(VLOOKUP(B16,③工资核算浮动条件设置①!$B$4:$C$31,2,0),0)</f>
        <v>150000</v>
      </c>
      <c r="L16" s="88">
        <f>VLOOKUP(B16,②当月数据及门店毛利!B:C,2,0)</f>
        <v>180024</v>
      </c>
      <c r="M16" s="88">
        <f>VLOOKUP(B16,②当月数据及门店毛利!B:D,3,0)</f>
        <v>87671.5</v>
      </c>
      <c r="N16" s="89">
        <f>VLOOKUP(B16,②当月数据及门店毛利!B:E,4,0)</f>
        <v>140</v>
      </c>
      <c r="O16" s="89">
        <f>IFERROR(IF(P16=0,0,VLOOKUP(B16,②当月数据及门店毛利!B:N,13,0)),0)</f>
        <v>171360.44</v>
      </c>
      <c r="P16" s="89" t="str">
        <f>'①-①人事取数'!A12</f>
        <v>邓丽莉</v>
      </c>
      <c r="Q16" s="88">
        <f t="shared" si="5"/>
        <v>4000</v>
      </c>
      <c r="R16" s="88" t="str">
        <f t="shared" si="6"/>
        <v>Yes</v>
      </c>
      <c r="S16" s="88" t="str">
        <f>IF(P16=0,0,IF(N16&gt;=VLOOKUP(B16,'④前置信息-大固定-包含了工资和总经理'!B:P,15,0),"YES",0))</f>
        <v>YES</v>
      </c>
      <c r="T16" s="88">
        <f>IF(G16="新店","yes",IF(P16=0,0,IF(M16&gt;=VLOOKUP(B16,'④前置信息-大固定-包含了工资和总经理'!B:Q,16,0),"YES",0)))</f>
        <v>0</v>
      </c>
      <c r="U16" s="88">
        <f t="shared" si="0"/>
        <v>2</v>
      </c>
      <c r="V16" s="88">
        <f t="shared" si="1"/>
        <v>-500</v>
      </c>
      <c r="W16" s="88">
        <f t="shared" si="2"/>
        <v>3500</v>
      </c>
      <c r="X16" s="90">
        <f t="shared" si="7"/>
        <v>0.04</v>
      </c>
      <c r="Y16" s="91">
        <f t="shared" si="3"/>
        <v>6854.4176000000007</v>
      </c>
      <c r="Z16" s="91">
        <f t="shared" si="4"/>
        <v>10354.417600000001</v>
      </c>
    </row>
    <row r="17" spans="2:28" s="88" customFormat="1" x14ac:dyDescent="0.15">
      <c r="B17" s="88" t="str">
        <f>IF(P17="","",_xlfn.XLOOKUP(P17,'①-①人事取数'!A:A,'①-①人事取数'!B:B,0))</f>
        <v>大丰</v>
      </c>
      <c r="C17" s="88" t="s">
        <v>21</v>
      </c>
      <c r="D17" s="88" t="s">
        <v>188</v>
      </c>
      <c r="E17" s="88" t="s">
        <v>90</v>
      </c>
      <c r="F17" s="88" t="s">
        <v>189</v>
      </c>
      <c r="G17" s="88">
        <f>VLOOKUP(B17,'④前置信息-大固定-包含了工资和总经理'!B:E,4,0)</f>
        <v>0</v>
      </c>
      <c r="H17" s="88">
        <f>VLOOKUP(B17,'④前置信息-大固定-包含了工资和总经理'!B:F,5,0)</f>
        <v>0</v>
      </c>
      <c r="I17" s="88" t="str">
        <f>VLOOKUP(B17,'④前置信息-大固定-包含了工资和总经理'!B:D,3,0)</f>
        <v>A类</v>
      </c>
      <c r="J17" s="88">
        <f>VLOOKUP(B17,'④前置信息-大固定-包含了工资和总经理'!B:G,6,0)</f>
        <v>200000</v>
      </c>
      <c r="K17" s="88">
        <f>IFERROR(VLOOKUP(B17,③工资核算浮动条件设置①!$B$4:$C$31,2,0),0)</f>
        <v>200000</v>
      </c>
      <c r="L17" s="88">
        <f>VLOOKUP(B17,②当月数据及门店毛利!B:C,2,0)</f>
        <v>200049.7</v>
      </c>
      <c r="M17" s="88">
        <f>VLOOKUP(B17,②当月数据及门店毛利!B:D,3,0)</f>
        <v>192405.22</v>
      </c>
      <c r="N17" s="89">
        <f>VLOOKUP(B17,②当月数据及门店毛利!B:E,4,0)</f>
        <v>172</v>
      </c>
      <c r="O17" s="89">
        <f>IFERROR(IF(P17=0,0,VLOOKUP(B17,②当月数据及门店毛利!B:N,13,0)),0)</f>
        <v>181858.24000000002</v>
      </c>
      <c r="P17" s="89" t="str">
        <f>'①-①人事取数'!A13</f>
        <v>李茂</v>
      </c>
      <c r="Q17" s="88">
        <f t="shared" si="5"/>
        <v>4000</v>
      </c>
      <c r="R17" s="88" t="str">
        <f t="shared" si="6"/>
        <v>Yes</v>
      </c>
      <c r="S17" s="88" t="str">
        <f>IF(P17=0,0,IF(N17&gt;=VLOOKUP(B17,'④前置信息-大固定-包含了工资和总经理'!B:P,15,0),"YES",0))</f>
        <v>YES</v>
      </c>
      <c r="T17" s="88">
        <f>IF(G17="新店","yes",IF(P17=0,0,IF(M17&gt;=VLOOKUP(B17,'④前置信息-大固定-包含了工资和总经理'!B:Q,16,0),"YES",0)))</f>
        <v>0</v>
      </c>
      <c r="U17" s="88">
        <f t="shared" si="0"/>
        <v>2</v>
      </c>
      <c r="V17" s="88">
        <f t="shared" si="1"/>
        <v>-500</v>
      </c>
      <c r="W17" s="88">
        <f t="shared" si="2"/>
        <v>3500</v>
      </c>
      <c r="X17" s="90">
        <f t="shared" si="7"/>
        <v>3.5000000000000003E-2</v>
      </c>
      <c r="Y17" s="91">
        <f t="shared" si="3"/>
        <v>6365.0384000000013</v>
      </c>
      <c r="Z17" s="91">
        <f t="shared" si="4"/>
        <v>9865.0384000000013</v>
      </c>
    </row>
    <row r="18" spans="2:28" s="88" customFormat="1" x14ac:dyDescent="0.15">
      <c r="B18" s="88" t="str">
        <f>IF(P18="","",_xlfn.XLOOKUP(P18,'①-①人事取数'!A:A,'①-①人事取数'!B:B,0))</f>
        <v>双流</v>
      </c>
      <c r="C18" s="88" t="s">
        <v>22</v>
      </c>
      <c r="D18" s="88" t="s">
        <v>190</v>
      </c>
      <c r="E18" s="88" t="s">
        <v>90</v>
      </c>
      <c r="F18" s="88" t="s">
        <v>191</v>
      </c>
      <c r="G18" s="88">
        <f>VLOOKUP(B18,'④前置信息-大固定-包含了工资和总经理'!B:E,4,0)</f>
        <v>0</v>
      </c>
      <c r="H18" s="88">
        <f>VLOOKUP(B18,'④前置信息-大固定-包含了工资和总经理'!B:F,5,0)</f>
        <v>0</v>
      </c>
      <c r="I18" s="88" t="str">
        <f>VLOOKUP(B18,'④前置信息-大固定-包含了工资和总经理'!B:D,3,0)</f>
        <v>B类</v>
      </c>
      <c r="J18" s="88">
        <f>VLOOKUP(B18,'④前置信息-大固定-包含了工资和总经理'!B:G,6,0)</f>
        <v>150000</v>
      </c>
      <c r="K18" s="88">
        <f>IFERROR(VLOOKUP(B18,③工资核算浮动条件设置①!$B$4:$C$31,2,0),0)</f>
        <v>150000</v>
      </c>
      <c r="L18" s="88">
        <f>VLOOKUP(B18,②当月数据及门店毛利!B:C,2,0)</f>
        <v>311108</v>
      </c>
      <c r="M18" s="88">
        <f>VLOOKUP(B18,②当月数据及门店毛利!B:D,3,0)</f>
        <v>291471.05</v>
      </c>
      <c r="N18" s="89">
        <f>VLOOKUP(B18,②当月数据及门店毛利!B:E,4,0)</f>
        <v>163</v>
      </c>
      <c r="O18" s="89">
        <f>IFERROR(IF(P18=0,0,VLOOKUP(B18,②当月数据及门店毛利!B:N,13,0)),0)</f>
        <v>237015.77000000002</v>
      </c>
      <c r="P18" s="89" t="str">
        <f>'①-①人事取数'!A14</f>
        <v>王晓琳</v>
      </c>
      <c r="Q18" s="88">
        <f t="shared" si="5"/>
        <v>4000</v>
      </c>
      <c r="R18" s="88" t="str">
        <f t="shared" si="6"/>
        <v>Yes</v>
      </c>
      <c r="S18" s="88" t="str">
        <f>IF(P18=0,0,IF(N18&gt;=VLOOKUP(B18,'④前置信息-大固定-包含了工资和总经理'!B:P,15,0),"YES",0))</f>
        <v>YES</v>
      </c>
      <c r="T18" s="88" t="str">
        <f>IF(G18="新店","yes",IF(P18=0,0,IF(M18&gt;=VLOOKUP(B18,'④前置信息-大固定-包含了工资和总经理'!B:Q,16,0),"YES",0)))</f>
        <v>YES</v>
      </c>
      <c r="U18" s="88">
        <f t="shared" si="0"/>
        <v>3</v>
      </c>
      <c r="V18" s="88">
        <f t="shared" si="1"/>
        <v>0</v>
      </c>
      <c r="W18" s="88">
        <f t="shared" si="2"/>
        <v>4000</v>
      </c>
      <c r="X18" s="90">
        <f t="shared" si="7"/>
        <v>0.04</v>
      </c>
      <c r="Y18" s="91">
        <f t="shared" si="3"/>
        <v>9480.6308000000008</v>
      </c>
      <c r="Z18" s="91">
        <f t="shared" si="4"/>
        <v>13480.630800000001</v>
      </c>
    </row>
    <row r="19" spans="2:28" s="88" customFormat="1" x14ac:dyDescent="0.15">
      <c r="B19" s="88" t="str">
        <f>IF(P19="","",_xlfn.XLOOKUP(P19,'①-①人事取数'!A:A,'①-①人事取数'!B:B,0))</f>
        <v>骑士郡</v>
      </c>
      <c r="C19" s="88" t="s">
        <v>21</v>
      </c>
      <c r="D19" s="88" t="s">
        <v>188</v>
      </c>
      <c r="E19" s="88" t="s">
        <v>81</v>
      </c>
      <c r="F19" s="88" t="s">
        <v>189</v>
      </c>
      <c r="G19" s="88">
        <f>VLOOKUP(B19,'④前置信息-大固定-包含了工资和总经理'!B:E,4,0)</f>
        <v>0</v>
      </c>
      <c r="H19" s="88">
        <f>VLOOKUP(B19,'④前置信息-大固定-包含了工资和总经理'!B:F,5,0)</f>
        <v>0</v>
      </c>
      <c r="I19" s="88" t="str">
        <f>VLOOKUP(B19,'④前置信息-大固定-包含了工资和总经理'!B:D,3,0)</f>
        <v>A类</v>
      </c>
      <c r="J19" s="88">
        <f>VLOOKUP(B19,'④前置信息-大固定-包含了工资和总经理'!B:G,6,0)</f>
        <v>200000</v>
      </c>
      <c r="K19" s="88">
        <f>IFERROR(VLOOKUP(B19,③工资核算浮动条件设置①!$B$4:$C$31,2,0),0)</f>
        <v>200000</v>
      </c>
      <c r="L19" s="88">
        <f>VLOOKUP(B19,②当月数据及门店毛利!B:C,2,0)</f>
        <v>158633</v>
      </c>
      <c r="M19" s="88">
        <f>VLOOKUP(B19,②当月数据及门店毛利!B:D,3,0)</f>
        <v>123760.98</v>
      </c>
      <c r="N19" s="89">
        <f>VLOOKUP(B19,②当月数据及门店毛利!B:E,4,0)</f>
        <v>177</v>
      </c>
      <c r="O19" s="89">
        <f>IFERROR(IF(P19=0,0,VLOOKUP(B19,②当月数据及门店毛利!B:N,13,0)),0)</f>
        <v>152070.18</v>
      </c>
      <c r="P19" s="89" t="str">
        <f>'①-①人事取数'!A15</f>
        <v>张勤</v>
      </c>
      <c r="Q19" s="88">
        <f t="shared" si="5"/>
        <v>4000</v>
      </c>
      <c r="R19" s="88">
        <f t="shared" si="6"/>
        <v>0</v>
      </c>
      <c r="S19" s="88" t="str">
        <f>IF(P19=0,0,IF(N19&gt;=VLOOKUP(B19,'④前置信息-大固定-包含了工资和总经理'!B:P,15,0),"YES",0))</f>
        <v>YES</v>
      </c>
      <c r="T19" s="88">
        <f>IF(G19="新店","yes",IF(P19=0,0,IF(M19&gt;=VLOOKUP(B19,'④前置信息-大固定-包含了工资和总经理'!B:Q,16,0),"YES",0)))</f>
        <v>0</v>
      </c>
      <c r="U19" s="88">
        <f t="shared" si="0"/>
        <v>1</v>
      </c>
      <c r="V19" s="88">
        <f t="shared" si="1"/>
        <v>-1000</v>
      </c>
      <c r="W19" s="88">
        <f t="shared" si="2"/>
        <v>3000</v>
      </c>
      <c r="X19" s="90">
        <f t="shared" si="7"/>
        <v>0.03</v>
      </c>
      <c r="Y19" s="91">
        <f t="shared" si="3"/>
        <v>4562.1053999999995</v>
      </c>
      <c r="Z19" s="91">
        <f t="shared" si="4"/>
        <v>7562.1053999999995</v>
      </c>
    </row>
    <row r="20" spans="2:28" s="88" customFormat="1" x14ac:dyDescent="0.15">
      <c r="B20" s="88" t="str">
        <f>IF(P20="","",_xlfn.XLOOKUP(P20,'①-①人事取数'!A:A,'①-①人事取数'!B:B,0))</f>
        <v>明信</v>
      </c>
      <c r="C20" s="88" t="s">
        <v>28</v>
      </c>
      <c r="D20" s="88" t="s">
        <v>190</v>
      </c>
      <c r="E20" s="88" t="s">
        <v>81</v>
      </c>
      <c r="F20" s="88" t="s">
        <v>191</v>
      </c>
      <c r="G20" s="88">
        <f>VLOOKUP(B20,'④前置信息-大固定-包含了工资和总经理'!B:E,4,0)</f>
        <v>0</v>
      </c>
      <c r="H20" s="88">
        <f>VLOOKUP(B20,'④前置信息-大固定-包含了工资和总经理'!B:F,5,0)</f>
        <v>0</v>
      </c>
      <c r="I20" s="88" t="str">
        <f>VLOOKUP(B20,'④前置信息-大固定-包含了工资和总经理'!B:D,3,0)</f>
        <v>C类</v>
      </c>
      <c r="J20" s="88">
        <f>VLOOKUP(B20,'④前置信息-大固定-包含了工资和总经理'!B:G,6,0)</f>
        <v>120000</v>
      </c>
      <c r="K20" s="88">
        <f>IFERROR(VLOOKUP(B20,③工资核算浮动条件设置①!$B$4:$C$31,2,0),0)</f>
        <v>120000</v>
      </c>
      <c r="L20" s="88">
        <f>VLOOKUP(B20,②当月数据及门店毛利!B:C,2,0)</f>
        <v>92371</v>
      </c>
      <c r="M20" s="88">
        <f>VLOOKUP(B20,②当月数据及门店毛利!B:D,3,0)</f>
        <v>58105.8</v>
      </c>
      <c r="N20" s="89">
        <f>VLOOKUP(B20,②当月数据及门店毛利!B:E,4,0)</f>
        <v>169</v>
      </c>
      <c r="O20" s="89">
        <f>IFERROR(IF(P20=0,0,VLOOKUP(B20,②当月数据及门店毛利!B:N,13,0)),0)</f>
        <v>87940.58</v>
      </c>
      <c r="P20" s="89" t="str">
        <f>'①-①人事取数'!A16</f>
        <v>糜清云</v>
      </c>
      <c r="Q20" s="88">
        <f t="shared" si="5"/>
        <v>4000</v>
      </c>
      <c r="R20" s="88">
        <f t="shared" si="6"/>
        <v>0</v>
      </c>
      <c r="S20" s="88" t="str">
        <f>IF(P20=0,0,IF(N20&gt;=VLOOKUP(B20,'④前置信息-大固定-包含了工资和总经理'!B:P,15,0),"YES",0))</f>
        <v>YES</v>
      </c>
      <c r="T20" s="88">
        <f>IF(G20="新店","yes",IF(P20=0,0,IF(M20&gt;=VLOOKUP(B20,'④前置信息-大固定-包含了工资和总经理'!B:Q,16,0),"YES",0)))</f>
        <v>0</v>
      </c>
      <c r="U20" s="88">
        <f t="shared" si="0"/>
        <v>1</v>
      </c>
      <c r="V20" s="88">
        <f t="shared" si="1"/>
        <v>-1000</v>
      </c>
      <c r="W20" s="88">
        <f t="shared" si="2"/>
        <v>3000</v>
      </c>
      <c r="X20" s="90">
        <f t="shared" si="7"/>
        <v>0.04</v>
      </c>
      <c r="Y20" s="91">
        <f t="shared" si="3"/>
        <v>3517.6232</v>
      </c>
      <c r="Z20" s="91">
        <f t="shared" si="4"/>
        <v>6517.6232</v>
      </c>
    </row>
    <row r="21" spans="2:28" s="88" customFormat="1" x14ac:dyDescent="0.15">
      <c r="B21" s="88" t="str">
        <f>IF(P21="","",_xlfn.XLOOKUP(P21,'①-①人事取数'!A:A,'①-①人事取数'!B:B,0))</f>
        <v>犀浦</v>
      </c>
      <c r="C21" s="88" t="s">
        <v>22</v>
      </c>
      <c r="D21" s="88" t="s">
        <v>188</v>
      </c>
      <c r="E21" s="88" t="s">
        <v>90</v>
      </c>
      <c r="F21" s="88" t="s">
        <v>189</v>
      </c>
      <c r="G21" s="88">
        <f>VLOOKUP(B21,'④前置信息-大固定-包含了工资和总经理'!B:E,4,0)</f>
        <v>0</v>
      </c>
      <c r="H21" s="88">
        <f>VLOOKUP(B21,'④前置信息-大固定-包含了工资和总经理'!B:F,5,0)</f>
        <v>0</v>
      </c>
      <c r="I21" s="88" t="str">
        <f>VLOOKUP(B21,'④前置信息-大固定-包含了工资和总经理'!B:D,3,0)</f>
        <v>B类</v>
      </c>
      <c r="J21" s="88">
        <f>VLOOKUP(B21,'④前置信息-大固定-包含了工资和总经理'!B:G,6,0)</f>
        <v>150000</v>
      </c>
      <c r="K21" s="88">
        <f>IFERROR(VLOOKUP(B21,③工资核算浮动条件设置①!$B$4:$C$31,2,0),0)</f>
        <v>150000</v>
      </c>
      <c r="L21" s="88">
        <f>VLOOKUP(B21,②当月数据及门店毛利!B:C,2,0)</f>
        <v>100934</v>
      </c>
      <c r="M21" s="88">
        <f>VLOOKUP(B21,②当月数据及门店毛利!B:D,3,0)</f>
        <v>120573.32</v>
      </c>
      <c r="N21" s="89">
        <f>VLOOKUP(B21,②当月数据及门店毛利!B:E,4,0)</f>
        <v>183</v>
      </c>
      <c r="O21" s="89">
        <f>IFERROR(IF(P21=0,0,VLOOKUP(B21,②当月数据及门店毛利!B:N,13,0)),0)</f>
        <v>89096.790000000008</v>
      </c>
      <c r="P21" s="89" t="str">
        <f>'①-①人事取数'!A17</f>
        <v>曾玉莲</v>
      </c>
      <c r="Q21" s="88">
        <f t="shared" si="5"/>
        <v>4000</v>
      </c>
      <c r="R21" s="88">
        <f t="shared" si="6"/>
        <v>0</v>
      </c>
      <c r="S21" s="88" t="str">
        <f>IF(P21=0,0,IF(N21&gt;=VLOOKUP(B21,'④前置信息-大固定-包含了工资和总经理'!B:P,15,0),"YES",0))</f>
        <v>YES</v>
      </c>
      <c r="T21" s="88">
        <f>IF(G21="新店","yes",IF(P21=0,0,IF(M21&gt;=VLOOKUP(B21,'④前置信息-大固定-包含了工资和总经理'!B:Q,16,0),"YES",0)))</f>
        <v>0</v>
      </c>
      <c r="U21" s="88">
        <f t="shared" si="0"/>
        <v>1</v>
      </c>
      <c r="V21" s="88">
        <f t="shared" si="1"/>
        <v>-1000</v>
      </c>
      <c r="W21" s="88">
        <f t="shared" si="2"/>
        <v>3000</v>
      </c>
      <c r="X21" s="90">
        <f t="shared" si="7"/>
        <v>3.5000000000000003E-2</v>
      </c>
      <c r="Y21" s="91">
        <f t="shared" si="3"/>
        <v>3118.3876500000006</v>
      </c>
      <c r="Z21" s="91">
        <f t="shared" si="4"/>
        <v>6118.3876500000006</v>
      </c>
    </row>
    <row r="22" spans="2:28" s="88" customFormat="1" x14ac:dyDescent="0.15">
      <c r="B22" s="88" t="str">
        <f>IF(P22="","",_xlfn.XLOOKUP(P22,'①-①人事取数'!A:A,'①-①人事取数'!B:B,0))</f>
        <v>千禧</v>
      </c>
      <c r="C22" s="88" t="s">
        <v>21</v>
      </c>
      <c r="D22" s="88" t="s">
        <v>188</v>
      </c>
      <c r="E22" s="88" t="s">
        <v>90</v>
      </c>
      <c r="F22" s="88" t="s">
        <v>189</v>
      </c>
      <c r="G22" s="88">
        <f>VLOOKUP(B22,'④前置信息-大固定-包含了工资和总经理'!B:E,4,0)</f>
        <v>0</v>
      </c>
      <c r="H22" s="88">
        <f>VLOOKUP(B22,'④前置信息-大固定-包含了工资和总经理'!B:F,5,0)</f>
        <v>0</v>
      </c>
      <c r="I22" s="88" t="str">
        <f>VLOOKUP(B22,'④前置信息-大固定-包含了工资和总经理'!B:D,3,0)</f>
        <v>B类</v>
      </c>
      <c r="J22" s="88">
        <f>VLOOKUP(B22,'④前置信息-大固定-包含了工资和总经理'!B:G,6,0)</f>
        <v>150000</v>
      </c>
      <c r="K22" s="88">
        <f>IFERROR(VLOOKUP(B22,③工资核算浮动条件设置①!$B$4:$C$31,2,0),0)</f>
        <v>150000</v>
      </c>
      <c r="L22" s="88">
        <f>VLOOKUP(B22,②当月数据及门店毛利!B:C,2,0)</f>
        <v>151129</v>
      </c>
      <c r="M22" s="88">
        <f>VLOOKUP(B22,②当月数据及门店毛利!B:D,3,0)</f>
        <v>112580.75</v>
      </c>
      <c r="N22" s="89">
        <f>VLOOKUP(B22,②当月数据及门店毛利!B:E,4,0)</f>
        <v>164</v>
      </c>
      <c r="O22" s="89">
        <f>IFERROR(IF(P22=0,0,VLOOKUP(B22,②当月数据及门店毛利!B:N,13,0)),0)</f>
        <v>144958.69</v>
      </c>
      <c r="P22" s="89" t="str">
        <f>'①-①人事取数'!A18</f>
        <v>白丽</v>
      </c>
      <c r="Q22" s="88">
        <f t="shared" si="5"/>
        <v>4000</v>
      </c>
      <c r="R22" s="88" t="str">
        <f t="shared" si="6"/>
        <v>Yes</v>
      </c>
      <c r="S22" s="88" t="str">
        <f>IF(P22=0,0,IF(N22&gt;=VLOOKUP(B22,'④前置信息-大固定-包含了工资和总经理'!B:P,15,0),"YES",0))</f>
        <v>YES</v>
      </c>
      <c r="T22" s="88">
        <f>IF(G22="新店","yes",IF(P22=0,0,IF(M22&gt;=VLOOKUP(B22,'④前置信息-大固定-包含了工资和总经理'!B:Q,16,0),"YES",0)))</f>
        <v>0</v>
      </c>
      <c r="U22" s="88">
        <f t="shared" si="0"/>
        <v>2</v>
      </c>
      <c r="V22" s="88">
        <f t="shared" si="1"/>
        <v>-500</v>
      </c>
      <c r="W22" s="88">
        <f t="shared" si="2"/>
        <v>3500</v>
      </c>
      <c r="X22" s="90">
        <f t="shared" si="7"/>
        <v>0.04</v>
      </c>
      <c r="Y22" s="91">
        <f t="shared" si="3"/>
        <v>5798.3476000000001</v>
      </c>
      <c r="Z22" s="91">
        <f t="shared" si="4"/>
        <v>9298.347600000001</v>
      </c>
    </row>
    <row r="23" spans="2:28" s="88" customFormat="1" x14ac:dyDescent="0.15">
      <c r="B23" s="88" t="str">
        <f>IF(P23="","",_xlfn.XLOOKUP(P23,'①-①人事取数'!A:A,'①-①人事取数'!B:B,0))</f>
        <v>亚洲湾</v>
      </c>
      <c r="C23" s="88" t="s">
        <v>24</v>
      </c>
      <c r="D23" s="88" t="s">
        <v>190</v>
      </c>
      <c r="E23" s="88" t="s">
        <v>81</v>
      </c>
      <c r="F23" s="88" t="s">
        <v>191</v>
      </c>
      <c r="G23" s="88">
        <f>VLOOKUP(B23,'④前置信息-大固定-包含了工资和总经理'!B:E,4,0)</f>
        <v>0</v>
      </c>
      <c r="H23" s="88">
        <f>VLOOKUP(B23,'④前置信息-大固定-包含了工资和总经理'!B:F,5,0)</f>
        <v>0</v>
      </c>
      <c r="I23" s="88" t="str">
        <f>VLOOKUP(B23,'④前置信息-大固定-包含了工资和总经理'!B:D,3,0)</f>
        <v>C类</v>
      </c>
      <c r="J23" s="88">
        <f>VLOOKUP(B23,'④前置信息-大固定-包含了工资和总经理'!B:G,6,0)</f>
        <v>120000</v>
      </c>
      <c r="K23" s="88">
        <f>IFERROR(VLOOKUP(B23,③工资核算浮动条件设置①!$B$4:$C$31,2,0),0)</f>
        <v>120000</v>
      </c>
      <c r="L23" s="88">
        <f>VLOOKUP(B23,②当月数据及门店毛利!B:C,2,0)</f>
        <v>143757</v>
      </c>
      <c r="M23" s="88">
        <f>VLOOKUP(B23,②当月数据及门店毛利!B:D,3,0)</f>
        <v>100865.33</v>
      </c>
      <c r="N23" s="89">
        <f>VLOOKUP(B23,②当月数据及门店毛利!B:E,4,0)</f>
        <v>156</v>
      </c>
      <c r="O23" s="89">
        <f>IFERROR(IF(P23=0,0,VLOOKUP(B23,②当月数据及门店毛利!B:N,13,0)),0)</f>
        <v>126172.11</v>
      </c>
      <c r="P23" s="89" t="str">
        <f>'①-①人事取数'!A19</f>
        <v>尧丹丹</v>
      </c>
      <c r="Q23" s="88">
        <f t="shared" si="5"/>
        <v>4000</v>
      </c>
      <c r="R23" s="88" t="str">
        <f t="shared" si="6"/>
        <v>Yes</v>
      </c>
      <c r="S23" s="88">
        <f>IF(P23=0,0,IF(N23&gt;=VLOOKUP(B23,'④前置信息-大固定-包含了工资和总经理'!B:P,15,0),"YES",0))</f>
        <v>0</v>
      </c>
      <c r="T23" s="88">
        <f>IF(G23="新店","yes",IF(P23=0,0,IF(M23&gt;=VLOOKUP(B23,'④前置信息-大固定-包含了工资和总经理'!B:Q,16,0),"YES",0)))</f>
        <v>0</v>
      </c>
      <c r="U23" s="88">
        <f t="shared" si="0"/>
        <v>1</v>
      </c>
      <c r="V23" s="88">
        <f t="shared" si="1"/>
        <v>-1000</v>
      </c>
      <c r="W23" s="88">
        <f t="shared" si="2"/>
        <v>3000</v>
      </c>
      <c r="X23" s="90">
        <f t="shared" si="7"/>
        <v>4.4999999999999998E-2</v>
      </c>
      <c r="Y23" s="91">
        <f t="shared" si="3"/>
        <v>5677.7449500000002</v>
      </c>
      <c r="Z23" s="91">
        <f t="shared" si="4"/>
        <v>8677.7449500000002</v>
      </c>
    </row>
    <row r="24" spans="2:28" s="88" customFormat="1" x14ac:dyDescent="0.15">
      <c r="B24" s="88" t="str">
        <f>IF(P24="","",_xlfn.XLOOKUP(P24,'①-①人事取数'!A:A,'①-①人事取数'!B:B,0))</f>
        <v>中和</v>
      </c>
      <c r="C24" s="88" t="s">
        <v>4</v>
      </c>
      <c r="D24" s="88" t="s">
        <v>188</v>
      </c>
      <c r="E24" s="88" t="s">
        <v>81</v>
      </c>
      <c r="F24" s="88" t="s">
        <v>189</v>
      </c>
      <c r="G24" s="88">
        <f>VLOOKUP(B24,'④前置信息-大固定-包含了工资和总经理'!B:E,4,0)</f>
        <v>0</v>
      </c>
      <c r="H24" s="88">
        <f>VLOOKUP(B24,'④前置信息-大固定-包含了工资和总经理'!B:F,5,0)</f>
        <v>0</v>
      </c>
      <c r="I24" s="88" t="str">
        <f>VLOOKUP(B24,'④前置信息-大固定-包含了工资和总经理'!B:D,3,0)</f>
        <v>B类</v>
      </c>
      <c r="J24" s="88">
        <f>VLOOKUP(B24,'④前置信息-大固定-包含了工资和总经理'!B:G,6,0)</f>
        <v>150000</v>
      </c>
      <c r="K24" s="88">
        <f>IFERROR(VLOOKUP(B24,③工资核算浮动条件设置①!$B$4:$C$31,2,0),0)</f>
        <v>150000</v>
      </c>
      <c r="L24" s="88">
        <f>VLOOKUP(B24,②当月数据及门店毛利!B:C,2,0)</f>
        <v>150422</v>
      </c>
      <c r="M24" s="88">
        <f>VLOOKUP(B24,②当月数据及门店毛利!B:D,3,0)</f>
        <v>103361.72</v>
      </c>
      <c r="N24" s="89">
        <f>VLOOKUP(B24,②当月数据及门店毛利!B:E,4,0)</f>
        <v>111</v>
      </c>
      <c r="O24" s="89">
        <f>IFERROR(IF(P24=0,0,VLOOKUP(B24,②当月数据及门店毛利!B:N,13,0)),0)</f>
        <v>137585.4</v>
      </c>
      <c r="P24" s="89" t="str">
        <f>'①-①人事取数'!A20</f>
        <v>关晓燕</v>
      </c>
      <c r="Q24" s="88">
        <f t="shared" si="5"/>
        <v>4000</v>
      </c>
      <c r="R24" s="88" t="str">
        <f t="shared" si="6"/>
        <v>Yes</v>
      </c>
      <c r="S24" s="88">
        <f>IF(P24=0,0,IF(N24&gt;=VLOOKUP(B24,'④前置信息-大固定-包含了工资和总经理'!B:P,15,0),"YES",0))</f>
        <v>0</v>
      </c>
      <c r="T24" s="88">
        <f>IF(G24="新店","yes",IF(P24=0,0,IF(M24&gt;=VLOOKUP(B24,'④前置信息-大固定-包含了工资和总经理'!B:Q,16,0),"YES",0)))</f>
        <v>0</v>
      </c>
      <c r="U24" s="88">
        <f t="shared" si="0"/>
        <v>1</v>
      </c>
      <c r="V24" s="88">
        <f t="shared" si="1"/>
        <v>-1000</v>
      </c>
      <c r="W24" s="88">
        <f t="shared" si="2"/>
        <v>3000</v>
      </c>
      <c r="X24" s="90">
        <f t="shared" si="7"/>
        <v>0.04</v>
      </c>
      <c r="Y24" s="91">
        <f t="shared" si="3"/>
        <v>5503.4160000000002</v>
      </c>
      <c r="Z24" s="91">
        <f t="shared" si="4"/>
        <v>8503.4160000000011</v>
      </c>
    </row>
    <row r="25" spans="2:28" s="88" customFormat="1" x14ac:dyDescent="0.15">
      <c r="B25" s="88" t="str">
        <f>IF(P25="","",_xlfn.XLOOKUP(P25,'①-①人事取数'!A:A,'①-①人事取数'!B:B,0))</f>
        <v>凤凰山</v>
      </c>
      <c r="C25" s="88" t="s">
        <v>28</v>
      </c>
      <c r="D25" s="88" t="s">
        <v>190</v>
      </c>
      <c r="E25" s="88" t="s">
        <v>81</v>
      </c>
      <c r="F25" s="88" t="s">
        <v>191</v>
      </c>
      <c r="G25" s="88">
        <f>VLOOKUP(B25,'④前置信息-大固定-包含了工资和总经理'!B:E,4,0)</f>
        <v>0</v>
      </c>
      <c r="H25" s="88">
        <f>VLOOKUP(B25,'④前置信息-大固定-包含了工资和总经理'!B:F,5,0)</f>
        <v>0</v>
      </c>
      <c r="I25" s="88" t="str">
        <f>VLOOKUP(B25,'④前置信息-大固定-包含了工资和总经理'!B:D,3,0)</f>
        <v>A类</v>
      </c>
      <c r="J25" s="88">
        <f>VLOOKUP(B25,'④前置信息-大固定-包含了工资和总经理'!B:G,6,0)</f>
        <v>180000</v>
      </c>
      <c r="K25" s="88">
        <f>IFERROR(VLOOKUP(B25,③工资核算浮动条件设置①!$B$4:$C$31,2,0),0)</f>
        <v>180000</v>
      </c>
      <c r="L25" s="88">
        <f>VLOOKUP(B25,②当月数据及门店毛利!B:C,2,0)</f>
        <v>180307.8</v>
      </c>
      <c r="M25" s="88">
        <f>VLOOKUP(B25,②当月数据及门店毛利!B:D,3,0)</f>
        <v>89092.800000000003</v>
      </c>
      <c r="N25" s="89">
        <f>VLOOKUP(B25,②当月数据及门店毛利!B:E,4,0)</f>
        <v>154</v>
      </c>
      <c r="O25" s="89">
        <f>IFERROR(IF(P25=0,0,VLOOKUP(B25,②当月数据及门店毛利!B:N,13,0)),0)</f>
        <v>167397.06</v>
      </c>
      <c r="P25" s="89" t="str">
        <f>'①-①人事取数'!A21</f>
        <v>魏柯</v>
      </c>
      <c r="Q25" s="88">
        <f t="shared" si="5"/>
        <v>4000</v>
      </c>
      <c r="R25" s="88" t="str">
        <f t="shared" si="6"/>
        <v>Yes</v>
      </c>
      <c r="S25" s="88">
        <f>IF(P25=0,0,IF(N25&gt;=VLOOKUP(B25,'④前置信息-大固定-包含了工资和总经理'!B:P,15,0),"YES",0))</f>
        <v>0</v>
      </c>
      <c r="T25" s="88">
        <f>IF(G25="新店","yes",IF(P25=0,0,IF(M25&gt;=VLOOKUP(B25,'④前置信息-大固定-包含了工资和总经理'!B:Q,16,0),"YES",0)))</f>
        <v>0</v>
      </c>
      <c r="U25" s="88">
        <f t="shared" si="0"/>
        <v>1</v>
      </c>
      <c r="V25" s="88">
        <f t="shared" si="1"/>
        <v>-1000</v>
      </c>
      <c r="W25" s="88">
        <f t="shared" si="2"/>
        <v>3000</v>
      </c>
      <c r="X25" s="90">
        <f t="shared" si="7"/>
        <v>3.5000000000000003E-2</v>
      </c>
      <c r="Y25" s="91">
        <f t="shared" si="3"/>
        <v>5858.8971000000001</v>
      </c>
      <c r="Z25" s="91">
        <f t="shared" ref="Z25:Z32" si="8">Y25+W25</f>
        <v>8858.8971000000001</v>
      </c>
    </row>
    <row r="26" spans="2:28" s="88" customFormat="1" x14ac:dyDescent="0.15">
      <c r="B26" s="88" t="str">
        <f>IF(P26="","",_xlfn.XLOOKUP(P26,'①-①人事取数'!A:A,'①-①人事取数'!B:B,0))</f>
        <v>南湖</v>
      </c>
      <c r="C26" s="88" t="s">
        <v>24</v>
      </c>
      <c r="D26" s="88" t="s">
        <v>188</v>
      </c>
      <c r="E26" s="88" t="s">
        <v>81</v>
      </c>
      <c r="F26" s="88" t="s">
        <v>191</v>
      </c>
      <c r="G26" s="88">
        <f>VLOOKUP(B26,'④前置信息-大固定-包含了工资和总经理'!B:E,4,0)</f>
        <v>0</v>
      </c>
      <c r="H26" s="88">
        <f>VLOOKUP(B26,'④前置信息-大固定-包含了工资和总经理'!B:F,5,0)</f>
        <v>0</v>
      </c>
      <c r="I26" s="88" t="str">
        <f>VLOOKUP(B26,'④前置信息-大固定-包含了工资和总经理'!B:D,3,0)</f>
        <v>A类</v>
      </c>
      <c r="J26" s="88">
        <f>VLOOKUP(B26,'④前置信息-大固定-包含了工资和总经理'!B:G,6,0)</f>
        <v>180000</v>
      </c>
      <c r="K26" s="88">
        <f>IFERROR(VLOOKUP(B26,③工资核算浮动条件设置①!$B$4:$C$31,2,0),0)</f>
        <v>180000</v>
      </c>
      <c r="L26" s="88">
        <f>VLOOKUP(B26,②当月数据及门店毛利!B:C,2,0)</f>
        <v>139022</v>
      </c>
      <c r="M26" s="88">
        <f>VLOOKUP(B26,②当月数据及门店毛利!B:D,3,0)</f>
        <v>127157.72</v>
      </c>
      <c r="N26" s="89">
        <f>VLOOKUP(B26,②当月数据及门店毛利!B:E,4,0)</f>
        <v>191</v>
      </c>
      <c r="O26" s="89">
        <f>IFERROR(IF(P26=0,0,VLOOKUP(B26,②当月数据及门店毛利!B:N,13,0)),0)</f>
        <v>119475.67</v>
      </c>
      <c r="P26" s="89" t="str">
        <f>'①-①人事取数'!A22</f>
        <v>龚茜</v>
      </c>
      <c r="Q26" s="88">
        <f>IF(P26=0,0,$D$1)</f>
        <v>4000</v>
      </c>
      <c r="R26" s="88">
        <f t="shared" si="6"/>
        <v>0</v>
      </c>
      <c r="S26" s="88" t="str">
        <f>IF(P26=0,0,IF(N26&gt;=VLOOKUP(B26,'④前置信息-大固定-包含了工资和总经理'!B:P,15,0),"YES",0))</f>
        <v>YES</v>
      </c>
      <c r="T26" s="88">
        <f>IF(G26="新店","yes",IF(P26=0,0,IF(M26&gt;=VLOOKUP(B26,'④前置信息-大固定-包含了工资和总经理'!B:Q,16,0),"YES",0)))</f>
        <v>0</v>
      </c>
      <c r="U26" s="88">
        <f t="shared" si="0"/>
        <v>1</v>
      </c>
      <c r="V26" s="88">
        <f t="shared" si="1"/>
        <v>-1000</v>
      </c>
      <c r="W26" s="88">
        <f t="shared" si="2"/>
        <v>3000</v>
      </c>
      <c r="X26" s="90">
        <f t="shared" si="7"/>
        <v>0.03</v>
      </c>
      <c r="Y26" s="91">
        <f t="shared" si="3"/>
        <v>3584.2700999999997</v>
      </c>
      <c r="Z26" s="91">
        <f t="shared" si="8"/>
        <v>6584.2700999999997</v>
      </c>
    </row>
    <row r="27" spans="2:28" s="88" customFormat="1" x14ac:dyDescent="0.15">
      <c r="B27" s="88" t="str">
        <f>IF(P27="","",_xlfn.XLOOKUP(P27,'①-①人事取数'!A:A,'①-①人事取数'!B:B,0))</f>
        <v>涌泉</v>
      </c>
      <c r="C27" s="88" t="s">
        <v>21</v>
      </c>
      <c r="D27" s="88" t="s">
        <v>188</v>
      </c>
      <c r="E27" s="88" t="s">
        <v>90</v>
      </c>
      <c r="F27" s="88" t="s">
        <v>189</v>
      </c>
      <c r="G27" s="88">
        <f>VLOOKUP(B27,'④前置信息-大固定-包含了工资和总经理'!B:E,4,0)</f>
        <v>0</v>
      </c>
      <c r="H27" s="88">
        <f>VLOOKUP(B27,'④前置信息-大固定-包含了工资和总经理'!B:F,5,0)</f>
        <v>0</v>
      </c>
      <c r="I27" s="88" t="str">
        <f>VLOOKUP(B27,'④前置信息-大固定-包含了工资和总经理'!B:D,3,0)</f>
        <v>B类</v>
      </c>
      <c r="J27" s="88">
        <f>VLOOKUP(B27,'④前置信息-大固定-包含了工资和总经理'!B:G,6,0)</f>
        <v>150000</v>
      </c>
      <c r="K27" s="88">
        <f>IFERROR(VLOOKUP(B27,③工资核算浮动条件设置①!$B$4:$C$31,2,0),0)</f>
        <v>150000</v>
      </c>
      <c r="L27" s="88">
        <f>VLOOKUP(B27,②当月数据及门店毛利!B:C,2,0)</f>
        <v>169632</v>
      </c>
      <c r="M27" s="88">
        <f>VLOOKUP(B27,②当月数据及门店毛利!B:D,3,0)</f>
        <v>139162.62</v>
      </c>
      <c r="N27" s="89">
        <f>VLOOKUP(B27,②当月数据及门店毛利!B:E,4,0)</f>
        <v>180</v>
      </c>
      <c r="O27" s="89">
        <f>IFERROR(IF(P27=0,0,VLOOKUP(B27,②当月数据及门店毛利!B:N,13,0)),0)</f>
        <v>141297.79999999999</v>
      </c>
      <c r="P27" s="89" t="str">
        <f>'①-①人事取数'!A23</f>
        <v>赵忠芬</v>
      </c>
      <c r="Q27" s="88">
        <f t="shared" si="5"/>
        <v>4000</v>
      </c>
      <c r="R27" s="88" t="str">
        <f t="shared" si="6"/>
        <v>Yes</v>
      </c>
      <c r="S27" s="88" t="str">
        <f>IF(P27=0,0,IF(N27&gt;=VLOOKUP(B27,'④前置信息-大固定-包含了工资和总经理'!B:P,15,0),"YES",0))</f>
        <v>YES</v>
      </c>
      <c r="T27" s="88">
        <f>IF(G27="新店","yes",IF(P27=0,0,IF(M27&gt;=VLOOKUP(B27,'④前置信息-大固定-包含了工资和总经理'!B:Q,16,0),"YES",0)))</f>
        <v>0</v>
      </c>
      <c r="U27" s="88">
        <f t="shared" si="0"/>
        <v>2</v>
      </c>
      <c r="V27" s="88">
        <f t="shared" si="1"/>
        <v>-500</v>
      </c>
      <c r="W27" s="88">
        <f t="shared" si="2"/>
        <v>3500</v>
      </c>
      <c r="X27" s="90">
        <f t="shared" si="7"/>
        <v>0.04</v>
      </c>
      <c r="Y27" s="91">
        <f t="shared" si="3"/>
        <v>5651.9119999999994</v>
      </c>
      <c r="Z27" s="91">
        <f t="shared" si="8"/>
        <v>9151.9120000000003</v>
      </c>
    </row>
    <row r="28" spans="2:28" s="88" customFormat="1" x14ac:dyDescent="0.15">
      <c r="B28" s="88" t="str">
        <f>IF(P28="","",_xlfn.XLOOKUP(P28,'①-①人事取数'!A:A,'①-①人事取数'!B:B,0))</f>
        <v>优品道</v>
      </c>
      <c r="C28" s="88" t="s">
        <v>28</v>
      </c>
      <c r="D28" s="88" t="s">
        <v>190</v>
      </c>
      <c r="E28" s="88" t="s">
        <v>81</v>
      </c>
      <c r="F28" s="88" t="s">
        <v>191</v>
      </c>
      <c r="G28" s="88">
        <f>VLOOKUP(B28,'④前置信息-大固定-包含了工资和总经理'!B:E,4,0)</f>
        <v>0</v>
      </c>
      <c r="H28" s="88">
        <f>VLOOKUP(B28,'④前置信息-大固定-包含了工资和总经理'!B:F,5,0)</f>
        <v>0</v>
      </c>
      <c r="I28" s="88" t="str">
        <f>VLOOKUP(B28,'④前置信息-大固定-包含了工资和总经理'!B:D,3,0)</f>
        <v>B类</v>
      </c>
      <c r="J28" s="88">
        <f>VLOOKUP(B28,'④前置信息-大固定-包含了工资和总经理'!B:G,6,0)</f>
        <v>150000</v>
      </c>
      <c r="K28" s="88">
        <f>IFERROR(VLOOKUP(B28,③工资核算浮动条件设置①!$B$4:$C$31,2,0),0)</f>
        <v>150000</v>
      </c>
      <c r="L28" s="88">
        <f>VLOOKUP(B28,②当月数据及门店毛利!B:C,2,0)</f>
        <v>160812</v>
      </c>
      <c r="M28" s="88">
        <f>VLOOKUP(B28,②当月数据及门店毛利!B:D,3,0)</f>
        <v>146778.57999999999</v>
      </c>
      <c r="N28" s="89">
        <f>VLOOKUP(B28,②当月数据及门店毛利!B:E,4,0)</f>
        <v>192</v>
      </c>
      <c r="O28" s="89">
        <f>IFERROR(IF(P28=0,0,VLOOKUP(B28,②当月数据及门店毛利!B:N,13,0)),0)</f>
        <v>146003.42000000001</v>
      </c>
      <c r="P28" s="89" t="str">
        <f>'①-①人事取数'!A24</f>
        <v>张清华</v>
      </c>
      <c r="Q28" s="88">
        <f t="shared" si="5"/>
        <v>4000</v>
      </c>
      <c r="R28" s="88" t="str">
        <f t="shared" si="6"/>
        <v>Yes</v>
      </c>
      <c r="S28" s="88" t="str">
        <f>IF(P28=0,0,IF(N28&gt;=VLOOKUP(B28,'④前置信息-大固定-包含了工资和总经理'!B:P,15,0),"YES",0))</f>
        <v>YES</v>
      </c>
      <c r="T28" s="88">
        <f>IF(G28="新店","yes",IF(P28=0,0,IF(M28&gt;=VLOOKUP(B28,'④前置信息-大固定-包含了工资和总经理'!B:Q,16,0),"YES",0)))</f>
        <v>0</v>
      </c>
      <c r="U28" s="88">
        <f t="shared" si="0"/>
        <v>2</v>
      </c>
      <c r="V28" s="88">
        <f t="shared" si="1"/>
        <v>-500</v>
      </c>
      <c r="W28" s="88">
        <f t="shared" si="2"/>
        <v>3500</v>
      </c>
      <c r="X28" s="90">
        <f t="shared" si="7"/>
        <v>0.04</v>
      </c>
      <c r="Y28" s="91">
        <f t="shared" si="3"/>
        <v>5840.1368000000002</v>
      </c>
      <c r="Z28" s="91">
        <f t="shared" si="8"/>
        <v>9340.1368000000002</v>
      </c>
      <c r="AB28" s="90"/>
    </row>
    <row r="29" spans="2:28" s="88" customFormat="1" x14ac:dyDescent="0.15">
      <c r="B29" s="88" t="str">
        <f>IF(P29="","",_xlfn.XLOOKUP(P29,'①-①人事取数'!A:A,'①-①人事取数'!B:B,0))</f>
        <v>大源</v>
      </c>
      <c r="C29" s="88" t="s">
        <v>22</v>
      </c>
      <c r="D29" s="88" t="s">
        <v>188</v>
      </c>
      <c r="E29" s="88" t="s">
        <v>90</v>
      </c>
      <c r="F29" s="88" t="s">
        <v>189</v>
      </c>
      <c r="G29" s="88">
        <f>VLOOKUP(B29,'④前置信息-大固定-包含了工资和总经理'!B:E,4,0)</f>
        <v>0</v>
      </c>
      <c r="H29" s="88">
        <f>VLOOKUP(B29,'④前置信息-大固定-包含了工资和总经理'!B:F,5,0)</f>
        <v>0</v>
      </c>
      <c r="I29" s="88" t="str">
        <f>VLOOKUP(B29,'④前置信息-大固定-包含了工资和总经理'!B:D,3,0)</f>
        <v>C类</v>
      </c>
      <c r="J29" s="88">
        <f>VLOOKUP(B29,'④前置信息-大固定-包含了工资和总经理'!B:G,6,0)</f>
        <v>120000</v>
      </c>
      <c r="K29" s="88">
        <f>IFERROR(VLOOKUP(B29,③工资核算浮动条件设置①!$B$4:$C$31,2,0),0)</f>
        <v>120000</v>
      </c>
      <c r="L29" s="88">
        <f>VLOOKUP(B29,②当月数据及门店毛利!B:C,2,0)</f>
        <v>120949.6</v>
      </c>
      <c r="M29" s="88">
        <f>VLOOKUP(B29,②当月数据及门店毛利!B:D,3,0)</f>
        <v>82307.44</v>
      </c>
      <c r="N29" s="89">
        <f>VLOOKUP(B29,②当月数据及门店毛利!B:E,4,0)</f>
        <v>149</v>
      </c>
      <c r="O29" s="89">
        <f>IFERROR(IF(P29=0,0,VLOOKUP(B29,②当月数据及门店毛利!B:N,13,0)),0)</f>
        <v>102021.46</v>
      </c>
      <c r="P29" s="89" t="str">
        <f>'①-①人事取数'!A25</f>
        <v>张红霞</v>
      </c>
      <c r="Q29" s="88">
        <f t="shared" si="5"/>
        <v>4000</v>
      </c>
      <c r="R29" s="88" t="str">
        <f t="shared" si="6"/>
        <v>Yes</v>
      </c>
      <c r="S29" s="88" t="str">
        <f>IF(P29=0,0,IF(N29&gt;=VLOOKUP(B29,'④前置信息-大固定-包含了工资和总经理'!B:P,15,0),"YES",0))</f>
        <v>YES</v>
      </c>
      <c r="T29" s="88">
        <f>IF(G29="新店","yes",IF(P29=0,0,IF(M29&gt;=VLOOKUP(B29,'④前置信息-大固定-包含了工资和总经理'!B:Q,16,0),"YES",0)))</f>
        <v>0</v>
      </c>
      <c r="U29" s="88">
        <f t="shared" si="0"/>
        <v>2</v>
      </c>
      <c r="V29" s="88">
        <f t="shared" si="1"/>
        <v>-500</v>
      </c>
      <c r="W29" s="88">
        <f t="shared" si="2"/>
        <v>3500</v>
      </c>
      <c r="X29" s="90">
        <f t="shared" si="7"/>
        <v>4.4999999999999998E-2</v>
      </c>
      <c r="Y29" s="91">
        <f t="shared" si="3"/>
        <v>4590.9656999999997</v>
      </c>
      <c r="Z29" s="91">
        <f t="shared" si="8"/>
        <v>8090.9656999999997</v>
      </c>
    </row>
    <row r="30" spans="2:28" s="88" customFormat="1" x14ac:dyDescent="0.15">
      <c r="B30" s="88" t="str">
        <f>IF(P30="","",_xlfn.XLOOKUP(P30,'①-①人事取数'!A:A,'①-①人事取数'!B:B,0))</f>
        <v>红光</v>
      </c>
      <c r="C30" s="88" t="s">
        <v>17</v>
      </c>
      <c r="D30" s="88" t="s">
        <v>190</v>
      </c>
      <c r="E30" s="88" t="s">
        <v>90</v>
      </c>
      <c r="F30" s="88" t="s">
        <v>191</v>
      </c>
      <c r="G30" s="198">
        <v>0</v>
      </c>
      <c r="H30" s="88" t="str">
        <f>VLOOKUP(B30,'④前置信息-大固定-包含了工资和总经理'!B:F,5,0)</f>
        <v>C类</v>
      </c>
      <c r="I30" s="88" t="str">
        <f>VLOOKUP(B30,'④前置信息-大固定-包含了工资和总经理'!B:D,3,0)</f>
        <v>C类</v>
      </c>
      <c r="J30" s="88">
        <f>VLOOKUP(B30,'④前置信息-大固定-包含了工资和总经理'!B:G,6,0)</f>
        <v>120000</v>
      </c>
      <c r="K30" s="88">
        <f>IFERROR(VLOOKUP(B30,③工资核算浮动条件设置①!$B$4:$C$31,2,0),0)</f>
        <v>120000</v>
      </c>
      <c r="L30" s="88">
        <f>VLOOKUP(B30,②当月数据及门店毛利!B:C,2,0)</f>
        <v>259744.88</v>
      </c>
      <c r="M30" s="88">
        <f>VLOOKUP(B30,②当月数据及门店毛利!B:D,3,0)</f>
        <v>180406.1</v>
      </c>
      <c r="N30" s="89">
        <f>VLOOKUP(B30,②当月数据及门店毛利!B:E,4,0)</f>
        <v>155</v>
      </c>
      <c r="O30" s="89">
        <f>IFERROR(IF(P30=0,0,VLOOKUP(B30,②当月数据及门店毛利!B:N,13,0)),0)</f>
        <v>214268.52000000002</v>
      </c>
      <c r="P30" s="89" t="str">
        <f>'①-①人事取数'!A26</f>
        <v>宋林琳</v>
      </c>
      <c r="Q30" s="88">
        <f t="shared" si="5"/>
        <v>4000</v>
      </c>
      <c r="R30" s="88" t="str">
        <f t="shared" si="6"/>
        <v>Yes</v>
      </c>
      <c r="S30" s="88" t="str">
        <f>IF(P30=0,0,IF(N30&gt;=VLOOKUP(B30,'④前置信息-大固定-包含了工资和总经理'!B:P,15,0),"YES",0))</f>
        <v>YES</v>
      </c>
      <c r="T30" s="88" t="str">
        <f>IF(G30="新店","yes",IF(P30=0,0,IF(M30&gt;=VLOOKUP(B30,'④前置信息-大固定-包含了工资和总经理'!B:Q,16,0),"YES",0)))</f>
        <v>YES</v>
      </c>
      <c r="U30" s="88">
        <f t="shared" si="0"/>
        <v>3</v>
      </c>
      <c r="V30" s="88">
        <f t="shared" si="1"/>
        <v>0</v>
      </c>
      <c r="W30" s="88">
        <f t="shared" si="2"/>
        <v>4000</v>
      </c>
      <c r="X30" s="90">
        <f>IFERROR(IF(G30="新店",IF(H30=$B$2,IF(L30&lt;=J30,$E$2,$F$2),IF(H30=$C$2,IF(L30&lt;=J30,$G$2,$H$2),0)),IF(P30=0,0,IF(I30=$A$1,IF(L30&lt;=J30,$E$1,$F$1),IF(I30=$B$1,IF(L30&lt;=J30,$F$1,$G$1),IF(I30=$C$1,IF(L30&lt;=J30,$G$1,$H$1),0))))),0)</f>
        <v>4.4999999999999998E-2</v>
      </c>
      <c r="Y30" s="91">
        <f>X30*O30</f>
        <v>9642.0834000000013</v>
      </c>
      <c r="Z30" s="91">
        <f t="shared" si="8"/>
        <v>13642.083400000001</v>
      </c>
    </row>
    <row r="31" spans="2:28" s="88" customFormat="1" x14ac:dyDescent="0.15">
      <c r="B31" s="88">
        <v>0</v>
      </c>
      <c r="C31" s="88" t="s">
        <v>4</v>
      </c>
      <c r="D31" s="88" t="s">
        <v>188</v>
      </c>
      <c r="E31" s="88" t="s">
        <v>81</v>
      </c>
      <c r="F31" s="88" t="s">
        <v>189</v>
      </c>
      <c r="G31" s="88" t="e">
        <f>VLOOKUP(B31,'④前置信息-大固定-包含了工资和总经理'!B:E,4,0)</f>
        <v>#N/A</v>
      </c>
      <c r="H31" s="88" t="e">
        <f>VLOOKUP(B31,'④前置信息-大固定-包含了工资和总经理'!B:F,5,0)</f>
        <v>#N/A</v>
      </c>
      <c r="I31" s="88" t="e">
        <f>VLOOKUP(B31,'④前置信息-大固定-包含了工资和总经理'!B:D,3,0)</f>
        <v>#N/A</v>
      </c>
      <c r="J31" s="88" t="e">
        <f>VLOOKUP(B31,'④前置信息-大固定-包含了工资和总经理'!B:G,6,0)</f>
        <v>#N/A</v>
      </c>
      <c r="K31" s="88">
        <f>IFERROR(VLOOKUP(B31,③工资核算浮动条件设置①!$B$4:$C$31,2,0),0)</f>
        <v>0</v>
      </c>
      <c r="L31" s="88" t="e">
        <f>VLOOKUP(B31,②当月数据及门店毛利!B:C,2,0)</f>
        <v>#N/A</v>
      </c>
      <c r="M31" s="88" t="e">
        <f>VLOOKUP(B31,②当月数据及门店毛利!B:D,3,0)</f>
        <v>#N/A</v>
      </c>
      <c r="N31" s="89" t="e">
        <f>VLOOKUP(B31,②当月数据及门店毛利!B:E,4,0)</f>
        <v>#N/A</v>
      </c>
      <c r="O31" s="89">
        <f>IFERROR(IF(P31=0,0,VLOOKUP(B31,②当月数据及门店毛利!B:N,13,0)),0)</f>
        <v>0</v>
      </c>
      <c r="P31" s="89">
        <f>'①-①人事取数'!A27</f>
        <v>0</v>
      </c>
      <c r="Q31" s="88">
        <f t="shared" si="5"/>
        <v>0</v>
      </c>
      <c r="R31" s="88">
        <f t="shared" si="6"/>
        <v>0</v>
      </c>
      <c r="S31" s="88">
        <f>IF(P31=0,0,IF(N31&gt;=VLOOKUP(B31,'④前置信息-大固定-包含了工资和总经理'!B:P,15,0),"YES",0))</f>
        <v>0</v>
      </c>
      <c r="T31" s="88" t="e">
        <f>IF(G31="新店","yes",IF(P31=0,0,IF(M31&gt;=VLOOKUP(B31,'④前置信息-大固定-包含了工资和总经理'!B:Q,16,0),"YES",0)))</f>
        <v>#N/A</v>
      </c>
      <c r="U31" s="88">
        <f t="shared" si="0"/>
        <v>0</v>
      </c>
      <c r="V31" s="88" t="e">
        <f t="shared" si="1"/>
        <v>#N/A</v>
      </c>
      <c r="W31" s="88">
        <f t="shared" si="2"/>
        <v>0</v>
      </c>
      <c r="X31" s="90">
        <f t="shared" ref="X31:X32" si="9">IFERROR(IF(G31="新店",2,IF(P31=0,0,IF(I31=$A$1,IF(L31&lt;=J31,$E$1,$F$1),IF(I31=$B$1,IF(L31&lt;=J31,$F$1,$G$1),IF(I31=$C$1,IF(L31&lt;=J31,$G$1,$H$1),0))))),0)</f>
        <v>0</v>
      </c>
      <c r="Y31" s="91">
        <f t="shared" si="3"/>
        <v>0</v>
      </c>
      <c r="Z31" s="91">
        <f t="shared" si="8"/>
        <v>0</v>
      </c>
    </row>
    <row r="32" spans="2:28" s="88" customFormat="1" x14ac:dyDescent="0.15">
      <c r="B32" s="88">
        <f>IF(P32="","",_xlfn.XLOOKUP(P32,'①-①人事取数'!A:A,'①-①人事取数'!B:B,0))</f>
        <v>0</v>
      </c>
      <c r="C32" s="88" t="s">
        <v>17</v>
      </c>
      <c r="D32" s="88" t="s">
        <v>190</v>
      </c>
      <c r="E32" s="88" t="s">
        <v>90</v>
      </c>
      <c r="F32" s="88" t="s">
        <v>191</v>
      </c>
      <c r="G32" s="88" t="e">
        <f>VLOOKUP(B32,'④前置信息-大固定-包含了工资和总经理'!B:E,4,0)</f>
        <v>#N/A</v>
      </c>
      <c r="H32" s="88" t="e">
        <f>VLOOKUP(B32,'④前置信息-大固定-包含了工资和总经理'!B:F,5,0)</f>
        <v>#N/A</v>
      </c>
      <c r="I32" s="88" t="e">
        <f>VLOOKUP(B32,'④前置信息-大固定-包含了工资和总经理'!B:D,3,0)</f>
        <v>#N/A</v>
      </c>
      <c r="J32" s="88" t="e">
        <f>VLOOKUP(B32,'④前置信息-大固定-包含了工资和总经理'!B:G,6,0)</f>
        <v>#N/A</v>
      </c>
      <c r="K32" s="88">
        <f>IFERROR(VLOOKUP(B32,③工资核算浮动条件设置①!$B$4:$C$31,2,0),0)</f>
        <v>0</v>
      </c>
      <c r="L32" s="88" t="e">
        <f>VLOOKUP(B32,②当月数据及门店毛利!B:C,2,0)</f>
        <v>#N/A</v>
      </c>
      <c r="M32" s="88" t="e">
        <f>VLOOKUP(B32,②当月数据及门店毛利!B:D,3,0)</f>
        <v>#N/A</v>
      </c>
      <c r="N32" s="89" t="e">
        <f>VLOOKUP(B32,②当月数据及门店毛利!B:E,4,0)</f>
        <v>#N/A</v>
      </c>
      <c r="O32" s="89">
        <f>IFERROR(IF(P32=0,0,VLOOKUP(B32,②当月数据及门店毛利!B:N,13,0)),0)</f>
        <v>0</v>
      </c>
      <c r="P32" s="89">
        <f>'①-①人事取数'!A28</f>
        <v>0</v>
      </c>
      <c r="Q32" s="88">
        <f t="shared" si="5"/>
        <v>0</v>
      </c>
      <c r="R32" s="88">
        <f t="shared" si="6"/>
        <v>0</v>
      </c>
      <c r="S32" s="88">
        <f>IF(P32=0,0,IF(N32&gt;=VLOOKUP(B32,'④前置信息-大固定-包含了工资和总经理'!B:P,15,0),"YES",0))</f>
        <v>0</v>
      </c>
      <c r="T32" s="88" t="e">
        <f>IF(G32="新店","yes",IF(P32=0,0,IF(M32&gt;=VLOOKUP(B32,'④前置信息-大固定-包含了工资和总经理'!B:Q,16,0),"YES",0)))</f>
        <v>#N/A</v>
      </c>
      <c r="U32" s="88">
        <f t="shared" si="0"/>
        <v>0</v>
      </c>
      <c r="V32" s="88" t="e">
        <f t="shared" si="1"/>
        <v>#N/A</v>
      </c>
      <c r="W32" s="88">
        <f t="shared" si="2"/>
        <v>0</v>
      </c>
      <c r="X32" s="90">
        <f t="shared" si="9"/>
        <v>0</v>
      </c>
      <c r="Y32" s="91">
        <f t="shared" si="3"/>
        <v>0</v>
      </c>
      <c r="Z32" s="91">
        <f t="shared" si="8"/>
        <v>0</v>
      </c>
    </row>
    <row r="33" spans="2:26" s="88" customFormat="1" x14ac:dyDescent="0.15">
      <c r="B33" s="88">
        <f>IF(P33="","",_xlfn.XLOOKUP(P33,'①-①人事取数'!A:A,'①-①人事取数'!B:B,0))</f>
        <v>0</v>
      </c>
      <c r="C33" s="88" t="s">
        <v>21</v>
      </c>
      <c r="E33" s="88" t="s">
        <v>81</v>
      </c>
      <c r="G33" s="88" t="e">
        <f>VLOOKUP(B33,'④前置信息-大固定-包含了工资和总经理'!B:E,4,0)</f>
        <v>#N/A</v>
      </c>
      <c r="H33" s="88" t="e">
        <f>VLOOKUP(B33,'④前置信息-大固定-包含了工资和总经理'!B:F,5,0)</f>
        <v>#N/A</v>
      </c>
      <c r="I33" s="88" t="e">
        <f>VLOOKUP(B33,'④前置信息-大固定-包含了工资和总经理'!B:D,3,0)</f>
        <v>#N/A</v>
      </c>
      <c r="J33" s="88" t="e">
        <f>VLOOKUP(B33,'④前置信息-大固定-包含了工资和总经理'!B:G,6,0)</f>
        <v>#N/A</v>
      </c>
      <c r="K33" s="88">
        <f>IFERROR(VLOOKUP(B33,③工资核算浮动条件设置①!$B$4:$C$31,2,0),0)</f>
        <v>0</v>
      </c>
      <c r="L33" s="88" t="e">
        <f>VLOOKUP(B33,②当月数据及门店毛利!B:C,2,0)</f>
        <v>#N/A</v>
      </c>
      <c r="M33" s="88" t="e">
        <f>VLOOKUP(B33,②当月数据及门店毛利!B:D,3,0)</f>
        <v>#N/A</v>
      </c>
      <c r="N33" s="89" t="e">
        <f>VLOOKUP(B33,②当月数据及门店毛利!B:E,4,0)</f>
        <v>#N/A</v>
      </c>
      <c r="O33" s="89">
        <f>IFERROR(IF(P33=0,0,VLOOKUP(B33,②当月数据及门店毛利!B:N,13,0)),0)</f>
        <v>0</v>
      </c>
      <c r="P33" s="89">
        <f>'①-①人事取数'!A29</f>
        <v>0</v>
      </c>
      <c r="X33" s="90"/>
      <c r="Y33" s="91"/>
      <c r="Z33" s="91"/>
    </row>
    <row r="34" spans="2:26" s="88" customFormat="1" x14ac:dyDescent="0.15">
      <c r="B34" s="88">
        <f>IF(P34="","",_xlfn.XLOOKUP(P34,'①-①人事取数'!A:A,'①-①人事取数'!B:B,0))</f>
        <v>0</v>
      </c>
      <c r="C34" s="88" t="s">
        <v>21</v>
      </c>
      <c r="G34" s="88" t="e">
        <f>VLOOKUP(B34,'④前置信息-大固定-包含了工资和总经理'!B:E,4,0)</f>
        <v>#N/A</v>
      </c>
      <c r="H34" s="88" t="e">
        <f>VLOOKUP(B34,'④前置信息-大固定-包含了工资和总经理'!B:F,5,0)</f>
        <v>#N/A</v>
      </c>
      <c r="I34" s="88" t="e">
        <f>VLOOKUP(B34,'④前置信息-大固定-包含了工资和总经理'!B:D,3,0)</f>
        <v>#N/A</v>
      </c>
      <c r="J34" s="88" t="e">
        <f>VLOOKUP(B34,'④前置信息-大固定-包含了工资和总经理'!B:G,6,0)</f>
        <v>#N/A</v>
      </c>
      <c r="K34" s="88">
        <f>IFERROR(VLOOKUP(B34,③工资核算浮动条件设置①!$B$4:$C$31,2,0),0)</f>
        <v>0</v>
      </c>
      <c r="P34" s="89">
        <f>'①-①人事取数'!A30</f>
        <v>0</v>
      </c>
      <c r="X34" s="90"/>
      <c r="Y34" s="91"/>
      <c r="Z34" s="91"/>
    </row>
    <row r="35" spans="2:26" s="88" customFormat="1" x14ac:dyDescent="0.15">
      <c r="K35" s="88">
        <f>IFERROR(VLOOKUP(B35,③工资核算浮动条件设置①!$B$4:$C$31,2,0),0)</f>
        <v>0</v>
      </c>
      <c r="X35" s="90"/>
      <c r="Y35" s="91"/>
      <c r="Z35" s="91"/>
    </row>
    <row r="36" spans="2:26" s="88" customFormat="1" x14ac:dyDescent="0.15">
      <c r="K36" s="88">
        <f>IFERROR(VLOOKUP(B36,③工资核算浮动条件设置①!$B$4:$C$31,2,0),0)</f>
        <v>0</v>
      </c>
      <c r="X36" s="90"/>
      <c r="Y36" s="91"/>
      <c r="Z36" s="91"/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</vt:lpstr>
      <vt:lpstr>①考勤-B-a-26考勤汇总表</vt:lpstr>
      <vt:lpstr>①-①人事取数</vt:lpstr>
      <vt:lpstr>②当月数据及门店毛利</vt:lpstr>
      <vt:lpstr>③工资核算浮动条件设置①</vt:lpstr>
      <vt:lpstr>③-①特殊情况</vt:lpstr>
      <vt:lpstr>④前置信息-大固定-包含了工资和总经理</vt:lpstr>
      <vt:lpstr>④-①前置信息-增加版本</vt:lpstr>
      <vt:lpstr>店长核算</vt:lpstr>
      <vt:lpstr>店长-汇总表</vt:lpstr>
      <vt:lpstr>主任核算</vt:lpstr>
      <vt:lpstr>主任-汇总表</vt:lpstr>
      <vt:lpstr>店助主任核算</vt:lpstr>
      <vt:lpstr>店助主任-汇总表</vt:lpstr>
      <vt:lpstr>店助核算</vt:lpstr>
      <vt:lpstr>店助-汇总表</vt:lpstr>
      <vt:lpstr>总经理核算-门店口径核算</vt:lpstr>
      <vt:lpstr>总经理-汇总表</vt:lpstr>
      <vt:lpstr>经理核算-门店口径核算</vt:lpstr>
      <vt:lpstr>经理-汇总表</vt:lpstr>
      <vt:lpstr>总经理及经理-个人口径</vt:lpstr>
      <vt:lpstr>科技部核算</vt:lpstr>
      <vt:lpstr>科技部-汇总表</vt:lpstr>
      <vt:lpstr>手动调整</vt:lpstr>
      <vt:lpstr>大项目部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k16921</cp:lastModifiedBy>
  <dcterms:created xsi:type="dcterms:W3CDTF">2023-05-12T11:15:00Z</dcterms:created>
  <dcterms:modified xsi:type="dcterms:W3CDTF">2025-08-14T04:04:57Z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310387FD844449C7BFA0060CFC483C89_13</vt:lpwstr>
  </property>
  <property fmtid="{D5CDD505-2E9C-101B-9397-08002B2CF9AE}" pid="4" name="KSOReadingLayout">
    <vt:bool>true</vt:bool>
  </property>
</Properties>
</file>